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7.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drawings/drawing8.xml" ContentType="application/vnd.openxmlformats-officedocument.drawing+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mc:AlternateContent xmlns:mc="http://schemas.openxmlformats.org/markup-compatibility/2006">
    <mc:Choice Requires="x15">
      <x15ac:absPath xmlns:x15ac="http://schemas.microsoft.com/office/spreadsheetml/2010/11/ac" url="https://adminliveunc-my.sharepoint.com/personal/dayt_ad_unc_edu/Documents/Documents/Class/Notes/"/>
    </mc:Choice>
  </mc:AlternateContent>
  <xr:revisionPtr revIDLastSave="1151" documentId="114_{A2DC26A0-6A57-485A-BC1C-F487F5DFEBC4}" xr6:coauthVersionLast="47" xr6:coauthVersionMax="47" xr10:uidLastSave="{5D8A4C66-5D38-438B-BF00-C5977EE361B8}"/>
  <bookViews>
    <workbookView xWindow="-120" yWindow="-120" windowWidth="29040" windowHeight="17520" tabRatio="778" xr2:uid="{8601222B-4220-47AA-AD59-4032C404AFE4}"/>
  </bookViews>
  <sheets>
    <sheet name="Documentation" sheetId="55" r:id="rId1"/>
    <sheet name="Objectives" sheetId="25" r:id="rId2"/>
    <sheet name="Functions" sheetId="26" r:id="rId3"/>
    <sheet name="Key_Terms" sheetId="34" r:id="rId4"/>
    <sheet name="_Statistics" sheetId="63" r:id="rId5"/>
    <sheet name="Fundamentals" sheetId="29" r:id="rId6"/>
    <sheet name="Statistics" sheetId="44" r:id="rId7"/>
    <sheet name="Normal_Dist" sheetId="53" r:id="rId8"/>
    <sheet name="Precision" sheetId="4" r:id="rId9"/>
    <sheet name="Round" sheetId="36" r:id="rId10"/>
    <sheet name="Syntax" sheetId="52" state="hidden" r:id="rId11"/>
    <sheet name="Precision_Functions" sheetId="32" r:id="rId12"/>
    <sheet name="Circular Reference" sheetId="35" r:id="rId13"/>
    <sheet name="#REF!_error" sheetId="37" r:id="rId14"/>
    <sheet name="Paste_Special" sheetId="38" r:id="rId15"/>
    <sheet name="Freezing_Panes" sheetId="40" r:id="rId16"/>
    <sheet name="Freezing_Rows_&amp;_Columns" sheetId="58" r:id="rId17"/>
    <sheet name="Splitting_Windows" sheetId="41" r:id="rId18"/>
    <sheet name="CurrentQCdata" sheetId="7" state="hidden" r:id="rId19"/>
    <sheet name="Current vs Historical" sheetId="43" state="hidden" r:id="rId20"/>
    <sheet name="_Statistics_2" sheetId="65" r:id="rId21"/>
    <sheet name="RANK" sheetId="45" r:id="rId22"/>
    <sheet name="LARGE_&amp;_SMALL" sheetId="11" r:id="rId23"/>
    <sheet name="RANDBETWEEN_&amp;_RAND" sheetId="21" r:id="rId24"/>
    <sheet name="COUNT" sheetId="62" r:id="rId25"/>
    <sheet name="COUNTIF" sheetId="47" r:id="rId26"/>
    <sheet name="COUNTIFS" sheetId="61" r:id="rId27"/>
    <sheet name="SUMIF" sheetId="15" r:id="rId28"/>
    <sheet name="_Supplemental" sheetId="57" r:id="rId29"/>
    <sheet name="Inputs" sheetId="49" state="hidden" r:id="rId30"/>
    <sheet name="Custom_Format" sheetId="18" r:id="rId31"/>
    <sheet name="Custom_Examples" sheetId="64" r:id="rId32"/>
    <sheet name="SUMIF &amp; COUNTIF" sheetId="20" state="hidden" r:id="rId33"/>
  </sheets>
  <definedNames>
    <definedName name="_xlnm._FilterDatabase" localSheetId="12" hidden="1">'Circular Reference'!$J$13:$L$13</definedName>
    <definedName name="_xlnm._FilterDatabase" localSheetId="0" hidden="1">Documentation!$A$8:$I$42</definedName>
    <definedName name="anscount" hidden="1">1</definedName>
    <definedName name="BigNum" comment="Biggest # Excel recognizes">9.99999999999999E+307</definedName>
    <definedName name="Class_Name">"BUSI 520"</definedName>
    <definedName name="DDFileRows1011201092123AM" hidden="1">#REF!</definedName>
    <definedName name="DDFileRows101201073822PM" hidden="1">#REF!</definedName>
    <definedName name="DDFileRows101201075817PM" hidden="1">#REF!</definedName>
    <definedName name="DDFileRows1025201084604PM" hidden="1">#REF!</definedName>
    <definedName name="DDFileRows104201064449AM" hidden="1">#REF!</definedName>
    <definedName name="Disable_Video_Hyperlinks">FALSE</definedName>
    <definedName name="Double">".."</definedName>
    <definedName name="element_designator">Documentation!$D$7</definedName>
    <definedName name="ErrorMsg">"ERR"</definedName>
    <definedName name="Last_Modified">Documentation!$B$4</definedName>
    <definedName name="_xlnm.Print_Area" localSheetId="25">COUNTIF!$A$6:$L$37</definedName>
    <definedName name="_xlnm.Print_Area" localSheetId="26">COUNTIFS!$A$6:$L$38</definedName>
    <definedName name="_xlnm.Print_Area" localSheetId="21">RANK!$A$1:$M$55</definedName>
    <definedName name="segment_designator">"_"</definedName>
    <definedName name="Single">"."</definedName>
    <definedName name="toc">Documentation!$A$8</definedName>
    <definedName name="Triple">"..."</definedName>
    <definedName name="Video_Lengths_Description">"Length of video clips in this segment: "</definedName>
    <definedName name="Video_website">"https://public.kenan-flagler.unc.edu/faculty/dayt/class/video/"</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 i="55" l="1"/>
  <c r="C41" i="55"/>
  <c r="B41" i="55"/>
  <c r="D40" i="55"/>
  <c r="C40" i="55"/>
  <c r="B40" i="55"/>
  <c r="D39" i="55"/>
  <c r="C39" i="55"/>
  <c r="B39" i="55"/>
  <c r="D38" i="55"/>
  <c r="C38" i="55"/>
  <c r="B38" i="55"/>
  <c r="D37" i="55"/>
  <c r="C37" i="55"/>
  <c r="B37" i="55"/>
  <c r="D36" i="55"/>
  <c r="C36" i="55"/>
  <c r="B36" i="55"/>
  <c r="D35" i="55"/>
  <c r="C35" i="55"/>
  <c r="B35" i="55"/>
  <c r="D34" i="55"/>
  <c r="C34" i="55"/>
  <c r="B34" i="55"/>
  <c r="D33" i="55"/>
  <c r="C33" i="55"/>
  <c r="B33" i="55"/>
  <c r="D32" i="55"/>
  <c r="C32" i="55"/>
  <c r="B32" i="55"/>
  <c r="D31" i="55"/>
  <c r="C31" i="55"/>
  <c r="B31" i="55"/>
  <c r="D30" i="55"/>
  <c r="C30" i="55"/>
  <c r="B30" i="55"/>
  <c r="D29" i="55"/>
  <c r="C29" i="55"/>
  <c r="B29" i="55"/>
  <c r="D28" i="55"/>
  <c r="C28" i="55"/>
  <c r="B28" i="55"/>
  <c r="D27" i="55"/>
  <c r="C27" i="55"/>
  <c r="B27" i="55"/>
  <c r="D26" i="55"/>
  <c r="C26" i="55"/>
  <c r="B26" i="55"/>
  <c r="D25" i="55"/>
  <c r="C25" i="55"/>
  <c r="B25" i="55"/>
  <c r="D24" i="55"/>
  <c r="C24" i="55"/>
  <c r="B24" i="55"/>
  <c r="D23" i="55"/>
  <c r="C23" i="55"/>
  <c r="B23" i="55"/>
  <c r="D22" i="55"/>
  <c r="C22" i="55"/>
  <c r="B22" i="55"/>
  <c r="D21" i="55"/>
  <c r="C21" i="55"/>
  <c r="B21" i="55"/>
  <c r="D20" i="55"/>
  <c r="C20" i="55"/>
  <c r="B20" i="55"/>
  <c r="D19" i="55"/>
  <c r="C19" i="55"/>
  <c r="B19" i="55"/>
  <c r="D18" i="55"/>
  <c r="C18" i="55"/>
  <c r="B18" i="55"/>
  <c r="D17" i="55"/>
  <c r="C17" i="55"/>
  <c r="B17" i="55"/>
  <c r="D16" i="55"/>
  <c r="C16" i="55"/>
  <c r="B16" i="55"/>
  <c r="D15" i="55"/>
  <c r="C15" i="55"/>
  <c r="B15" i="55"/>
  <c r="D14" i="55"/>
  <c r="C14" i="55"/>
  <c r="B14" i="55"/>
  <c r="D13" i="55"/>
  <c r="C13" i="55"/>
  <c r="B13" i="55"/>
  <c r="D12" i="55"/>
  <c r="C12" i="55"/>
  <c r="B12" i="55"/>
  <c r="D11" i="55"/>
  <c r="C11" i="55"/>
  <c r="B11" i="55"/>
  <c r="D10" i="55"/>
  <c r="C10" i="55"/>
  <c r="B10" i="55"/>
  <c r="D9" i="55"/>
  <c r="C9" i="55"/>
  <c r="A9" i="55"/>
  <c r="F9" i="55" s="1"/>
  <c r="E8" i="55"/>
  <c r="C6" i="55"/>
  <c r="H10" i="35"/>
  <c r="A4" i="26"/>
  <c r="A4" i="34"/>
  <c r="A4" i="29"/>
  <c r="A4" i="44"/>
  <c r="A4" i="53"/>
  <c r="A4" i="4"/>
  <c r="A4" i="36"/>
  <c r="A4" i="32"/>
  <c r="A4" i="35"/>
  <c r="A4" i="37"/>
  <c r="A4" i="38"/>
  <c r="A4" i="40"/>
  <c r="A4" i="58"/>
  <c r="A4" i="41"/>
  <c r="A4" i="45"/>
  <c r="A4" i="11"/>
  <c r="A4" i="21"/>
  <c r="A4" i="62"/>
  <c r="A4" i="47"/>
  <c r="A4" i="61"/>
  <c r="A4" i="15"/>
  <c r="A4" i="57"/>
  <c r="A4" i="18"/>
  <c r="A4" i="64"/>
  <c r="A4" i="25"/>
  <c r="A32" i="55"/>
  <c r="A24" i="55"/>
  <c r="A22" i="55"/>
  <c r="A26" i="55"/>
  <c r="A39" i="55"/>
  <c r="A16" i="55"/>
  <c r="A14" i="55"/>
  <c r="A13" i="55"/>
  <c r="A31" i="55"/>
  <c r="A18" i="55"/>
  <c r="A23" i="55"/>
  <c r="A28" i="55"/>
  <c r="A19" i="55"/>
  <c r="A20" i="55"/>
  <c r="A35" i="55"/>
  <c r="A27" i="55"/>
  <c r="A11" i="55"/>
  <c r="A33" i="55"/>
  <c r="A12" i="55"/>
  <c r="A21" i="55"/>
  <c r="A38" i="55"/>
  <c r="A25" i="55"/>
  <c r="A34" i="55"/>
  <c r="A30" i="55"/>
  <c r="A17" i="55"/>
  <c r="A37" i="55"/>
  <c r="A36" i="55"/>
  <c r="A29" i="55"/>
  <c r="A15" i="55"/>
  <c r="A41" i="55"/>
  <c r="A10" i="55"/>
  <c r="A40" i="55"/>
  <c r="F21" i="55" l="1"/>
  <c r="F10" i="55"/>
  <c r="F15" i="55"/>
  <c r="F23" i="55"/>
  <c r="F31" i="55"/>
  <c r="F39" i="55"/>
  <c r="F37" i="55"/>
  <c r="F34" i="55"/>
  <c r="F12" i="55"/>
  <c r="F20" i="55"/>
  <c r="F28" i="55"/>
  <c r="F36" i="55"/>
  <c r="F13" i="55"/>
  <c r="F26" i="55"/>
  <c r="F17" i="55"/>
  <c r="F25" i="55"/>
  <c r="F33" i="55"/>
  <c r="F41" i="55"/>
  <c r="F29" i="55"/>
  <c r="F18" i="55"/>
  <c r="F14" i="55"/>
  <c r="F22" i="55"/>
  <c r="F30" i="55"/>
  <c r="F38" i="55"/>
  <c r="F11" i="55"/>
  <c r="F19" i="55"/>
  <c r="F27" i="55"/>
  <c r="F35" i="55"/>
  <c r="F16" i="55"/>
  <c r="F24" i="55"/>
  <c r="F32" i="55"/>
  <c r="F40" i="55"/>
  <c r="B2" i="63"/>
  <c r="A4" i="63" s="1"/>
  <c r="B2" i="65"/>
  <c r="A4" i="65" s="1"/>
  <c r="A3" i="65"/>
  <c r="A3" i="63"/>
  <c r="L9" i="35" l="1"/>
  <c r="H28" i="47" l="1"/>
  <c r="I28" i="47"/>
  <c r="I30" i="47"/>
  <c r="I29" i="47"/>
  <c r="I27" i="47"/>
  <c r="I26" i="47"/>
  <c r="I25" i="47"/>
  <c r="I24" i="47"/>
  <c r="I23" i="47"/>
  <c r="H29" i="47"/>
  <c r="H27" i="47"/>
  <c r="H26" i="47"/>
  <c r="H25" i="47"/>
  <c r="H24" i="47"/>
  <c r="H28" i="61"/>
  <c r="I28" i="61"/>
  <c r="I27" i="61"/>
  <c r="H29" i="35"/>
  <c r="H19" i="35"/>
  <c r="H9" i="35"/>
  <c r="A3" i="26" l="1"/>
  <c r="A3" i="34"/>
  <c r="A3" i="29"/>
  <c r="A3" i="44"/>
  <c r="A3" i="53"/>
  <c r="A3" i="4"/>
  <c r="A3" i="36"/>
  <c r="A3" i="32"/>
  <c r="A3" i="35"/>
  <c r="A3" i="37"/>
  <c r="A3" i="38"/>
  <c r="A3" i="40"/>
  <c r="A3" i="58"/>
  <c r="A3" i="41"/>
  <c r="A3" i="45"/>
  <c r="A3" i="11"/>
  <c r="A3" i="21"/>
  <c r="A3" i="62"/>
  <c r="A3" i="47"/>
  <c r="A3" i="61"/>
  <c r="A3" i="15"/>
  <c r="A3" i="57"/>
  <c r="A3" i="18"/>
  <c r="A3" i="25"/>
  <c r="E44" i="18" l="1"/>
  <c r="Q29" i="15" l="1"/>
  <c r="O37" i="15"/>
  <c r="O29" i="15"/>
  <c r="C9" i="62" l="1"/>
  <c r="D9" i="62"/>
  <c r="E9" i="62"/>
  <c r="C10" i="62"/>
  <c r="D10" i="62" s="1"/>
  <c r="D11" i="62"/>
  <c r="E11" i="62"/>
  <c r="C12" i="62"/>
  <c r="D12" i="62"/>
  <c r="E13" i="62"/>
  <c r="E14" i="62"/>
  <c r="E15" i="62"/>
  <c r="C16" i="62"/>
  <c r="D16" i="62"/>
  <c r="A18" i="62"/>
  <c r="B18" i="62"/>
  <c r="B19" i="62"/>
  <c r="B20" i="62"/>
  <c r="E12" i="62" l="1"/>
  <c r="E16" i="62"/>
  <c r="C18" i="62"/>
  <c r="D18" i="62"/>
  <c r="D19" i="62"/>
  <c r="D20" i="62"/>
  <c r="C23" i="62"/>
  <c r="C19" i="62"/>
  <c r="E19" i="62" s="1"/>
  <c r="C20" i="62"/>
  <c r="E10" i="62"/>
  <c r="C22" i="62"/>
  <c r="E20" i="62" l="1"/>
  <c r="O36" i="15"/>
  <c r="O35" i="15"/>
  <c r="O34" i="15"/>
  <c r="O33" i="15"/>
  <c r="N37" i="15"/>
  <c r="N35" i="15"/>
  <c r="N34" i="15"/>
  <c r="N33" i="15"/>
  <c r="N25" i="15"/>
  <c r="N36" i="15"/>
  <c r="O28" i="15"/>
  <c r="O27" i="15"/>
  <c r="O26" i="15"/>
  <c r="O25" i="15"/>
  <c r="N29" i="15"/>
  <c r="N28" i="15"/>
  <c r="N27" i="15"/>
  <c r="N26" i="15"/>
  <c r="I31" i="61" l="1"/>
  <c r="H31" i="61"/>
  <c r="I30" i="61"/>
  <c r="I29" i="61"/>
  <c r="I26" i="61"/>
  <c r="I25" i="61"/>
  <c r="I24" i="61"/>
  <c r="I23" i="61"/>
  <c r="H24" i="61"/>
  <c r="H25" i="61"/>
  <c r="H26" i="61"/>
  <c r="H27" i="61"/>
  <c r="H29" i="61"/>
  <c r="H30" i="61"/>
  <c r="H30" i="47"/>
  <c r="H23" i="47"/>
  <c r="H23" i="61"/>
  <c r="L11" i="45"/>
  <c r="L10" i="45"/>
  <c r="L12" i="45"/>
  <c r="L13" i="45"/>
  <c r="L14" i="45"/>
  <c r="L15" i="45"/>
  <c r="L16" i="45"/>
  <c r="L17" i="45"/>
  <c r="L18" i="45"/>
  <c r="L19" i="45"/>
  <c r="L20" i="45"/>
  <c r="L21" i="45"/>
  <c r="L22" i="45"/>
  <c r="L23" i="45"/>
  <c r="L24" i="45"/>
  <c r="L25" i="45"/>
  <c r="L26" i="45"/>
  <c r="L27" i="45"/>
  <c r="L28" i="45"/>
  <c r="L29" i="45"/>
  <c r="L30" i="45"/>
  <c r="L31" i="45"/>
  <c r="L32" i="45"/>
  <c r="L33" i="45"/>
  <c r="L34" i="45"/>
  <c r="L35" i="45"/>
  <c r="L36" i="45"/>
  <c r="L37" i="45"/>
  <c r="K37" i="45"/>
  <c r="K36" i="45"/>
  <c r="K35" i="45"/>
  <c r="K34" i="45"/>
  <c r="K33" i="45"/>
  <c r="K32" i="45"/>
  <c r="K31" i="45"/>
  <c r="K30" i="45"/>
  <c r="K29" i="45"/>
  <c r="K28" i="45"/>
  <c r="K27" i="45"/>
  <c r="K26" i="45"/>
  <c r="K25" i="45"/>
  <c r="K24" i="45"/>
  <c r="K23" i="45"/>
  <c r="K22" i="45"/>
  <c r="K21" i="45"/>
  <c r="K20" i="45"/>
  <c r="K19" i="45"/>
  <c r="K18" i="45"/>
  <c r="K17" i="45"/>
  <c r="K16" i="45"/>
  <c r="K15" i="45"/>
  <c r="K14" i="45"/>
  <c r="K13" i="45"/>
  <c r="K12" i="45"/>
  <c r="K11" i="45"/>
  <c r="K10" i="45"/>
  <c r="K9" i="45"/>
  <c r="L9" i="45"/>
  <c r="G43" i="58"/>
  <c r="F43" i="58"/>
  <c r="G42" i="58"/>
  <c r="F42" i="58"/>
  <c r="G41" i="58"/>
  <c r="F41" i="58"/>
  <c r="G40" i="58"/>
  <c r="F40" i="58"/>
  <c r="N14" i="32"/>
  <c r="N13" i="32"/>
  <c r="N12" i="32"/>
  <c r="N11" i="32"/>
  <c r="N10" i="32"/>
  <c r="N16" i="32"/>
  <c r="N18" i="32"/>
  <c r="N20" i="32"/>
  <c r="N22" i="32"/>
  <c r="N26" i="32"/>
  <c r="N24" i="32"/>
  <c r="S21" i="57" l="1"/>
  <c r="T15" i="57"/>
  <c r="S15" i="57"/>
  <c r="S20" i="57"/>
  <c r="O26" i="57"/>
  <c r="Q26" i="57"/>
  <c r="Q15" i="57"/>
  <c r="P15" i="57"/>
  <c r="O15" i="57"/>
  <c r="U10" i="57"/>
  <c r="U11" i="57"/>
  <c r="Q11" i="57"/>
  <c r="P11" i="57"/>
  <c r="O11" i="57"/>
  <c r="S10" i="57"/>
  <c r="R10" i="57"/>
  <c r="P10" i="57"/>
  <c r="Q10" i="57"/>
  <c r="O10" i="57"/>
  <c r="S11" i="57"/>
  <c r="R11" i="57"/>
  <c r="J41" i="57"/>
  <c r="I41" i="57"/>
  <c r="H41" i="57"/>
  <c r="L37" i="57"/>
  <c r="K37" i="57"/>
  <c r="L36" i="57"/>
  <c r="K36" i="57"/>
  <c r="L35" i="57"/>
  <c r="K35" i="57"/>
  <c r="L34" i="57"/>
  <c r="K34" i="57"/>
  <c r="L33" i="57"/>
  <c r="K33" i="57"/>
  <c r="L32" i="57"/>
  <c r="K32" i="57"/>
  <c r="L31" i="57"/>
  <c r="K31" i="57"/>
  <c r="L30" i="57"/>
  <c r="K30" i="57"/>
  <c r="L29" i="57"/>
  <c r="K29" i="57"/>
  <c r="L28" i="57"/>
  <c r="K28" i="57"/>
  <c r="L27" i="57"/>
  <c r="K27" i="57"/>
  <c r="L26" i="57"/>
  <c r="K26" i="57"/>
  <c r="L25" i="57"/>
  <c r="K24" i="57"/>
  <c r="L23" i="57"/>
  <c r="K23" i="57"/>
  <c r="L22" i="57"/>
  <c r="K22" i="57"/>
  <c r="L21" i="57"/>
  <c r="K21" i="57"/>
  <c r="L20" i="57"/>
  <c r="K20" i="57"/>
  <c r="L19" i="57"/>
  <c r="K19" i="57"/>
  <c r="L18" i="57"/>
  <c r="K18" i="57"/>
  <c r="L17" i="57"/>
  <c r="K17" i="57"/>
  <c r="L16" i="57"/>
  <c r="K16" i="57"/>
  <c r="L15" i="57"/>
  <c r="K15" i="57"/>
  <c r="K14" i="57"/>
  <c r="L13" i="57"/>
  <c r="K13" i="57"/>
  <c r="L12" i="57"/>
  <c r="K12" i="57"/>
  <c r="L11" i="57"/>
  <c r="K11" i="57"/>
  <c r="L10" i="57"/>
  <c r="L9" i="57"/>
  <c r="K9" i="57"/>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9" i="21"/>
  <c r="A1" i="55"/>
  <c r="B9" i="55" s="1"/>
  <c r="M25" i="47"/>
  <c r="M27" i="47"/>
  <c r="M26" i="47"/>
  <c r="M18" i="47"/>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0" i="18"/>
  <c r="C4" i="52"/>
  <c r="N21" i="36"/>
  <c r="D113" i="18"/>
  <c r="C113" i="18"/>
  <c r="D112" i="18"/>
  <c r="C112" i="18"/>
  <c r="D111" i="18"/>
  <c r="C111" i="18"/>
  <c r="D110" i="49"/>
  <c r="C110" i="49"/>
  <c r="D109" i="49"/>
  <c r="C109" i="49"/>
  <c r="D108" i="49"/>
  <c r="C108" i="49"/>
  <c r="E6" i="49"/>
  <c r="E110" i="49" s="1"/>
  <c r="E7" i="49"/>
  <c r="E8" i="49"/>
  <c r="E108" i="49" s="1"/>
  <c r="E9" i="49"/>
  <c r="E10" i="49"/>
  <c r="E11" i="49"/>
  <c r="E12" i="49"/>
  <c r="E109" i="49" s="1"/>
  <c r="E13" i="49"/>
  <c r="E14" i="49"/>
  <c r="E15" i="49"/>
  <c r="E16" i="49"/>
  <c r="E17" i="49"/>
  <c r="E18" i="49"/>
  <c r="E19" i="49"/>
  <c r="E20" i="49"/>
  <c r="E21" i="49"/>
  <c r="E22" i="49"/>
  <c r="E23" i="49"/>
  <c r="E24" i="49"/>
  <c r="E25" i="49"/>
  <c r="E26" i="49"/>
  <c r="E27" i="49"/>
  <c r="E28" i="49"/>
  <c r="E29" i="49"/>
  <c r="E30" i="49"/>
  <c r="E31" i="49"/>
  <c r="E32" i="49"/>
  <c r="E33" i="49"/>
  <c r="E34" i="49"/>
  <c r="E35" i="49"/>
  <c r="E36" i="49"/>
  <c r="E37" i="49"/>
  <c r="E38" i="49"/>
  <c r="E39" i="49"/>
  <c r="E40" i="49"/>
  <c r="E41" i="49"/>
  <c r="E42" i="49"/>
  <c r="E43" i="49"/>
  <c r="E44" i="49"/>
  <c r="E45" i="49"/>
  <c r="E46" i="49"/>
  <c r="E47" i="49"/>
  <c r="E48" i="49"/>
  <c r="E49" i="49"/>
  <c r="E50" i="49"/>
  <c r="E51" i="49"/>
  <c r="E52" i="49"/>
  <c r="E53" i="49"/>
  <c r="E54" i="49"/>
  <c r="E55" i="49"/>
  <c r="E56" i="49"/>
  <c r="E57" i="49"/>
  <c r="E58" i="49"/>
  <c r="E59" i="49"/>
  <c r="E60" i="49"/>
  <c r="E61" i="49"/>
  <c r="E62" i="49"/>
  <c r="E63" i="49"/>
  <c r="E64" i="49"/>
  <c r="E65" i="49"/>
  <c r="E66" i="49"/>
  <c r="E67" i="49"/>
  <c r="E68" i="49"/>
  <c r="E69" i="49"/>
  <c r="E70" i="49"/>
  <c r="E71" i="49"/>
  <c r="E72" i="49"/>
  <c r="E73" i="49"/>
  <c r="E74" i="49"/>
  <c r="E75" i="49"/>
  <c r="E76" i="49"/>
  <c r="E77" i="49"/>
  <c r="E78" i="49"/>
  <c r="E79" i="49"/>
  <c r="E80" i="49"/>
  <c r="E81" i="49"/>
  <c r="E82" i="49"/>
  <c r="E83" i="49"/>
  <c r="E84" i="49"/>
  <c r="E85" i="49"/>
  <c r="E86" i="49"/>
  <c r="E87" i="49"/>
  <c r="E88" i="49"/>
  <c r="E89" i="49"/>
  <c r="E90" i="49"/>
  <c r="E91" i="49"/>
  <c r="E92" i="49"/>
  <c r="E93" i="49"/>
  <c r="E94" i="49"/>
  <c r="E95" i="49"/>
  <c r="E96" i="49"/>
  <c r="E97" i="49"/>
  <c r="E98" i="49"/>
  <c r="E99" i="49"/>
  <c r="E100" i="49"/>
  <c r="E101" i="49"/>
  <c r="E102" i="49"/>
  <c r="E103" i="49"/>
  <c r="E104" i="49"/>
  <c r="E105" i="49"/>
  <c r="G41" i="15"/>
  <c r="H41" i="15"/>
  <c r="F41" i="15"/>
  <c r="F43" i="44"/>
  <c r="M21" i="47"/>
  <c r="M19" i="47"/>
  <c r="M20" i="47"/>
  <c r="B9" i="21"/>
  <c r="C9" i="21"/>
  <c r="H9" i="21"/>
  <c r="B10" i="21"/>
  <c r="C10" i="21"/>
  <c r="B11" i="21"/>
  <c r="C11" i="21"/>
  <c r="B13" i="21"/>
  <c r="C13" i="21"/>
  <c r="B24" i="21"/>
  <c r="C24" i="21"/>
  <c r="B34" i="21"/>
  <c r="C34" i="21"/>
  <c r="B35" i="21"/>
  <c r="C35" i="21"/>
  <c r="B39" i="21"/>
  <c r="C39" i="21"/>
  <c r="B41" i="21"/>
  <c r="C41" i="21"/>
  <c r="B45" i="21"/>
  <c r="C45" i="21"/>
  <c r="B48" i="21"/>
  <c r="C48" i="21"/>
  <c r="B49" i="21"/>
  <c r="C49" i="21"/>
  <c r="B58" i="21"/>
  <c r="C58" i="21"/>
  <c r="B65" i="21"/>
  <c r="C65" i="21"/>
  <c r="B74" i="21"/>
  <c r="C74" i="21"/>
  <c r="B75" i="21"/>
  <c r="C75" i="21"/>
  <c r="B77" i="21"/>
  <c r="C77" i="21"/>
  <c r="B81" i="21"/>
  <c r="C81" i="21"/>
  <c r="B83" i="21"/>
  <c r="C83" i="21"/>
  <c r="B87" i="21"/>
  <c r="C87" i="21"/>
  <c r="B89" i="21"/>
  <c r="C89" i="21"/>
  <c r="B95" i="21"/>
  <c r="C95" i="21"/>
  <c r="B96" i="21"/>
  <c r="C96" i="21"/>
  <c r="B97" i="21"/>
  <c r="C97" i="21"/>
  <c r="B99" i="21"/>
  <c r="C99" i="21"/>
  <c r="B103" i="21"/>
  <c r="C103" i="21"/>
  <c r="B105" i="21"/>
  <c r="C105" i="21"/>
  <c r="B15" i="21"/>
  <c r="C15" i="21"/>
  <c r="B17" i="21"/>
  <c r="C17" i="21"/>
  <c r="B18" i="21"/>
  <c r="C18" i="21"/>
  <c r="B21" i="21"/>
  <c r="C21" i="21"/>
  <c r="B23" i="21"/>
  <c r="C23" i="21"/>
  <c r="B26" i="21"/>
  <c r="C26" i="21"/>
  <c r="B31" i="21"/>
  <c r="C31" i="21"/>
  <c r="B32" i="21"/>
  <c r="C32" i="21"/>
  <c r="B42" i="21"/>
  <c r="C42" i="21"/>
  <c r="B43" i="21"/>
  <c r="C43" i="21"/>
  <c r="B50" i="21"/>
  <c r="C50" i="21"/>
  <c r="B51" i="21"/>
  <c r="C51" i="21"/>
  <c r="B55" i="21"/>
  <c r="C55" i="21"/>
  <c r="B56" i="21"/>
  <c r="C56" i="21"/>
  <c r="B62" i="21"/>
  <c r="C62" i="21"/>
  <c r="B64" i="21"/>
  <c r="C64" i="21"/>
  <c r="B66" i="21"/>
  <c r="C66" i="21"/>
  <c r="B67" i="21"/>
  <c r="C67" i="21"/>
  <c r="B73" i="21"/>
  <c r="C73" i="21"/>
  <c r="B79" i="21"/>
  <c r="C79" i="21"/>
  <c r="B80" i="21"/>
  <c r="C80" i="21"/>
  <c r="B85" i="21"/>
  <c r="C85" i="21"/>
  <c r="B90" i="21"/>
  <c r="C90" i="21"/>
  <c r="B91" i="21"/>
  <c r="C91" i="21"/>
  <c r="B101" i="21"/>
  <c r="C101" i="21"/>
  <c r="B102" i="21"/>
  <c r="C102" i="21"/>
  <c r="B14" i="21"/>
  <c r="C14" i="21"/>
  <c r="B19" i="21"/>
  <c r="C19" i="21"/>
  <c r="B25" i="21"/>
  <c r="C25" i="21"/>
  <c r="B27" i="21"/>
  <c r="C27" i="21"/>
  <c r="B33" i="21"/>
  <c r="C33" i="21"/>
  <c r="B36" i="21"/>
  <c r="C36" i="21"/>
  <c r="B57" i="21"/>
  <c r="C57" i="21"/>
  <c r="B61" i="21"/>
  <c r="C61" i="21"/>
  <c r="B68" i="21"/>
  <c r="C68" i="21"/>
  <c r="B70" i="21"/>
  <c r="C70" i="21"/>
  <c r="B71" i="21"/>
  <c r="C71" i="21"/>
  <c r="B76" i="21"/>
  <c r="C76" i="21"/>
  <c r="B88" i="21"/>
  <c r="C88" i="21"/>
  <c r="B92" i="21"/>
  <c r="C92" i="21"/>
  <c r="B93" i="21"/>
  <c r="C93" i="21"/>
  <c r="B98" i="21"/>
  <c r="C98" i="21"/>
  <c r="B104" i="21"/>
  <c r="C104" i="21"/>
  <c r="B106" i="21"/>
  <c r="C106" i="21"/>
  <c r="B107" i="21"/>
  <c r="C107" i="21"/>
  <c r="B108" i="21"/>
  <c r="C108" i="21"/>
  <c r="B12" i="21"/>
  <c r="C12" i="21"/>
  <c r="B16" i="21"/>
  <c r="C16" i="21"/>
  <c r="B20" i="21"/>
  <c r="C20" i="21"/>
  <c r="B28" i="21"/>
  <c r="C28" i="21"/>
  <c r="B29" i="21"/>
  <c r="C29" i="21"/>
  <c r="B52" i="21"/>
  <c r="C52" i="21"/>
  <c r="B60" i="21"/>
  <c r="C60" i="21"/>
  <c r="B63" i="21"/>
  <c r="C63" i="21"/>
  <c r="B69" i="21"/>
  <c r="C69" i="21"/>
  <c r="B72" i="21"/>
  <c r="C72" i="21"/>
  <c r="B82" i="21"/>
  <c r="C82" i="21"/>
  <c r="B84" i="21"/>
  <c r="C84" i="21"/>
  <c r="B86" i="21"/>
  <c r="C86" i="21"/>
  <c r="B94" i="21"/>
  <c r="C94" i="21"/>
  <c r="B40" i="21"/>
  <c r="C40" i="21"/>
  <c r="B46" i="21"/>
  <c r="C46" i="21"/>
  <c r="B53" i="21"/>
  <c r="C53" i="21"/>
  <c r="B54" i="21"/>
  <c r="C54" i="21"/>
  <c r="B59" i="21"/>
  <c r="C59" i="21"/>
  <c r="B22" i="21"/>
  <c r="C22" i="21"/>
  <c r="B38" i="21"/>
  <c r="C38" i="21"/>
  <c r="B47" i="21"/>
  <c r="C47" i="21"/>
  <c r="B78" i="21"/>
  <c r="C78" i="21"/>
  <c r="B30" i="21"/>
  <c r="C30" i="21"/>
  <c r="B37" i="21"/>
  <c r="C37" i="21"/>
  <c r="B100" i="21"/>
  <c r="C100" i="21"/>
  <c r="B44" i="21"/>
  <c r="C44" i="21"/>
  <c r="I9" i="15"/>
  <c r="J9" i="15"/>
  <c r="J10" i="15"/>
  <c r="I11" i="15"/>
  <c r="J11" i="15"/>
  <c r="I12" i="15"/>
  <c r="J12" i="15"/>
  <c r="I13" i="15"/>
  <c r="J13" i="15"/>
  <c r="I14" i="15"/>
  <c r="I15" i="15"/>
  <c r="J15" i="15"/>
  <c r="I16" i="15"/>
  <c r="J16" i="15"/>
  <c r="I17" i="15"/>
  <c r="J17" i="15"/>
  <c r="I18" i="15"/>
  <c r="J18" i="15"/>
  <c r="I19" i="15"/>
  <c r="J19" i="15"/>
  <c r="I20" i="15"/>
  <c r="J20" i="15"/>
  <c r="I21" i="15"/>
  <c r="J21" i="15"/>
  <c r="I22" i="15"/>
  <c r="J22" i="15"/>
  <c r="I23" i="15"/>
  <c r="J23" i="15"/>
  <c r="I24" i="15"/>
  <c r="J25" i="15"/>
  <c r="I26" i="15"/>
  <c r="J26" i="15"/>
  <c r="I27" i="15"/>
  <c r="J27" i="15"/>
  <c r="I28" i="15"/>
  <c r="J28" i="15"/>
  <c r="I29" i="15"/>
  <c r="J29" i="15"/>
  <c r="I30" i="15"/>
  <c r="J30" i="15"/>
  <c r="I31" i="15"/>
  <c r="J31" i="15"/>
  <c r="I32" i="15"/>
  <c r="J32" i="15"/>
  <c r="I33" i="15"/>
  <c r="J33" i="15"/>
  <c r="I34" i="15"/>
  <c r="J34" i="15"/>
  <c r="I35" i="15"/>
  <c r="J35" i="15"/>
  <c r="I36" i="15"/>
  <c r="J36" i="15"/>
  <c r="I37" i="15"/>
  <c r="J37" i="15"/>
  <c r="I9" i="45"/>
  <c r="J9" i="45"/>
  <c r="I10" i="45"/>
  <c r="J10" i="45"/>
  <c r="I11" i="45"/>
  <c r="J11" i="45"/>
  <c r="I12" i="45"/>
  <c r="J12" i="45"/>
  <c r="I13" i="45"/>
  <c r="J13" i="45"/>
  <c r="I14" i="45"/>
  <c r="J14" i="45"/>
  <c r="I15" i="45"/>
  <c r="J15" i="45"/>
  <c r="I16" i="45"/>
  <c r="J16" i="45"/>
  <c r="I17" i="45"/>
  <c r="J17" i="45"/>
  <c r="I18" i="45"/>
  <c r="J18" i="45"/>
  <c r="I19" i="45"/>
  <c r="J19" i="45"/>
  <c r="I20" i="45"/>
  <c r="J20" i="45"/>
  <c r="I21" i="45"/>
  <c r="J21" i="45"/>
  <c r="I22" i="45"/>
  <c r="J22" i="45"/>
  <c r="I23" i="45"/>
  <c r="J23" i="45"/>
  <c r="I24" i="45"/>
  <c r="J24" i="45"/>
  <c r="I25" i="45"/>
  <c r="J25" i="45"/>
  <c r="I26" i="45"/>
  <c r="J26" i="45"/>
  <c r="I27" i="45"/>
  <c r="J27" i="45"/>
  <c r="I28" i="45"/>
  <c r="J28" i="45"/>
  <c r="I29" i="45"/>
  <c r="J29" i="45"/>
  <c r="I30" i="45"/>
  <c r="J30" i="45"/>
  <c r="I31" i="45"/>
  <c r="J31" i="45"/>
  <c r="I32" i="45"/>
  <c r="J32" i="45"/>
  <c r="I33" i="45"/>
  <c r="J33" i="45"/>
  <c r="I34" i="45"/>
  <c r="J34" i="45"/>
  <c r="I35" i="45"/>
  <c r="J35" i="45"/>
  <c r="I36" i="45"/>
  <c r="J36" i="45"/>
  <c r="I37" i="45"/>
  <c r="J37" i="45"/>
  <c r="F40" i="45"/>
  <c r="G40" i="45"/>
  <c r="H40" i="45"/>
  <c r="I3" i="7"/>
  <c r="J3" i="7"/>
  <c r="I4" i="7"/>
  <c r="J4" i="7"/>
  <c r="I5" i="7"/>
  <c r="J5" i="7"/>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F33" i="7"/>
  <c r="B10" i="11" s="1"/>
  <c r="G33" i="7"/>
  <c r="H6" i="43" s="1"/>
  <c r="F34" i="7"/>
  <c r="B9" i="11"/>
  <c r="G34" i="7"/>
  <c r="H7" i="43"/>
  <c r="J7" i="43" s="1"/>
  <c r="F35" i="7"/>
  <c r="C8" i="43"/>
  <c r="D8" i="43" s="1"/>
  <c r="G35" i="7"/>
  <c r="H8" i="43"/>
  <c r="F36" i="7"/>
  <c r="C9" i="43"/>
  <c r="D9" i="43" s="1"/>
  <c r="G36" i="7"/>
  <c r="H9" i="43"/>
  <c r="J9" i="43" s="1"/>
  <c r="F40" i="41"/>
  <c r="G40" i="41"/>
  <c r="F41" i="41"/>
  <c r="G41" i="41"/>
  <c r="F42" i="41"/>
  <c r="G42" i="41"/>
  <c r="F43" i="41"/>
  <c r="G43" i="41"/>
  <c r="F40" i="40"/>
  <c r="G40" i="40"/>
  <c r="F41" i="40"/>
  <c r="G41" i="40"/>
  <c r="F42" i="40"/>
  <c r="G42" i="40"/>
  <c r="F43" i="40"/>
  <c r="G43" i="40"/>
  <c r="F40" i="44"/>
  <c r="G40" i="44"/>
  <c r="F41" i="44"/>
  <c r="G41" i="44"/>
  <c r="F42" i="44"/>
  <c r="G42" i="44"/>
  <c r="G43" i="44"/>
  <c r="H9" i="38"/>
  <c r="H10" i="38"/>
  <c r="H11" i="38"/>
  <c r="H12" i="38"/>
  <c r="H13" i="38"/>
  <c r="H14" i="38"/>
  <c r="H15" i="38"/>
  <c r="H16" i="38"/>
  <c r="H17" i="38"/>
  <c r="H18" i="38"/>
  <c r="H19" i="38"/>
  <c r="H20" i="38"/>
  <c r="H21" i="38"/>
  <c r="H22" i="38"/>
  <c r="H23" i="38"/>
  <c r="H24" i="38"/>
  <c r="H25" i="38"/>
  <c r="H26" i="38"/>
  <c r="H27" i="38"/>
  <c r="H28" i="38"/>
  <c r="H29" i="38"/>
  <c r="H30" i="38"/>
  <c r="H31" i="38"/>
  <c r="H32" i="38"/>
  <c r="H33" i="38"/>
  <c r="H34" i="38"/>
  <c r="H35" i="38"/>
  <c r="H36" i="38"/>
  <c r="H37" i="38"/>
  <c r="H9" i="37"/>
  <c r="H10" i="37"/>
  <c r="H11" i="37"/>
  <c r="H12" i="37"/>
  <c r="H13" i="37"/>
  <c r="H14" i="37"/>
  <c r="H15" i="37"/>
  <c r="H16" i="37"/>
  <c r="H17" i="37"/>
  <c r="H18" i="37"/>
  <c r="H19" i="37"/>
  <c r="H20" i="37"/>
  <c r="H21" i="37"/>
  <c r="H22" i="37"/>
  <c r="H23" i="37"/>
  <c r="H24" i="37"/>
  <c r="H25" i="37"/>
  <c r="H26" i="37"/>
  <c r="H27" i="37"/>
  <c r="H28" i="37"/>
  <c r="H29" i="37"/>
  <c r="H30" i="37"/>
  <c r="H31" i="37"/>
  <c r="H32" i="37"/>
  <c r="H33" i="37"/>
  <c r="H34" i="37"/>
  <c r="H35" i="37"/>
  <c r="H36" i="37"/>
  <c r="H37" i="37"/>
  <c r="H11" i="35"/>
  <c r="H12" i="35"/>
  <c r="H13" i="35"/>
  <c r="H14" i="35"/>
  <c r="H15" i="35"/>
  <c r="H16" i="35"/>
  <c r="H17" i="35"/>
  <c r="H18" i="35"/>
  <c r="H20" i="35"/>
  <c r="H21" i="35"/>
  <c r="H22" i="35"/>
  <c r="H23" i="35"/>
  <c r="H24" i="35"/>
  <c r="H25" i="35"/>
  <c r="H26" i="35"/>
  <c r="H27" i="35"/>
  <c r="H28" i="35"/>
  <c r="H30" i="35"/>
  <c r="H31" i="35"/>
  <c r="H32" i="35"/>
  <c r="H33" i="35"/>
  <c r="H34" i="35"/>
  <c r="H35" i="35"/>
  <c r="H36" i="35"/>
  <c r="H37" i="35"/>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N9" i="32"/>
  <c r="N15" i="32"/>
  <c r="N17" i="32"/>
  <c r="N19" i="32"/>
  <c r="N21" i="32"/>
  <c r="N23" i="32"/>
  <c r="N25" i="32"/>
  <c r="H9" i="36"/>
  <c r="H10" i="36"/>
  <c r="H11" i="36"/>
  <c r="H12" i="36"/>
  <c r="H13" i="36"/>
  <c r="H14" i="36"/>
  <c r="H15" i="36"/>
  <c r="H16" i="36"/>
  <c r="H17" i="36"/>
  <c r="H18" i="36"/>
  <c r="H19" i="36"/>
  <c r="H20" i="36"/>
  <c r="H21" i="36"/>
  <c r="H22" i="36"/>
  <c r="H23" i="36"/>
  <c r="H24" i="36"/>
  <c r="H25" i="36"/>
  <c r="H26" i="36"/>
  <c r="H27" i="36"/>
  <c r="H28" i="36"/>
  <c r="H29" i="36"/>
  <c r="H30" i="36"/>
  <c r="H31" i="36"/>
  <c r="H32" i="36"/>
  <c r="H33" i="36"/>
  <c r="H34" i="36"/>
  <c r="H35" i="36"/>
  <c r="H36" i="36"/>
  <c r="H37" i="36"/>
  <c r="J21" i="36"/>
  <c r="J22" i="36"/>
  <c r="N22" i="36"/>
  <c r="J23" i="36"/>
  <c r="N23" i="36"/>
  <c r="J24" i="36"/>
  <c r="N24" i="36"/>
  <c r="N25" i="36"/>
  <c r="E12" i="11"/>
  <c r="C13" i="11"/>
  <c r="D9" i="11"/>
  <c r="D10" i="11"/>
  <c r="B11" i="11"/>
  <c r="B12" i="11"/>
  <c r="B13" i="11"/>
  <c r="D13" i="11"/>
  <c r="C7" i="43"/>
  <c r="E7" i="43" s="1"/>
  <c r="I8" i="43"/>
  <c r="J8" i="43"/>
  <c r="I7" i="43"/>
  <c r="D7" i="43"/>
  <c r="E111" i="18" l="1"/>
  <c r="E112" i="18"/>
  <c r="J6" i="43"/>
  <c r="I6" i="43"/>
  <c r="E9" i="43"/>
  <c r="D12" i="11"/>
  <c r="E13" i="11"/>
  <c r="C6" i="43"/>
  <c r="C9" i="11"/>
  <c r="E11" i="11"/>
  <c r="E113" i="18"/>
  <c r="D11" i="11"/>
  <c r="E9" i="11"/>
  <c r="E8" i="43"/>
  <c r="C12" i="11"/>
  <c r="E10" i="11"/>
  <c r="C11" i="11"/>
  <c r="C10" i="11"/>
  <c r="D76" i="21"/>
  <c r="D92" i="21"/>
  <c r="D46" i="21"/>
  <c r="D61" i="21"/>
  <c r="D56" i="21"/>
  <c r="D89" i="21"/>
  <c r="D17" i="21"/>
  <c r="D58" i="21"/>
  <c r="D108" i="21"/>
  <c r="D41" i="21"/>
  <c r="D25" i="21"/>
  <c r="D22" i="21"/>
  <c r="D28" i="21"/>
  <c r="D85" i="21"/>
  <c r="D43" i="21"/>
  <c r="D99" i="21"/>
  <c r="D77" i="21"/>
  <c r="D24" i="21"/>
  <c r="D53" i="21"/>
  <c r="D68" i="21"/>
  <c r="D30" i="21"/>
  <c r="D84" i="21"/>
  <c r="D63" i="21"/>
  <c r="D98" i="21"/>
  <c r="D27" i="21"/>
  <c r="D102" i="21"/>
  <c r="D67" i="21"/>
  <c r="D26" i="21"/>
  <c r="D38" i="21"/>
  <c r="D104" i="21"/>
  <c r="D90" i="21"/>
  <c r="D62" i="21"/>
  <c r="D50" i="21"/>
  <c r="D31" i="21"/>
  <c r="D18" i="21"/>
  <c r="D45" i="21"/>
  <c r="D34" i="21"/>
  <c r="D78" i="21"/>
  <c r="D97" i="21"/>
  <c r="D9" i="21"/>
  <c r="D44" i="21"/>
  <c r="D59" i="21"/>
  <c r="D40" i="21"/>
  <c r="D20" i="21"/>
  <c r="D107" i="21"/>
  <c r="D93" i="21"/>
  <c r="D71" i="21"/>
  <c r="D57" i="21"/>
  <c r="D101" i="21"/>
  <c r="D80" i="21"/>
  <c r="D66" i="21"/>
  <c r="D55" i="21"/>
  <c r="D42" i="21"/>
  <c r="D23" i="21"/>
  <c r="D15" i="21"/>
  <c r="D87" i="21"/>
  <c r="D75" i="21"/>
  <c r="D49" i="21"/>
  <c r="D39" i="21"/>
  <c r="D13" i="21"/>
  <c r="D100" i="21"/>
  <c r="D54" i="21"/>
  <c r="D52" i="21"/>
  <c r="D106" i="21"/>
  <c r="D70" i="21"/>
  <c r="D91" i="21"/>
  <c r="D64" i="21"/>
  <c r="D51" i="21"/>
  <c r="D21" i="21"/>
  <c r="D96" i="21"/>
  <c r="D74" i="21"/>
  <c r="D11" i="21"/>
  <c r="D37" i="21"/>
  <c r="D86" i="21"/>
  <c r="D69" i="21"/>
  <c r="D29" i="21"/>
  <c r="D12" i="21"/>
  <c r="D88" i="21"/>
  <c r="D33" i="21"/>
  <c r="D14" i="21"/>
  <c r="D73" i="21"/>
  <c r="D103" i="21"/>
  <c r="D95" i="21"/>
  <c r="D81" i="21"/>
  <c r="D65" i="21"/>
  <c r="D10" i="21"/>
  <c r="D47" i="21"/>
  <c r="D72" i="21"/>
  <c r="D16" i="21"/>
  <c r="D36" i="21"/>
  <c r="D19" i="21"/>
  <c r="D79" i="21"/>
  <c r="D32" i="21"/>
  <c r="D48" i="21"/>
  <c r="D94" i="21"/>
  <c r="D105" i="21"/>
  <c r="D83" i="21"/>
  <c r="D35" i="21"/>
  <c r="D82" i="21"/>
  <c r="D60" i="21"/>
  <c r="E6" i="43" l="1"/>
  <c r="D6" i="43"/>
  <c r="H14" i="21"/>
  <c r="H13" i="21"/>
  <c r="H12" i="21"/>
  <c r="H15"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D38" authorId="0" shapeId="0" xr:uid="{00000000-0006-0000-0E00-000001000000}">
      <text>
        <r>
          <rPr>
            <sz val="8"/>
            <color indexed="81"/>
            <rFont val="Tahoma"/>
            <family val="2"/>
          </rPr>
          <t>"</t>
        </r>
        <r>
          <rPr>
            <b/>
            <sz val="8"/>
            <color indexed="81"/>
            <rFont val="Tahoma"/>
            <family val="2"/>
          </rPr>
          <t>Dummy row</t>
        </r>
        <r>
          <rPr>
            <sz val="8"/>
            <color indexed="81"/>
            <rFont val="Tahoma"/>
            <family val="2"/>
          </rPr>
          <t>" is shaded a different color.  When adding new values to the bottom of the list, insert news rows above the shaded range.</t>
        </r>
      </text>
    </comment>
    <comment ref="F40" authorId="0" shapeId="0" xr:uid="{00000000-0006-0000-0E00-000002000000}">
      <text>
        <r>
          <rPr>
            <sz val="8"/>
            <color indexed="81"/>
            <rFont val="Tahoma"/>
            <family val="2"/>
          </rPr>
          <t>The ranges used for these functions include the extra "Dummy row."  This makes the functions flexible, enabling them to automatically accommodate additions to the list without having to edit &amp; copy existing formulas.</t>
        </r>
      </text>
    </comment>
    <comment ref="G40" authorId="0" shapeId="0" xr:uid="{00000000-0006-0000-0E00-000003000000}">
      <text>
        <r>
          <rPr>
            <b/>
            <sz val="8"/>
            <color indexed="81"/>
            <rFont val="Tahoma"/>
            <family val="2"/>
          </rPr>
          <t>Arithmetic Mean =</t>
        </r>
        <r>
          <rPr>
            <sz val="8"/>
            <color indexed="81"/>
            <rFont val="Tahoma"/>
            <family val="2"/>
          </rPr>
          <t>AVERAGE(number1,number2,...)
Returns the average (arithmetic mean) of the arguments.</t>
        </r>
      </text>
    </comment>
    <comment ref="G41" authorId="0" shapeId="0" xr:uid="{00000000-0006-0000-0E00-000004000000}">
      <text>
        <r>
          <rPr>
            <b/>
            <sz val="8"/>
            <color indexed="81"/>
            <rFont val="Tahoma"/>
            <family val="2"/>
          </rPr>
          <t xml:space="preserve">Median  </t>
        </r>
        <r>
          <rPr>
            <sz val="8"/>
            <color indexed="81"/>
            <rFont val="Tahoma"/>
            <family val="2"/>
          </rPr>
          <t>=MEDIAN(number1,number2,...)
Returns the median of the given numbers, which is the the number in the middle of a set of numbers; that is, half the numbers have values that are great than the median, and half have values that are less than the median.
If there are an even number of values, the median equals the average of the two middle values.</t>
        </r>
      </text>
    </comment>
    <comment ref="G42" authorId="0" shapeId="0" xr:uid="{00000000-0006-0000-0E00-000005000000}">
      <text>
        <r>
          <rPr>
            <b/>
            <sz val="8"/>
            <color indexed="81"/>
            <rFont val="Tahoma"/>
            <family val="2"/>
          </rPr>
          <t xml:space="preserve">Mode </t>
        </r>
        <r>
          <rPr>
            <sz val="8"/>
            <color indexed="81"/>
            <rFont val="Tahoma"/>
            <family val="2"/>
          </rPr>
          <t xml:space="preserve"> =MODE(number1,number2,...)</t>
        </r>
        <r>
          <rPr>
            <b/>
            <sz val="8"/>
            <color indexed="81"/>
            <rFont val="Tahoma"/>
            <family val="2"/>
          </rPr>
          <t xml:space="preserve">
</t>
        </r>
        <r>
          <rPr>
            <sz val="8"/>
            <color indexed="81"/>
            <rFont val="Tahoma"/>
            <family val="2"/>
          </rPr>
          <t>Returns the most frequently occurning value in a range of data.</t>
        </r>
      </text>
    </comment>
    <comment ref="G43" authorId="0" shapeId="0" xr:uid="{00000000-0006-0000-0E00-000006000000}">
      <text>
        <r>
          <rPr>
            <b/>
            <sz val="8"/>
            <color indexed="81"/>
            <rFont val="Tahoma"/>
            <family val="2"/>
          </rPr>
          <t xml:space="preserve">Standard Deviation  </t>
        </r>
        <r>
          <rPr>
            <sz val="8"/>
            <color indexed="81"/>
            <rFont val="Tahoma"/>
            <family val="2"/>
          </rPr>
          <t>=STDEV(number1,number2,...)
Estimates standard deviation, which a is a measure of how widely values are dispersed from the average (mean) value, based on a sample.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6" authorId="0" shapeId="0" xr:uid="{254DA35F-6E0D-4DC9-8A6B-00D3A5729D95}">
      <text>
        <r>
          <rPr>
            <b/>
            <sz val="9"/>
            <color indexed="81"/>
            <rFont val="Tahoma"/>
            <family val="2"/>
          </rPr>
          <t>Travis Day:</t>
        </r>
        <r>
          <rPr>
            <sz val="9"/>
            <color indexed="81"/>
            <rFont val="Tahoma"/>
            <family val="2"/>
          </rPr>
          <t xml:space="preserve">
Refers to a cell on a hidden worksheet.</t>
        </r>
      </text>
    </comment>
    <comment ref="D6" authorId="0" shapeId="0" xr:uid="{00000000-0006-0000-1200-000001000000}">
      <text>
        <r>
          <rPr>
            <b/>
            <sz val="8"/>
            <color indexed="81"/>
            <rFont val="Tahoma"/>
            <family val="2"/>
          </rPr>
          <t>Difference</t>
        </r>
        <r>
          <rPr>
            <sz val="8"/>
            <color indexed="81"/>
            <rFont val="Tahoma"/>
            <family val="2"/>
          </rPr>
          <t xml:space="preserve"> = (New_Value - Old_Value)
A positive result indicates that the value has increased; a negative result indicates that the value has decreased.</t>
        </r>
      </text>
    </comment>
    <comment ref="E6" authorId="0" shapeId="0" xr:uid="{00000000-0006-0000-1200-000002000000}">
      <text>
        <r>
          <rPr>
            <b/>
            <sz val="8"/>
            <color indexed="81"/>
            <rFont val="Tahoma"/>
            <family val="2"/>
          </rPr>
          <t>Percent Difference</t>
        </r>
        <r>
          <rPr>
            <sz val="8"/>
            <color indexed="81"/>
            <rFont val="Tahoma"/>
            <family val="2"/>
          </rPr>
          <t xml:space="preserve"> = (New_Value - Old_Value) / Old_Value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I9" authorId="0" shapeId="0" xr:uid="{00000000-0006-0000-1300-000001000000}">
      <text>
        <r>
          <rPr>
            <sz val="8"/>
            <color indexed="81"/>
            <rFont val="Tahoma"/>
            <family val="2"/>
          </rPr>
          <t>=RANK(number, ref,</t>
        </r>
        <r>
          <rPr>
            <b/>
            <sz val="8"/>
            <color indexed="81"/>
            <rFont val="Tahoma"/>
            <family val="2"/>
          </rPr>
          <t>1</t>
        </r>
        <r>
          <rPr>
            <sz val="8"/>
            <color indexed="81"/>
            <rFont val="Tahoma"/>
            <family val="2"/>
          </rPr>
          <t xml:space="preserve">) with an </t>
        </r>
        <r>
          <rPr>
            <b/>
            <sz val="8"/>
            <color indexed="81"/>
            <rFont val="Tahoma"/>
            <family val="2"/>
          </rPr>
          <t>order of 1</t>
        </r>
        <r>
          <rPr>
            <sz val="8"/>
            <color indexed="81"/>
            <rFont val="Tahoma"/>
            <family val="2"/>
          </rPr>
          <t xml:space="preserve">, </t>
        </r>
        <r>
          <rPr>
            <sz val="8"/>
            <color indexed="81"/>
            <rFont val="Tahoma"/>
            <family val="2"/>
          </rPr>
          <t>ranks values in ascending order (smallest value receives a ranking of 1)</t>
        </r>
      </text>
    </comment>
    <comment ref="J9" authorId="0" shapeId="0" xr:uid="{00000000-0006-0000-1300-000002000000}">
      <text>
        <r>
          <rPr>
            <sz val="8"/>
            <color indexed="81"/>
            <rFont val="Tahoma"/>
            <family val="2"/>
          </rPr>
          <t xml:space="preserve">=RANK(number, ref, </t>
        </r>
        <r>
          <rPr>
            <b/>
            <sz val="8"/>
            <color indexed="81"/>
            <rFont val="Tahoma"/>
            <family val="2"/>
          </rPr>
          <t>0</t>
        </r>
        <r>
          <rPr>
            <sz val="8"/>
            <color indexed="81"/>
            <rFont val="Tahoma"/>
            <family val="2"/>
          </rPr>
          <t xml:space="preserve">) with an </t>
        </r>
        <r>
          <rPr>
            <b/>
            <sz val="8"/>
            <color indexed="81"/>
            <rFont val="Tahoma"/>
            <family val="2"/>
          </rPr>
          <t>order of 0</t>
        </r>
        <r>
          <rPr>
            <sz val="8"/>
            <color indexed="81"/>
            <rFont val="Tahoma"/>
            <family val="2"/>
          </rPr>
          <t xml:space="preserve"> (</t>
        </r>
        <r>
          <rPr>
            <b/>
            <sz val="8"/>
            <color indexed="81"/>
            <rFont val="Tahoma"/>
            <family val="2"/>
          </rPr>
          <t>or blank</t>
        </r>
        <r>
          <rPr>
            <sz val="8"/>
            <color indexed="81"/>
            <rFont val="Tahoma"/>
            <family val="2"/>
          </rPr>
          <t xml:space="preserve">), ranks values in descending order (largest value receives a ranking of 1)
Because descending order is the default order type, the </t>
        </r>
        <r>
          <rPr>
            <i/>
            <sz val="8"/>
            <color indexed="81"/>
            <rFont val="Tahoma"/>
            <family val="2"/>
          </rPr>
          <t>order</t>
        </r>
        <r>
          <rPr>
            <sz val="8"/>
            <color indexed="81"/>
            <rFont val="Tahoma"/>
            <family val="2"/>
          </rPr>
          <t xml:space="preserve"> argument can be omitted and the frmula can be written as =RANK(number, ref)</t>
        </r>
      </text>
    </comment>
    <comment ref="K9" authorId="0" shapeId="0" xr:uid="{58AA4BD6-7BFE-4F6D-A800-60D38D744EB8}">
      <text>
        <r>
          <rPr>
            <sz val="8"/>
            <color indexed="81"/>
            <rFont val="Tahoma"/>
            <family val="2"/>
          </rPr>
          <t xml:space="preserve">=RANK(number, ref, </t>
        </r>
        <r>
          <rPr>
            <b/>
            <sz val="8"/>
            <color indexed="81"/>
            <rFont val="Tahoma"/>
            <family val="2"/>
          </rPr>
          <t>0</t>
        </r>
        <r>
          <rPr>
            <sz val="8"/>
            <color indexed="81"/>
            <rFont val="Tahoma"/>
            <family val="2"/>
          </rPr>
          <t xml:space="preserve">) with an </t>
        </r>
        <r>
          <rPr>
            <b/>
            <sz val="8"/>
            <color indexed="81"/>
            <rFont val="Tahoma"/>
            <family val="2"/>
          </rPr>
          <t>order of 0</t>
        </r>
        <r>
          <rPr>
            <sz val="8"/>
            <color indexed="81"/>
            <rFont val="Tahoma"/>
            <family val="2"/>
          </rPr>
          <t xml:space="preserve"> (</t>
        </r>
        <r>
          <rPr>
            <b/>
            <sz val="8"/>
            <color indexed="81"/>
            <rFont val="Tahoma"/>
            <family val="2"/>
          </rPr>
          <t>or blank</t>
        </r>
        <r>
          <rPr>
            <sz val="8"/>
            <color indexed="81"/>
            <rFont val="Tahoma"/>
            <family val="2"/>
          </rPr>
          <t xml:space="preserve">), ranks values in descending order (largest value receives a ranking of 1)
Because descending order is the default order type, the </t>
        </r>
        <r>
          <rPr>
            <i/>
            <sz val="8"/>
            <color indexed="81"/>
            <rFont val="Tahoma"/>
            <family val="2"/>
          </rPr>
          <t>order</t>
        </r>
        <r>
          <rPr>
            <sz val="8"/>
            <color indexed="81"/>
            <rFont val="Tahoma"/>
            <family val="2"/>
          </rPr>
          <t xml:space="preserve"> argument can be omitted and the frmula can be written as =RANK(number, ref)</t>
        </r>
      </text>
    </comment>
    <comment ref="L9" authorId="0" shapeId="0" xr:uid="{913449D4-4DC8-43A2-B3FF-0C20FB0C9695}">
      <text>
        <r>
          <rPr>
            <sz val="8"/>
            <color indexed="81"/>
            <rFont val="Tahoma"/>
            <family val="2"/>
          </rPr>
          <t xml:space="preserve">=RANK(number, ref, </t>
        </r>
        <r>
          <rPr>
            <b/>
            <sz val="8"/>
            <color indexed="81"/>
            <rFont val="Tahoma"/>
            <family val="2"/>
          </rPr>
          <t>0</t>
        </r>
        <r>
          <rPr>
            <sz val="8"/>
            <color indexed="81"/>
            <rFont val="Tahoma"/>
            <family val="2"/>
          </rPr>
          <t xml:space="preserve">) with an </t>
        </r>
        <r>
          <rPr>
            <b/>
            <sz val="8"/>
            <color indexed="81"/>
            <rFont val="Tahoma"/>
            <family val="2"/>
          </rPr>
          <t>order of 0</t>
        </r>
        <r>
          <rPr>
            <sz val="8"/>
            <color indexed="81"/>
            <rFont val="Tahoma"/>
            <family val="2"/>
          </rPr>
          <t xml:space="preserve"> (</t>
        </r>
        <r>
          <rPr>
            <b/>
            <sz val="8"/>
            <color indexed="81"/>
            <rFont val="Tahoma"/>
            <family val="2"/>
          </rPr>
          <t>or blank</t>
        </r>
        <r>
          <rPr>
            <sz val="8"/>
            <color indexed="81"/>
            <rFont val="Tahoma"/>
            <family val="2"/>
          </rPr>
          <t xml:space="preserve">), ranks values in descending order (largest value receives a ranking of 1)
Because descending order is the default order type, the </t>
        </r>
        <r>
          <rPr>
            <i/>
            <sz val="8"/>
            <color indexed="81"/>
            <rFont val="Tahoma"/>
            <family val="2"/>
          </rPr>
          <t>order</t>
        </r>
        <r>
          <rPr>
            <sz val="8"/>
            <color indexed="81"/>
            <rFont val="Tahoma"/>
            <family val="2"/>
          </rPr>
          <t xml:space="preserve"> argument can be omitted and the frmula can be written as =RANK(number, ref)</t>
        </r>
      </text>
    </comment>
    <comment ref="I19" authorId="0" shapeId="0" xr:uid="{00000000-0006-0000-1300-000003000000}">
      <text>
        <r>
          <rPr>
            <sz val="8"/>
            <color indexed="81"/>
            <rFont val="Tahoma"/>
            <family val="2"/>
          </rPr>
          <t>Skis with the same Friction Coefficient value share the same ranking.</t>
        </r>
      </text>
    </comment>
    <comment ref="I30" authorId="0" shapeId="0" xr:uid="{00000000-0006-0000-1300-000004000000}">
      <text>
        <r>
          <rPr>
            <sz val="8"/>
            <color indexed="81"/>
            <rFont val="Tahoma"/>
            <family val="2"/>
          </rPr>
          <t>Skis with the same Friction Coefficient value share the same ranking.</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B9" authorId="0" shapeId="0" xr:uid="{00000000-0006-0000-1400-000001000000}">
      <text>
        <r>
          <rPr>
            <b/>
            <sz val="8"/>
            <color indexed="81"/>
            <rFont val="Tahoma"/>
            <family val="2"/>
          </rPr>
          <t>Mixed References</t>
        </r>
        <r>
          <rPr>
            <sz val="8"/>
            <color indexed="81"/>
            <rFont val="Tahoma"/>
            <family val="2"/>
          </rPr>
          <t xml:space="preserve"> allow formulas to be copied down the columns and across the row(s).</t>
        </r>
      </text>
    </comment>
    <comment ref="D9" authorId="0" shapeId="0" xr:uid="{00000000-0006-0000-1400-000002000000}">
      <text>
        <r>
          <rPr>
            <b/>
            <sz val="8"/>
            <color indexed="81"/>
            <rFont val="Tahoma"/>
            <family val="2"/>
          </rPr>
          <t>Mixed References</t>
        </r>
        <r>
          <rPr>
            <sz val="8"/>
            <color indexed="81"/>
            <rFont val="Tahoma"/>
            <family val="2"/>
          </rPr>
          <t xml:space="preserve"> allow formulas to be copied down the columns and across the row(s).</t>
        </r>
      </text>
    </comment>
    <comment ref="B13" authorId="0" shapeId="0" xr:uid="{00000000-0006-0000-1400-000003000000}">
      <text>
        <r>
          <rPr>
            <b/>
            <sz val="8"/>
            <color indexed="81"/>
            <rFont val="Tahoma"/>
            <family val="2"/>
          </rPr>
          <t>LARGE</t>
        </r>
        <r>
          <rPr>
            <sz val="8"/>
            <color indexed="81"/>
            <rFont val="Tahoma"/>
            <family val="2"/>
          </rPr>
          <t xml:space="preserve"> function--determines the nth largest value in a range
LARGE (array,k)
</t>
        </r>
        <r>
          <rPr>
            <b/>
            <sz val="8"/>
            <color indexed="81"/>
            <rFont val="Tahoma"/>
            <family val="2"/>
          </rPr>
          <t>array</t>
        </r>
        <r>
          <rPr>
            <sz val="8"/>
            <color indexed="81"/>
            <rFont val="Tahoma"/>
            <family val="2"/>
          </rPr>
          <t xml:space="preserve">--The range of cells to evaluate, either a one-dimensional range of a row or column or a two-dimensional range for a block of cells
</t>
        </r>
        <r>
          <rPr>
            <b/>
            <sz val="8"/>
            <color indexed="81"/>
            <rFont val="Tahoma"/>
            <family val="2"/>
          </rPr>
          <t>k</t>
        </r>
        <r>
          <rPr>
            <sz val="8"/>
            <color indexed="81"/>
            <rFont val="Tahoma"/>
            <family val="2"/>
          </rPr>
          <t xml:space="preserve">--The desired ranking, where 1 is the </t>
        </r>
        <r>
          <rPr>
            <b/>
            <i/>
            <sz val="8"/>
            <color indexed="81"/>
            <rFont val="Tahoma"/>
            <family val="2"/>
          </rPr>
          <t>largest</t>
        </r>
        <r>
          <rPr>
            <sz val="8"/>
            <color indexed="81"/>
            <rFont val="Tahoma"/>
            <family val="2"/>
          </rPr>
          <t xml:space="preserve"> value; this argument can be a constant or a cell reference to a cell containing a positive value</t>
        </r>
      </text>
    </comment>
    <comment ref="D13" authorId="0" shapeId="0" xr:uid="{00000000-0006-0000-1400-000004000000}">
      <text>
        <r>
          <rPr>
            <b/>
            <sz val="8"/>
            <color indexed="81"/>
            <rFont val="Tahoma"/>
            <family val="2"/>
          </rPr>
          <t>SMALL</t>
        </r>
        <r>
          <rPr>
            <sz val="8"/>
            <color indexed="81"/>
            <rFont val="Tahoma"/>
            <family val="2"/>
          </rPr>
          <t xml:space="preserve"> function--determines the nth smallest value in a range
LARGE (array,k)
</t>
        </r>
        <r>
          <rPr>
            <b/>
            <sz val="8"/>
            <color indexed="81"/>
            <rFont val="Tahoma"/>
            <family val="2"/>
          </rPr>
          <t>array</t>
        </r>
        <r>
          <rPr>
            <sz val="8"/>
            <color indexed="81"/>
            <rFont val="Tahoma"/>
            <family val="2"/>
          </rPr>
          <t xml:space="preserve">--The range of cells to evaluate, either a one-dimensional range of a row or column or a two-dimensional range for a block of cells
</t>
        </r>
        <r>
          <rPr>
            <b/>
            <sz val="8"/>
            <color indexed="81"/>
            <rFont val="Tahoma"/>
            <family val="2"/>
          </rPr>
          <t>k</t>
        </r>
        <r>
          <rPr>
            <sz val="8"/>
            <color indexed="81"/>
            <rFont val="Tahoma"/>
            <family val="2"/>
          </rPr>
          <t xml:space="preserve">--The desired ranking, where 1 is the </t>
        </r>
        <r>
          <rPr>
            <b/>
            <i/>
            <sz val="8"/>
            <color indexed="81"/>
            <rFont val="Tahoma"/>
            <family val="2"/>
          </rPr>
          <t>smallest</t>
        </r>
        <r>
          <rPr>
            <sz val="8"/>
            <color indexed="81"/>
            <rFont val="Tahoma"/>
            <family val="2"/>
          </rPr>
          <t xml:space="preserve"> value; this argument can be a constant or a cell reference to a cell containing a positive value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A108" authorId="0" shapeId="0" xr:uid="{00000000-0006-0000-1C00-000001000000}">
      <text>
        <r>
          <rPr>
            <b/>
            <sz val="8"/>
            <color indexed="81"/>
            <rFont val="Tahoma"/>
            <family val="2"/>
          </rPr>
          <t xml:space="preserve">RANDBETWEEN(bottom, top) </t>
        </r>
        <r>
          <rPr>
            <sz val="8"/>
            <color indexed="81"/>
            <rFont val="Tahoma"/>
            <family val="2"/>
          </rPr>
          <t xml:space="preserve">randomly returns an </t>
        </r>
        <r>
          <rPr>
            <b/>
            <i/>
            <sz val="8"/>
            <color indexed="81"/>
            <rFont val="Tahoma"/>
            <family val="2"/>
          </rPr>
          <t>integer</t>
        </r>
        <r>
          <rPr>
            <sz val="8"/>
            <color indexed="81"/>
            <rFont val="Tahoma"/>
            <family val="2"/>
          </rPr>
          <t xml:space="preserve"> between the top and bottom values, including the values listed.  
(Note that the RANDBETWEEN function is not included in the default installation of Excel. If it is not enabled, and you attempt to enter a RANDBETWEEN function, you'll receive a #NAME? error message.  You can install it by using the Add-in Analysis ToolPak.)</t>
        </r>
      </text>
    </comment>
    <comment ref="C108" authorId="0" shapeId="0" xr:uid="{00000000-0006-0000-1C00-000002000000}">
      <text>
        <r>
          <rPr>
            <b/>
            <sz val="8"/>
            <color indexed="81"/>
            <rFont val="Tahoma"/>
            <family val="2"/>
          </rPr>
          <t>RAND()</t>
        </r>
        <r>
          <rPr>
            <sz val="8"/>
            <color indexed="81"/>
            <rFont val="Tahoma"/>
            <family val="2"/>
          </rPr>
          <t xml:space="preserve"> returns a random value between 0 and 1. It has no arguments, but the parentheses are required when using the function.
Formula to return a </t>
        </r>
        <r>
          <rPr>
            <i/>
            <sz val="8"/>
            <color indexed="81"/>
            <rFont val="Tahoma"/>
            <family val="2"/>
          </rPr>
          <t>non-integer</t>
        </r>
        <r>
          <rPr>
            <sz val="8"/>
            <color indexed="81"/>
            <rFont val="Tahoma"/>
            <family val="2"/>
          </rPr>
          <t xml:space="preserve"> between 2 values: =Min_value + RAND() * (Max_value - Min_value)</t>
        </r>
      </text>
    </comment>
    <comment ref="D108" authorId="0" shapeId="0" xr:uid="{00000000-0006-0000-1C00-000003000000}">
      <text>
        <r>
          <rPr>
            <b/>
            <sz val="8"/>
            <color indexed="81"/>
            <rFont val="Tahoma"/>
            <family val="2"/>
          </rPr>
          <t>ROUND(cost,2)</t>
        </r>
        <r>
          <rPr>
            <sz val="8"/>
            <color indexed="81"/>
            <rFont val="Tahoma"/>
            <family val="2"/>
          </rPr>
          <t xml:space="preserve">
It is best to round dollar values after all of the random values have been calculated and combined to minimize the effiect of rounding errors.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H22" authorId="0" shapeId="0" xr:uid="{00000000-0006-0000-1500-000001000000}">
      <text>
        <r>
          <rPr>
            <sz val="8"/>
            <color indexed="81"/>
            <rFont val="Tahoma"/>
            <family val="2"/>
          </rPr>
          <t>Using cell references for COUNTIF's Criteria is more flexible (good!)</t>
        </r>
      </text>
    </comment>
    <comment ref="I22" authorId="0" shapeId="0" xr:uid="{00000000-0006-0000-1500-000002000000}">
      <text>
        <r>
          <rPr>
            <sz val="8"/>
            <color indexed="81"/>
            <rFont val="Tahoma"/>
            <family val="2"/>
          </rPr>
          <t>"Hard-coding" (typing in) criteria wthin the formula is inflexible (bad!)</t>
        </r>
      </text>
    </comment>
    <comment ref="I23" authorId="0" shapeId="0" xr:uid="{00000000-0006-0000-1500-000003000000}">
      <text>
        <r>
          <rPr>
            <sz val="8"/>
            <color indexed="81"/>
            <rFont val="Tahoma"/>
            <family val="2"/>
          </rPr>
          <t>Criteria with a specified text value - This formula does not count cells with combinations of letters containing A, such as “AA,” though it does count cells containing “a” because it is not case sensitive. Text strings must be enclosed in quotation marks.</t>
        </r>
      </text>
    </comment>
    <comment ref="I24" authorId="0" shapeId="0" xr:uid="{00000000-0006-0000-1500-000004000000}">
      <text>
        <r>
          <rPr>
            <sz val="8"/>
            <color indexed="81"/>
            <rFont val="Tahoma"/>
            <family val="2"/>
          </rPr>
          <t>Criteria with a specified numeric value - Numeric values do not have to be enclosed in quotation marks.</t>
        </r>
      </text>
    </comment>
    <comment ref="I25" authorId="0" shapeId="0" xr:uid="{00000000-0006-0000-1500-000005000000}">
      <text>
        <r>
          <rPr>
            <sz val="8"/>
            <color indexed="81"/>
            <rFont val="Tahoma"/>
            <family val="2"/>
          </rPr>
          <t>Criteria with a specified Boolean value - Boolean values should not be enclosed in quotation marks, or they are interpreted as text strings.</t>
        </r>
      </text>
    </comment>
    <comment ref="I26" authorId="0" shapeId="0" xr:uid="{00000000-0006-0000-1500-000006000000}">
      <text>
        <r>
          <rPr>
            <sz val="8"/>
            <color indexed="81"/>
            <rFont val="Tahoma"/>
            <family val="2"/>
          </rPr>
          <t>Criteria with a cell reference containing a specific text, numeric, or Boolean value - A cell reference is useful when copying formulas in which the criteria changes relative to the row or column.</t>
        </r>
      </text>
    </comment>
    <comment ref="I27" authorId="0" shapeId="0" xr:uid="{00000000-0006-0000-1500-000007000000}">
      <text>
        <r>
          <rPr>
            <sz val="8"/>
            <color indexed="81"/>
            <rFont val="Tahoma"/>
            <family val="2"/>
          </rPr>
          <t>Criteria that includes relational operators (&gt;,&lt;,&gt;=,&lt;=,&lt;&gt;) - Note that criteria containing a relational operator must be enclosed in quotation marks. Also note that, in its current format, criteria with a relational operator cannot contain a cell reference-only an actual text or numeric value. The Relational Operators table lists the relational operators you can use with COUNTIF.</t>
        </r>
      </text>
    </comment>
    <comment ref="I30" authorId="0" shapeId="0" xr:uid="{00000000-0006-0000-1500-000008000000}">
      <text>
        <r>
          <rPr>
            <sz val="8"/>
            <color indexed="81"/>
            <rFont val="Tahoma"/>
            <family val="2"/>
          </rPr>
          <t>Criteria that includes wildcards -The function is not case sensitive  The Wildcards table shows wildcards you can use with COUNTIF.</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H22" authorId="0" shapeId="0" xr:uid="{3EEB554F-51D9-4753-9B4E-CCA6F3F88C04}">
      <text>
        <r>
          <rPr>
            <sz val="8"/>
            <color indexed="81"/>
            <rFont val="Tahoma"/>
            <family val="2"/>
          </rPr>
          <t>Using cell references for COUNTIF's Criteria is more flexible (good!)</t>
        </r>
      </text>
    </comment>
    <comment ref="I22" authorId="0" shapeId="0" xr:uid="{DD271912-4D29-4F10-A4EC-72150883502E}">
      <text>
        <r>
          <rPr>
            <sz val="8"/>
            <color indexed="81"/>
            <rFont val="Tahoma"/>
            <family val="2"/>
          </rPr>
          <t>"Hard-coding" (typing in) criteria wthin the formula is inflexible (bad!)</t>
        </r>
      </text>
    </comment>
    <comment ref="I23" authorId="0" shapeId="0" xr:uid="{2FEFFB8E-0EAC-4CE6-AEEB-E04588F5006D}">
      <text>
        <r>
          <rPr>
            <sz val="8"/>
            <color indexed="81"/>
            <rFont val="Tahoma"/>
            <family val="2"/>
          </rPr>
          <t>Criteria with a specified text value - This formula does not count cells with combinations of letters containing A, such as “AA,” though it does count cells containing “a” because it is not case sensitive. Text strings must be enclosed in quotation marks.</t>
        </r>
      </text>
    </comment>
    <comment ref="I24" authorId="0" shapeId="0" xr:uid="{0A5FF821-31E5-45D5-9D43-0A2F330E79EE}">
      <text>
        <r>
          <rPr>
            <sz val="8"/>
            <color indexed="81"/>
            <rFont val="Tahoma"/>
            <family val="2"/>
          </rPr>
          <t>Criteria with a specified numeric value - Numeric values do not have to be enclosed in quotation marks.</t>
        </r>
      </text>
    </comment>
    <comment ref="I25" authorId="0" shapeId="0" xr:uid="{85D41CE6-32CD-4E2B-830A-4B5E513C5E91}">
      <text>
        <r>
          <rPr>
            <sz val="8"/>
            <color indexed="81"/>
            <rFont val="Tahoma"/>
            <family val="2"/>
          </rPr>
          <t>Criteria with a specified Boolean value - Boolean values should not be enclosed in quotation marks, or they are interpreted as text strings.</t>
        </r>
      </text>
    </comment>
    <comment ref="I26" authorId="0" shapeId="0" xr:uid="{0721DEB3-9296-4198-AF7B-F730425A784A}">
      <text>
        <r>
          <rPr>
            <sz val="8"/>
            <color indexed="81"/>
            <rFont val="Tahoma"/>
            <family val="2"/>
          </rPr>
          <t>Criteria with a cell reference containing a specific text, numeric, or Boolean value - A cell reference is useful when copying formulas in which the criteria changes relative to the row or column.</t>
        </r>
      </text>
    </comment>
    <comment ref="I27" authorId="0" shapeId="0" xr:uid="{E7C675A5-88C1-4301-93AC-1B490B09C615}">
      <text>
        <r>
          <rPr>
            <sz val="8"/>
            <color indexed="81"/>
            <rFont val="Tahoma"/>
            <family val="2"/>
          </rPr>
          <t>Criteria that includes relational operators (&gt;,&lt;,&gt;=,&lt;=,&lt;&gt;) - Note that criteria containing a relational operator must be enclosed in quotation marks. Also note that, in its current format, criteria with a relational operator cannot contain a cell reference...only an actual text or numeric value.</t>
        </r>
      </text>
    </comment>
    <comment ref="I30" authorId="0" shapeId="0" xr:uid="{A18DC5F3-F021-4B73-9274-73E2937BB434}">
      <text>
        <r>
          <rPr>
            <sz val="8"/>
            <color indexed="81"/>
            <rFont val="Tahoma"/>
            <family val="2"/>
          </rPr>
          <t>Criteria that includes wildcards -The function is not case sensitive  Table 2.9 lists the wildcards you can use with the COUNTIF function.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A9" authorId="0" shapeId="0" xr:uid="{00000000-0006-0000-1600-000001000000}">
      <text>
        <r>
          <rPr>
            <sz val="8"/>
            <color indexed="81"/>
            <rFont val="Tahoma"/>
            <family val="2"/>
          </rPr>
          <t>Number stored as text</t>
        </r>
      </text>
    </comment>
    <comment ref="F10" authorId="0" shapeId="0" xr:uid="{00000000-0006-0000-1600-000002000000}">
      <text>
        <r>
          <rPr>
            <sz val="8"/>
            <color indexed="81"/>
            <rFont val="Tahoma"/>
            <family val="2"/>
          </rPr>
          <t>Values deleted for second test if ski fails first test.  (These values were manually deleted, but in future chapters, you'll learn how to accomplish this automatically.)</t>
        </r>
      </text>
    </comment>
    <comment ref="I10" authorId="0" shapeId="0" xr:uid="{00000000-0006-0000-1600-000003000000}">
      <text>
        <r>
          <rPr>
            <sz val="8"/>
            <color indexed="81"/>
            <rFont val="Tahoma"/>
            <family val="2"/>
          </rPr>
          <t>Values deleted for second test if ski fails first test.  (These values were manually deleted, but in future chapters, you'll learn how to accomplish this automatically.)</t>
        </r>
      </text>
    </comment>
    <comment ref="N24" authorId="0" shapeId="0" xr:uid="{00000000-0006-0000-1600-000004000000}">
      <text>
        <r>
          <rPr>
            <sz val="8"/>
            <color indexed="81"/>
            <rFont val="Tahoma"/>
            <family val="2"/>
          </rPr>
          <t>Using cell references for criteria is more flexible (good!)</t>
        </r>
      </text>
    </comment>
    <comment ref="O24" authorId="0" shapeId="0" xr:uid="{00000000-0006-0000-1600-000005000000}">
      <text>
        <r>
          <rPr>
            <sz val="8"/>
            <color indexed="81"/>
            <rFont val="Tahoma"/>
            <family val="2"/>
          </rPr>
          <t>"Hard-coding" (typing in) criteria wthin the formula is inflexible (bad!)</t>
        </r>
      </text>
    </comment>
    <comment ref="O28" authorId="0" shapeId="0" xr:uid="{00000000-0006-0000-1600-000006000000}">
      <text>
        <r>
          <rPr>
            <b/>
            <sz val="8"/>
            <color indexed="81"/>
            <rFont val="Tahoma"/>
            <family val="2"/>
          </rPr>
          <t xml:space="preserve">=SUMIF(range,criteria)   </t>
        </r>
        <r>
          <rPr>
            <sz val="8"/>
            <color indexed="81"/>
            <rFont val="Tahoma"/>
            <family val="2"/>
          </rPr>
          <t>....sum_range is ommitted from formula.</t>
        </r>
        <r>
          <rPr>
            <sz val="8"/>
            <color indexed="81"/>
            <rFont val="Tahoma"/>
            <family val="2"/>
          </rPr>
          <t xml:space="preserve">
Because the sum_range argument is not specified in this example, the formula uses the "range" specified as both the critiera range and the sum range.</t>
        </r>
      </text>
    </comment>
    <comment ref="L29" authorId="0" shapeId="0" xr:uid="{00000000-0006-0000-1600-000007000000}">
      <text>
        <r>
          <rPr>
            <b/>
            <sz val="8"/>
            <color indexed="81"/>
            <rFont val="Tahoma"/>
            <family val="2"/>
          </rPr>
          <t>Wildcards</t>
        </r>
        <r>
          <rPr>
            <sz val="8"/>
            <color indexed="81"/>
            <rFont val="Tahoma"/>
            <family val="2"/>
          </rPr>
          <t xml:space="preserve">
Wildcards work only if cells in the Range to be evaluated are formatted as text values and not as numeric values.</t>
        </r>
      </text>
    </comment>
    <comment ref="M29" authorId="0" shapeId="0" xr:uid="{00000000-0006-0000-1600-000008000000}">
      <text>
        <r>
          <rPr>
            <b/>
            <sz val="8"/>
            <color indexed="81"/>
            <rFont val="Tahoma"/>
            <family val="2"/>
          </rPr>
          <t>Wildcards</t>
        </r>
        <r>
          <rPr>
            <sz val="8"/>
            <color indexed="81"/>
            <rFont val="Tahoma"/>
            <family val="2"/>
          </rPr>
          <t xml:space="preserve">
Wildcards work only if cells in the Range to be evaluated are formatted as text values and not as numeric values.</t>
        </r>
      </text>
    </comment>
    <comment ref="N32" authorId="0" shapeId="0" xr:uid="{6A291FF8-1BAD-4450-BF03-7B03F7EC6B31}">
      <text>
        <r>
          <rPr>
            <sz val="8"/>
            <color indexed="81"/>
            <rFont val="Tahoma"/>
            <family val="2"/>
          </rPr>
          <t>Using cell references for criteria is more flexible (good!)</t>
        </r>
      </text>
    </comment>
    <comment ref="O32" authorId="0" shapeId="0" xr:uid="{3A1A3B67-AEF0-4740-8236-95D4F0BD51F8}">
      <text>
        <r>
          <rPr>
            <sz val="8"/>
            <color indexed="81"/>
            <rFont val="Tahoma"/>
            <family val="2"/>
          </rPr>
          <t>"Hard-coding" (typing in) criteria wthin the formula is inflexible (bad!)</t>
        </r>
      </text>
    </comment>
    <comment ref="O36" authorId="0" shapeId="0" xr:uid="{2C0170EB-CF6C-4A34-9CF5-2EA7E42EE50E}">
      <text>
        <r>
          <rPr>
            <b/>
            <sz val="8"/>
            <color indexed="81"/>
            <rFont val="Tahoma"/>
            <family val="2"/>
          </rPr>
          <t xml:space="preserve">=SUMIF(range,criteria)   </t>
        </r>
        <r>
          <rPr>
            <sz val="8"/>
            <color indexed="81"/>
            <rFont val="Tahoma"/>
            <family val="2"/>
          </rPr>
          <t>....sum_range is ommitted from formula.</t>
        </r>
        <r>
          <rPr>
            <sz val="8"/>
            <color indexed="81"/>
            <rFont val="Tahoma"/>
            <family val="2"/>
          </rPr>
          <t xml:space="preserve">
Because the sum_range argument is not specified in this example, the formula uses the "range" specified as both the critiera range and the sum range.</t>
        </r>
      </text>
    </comment>
    <comment ref="L37" authorId="0" shapeId="0" xr:uid="{04A377D7-12F9-46B8-8B4B-9F4CC5A0B69F}">
      <text>
        <r>
          <rPr>
            <b/>
            <sz val="8"/>
            <color indexed="81"/>
            <rFont val="Tahoma"/>
            <family val="2"/>
          </rPr>
          <t>Wildcards</t>
        </r>
        <r>
          <rPr>
            <sz val="8"/>
            <color indexed="81"/>
            <rFont val="Tahoma"/>
            <family val="2"/>
          </rPr>
          <t xml:space="preserve">
Wildcards work only if cells in the Range to be evaluated are formatted as text values and not as numeric values.</t>
        </r>
      </text>
    </comment>
    <comment ref="M37" authorId="0" shapeId="0" xr:uid="{E508F79E-21BC-4881-A6C4-CC2986D0719A}">
      <text>
        <r>
          <rPr>
            <b/>
            <sz val="8"/>
            <color indexed="81"/>
            <rFont val="Tahoma"/>
            <family val="2"/>
          </rPr>
          <t>Wildcards</t>
        </r>
        <r>
          <rPr>
            <sz val="8"/>
            <color indexed="81"/>
            <rFont val="Tahoma"/>
            <family val="2"/>
          </rPr>
          <t xml:space="preserve">
Wildcards work only if cells in the Range to be evaluated are formatted as text values and not as numeric values.</t>
        </r>
      </text>
    </comment>
    <comment ref="G41" authorId="0" shapeId="0" xr:uid="{00000000-0006-0000-1600-000009000000}">
      <text>
        <r>
          <rPr>
            <sz val="8"/>
            <color indexed="81"/>
            <rFont val="Tahoma"/>
            <family val="2"/>
          </rPr>
          <t>=COUNTIF(range,criteria) with criteria entered as assumptions, not hard-coded</t>
        </r>
      </text>
    </comment>
    <comment ref="H41" authorId="0" shapeId="0" xr:uid="{00000000-0006-0000-1600-00000A000000}">
      <text>
        <r>
          <rPr>
            <sz val="8"/>
            <color indexed="81"/>
            <rFont val="Tahoma"/>
            <family val="2"/>
          </rPr>
          <t>=SUMIF(range,criteria,sum_range)</t>
        </r>
        <r>
          <rPr>
            <b/>
            <sz val="8"/>
            <color indexed="81"/>
            <rFont val="Tahoma"/>
            <family val="2"/>
          </rPr>
          <t xml:space="preserve">+ </t>
        </r>
        <r>
          <rPr>
            <sz val="8"/>
            <color indexed="81"/>
            <rFont val="Tahoma"/>
            <family val="2"/>
          </rPr>
          <t>SUMIF(range,criteria,sum_range)
with criteria entered as assumptions rather than hard-coded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Travis Day</author>
    <author>Day, Travis</author>
  </authors>
  <commentList>
    <comment ref="A9" authorId="0" shapeId="0" xr:uid="{6FF33DDF-0676-4B5F-BD14-E0133610CC27}">
      <text>
        <r>
          <rPr>
            <sz val="8"/>
            <color indexed="81"/>
            <rFont val="Tahoma"/>
            <family val="2"/>
          </rPr>
          <t>All values in this column are stored as Numbers</t>
        </r>
      </text>
    </comment>
    <comment ref="B9" authorId="0" shapeId="0" xr:uid="{C71C8158-274B-4EC4-BBB2-07AB67D9F6E4}">
      <text>
        <r>
          <rPr>
            <sz val="8"/>
            <color indexed="81"/>
            <rFont val="Tahoma"/>
            <family val="2"/>
          </rPr>
          <t>Number stored as text</t>
        </r>
      </text>
    </comment>
    <comment ref="C9" authorId="0" shapeId="0" xr:uid="{9FEF2FFE-114C-495C-8DD3-B047017043D9}">
      <text>
        <r>
          <rPr>
            <sz val="8"/>
            <color indexed="81"/>
            <rFont val="Tahoma"/>
            <family val="2"/>
          </rPr>
          <t>All values in this column are stored as Text</t>
        </r>
      </text>
    </comment>
    <comment ref="O9" authorId="1" shapeId="0" xr:uid="{3F23AE63-1DBB-42D6-A121-E245D5F679AE}">
      <text>
        <r>
          <rPr>
            <b/>
            <sz val="9"/>
            <color indexed="81"/>
            <rFont val="Tahoma"/>
            <family val="2"/>
          </rPr>
          <t>Day, Travis:</t>
        </r>
        <r>
          <rPr>
            <sz val="9"/>
            <color indexed="81"/>
            <rFont val="Tahoma"/>
            <family val="2"/>
          </rPr>
          <t xml:space="preserve">
Wildcard</t>
        </r>
      </text>
    </comment>
    <comment ref="P9" authorId="1" shapeId="0" xr:uid="{C99EF706-A7CF-47B9-8172-FDFCEDFFD1D5}">
      <text>
        <r>
          <rPr>
            <b/>
            <sz val="9"/>
            <color indexed="81"/>
            <rFont val="Tahoma"/>
            <family val="2"/>
          </rPr>
          <t>Day, Travis:</t>
        </r>
        <r>
          <rPr>
            <sz val="9"/>
            <color indexed="81"/>
            <rFont val="Tahoma"/>
            <family val="2"/>
          </rPr>
          <t xml:space="preserve">
Wildcard</t>
        </r>
      </text>
    </comment>
    <comment ref="Q9" authorId="1" shapeId="0" xr:uid="{25248328-8513-49F5-B2A5-AFCF0BE2163A}">
      <text>
        <r>
          <rPr>
            <b/>
            <sz val="9"/>
            <color indexed="81"/>
            <rFont val="Tahoma"/>
            <family val="2"/>
          </rPr>
          <t>Day, Travis:</t>
        </r>
        <r>
          <rPr>
            <sz val="9"/>
            <color indexed="81"/>
            <rFont val="Tahoma"/>
            <family val="2"/>
          </rPr>
          <t xml:space="preserve">
Wildcard</t>
        </r>
      </text>
    </comment>
    <comment ref="U9" authorId="1" shapeId="0" xr:uid="{C56F2777-CB47-4B50-BFEF-7D039719A724}">
      <text>
        <r>
          <rPr>
            <b/>
            <sz val="9"/>
            <color indexed="81"/>
            <rFont val="Tahoma"/>
            <family val="2"/>
          </rPr>
          <t>Day, Travis:</t>
        </r>
        <r>
          <rPr>
            <sz val="9"/>
            <color indexed="81"/>
            <rFont val="Tahoma"/>
            <family val="2"/>
          </rPr>
          <t xml:space="preserve">
Relational Operator</t>
        </r>
      </text>
    </comment>
    <comment ref="H10" authorId="0" shapeId="0" xr:uid="{FFFF9988-A10E-4D3C-89D1-D3A562CBB7CF}">
      <text>
        <r>
          <rPr>
            <sz val="8"/>
            <color indexed="81"/>
            <rFont val="Tahoma"/>
            <family val="2"/>
          </rPr>
          <t>Values deleted for second test if ski fails first test.  (These values were manually deleted, but in future chapters, you'll learn how to accomplish this automatically.)</t>
        </r>
      </text>
    </comment>
    <comment ref="K10" authorId="0" shapeId="0" xr:uid="{EA5A5276-FD55-4C94-B150-09D7F54BB66D}">
      <text>
        <r>
          <rPr>
            <sz val="8"/>
            <color indexed="81"/>
            <rFont val="Tahoma"/>
            <family val="2"/>
          </rPr>
          <t>Values deleted for second test if ski fails first test.  (These values were manually deleted, but in future chapters, you'll learn how to accomplish this automatically.)</t>
        </r>
      </text>
    </comment>
    <comment ref="N10" authorId="0" shapeId="0" xr:uid="{74BE229C-6709-4C2C-9EDE-2FDF9BC32EB9}">
      <text>
        <r>
          <rPr>
            <sz val="8"/>
            <color indexed="81"/>
            <rFont val="Tahoma"/>
            <family val="2"/>
          </rPr>
          <t>Using cell references for criteria is more flexible.</t>
        </r>
      </text>
    </comment>
    <comment ref="O10" authorId="1" shapeId="0" xr:uid="{0EDBF2D8-4CA0-462F-A967-E91A7E42DD0B}">
      <text>
        <r>
          <rPr>
            <b/>
            <sz val="9"/>
            <color indexed="81"/>
            <rFont val="Tahoma"/>
            <family val="2"/>
          </rPr>
          <t>Day, Travis:</t>
        </r>
        <r>
          <rPr>
            <sz val="9"/>
            <color indexed="81"/>
            <rFont val="Tahoma"/>
            <family val="2"/>
          </rPr>
          <t xml:space="preserve">
No Costs are Summed since all the Mfg ID#'s are stored as numbers.  Wildcards cannot be used with numbers…only text.</t>
        </r>
      </text>
    </comment>
    <comment ref="P10" authorId="1" shapeId="0" xr:uid="{A91F4108-0813-4BB3-A727-8DA85DB22B90}">
      <text>
        <r>
          <rPr>
            <b/>
            <sz val="9"/>
            <color indexed="81"/>
            <rFont val="Tahoma"/>
            <family val="2"/>
          </rPr>
          <t>Day, Travis:</t>
        </r>
        <r>
          <rPr>
            <sz val="9"/>
            <color indexed="81"/>
            <rFont val="Tahoma"/>
            <family val="2"/>
          </rPr>
          <t xml:space="preserve">
Only the first two ski costs are summed, since only the first two Mfg ID#'s are stored as text.</t>
        </r>
      </text>
    </comment>
    <comment ref="Q10" authorId="1" shapeId="0" xr:uid="{5E07081C-3C08-4DFF-B943-74F37201E267}">
      <text>
        <r>
          <rPr>
            <b/>
            <sz val="9"/>
            <color indexed="81"/>
            <rFont val="Tahoma"/>
            <family val="2"/>
          </rPr>
          <t>Day, Travis:</t>
        </r>
        <r>
          <rPr>
            <sz val="9"/>
            <color indexed="81"/>
            <rFont val="Tahoma"/>
            <family val="2"/>
          </rPr>
          <t xml:space="preserve">
All Costs are Summed since all the Mfg ID#'s are stored as text.  Wildcards can only be used with text.</t>
        </r>
      </text>
    </comment>
    <comment ref="U10" authorId="0" shapeId="0" xr:uid="{B16DA10C-CE96-417A-B7CF-F9E3CC2EA142}">
      <text>
        <r>
          <rPr>
            <b/>
            <sz val="8"/>
            <color indexed="81"/>
            <rFont val="Tahoma"/>
            <family val="2"/>
          </rPr>
          <t xml:space="preserve">=SUMIF(range,criteria)   </t>
        </r>
        <r>
          <rPr>
            <sz val="8"/>
            <color indexed="81"/>
            <rFont val="Tahoma"/>
            <family val="2"/>
          </rPr>
          <t>....sum_range is ommitted from formula.</t>
        </r>
        <r>
          <rPr>
            <sz val="8"/>
            <color indexed="81"/>
            <rFont val="Tahoma"/>
            <family val="2"/>
          </rPr>
          <t xml:space="preserve">
Because the sum_range argument is not specified in this example, the formula uses the "range" specified as both the critiera range and the sum range.</t>
        </r>
      </text>
    </comment>
    <comment ref="B11" authorId="0" shapeId="0" xr:uid="{4454FC35-2AE4-49FB-AF70-5029BE0C96F7}">
      <text>
        <r>
          <rPr>
            <sz val="8"/>
            <color indexed="81"/>
            <rFont val="Tahoma"/>
            <family val="2"/>
          </rPr>
          <t>Number</t>
        </r>
      </text>
    </comment>
    <comment ref="N11" authorId="0" shapeId="0" xr:uid="{6A766850-6CC3-48DA-A090-7CC8224351BD}">
      <text>
        <r>
          <rPr>
            <sz val="8"/>
            <color indexed="81"/>
            <rFont val="Tahoma"/>
            <family val="2"/>
          </rPr>
          <t>"Hard-coding" (typing in) criteria wthin the formula is inflexible and should be avoided when possible.</t>
        </r>
      </text>
    </comment>
    <comment ref="O14" authorId="1" shapeId="0" xr:uid="{91881F17-71D9-4870-828D-8E03DE2CE495}">
      <text>
        <r>
          <rPr>
            <b/>
            <sz val="9"/>
            <color indexed="81"/>
            <rFont val="Tahoma"/>
            <family val="2"/>
          </rPr>
          <t>Day, Travis:</t>
        </r>
        <r>
          <rPr>
            <sz val="9"/>
            <color indexed="81"/>
            <rFont val="Tahoma"/>
            <family val="2"/>
          </rPr>
          <t xml:space="preserve">
Wildcard</t>
        </r>
      </text>
    </comment>
    <comment ref="P14" authorId="1" shapeId="0" xr:uid="{DEBE7296-2DB3-4CEE-BA64-D7415227B1B6}">
      <text>
        <r>
          <rPr>
            <b/>
            <sz val="9"/>
            <color indexed="81"/>
            <rFont val="Tahoma"/>
            <family val="2"/>
          </rPr>
          <t>Day, Travis:</t>
        </r>
        <r>
          <rPr>
            <sz val="9"/>
            <color indexed="81"/>
            <rFont val="Tahoma"/>
            <family val="2"/>
          </rPr>
          <t xml:space="preserve">
Wildcard</t>
        </r>
      </text>
    </comment>
    <comment ref="Q14" authorId="1" shapeId="0" xr:uid="{4BC779F5-5310-4C04-9ABB-124AAE856465}">
      <text>
        <r>
          <rPr>
            <b/>
            <sz val="9"/>
            <color indexed="81"/>
            <rFont val="Tahoma"/>
            <family val="2"/>
          </rPr>
          <t>Day, Travis:</t>
        </r>
        <r>
          <rPr>
            <sz val="9"/>
            <color indexed="81"/>
            <rFont val="Tahoma"/>
            <family val="2"/>
          </rPr>
          <t xml:space="preserve">
Wildcard</t>
        </r>
      </text>
    </comment>
    <comment ref="S14" authorId="1" shapeId="0" xr:uid="{856C922A-B9E6-4E48-9C32-D3C402D7C3F2}">
      <text>
        <r>
          <rPr>
            <b/>
            <sz val="9"/>
            <color indexed="81"/>
            <rFont val="Tahoma"/>
            <family val="2"/>
          </rPr>
          <t>Day, Travis:</t>
        </r>
        <r>
          <rPr>
            <sz val="9"/>
            <color indexed="81"/>
            <rFont val="Tahoma"/>
            <family val="2"/>
          </rPr>
          <t xml:space="preserve">
Relational operators can also be used with text.</t>
        </r>
      </text>
    </comment>
    <comment ref="T14" authorId="1" shapeId="0" xr:uid="{55633616-567B-44BD-8A5E-32333BB7A36B}">
      <text>
        <r>
          <rPr>
            <b/>
            <sz val="9"/>
            <color indexed="81"/>
            <rFont val="Tahoma"/>
            <family val="2"/>
          </rPr>
          <t>Day, Travis:</t>
        </r>
        <r>
          <rPr>
            <sz val="9"/>
            <color indexed="81"/>
            <rFont val="Tahoma"/>
            <family val="2"/>
          </rPr>
          <t xml:space="preserve">
Relational operators can be used with text.</t>
        </r>
      </text>
    </comment>
    <comment ref="O15" authorId="1" shapeId="0" xr:uid="{BABE6EED-4E01-4C19-B408-88B39FBEA246}">
      <text>
        <r>
          <rPr>
            <b/>
            <sz val="9"/>
            <color indexed="81"/>
            <rFont val="Tahoma"/>
            <family val="2"/>
          </rPr>
          <t>Day, Travis:</t>
        </r>
        <r>
          <rPr>
            <sz val="9"/>
            <color indexed="81"/>
            <rFont val="Tahoma"/>
            <family val="2"/>
          </rPr>
          <t xml:space="preserve">
No Costs are Summed since all the Mfg ID#'s are stored as numbers.  Wildcards cannot be used with numbers…only text.</t>
        </r>
      </text>
    </comment>
    <comment ref="P15" authorId="1" shapeId="0" xr:uid="{A2DBA2D7-4FE8-43BB-8A35-7796F446DC8A}">
      <text>
        <r>
          <rPr>
            <b/>
            <sz val="9"/>
            <color indexed="81"/>
            <rFont val="Tahoma"/>
            <family val="2"/>
          </rPr>
          <t>Day, Travis:</t>
        </r>
        <r>
          <rPr>
            <sz val="9"/>
            <color indexed="81"/>
            <rFont val="Tahoma"/>
            <family val="2"/>
          </rPr>
          <t xml:space="preserve">
None of the Mfg ID# that start with 1215… are stored as text.</t>
        </r>
      </text>
    </comment>
    <comment ref="Q15" authorId="1" shapeId="0" xr:uid="{123879CB-D7E0-42EF-9384-D4EC8446193A}">
      <text>
        <r>
          <rPr>
            <b/>
            <sz val="9"/>
            <color indexed="81"/>
            <rFont val="Tahoma"/>
            <family val="2"/>
          </rPr>
          <t>Day, Travis:</t>
        </r>
        <r>
          <rPr>
            <sz val="9"/>
            <color indexed="81"/>
            <rFont val="Tahoma"/>
            <family val="2"/>
          </rPr>
          <t xml:space="preserve">
The Ski Costs for all of the Mfg ID# that start with 1215… are summed since all Mfg ID#'s are stored as text.</t>
        </r>
      </text>
    </comment>
    <comment ref="S20" authorId="1" shapeId="0" xr:uid="{A5DC32BC-3B2A-4E12-A5AD-B28CAAD1B648}">
      <text>
        <r>
          <rPr>
            <b/>
            <sz val="9"/>
            <color indexed="81"/>
            <rFont val="Tahoma"/>
            <family val="2"/>
          </rPr>
          <t>Day, Travis:</t>
        </r>
        <r>
          <rPr>
            <sz val="9"/>
            <color indexed="81"/>
            <rFont val="Tahoma"/>
            <family val="2"/>
          </rPr>
          <t xml:space="preserve">
When mutiple criteria are applied SUMIFS uses an AND (summed cells must meet the first criteria AND the second criteria…)</t>
        </r>
      </text>
    </comment>
    <comment ref="S21" authorId="1" shapeId="0" xr:uid="{F6919269-6EB2-4DE6-BFC3-2654E244F0EC}">
      <text>
        <r>
          <rPr>
            <b/>
            <sz val="9"/>
            <color indexed="81"/>
            <rFont val="Tahoma"/>
            <family val="2"/>
          </rPr>
          <t>Day, Travis:</t>
        </r>
        <r>
          <rPr>
            <sz val="9"/>
            <color indexed="81"/>
            <rFont val="Tahoma"/>
            <family val="2"/>
          </rPr>
          <t xml:space="preserve">
Here's a way to SUM costs when the Style is eitehr E OR R.</t>
        </r>
      </text>
    </comment>
    <comment ref="N26" authorId="0" shapeId="0" xr:uid="{C3BFA783-D849-4B65-BB80-897F8C285A82}">
      <text>
        <r>
          <rPr>
            <sz val="8"/>
            <color indexed="81"/>
            <rFont val="Tahoma"/>
            <family val="2"/>
          </rPr>
          <t>Using cell references for criteria is more flexible.</t>
        </r>
      </text>
    </comment>
    <comment ref="Q26" authorId="1" shapeId="0" xr:uid="{20BEB50D-6CD5-47A3-8CF5-DEA365F01EA4}">
      <text>
        <r>
          <rPr>
            <b/>
            <sz val="9"/>
            <color indexed="81"/>
            <rFont val="Tahoma"/>
            <family val="2"/>
          </rPr>
          <t>Day, Travis:</t>
        </r>
        <r>
          <rPr>
            <sz val="9"/>
            <color indexed="81"/>
            <rFont val="Tahoma"/>
            <family val="2"/>
          </rPr>
          <t xml:space="preserve">
Relational Operators can only be used with cells containing numeric values.</t>
        </r>
      </text>
    </comment>
    <comment ref="I41" authorId="0" shapeId="0" xr:uid="{6B758689-3A11-4912-ADAC-C4C8FAC6D0DA}">
      <text>
        <r>
          <rPr>
            <sz val="8"/>
            <color indexed="81"/>
            <rFont val="Tahoma"/>
            <family val="2"/>
          </rPr>
          <t>=COUNTIF(range,criteria) with criteria entered as assumptions, not hard-coded</t>
        </r>
      </text>
    </comment>
    <comment ref="J41" authorId="0" shapeId="0" xr:uid="{71EF17CF-E5A7-47E5-A6DD-035D41C2D39F}">
      <text>
        <r>
          <rPr>
            <sz val="8"/>
            <color indexed="81"/>
            <rFont val="Tahoma"/>
            <family val="2"/>
          </rPr>
          <t>=SUMIF(range,criteria,sum_range)</t>
        </r>
        <r>
          <rPr>
            <b/>
            <sz val="8"/>
            <color indexed="81"/>
            <rFont val="Tahoma"/>
            <family val="2"/>
          </rPr>
          <t xml:space="preserve">+ </t>
        </r>
        <r>
          <rPr>
            <sz val="8"/>
            <color indexed="81"/>
            <rFont val="Tahoma"/>
            <family val="2"/>
          </rPr>
          <t>SUMIF(range,criteria,sum_range)
with criteria entered as assumptions rather than hard-coded</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E4" authorId="0" shapeId="0" xr:uid="{00000000-0006-0000-1700-000001000000}">
      <text>
        <r>
          <rPr>
            <b/>
            <sz val="8"/>
            <color indexed="81"/>
            <rFont val="Tahoma"/>
            <family val="2"/>
          </rPr>
          <t>Hourly labor rate:</t>
        </r>
        <r>
          <rPr>
            <sz val="8"/>
            <color indexed="81"/>
            <rFont val="Tahoma"/>
            <family val="2"/>
          </rPr>
          <t xml:space="preserve">
This input is listed in a separate cell, so that it can be easily changed.  (However, it should be clearly labeled, which it currently is not.)</t>
        </r>
      </text>
    </comment>
    <comment ref="E6" authorId="0" shapeId="0" xr:uid="{00000000-0006-0000-1700-000002000000}">
      <text>
        <r>
          <rPr>
            <b/>
            <sz val="8"/>
            <color indexed="81"/>
            <rFont val="Tahoma"/>
            <family val="2"/>
          </rPr>
          <t xml:space="preserve">Cost to Quality Test a Ski </t>
        </r>
        <r>
          <rPr>
            <sz val="8"/>
            <color indexed="81"/>
            <rFont val="Tahoma"/>
            <family val="2"/>
          </rPr>
          <t xml:space="preserve">
=SUM(minutes to inspect) / minutes per hour * $ per hour of labor
=SUM(C6:D6)/60*35
The constant 60 (for the number of minutes per hour) will not change. Therefore it is okay to enter (hard-code) the 60 within the formula.
However, 35 represents the hourly labor rate, which might vary. She therefore needs to include a cell where she and other users can input the hourly rate, such as above the Total Cost to Inspect label, in cell E4.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E7" authorId="0" shapeId="0" xr:uid="{00000000-0006-0000-1800-000001000000}">
      <text>
        <r>
          <rPr>
            <b/>
            <sz val="8"/>
            <color indexed="81"/>
            <rFont val="Tahoma"/>
            <family val="2"/>
          </rPr>
          <t>By changing cell</t>
        </r>
        <r>
          <rPr>
            <sz val="8"/>
            <color indexed="81"/>
            <rFont val="Tahoma"/>
            <family val="2"/>
          </rPr>
          <t xml:space="preserve">
What value for Labor Cost per Hour would result in Total Cost to Inspect of $225?</t>
        </r>
      </text>
    </comment>
    <comment ref="E16" authorId="0" shapeId="0" xr:uid="{00000000-0006-0000-1800-000002000000}">
      <text>
        <r>
          <rPr>
            <sz val="8"/>
            <color indexed="81"/>
            <rFont val="Tahoma"/>
            <family val="2"/>
          </rPr>
          <t>The Comma style &amp; the Currency style (applied by clicking their respective toolbar buttons) typically display zero values as a dash.  But if you want to display zero values as "0", you could specify using a Custom number format.</t>
        </r>
      </text>
    </comment>
    <comment ref="I33" authorId="0" shapeId="0" xr:uid="{00000000-0006-0000-1800-000003000000}">
      <text>
        <r>
          <rPr>
            <b/>
            <sz val="8"/>
            <color indexed="81"/>
            <rFont val="Tahoma"/>
            <family val="2"/>
          </rPr>
          <t>Travis Day:</t>
        </r>
        <r>
          <rPr>
            <sz val="8"/>
            <color indexed="81"/>
            <rFont val="Tahoma"/>
            <family val="2"/>
          </rPr>
          <t xml:space="preserve">
Quotation Marks MUST be used around any text phrases!</t>
        </r>
      </text>
    </comment>
    <comment ref="I34" authorId="0" shapeId="0" xr:uid="{00000000-0006-0000-1800-000004000000}">
      <text>
        <r>
          <rPr>
            <b/>
            <sz val="8"/>
            <color indexed="81"/>
            <rFont val="Tahoma"/>
            <family val="2"/>
          </rPr>
          <t>Travis Day:</t>
        </r>
        <r>
          <rPr>
            <sz val="8"/>
            <color indexed="81"/>
            <rFont val="Tahoma"/>
            <family val="2"/>
          </rPr>
          <t xml:space="preserve">
Quotation Marks MUST be used around any text phrases!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G25" authorId="0" shapeId="0" xr:uid="{00000000-0006-0000-0600-000001000000}">
      <text>
        <r>
          <rPr>
            <sz val="10"/>
            <color indexed="81"/>
            <rFont val="Tahoma"/>
            <family val="2"/>
          </rPr>
          <t>Values stored with different precisions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E5" authorId="0" shapeId="0" xr:uid="{00000000-0006-0000-1B00-000001000000}">
      <text>
        <r>
          <rPr>
            <b/>
            <sz val="8"/>
            <color indexed="81"/>
            <rFont val="Tahoma"/>
            <family val="2"/>
          </rPr>
          <t>Travis Day:</t>
        </r>
        <r>
          <rPr>
            <sz val="8"/>
            <color indexed="81"/>
            <rFont val="Tahoma"/>
            <family val="2"/>
          </rPr>
          <t xml:space="preserve">
Using SUMIF divided by COUNTIF.</t>
        </r>
      </text>
    </comment>
    <comment ref="E6" authorId="0" shapeId="0" xr:uid="{00000000-0006-0000-1B00-000002000000}">
      <text>
        <r>
          <rPr>
            <b/>
            <sz val="8"/>
            <color indexed="81"/>
            <rFont val="Tahoma"/>
            <family val="2"/>
          </rPr>
          <t>Travis Day:</t>
        </r>
        <r>
          <rPr>
            <sz val="8"/>
            <color indexed="81"/>
            <rFont val="Tahoma"/>
            <family val="2"/>
          </rPr>
          <t xml:space="preserve">
Use SUMIF divided by another cells (where COUNTIF was used)</t>
        </r>
      </text>
    </comment>
    <comment ref="E7" authorId="0" shapeId="0" xr:uid="{00000000-0006-0000-1B00-000003000000}">
      <text>
        <r>
          <rPr>
            <b/>
            <sz val="8"/>
            <color indexed="81"/>
            <rFont val="Tahoma"/>
            <family val="2"/>
          </rPr>
          <t>Travis Day:</t>
        </r>
        <r>
          <rPr>
            <sz val="8"/>
            <color indexed="81"/>
            <rFont val="Tahoma"/>
            <family val="2"/>
          </rPr>
          <t xml:space="preserve">
Using AVERAGEIF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H9" authorId="0" shapeId="0" xr:uid="{00000000-0006-0000-0700-000001000000}">
      <text>
        <r>
          <rPr>
            <b/>
            <sz val="8"/>
            <color indexed="81"/>
            <rFont val="Tahoma"/>
            <family val="2"/>
          </rPr>
          <t xml:space="preserve">=ROUND(cell_ref,2) </t>
        </r>
        <r>
          <rPr>
            <sz val="8"/>
            <color indexed="81"/>
            <rFont val="Tahoma"/>
            <family val="2"/>
          </rPr>
          <t xml:space="preserve">
Value in cell is rounded to the nearest hundreth.</t>
        </r>
      </text>
    </comment>
    <comment ref="H30" authorId="0" shapeId="0" xr:uid="{A919F713-6375-44A0-AC9C-7476CF246E9D}">
      <text>
        <r>
          <rPr>
            <b/>
            <sz val="8"/>
            <color indexed="81"/>
            <rFont val="Tahoma"/>
            <family val="2"/>
          </rPr>
          <t>ROUND function</t>
        </r>
        <r>
          <rPr>
            <sz val="8"/>
            <color indexed="81"/>
            <rFont val="Tahoma"/>
            <family val="2"/>
          </rPr>
          <t xml:space="preserve"> changes the precision of the vlaue in cell ot the right to two deciimal places, so 2.00001 is now 2.00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H9" authorId="0" shapeId="0" xr:uid="{00000000-0006-0000-0900-000001000000}">
      <text>
        <r>
          <rPr>
            <b/>
            <sz val="8"/>
            <color indexed="81"/>
            <rFont val="Tahoma"/>
            <family val="2"/>
          </rPr>
          <t xml:space="preserve">=ROUND(cell_ref,2) </t>
        </r>
        <r>
          <rPr>
            <sz val="8"/>
            <color indexed="81"/>
            <rFont val="Tahoma"/>
            <family val="2"/>
          </rPr>
          <t xml:space="preserve">
Value in cell is rounded to the nearest hundreth.</t>
        </r>
      </text>
    </comment>
    <comment ref="G30" authorId="0" shapeId="0" xr:uid="{00000000-0006-0000-0900-000002000000}">
      <text>
        <r>
          <rPr>
            <b/>
            <sz val="8"/>
            <color indexed="81"/>
            <rFont val="Tahoma"/>
            <family val="2"/>
          </rPr>
          <t>ROUND function</t>
        </r>
        <r>
          <rPr>
            <sz val="8"/>
            <color indexed="81"/>
            <rFont val="Tahoma"/>
            <family val="2"/>
          </rPr>
          <t xml:space="preserve"> changes the precision of the vlaue in cell to two deciimal places, so 2.00001 is now 2.00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G9" authorId="0" shapeId="0" xr:uid="{00000000-0006-0000-0A00-000001000000}">
      <text>
        <r>
          <rPr>
            <sz val="8"/>
            <color indexed="81"/>
            <rFont val="Tahoma"/>
            <family val="2"/>
          </rPr>
          <t xml:space="preserve">When attempting to round this value, you </t>
        </r>
        <r>
          <rPr>
            <b/>
            <sz val="8"/>
            <color indexed="81"/>
            <rFont val="Tahoma"/>
            <family val="2"/>
          </rPr>
          <t>cannot</t>
        </r>
        <r>
          <rPr>
            <sz val="8"/>
            <color indexed="81"/>
            <rFont val="Tahoma"/>
            <family val="2"/>
          </rPr>
          <t xml:space="preserve"> enter the ROUND function within this same cell.  
=ROUND(</t>
        </r>
        <r>
          <rPr>
            <i/>
            <sz val="8"/>
            <color indexed="81"/>
            <rFont val="Tahoma"/>
            <family val="2"/>
          </rPr>
          <t>current_cell</t>
        </r>
        <r>
          <rPr>
            <sz val="8"/>
            <color indexed="81"/>
            <rFont val="Tahoma"/>
            <family val="2"/>
          </rPr>
          <t xml:space="preserve">,2) would result in a </t>
        </r>
        <r>
          <rPr>
            <b/>
            <sz val="8"/>
            <color indexed="81"/>
            <rFont val="Tahoma"/>
            <family val="2"/>
          </rPr>
          <t>Circular Reference</t>
        </r>
        <r>
          <rPr>
            <sz val="8"/>
            <color indexed="81"/>
            <rFont val="Tahoma"/>
            <family val="2"/>
          </rPr>
          <t xml:space="preserve"> error since the formula would be referencing itself.  (If you're typing a formula in the current cell, You can't use that particular cell in that formula!)</t>
        </r>
      </text>
    </comment>
    <comment ref="H9" authorId="0" shapeId="0" xr:uid="{00000000-0006-0000-0A00-000002000000}">
      <text>
        <r>
          <rPr>
            <sz val="8"/>
            <color indexed="81"/>
            <rFont val="Tahoma"/>
            <family val="2"/>
          </rPr>
          <t xml:space="preserve">Rounding of the values in column G needs to be calculated in a separate columnm in order to avoid a Circular Reference error.
</t>
        </r>
        <r>
          <rPr>
            <b/>
            <sz val="8"/>
            <color indexed="81"/>
            <rFont val="Tahoma"/>
            <family val="2"/>
          </rPr>
          <t>=ROUND(</t>
        </r>
        <r>
          <rPr>
            <b/>
            <i/>
            <sz val="8"/>
            <color indexed="81"/>
            <rFont val="Tahoma"/>
            <family val="2"/>
          </rPr>
          <t>this_cell</t>
        </r>
        <r>
          <rPr>
            <b/>
            <sz val="8"/>
            <color indexed="81"/>
            <rFont val="Tahoma"/>
            <family val="2"/>
          </rPr>
          <t xml:space="preserve">,2) </t>
        </r>
        <r>
          <rPr>
            <sz val="8"/>
            <color indexed="81"/>
            <rFont val="Tahoma"/>
            <family val="2"/>
          </rPr>
          <t xml:space="preserve">
Value in cell this_cell is rounded to the nearest hundreth.</t>
        </r>
      </text>
    </comment>
    <comment ref="L11" authorId="0" shapeId="0" xr:uid="{D2F28BD2-1237-4428-BFCC-5EFC27941816}">
      <text>
        <r>
          <rPr>
            <b/>
            <sz val="9"/>
            <color indexed="81"/>
            <rFont val="Tahoma"/>
            <family val="2"/>
          </rPr>
          <t>Travis Day:</t>
        </r>
        <r>
          <rPr>
            <sz val="9"/>
            <color indexed="81"/>
            <rFont val="Tahoma"/>
            <family val="2"/>
          </rPr>
          <t xml:space="preserve">
You cannot use the reference of the current cell in the formula.
The formula cannot add itself to itself.</t>
        </r>
      </text>
    </comment>
    <comment ref="L13" authorId="0" shapeId="0" xr:uid="{28E73493-956A-403E-B26F-81963CE4B52A}">
      <text>
        <r>
          <rPr>
            <b/>
            <sz val="9"/>
            <color indexed="81"/>
            <rFont val="Tahoma"/>
            <family val="2"/>
          </rPr>
          <t>Travis Day:</t>
        </r>
        <r>
          <rPr>
            <sz val="9"/>
            <color indexed="81"/>
            <rFont val="Tahoma"/>
            <family val="2"/>
          </rPr>
          <t xml:space="preserve">
The cell 2 cells to the left references this cell and
this cell references the cell 2 cells to the left.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G9" authorId="0" shapeId="0" xr:uid="{00000000-0006-0000-0B00-000001000000}">
      <text>
        <r>
          <rPr>
            <sz val="8"/>
            <color indexed="81"/>
            <rFont val="Tahoma"/>
            <family val="2"/>
          </rPr>
          <t xml:space="preserve">Now that the values are rounded, you'll want to replace the original values in column G with the rounded values. But you cannot simply delete column G, or else you'll receive a </t>
        </r>
        <r>
          <rPr>
            <b/>
            <sz val="8"/>
            <color indexed="81"/>
            <rFont val="Tahoma"/>
            <family val="2"/>
          </rPr>
          <t>#REF!</t>
        </r>
        <r>
          <rPr>
            <sz val="8"/>
            <color indexed="81"/>
            <rFont val="Tahoma"/>
            <family val="2"/>
          </rPr>
          <t xml:space="preserve"> (cell reference error) in the column with the rounded numbers, because the formulas would refence a column that no longer exists.
You'll need to Copy, and Paste the rounded values using Paste Special.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H9" authorId="0" shapeId="0" xr:uid="{00000000-0006-0000-0C00-000001000000}">
      <text>
        <r>
          <rPr>
            <sz val="8"/>
            <color indexed="81"/>
            <rFont val="Tahoma"/>
            <family val="2"/>
          </rPr>
          <t>Copy the rounded values from this column, then click in Torsion Strength column and either
1) select from the</t>
        </r>
        <r>
          <rPr>
            <b/>
            <sz val="8"/>
            <color indexed="81"/>
            <rFont val="Tahoma"/>
            <family val="2"/>
          </rPr>
          <t xml:space="preserve"> Paste button list arrow</t>
        </r>
        <r>
          <rPr>
            <sz val="8"/>
            <color indexed="81"/>
            <rFont val="Tahoma"/>
            <family val="2"/>
          </rPr>
          <t xml:space="preserve"> options (the pull-down arrow next to the Paste button on the toolbar, or
2) paste normally and then use the </t>
        </r>
        <r>
          <rPr>
            <b/>
            <sz val="8"/>
            <color indexed="81"/>
            <rFont val="Tahoma"/>
            <family val="2"/>
          </rPr>
          <t>Paste Options button</t>
        </r>
        <r>
          <rPr>
            <sz val="8"/>
            <color indexed="81"/>
            <rFont val="Tahoma"/>
            <family val="2"/>
          </rPr>
          <t xml:space="preserve"> which appears at the bottom-right corner of the pasted range after pasting, or
3) bring up the </t>
        </r>
        <r>
          <rPr>
            <b/>
            <sz val="8"/>
            <color indexed="81"/>
            <rFont val="Tahoma"/>
            <family val="2"/>
          </rPr>
          <t>Paste Special dialog box</t>
        </r>
        <r>
          <rPr>
            <sz val="8"/>
            <color indexed="81"/>
            <rFont val="Tahoma"/>
            <family val="2"/>
          </rPr>
          <t xml:space="preserve"> by choosing Paste Special... at the bottom of the Paste button list, or by clicking Edit, Paste Special...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B1" authorId="0" shapeId="0" xr:uid="{00000000-0006-0000-0F00-000001000000}">
      <text>
        <r>
          <rPr>
            <sz val="8"/>
            <color indexed="81"/>
            <rFont val="Tahoma"/>
            <family val="2"/>
          </rPr>
          <t>Select this cell, then click Window, Freeze Panes to freeze only the row headings (Mfg ID#).</t>
        </r>
      </text>
    </comment>
    <comment ref="A9" authorId="0" shapeId="0" xr:uid="{00000000-0006-0000-0F00-000002000000}">
      <text>
        <r>
          <rPr>
            <sz val="8"/>
            <color indexed="81"/>
            <rFont val="Tahoma"/>
            <family val="2"/>
          </rPr>
          <t>Select this cell before Freezing Panes if you only want to freeze the column headings.  (Column headings are above this cell and will be frozen, but the row headings--Mfg ID#--will not be frozen.)</t>
        </r>
      </text>
    </comment>
    <comment ref="B9" authorId="0" shapeId="0" xr:uid="{00000000-0006-0000-0F00-000003000000}">
      <text>
        <r>
          <rPr>
            <sz val="8"/>
            <color indexed="81"/>
            <rFont val="Tahoma"/>
            <family val="2"/>
          </rPr>
          <t>Select this this cell, then click Window, Freeze Panes to freeze both the column headings and the row headings.   (Freeze Panes freezes everything above/to the left of the cell selected.)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B1" authorId="0" shapeId="0" xr:uid="{51D72C14-7B27-431E-A9AE-7358E6BFA2C6}">
      <text>
        <r>
          <rPr>
            <sz val="8"/>
            <color indexed="81"/>
            <rFont val="Tahoma"/>
            <family val="2"/>
          </rPr>
          <t>Select this cell, then click Window, Freeze Panes to freeze only the row headings (Mfg ID#).</t>
        </r>
      </text>
    </comment>
    <comment ref="A9" authorId="0" shapeId="0" xr:uid="{2D4A7BA3-C876-469C-A394-C12ECCCDEE95}">
      <text>
        <r>
          <rPr>
            <sz val="8"/>
            <color indexed="81"/>
            <rFont val="Tahoma"/>
            <family val="2"/>
          </rPr>
          <t>Select this cell before Freezing Panes if you only want to freeze the column headings.  (Column headings are above this cell and will be frozen, but the row headings--Mfg ID#--will not be frozen.)</t>
        </r>
      </text>
    </comment>
    <comment ref="B9" authorId="0" shapeId="0" xr:uid="{06595C9B-3F0B-4641-AEB7-BF71436EC8D3}">
      <text>
        <r>
          <rPr>
            <sz val="8"/>
            <color indexed="81"/>
            <rFont val="Tahoma"/>
            <family val="2"/>
          </rPr>
          <t>Select this this cell, then click Window, Freeze Panes to freeze both the column headings and the row headings.   (Freeze Panes freezes everything above/to the left of the cell selected.)</t>
        </r>
      </text>
    </comment>
  </commentList>
</comments>
</file>

<file path=xl/sharedStrings.xml><?xml version="1.0" encoding="utf-8"?>
<sst xmlns="http://schemas.openxmlformats.org/spreadsheetml/2006/main" count="1421" uniqueCount="440">
  <si>
    <t>Quality Control Data for TZBlazer Skis</t>
  </si>
  <si>
    <t>Mfg ID#</t>
  </si>
  <si>
    <t>Size</t>
  </si>
  <si>
    <t>Style</t>
  </si>
  <si>
    <t>Date Manufactured</t>
  </si>
  <si>
    <t>Production Line</t>
  </si>
  <si>
    <t xml:space="preserve">Friction Coefficient </t>
  </si>
  <si>
    <t xml:space="preserve">Torsion Strength </t>
  </si>
  <si>
    <t>A</t>
  </si>
  <si>
    <t>E</t>
  </si>
  <si>
    <t>R</t>
  </si>
  <si>
    <t>Mean</t>
  </si>
  <si>
    <t>Median</t>
  </si>
  <si>
    <t>Mode</t>
  </si>
  <si>
    <t>Standard Deviation</t>
  </si>
  <si>
    <t>Analysis of Statistical Values - Current Data vs. Historical Data</t>
  </si>
  <si>
    <t>Value:</t>
  </si>
  <si>
    <t>Historical</t>
  </si>
  <si>
    <t>Difference</t>
  </si>
  <si>
    <t>%Difference</t>
  </si>
  <si>
    <t>Ski Cost</t>
  </si>
  <si>
    <t>Analysis of QC Data Extreme Values</t>
  </si>
  <si>
    <t>Top 5 (Highest)</t>
  </si>
  <si>
    <t>Bottom 5 (Lowest)</t>
  </si>
  <si>
    <t>Rank  Friction Coefficient</t>
  </si>
  <si>
    <t xml:space="preserve">Rank Torsion Strength </t>
  </si>
  <si>
    <t># Rejected</t>
  </si>
  <si>
    <t>Time Data for Quality Control Testing - Per Ski</t>
  </si>
  <si>
    <t>Actual Time in Minutes</t>
  </si>
  <si>
    <t>MFG ID#</t>
  </si>
  <si>
    <t>Friction Coefficient Testing</t>
  </si>
  <si>
    <t>Torsion Strength Testing</t>
  </si>
  <si>
    <t>Total Cost to Inspect</t>
  </si>
  <si>
    <t>Total:</t>
  </si>
  <si>
    <t>Average:</t>
  </si>
  <si>
    <t>Std. Deviation:</t>
  </si>
  <si>
    <t>Summary- By Ski Type</t>
  </si>
  <si>
    <t>Quantity of Skis Tested</t>
  </si>
  <si>
    <t>Average Friction Test Time</t>
  </si>
  <si>
    <t>Average Torsion Test Time</t>
  </si>
  <si>
    <t>Average Cost</t>
  </si>
  <si>
    <t>Ski Return Cost Simulation</t>
  </si>
  <si>
    <t>Costs for 100 Skis</t>
  </si>
  <si>
    <t>Return Costs</t>
  </si>
  <si>
    <t>Probability of Failure</t>
  </si>
  <si>
    <t>Probable Cost</t>
  </si>
  <si>
    <t>Average Cost of Returned Skis</t>
  </si>
  <si>
    <t>Level 1: Using Statistical Functions to Compare Data Values</t>
  </si>
  <si>
    <t>Understand basic concepts related to statistics</t>
  </si>
  <si>
    <t>Specify the precision of values</t>
  </si>
  <si>
    <t>Copy and paste information in a worksheet using Paste Special options</t>
  </si>
  <si>
    <t>Calculate basic statistical values: arithmetic mean, mode, median, and standard deviation</t>
  </si>
  <si>
    <t>Manage large worksheets by freezing panes and splitting the window</t>
  </si>
  <si>
    <t>Level 2: Organizing and Evaluating Different Data Groupings</t>
  </si>
  <si>
    <t>Evaluate the rank of each value in a data set</t>
  </si>
  <si>
    <t>Determine the highest and lowest values in a data set</t>
  </si>
  <si>
    <t>Determine the number of items that meet specified criteria</t>
  </si>
  <si>
    <t>Determine a total value for items that meet specified criteria</t>
  </si>
  <si>
    <t>Include relational operators and wildcards in formulas to specify criteria</t>
  </si>
  <si>
    <t>Level 3: Extending the Analysis with What-if, Goal Seek, and Simulation</t>
  </si>
  <si>
    <t>Apply custom number formats to data</t>
  </si>
  <si>
    <t>Perform what-if analyses</t>
  </si>
  <si>
    <t>Perform reverse what-if analyses using the Goal Seek tool</t>
  </si>
  <si>
    <t>Analyze data by category by combining functions</t>
  </si>
  <si>
    <t>Simulate data to evaluate different outcomes</t>
  </si>
  <si>
    <t>Learning Objectives</t>
  </si>
  <si>
    <t>Functions Covered in this Chapter</t>
  </si>
  <si>
    <t>AVERAGE</t>
  </si>
  <si>
    <t>COUNTIF</t>
  </si>
  <si>
    <t>LARGE</t>
  </si>
  <si>
    <t>MEDIAN</t>
  </si>
  <si>
    <t>MODE</t>
  </si>
  <si>
    <t>RAND</t>
  </si>
  <si>
    <t>RANDBETWEEN</t>
  </si>
  <si>
    <t>RANK</t>
  </si>
  <si>
    <t>ROUND</t>
  </si>
  <si>
    <t>SMALL</t>
  </si>
  <si>
    <t>STDEV</t>
  </si>
  <si>
    <t>SUMIF</t>
  </si>
  <si>
    <t>Key Terms</t>
  </si>
  <si>
    <t>Term</t>
  </si>
  <si>
    <t>Definition</t>
  </si>
  <si>
    <t>COUNTIF function</t>
  </si>
  <si>
    <t>An Excel function that counts the number of items in a range that meet specified criteria</t>
  </si>
  <si>
    <t>data set</t>
  </si>
  <si>
    <t>Groups of data</t>
  </si>
  <si>
    <t>Goal Seek</t>
  </si>
  <si>
    <t>An Excel tool that lets you specify the outcome you want and which input value you want to vary, and then automatically calculates the solution</t>
  </si>
  <si>
    <t>LARGE function</t>
  </si>
  <si>
    <r>
      <t>An Excel function that determines the n</t>
    </r>
    <r>
      <rPr>
        <vertAlign val="superscript"/>
        <sz val="10"/>
        <rFont val="Arial"/>
        <family val="2"/>
      </rPr>
      <t>th</t>
    </r>
    <r>
      <rPr>
        <sz val="10"/>
        <rFont val="Arial"/>
        <family val="2"/>
      </rPr>
      <t xml:space="preserve"> largest value in a range</t>
    </r>
  </si>
  <si>
    <t>mean</t>
  </si>
  <si>
    <t>The arithmetic average of a set of numbers</t>
  </si>
  <si>
    <t>median</t>
  </si>
  <si>
    <t>The arithmetic value that occurs in the middle of a data set when organized from lowest to highest, where half the values are less than and half the values are greater than the median value</t>
  </si>
  <si>
    <t>mode</t>
  </si>
  <si>
    <t>The arithmetic value that occurs most frequently in a data set</t>
  </si>
  <si>
    <t>normal distribution</t>
  </si>
  <si>
    <t>A comparison that exhibits an equal number of occurrences of data values both below and above the arithmetic mean</t>
  </si>
  <si>
    <t>RAND() function</t>
  </si>
  <si>
    <t>An Excel function that returns a random value between 0 and 1</t>
  </si>
  <si>
    <t>RANDBETWEEN function</t>
  </si>
  <si>
    <t>An Excel function that randomly assigns a number between two specified values</t>
  </si>
  <si>
    <t>RANK function</t>
  </si>
  <si>
    <t>An Excel function that sorts a list of values and then counts the number of entries either above or below the value in question</t>
  </si>
  <si>
    <t>simulation</t>
  </si>
  <si>
    <t>An analytical method that creates artificially generated data to imitate real data</t>
  </si>
  <si>
    <t>split</t>
  </si>
  <si>
    <t>To divide a window by dragging either the horizontal split box or the vertical split box to create separate scrollable panes</t>
  </si>
  <si>
    <t>standard deviation</t>
  </si>
  <si>
    <t>A measure of how widely data values are dispersed from the arithmetic mean</t>
  </si>
  <si>
    <t>statistics</t>
  </si>
  <si>
    <t>A subset of mathematics that is widely used to explain groups of data</t>
  </si>
  <si>
    <t>SUMIF function</t>
  </si>
  <si>
    <t>An Excel function that adds all the values in a range that meet specified criteria</t>
  </si>
  <si>
    <t>what-if analysis</t>
  </si>
  <si>
    <t>An analysis that determines the outcome of changing one or more input values and evaluates the recalculated results</t>
  </si>
  <si>
    <t>Formulas</t>
  </si>
  <si>
    <t>=ROUND(SUM(10.33,10.44),0)</t>
  </si>
  <si>
    <t>Function</t>
  </si>
  <si>
    <t>ROUNDDOWN</t>
  </si>
  <si>
    <t>EVEN</t>
  </si>
  <si>
    <t>ODD</t>
  </si>
  <si>
    <t>INT</t>
  </si>
  <si>
    <t>TRUNC</t>
  </si>
  <si>
    <t>ROUNDUP</t>
  </si>
  <si>
    <t>Description</t>
  </si>
  <si>
    <t>Number</t>
  </si>
  <si>
    <t>Rounds # to specified # of decimal places</t>
  </si>
  <si>
    <t>Rounds # up to specified # of decimal places</t>
  </si>
  <si>
    <t>Rounds # down to specif # of decimal places</t>
  </si>
  <si>
    <t>Rounds # up to next hightest even integer</t>
  </si>
  <si>
    <t>Rounds # up to next hightest odd integer</t>
  </si>
  <si>
    <t>Rounds # down to the next nearest integer</t>
  </si>
  <si>
    <t>Current</t>
  </si>
  <si>
    <t>Determining the Number of Items that Meet Specified Criteria</t>
  </si>
  <si>
    <t>Determining the Highest &amp; Lowest Values in a Data Set</t>
  </si>
  <si>
    <t>Determining a Rank for Each Value in a Data Set</t>
  </si>
  <si>
    <t>Comparing Current Values to Historical Values</t>
  </si>
  <si>
    <t>Managing Large Worksheets by Freezing Panes</t>
  </si>
  <si>
    <t>Managing Large Worksheets by Splitting the Window</t>
  </si>
  <si>
    <t>Calculating the Mean, Median, Mode, and Standard Deviation</t>
  </si>
  <si>
    <t>Using Paste Special to Copy and Paste Data</t>
  </si>
  <si>
    <t>Controlling the Precision of Data Using the ROUND Function</t>
  </si>
  <si>
    <t>Examples of Functions that Modify the Precision of a Value</t>
  </si>
  <si>
    <t>Values Stored with Different Precisions</t>
  </si>
  <si>
    <t>Avoiding Circular Reference Errors</t>
  </si>
  <si>
    <t>Avoiding #REF! (Cell Reference Error)</t>
  </si>
  <si>
    <t>a</t>
  </si>
  <si>
    <t>AA</t>
  </si>
  <si>
    <t>Inpsector ID</t>
  </si>
  <si>
    <t>Shipped</t>
  </si>
  <si>
    <t># Style A (text)</t>
  </si>
  <si>
    <t># Friction Coefficient greater than 1</t>
  </si>
  <si>
    <t># Inspector ID starting with "a"</t>
  </si>
  <si>
    <t>A313</t>
  </si>
  <si>
    <t>A328</t>
  </si>
  <si>
    <t>B224</t>
  </si>
  <si>
    <t>AA313</t>
  </si>
  <si>
    <t>A417</t>
  </si>
  <si>
    <t>B313</t>
  </si>
  <si>
    <t>C321</t>
  </si>
  <si>
    <t># Size 167 (numerical value)</t>
  </si>
  <si>
    <t># shipped (Boolean value)</t>
  </si>
  <si>
    <t>&gt;1</t>
  </si>
  <si>
    <t>a*</t>
  </si>
  <si>
    <t>?313</t>
  </si>
  <si>
    <t>Criteria</t>
  </si>
  <si>
    <t># Inspector ID starting with any letter followed by 313</t>
  </si>
  <si>
    <t>Hardcoded COUNTIF</t>
  </si>
  <si>
    <t>Determining a Total Value for Items that Meet Specified Criteria</t>
  </si>
  <si>
    <t>Criteria Type</t>
  </si>
  <si>
    <t>Single numeric or Boolean value</t>
  </si>
  <si>
    <t>Text string</t>
  </si>
  <si>
    <t>Cell reference</t>
  </si>
  <si>
    <t>Relational operator</t>
  </si>
  <si>
    <t>Wildcard</t>
  </si>
  <si>
    <t>12134</t>
  </si>
  <si>
    <t>&gt;</t>
  </si>
  <si>
    <t>&lt;</t>
  </si>
  <si>
    <t>&gt;=</t>
  </si>
  <si>
    <t>&lt;=</t>
  </si>
  <si>
    <t>=</t>
  </si>
  <si>
    <t>&lt;&gt;</t>
  </si>
  <si>
    <t>Operator</t>
  </si>
  <si>
    <t xml:space="preserve">Equal to </t>
  </si>
  <si>
    <t>Not equal to</t>
  </si>
  <si>
    <t>Less than</t>
  </si>
  <si>
    <t>Greater than</t>
  </si>
  <si>
    <t>Less than or equal to</t>
  </si>
  <si>
    <t>Greater than or equal to</t>
  </si>
  <si>
    <t>*</t>
  </si>
  <si>
    <t>?</t>
  </si>
  <si>
    <t>*3</t>
  </si>
  <si>
    <t>*1*</t>
  </si>
  <si>
    <t>*3??</t>
  </si>
  <si>
    <t>With a single character followed by the characters "313"</t>
  </si>
  <si>
    <t>Contain "1" anywhere in the value</t>
  </si>
  <si>
    <t>End with the value "3"</t>
  </si>
  <si>
    <t>Value "3" in the third-to-last position in the text value, regardless of preceding characters.</t>
  </si>
  <si>
    <t>Result</t>
  </si>
  <si>
    <t>Relational Operators</t>
  </si>
  <si>
    <t>Wildcards</t>
  </si>
  <si>
    <t>&gt;60</t>
  </si>
  <si>
    <t>12???</t>
  </si>
  <si>
    <t>Rejection Criteria</t>
  </si>
  <si>
    <t>&gt;1.23</t>
  </si>
  <si>
    <t>&lt;2</t>
  </si>
  <si>
    <t>12135</t>
  </si>
  <si>
    <t>Specifying a Custom Number Format</t>
  </si>
  <si>
    <t>Evaluating a Larger Data Set</t>
  </si>
  <si>
    <t>Symbol</t>
  </si>
  <si>
    <t>Usage</t>
  </si>
  <si>
    <t>Typed Digits</t>
  </si>
  <si>
    <t>Display</t>
  </si>
  <si>
    <t>#</t>
  </si>
  <si>
    <t>%</t>
  </si>
  <si>
    <t>'</t>
  </si>
  <si>
    <t>_</t>
  </si>
  <si>
    <t>" "</t>
  </si>
  <si>
    <t>@</t>
  </si>
  <si>
    <t>Inserts a percentage sign and automatically multiplies the value inserted by 100 for display</t>
  </si>
  <si>
    <t>Indicates the location where text should be inserted in cells formatted with a custom format; if the @ is not included in the code, the text will not be displayed</t>
  </si>
  <si>
    <t>Example</t>
  </si>
  <si>
    <t>####.#</t>
  </si>
  <si>
    <t>03.00</t>
  </si>
  <si>
    <t>None</t>
  </si>
  <si>
    <t>$@</t>
  </si>
  <si>
    <t>00.00 "$/hr"</t>
  </si>
  <si>
    <t>0.00</t>
  </si>
  <si>
    <t>0.00?</t>
  </si>
  <si>
    <t>#%</t>
  </si>
  <si>
    <t>#,###</t>
  </si>
  <si>
    <t>$* 00.00</t>
  </si>
  <si>
    <t>Inserts a comma as a thousands separator 
or as a scaling operator</t>
  </si>
  <si>
    <t>_($* #,###_)</t>
  </si>
  <si>
    <t>($* #,###)</t>
  </si>
  <si>
    <t>General "$/hr"</t>
  </si>
  <si>
    <t>Specifies that text enclosed in quotation marks should be inserted as shown</t>
  </si>
  <si>
    <t>Combining COUNTIF &amp; SUMIF to Analyze Data in Specific Categories</t>
  </si>
  <si>
    <t>Analyzing Data Through Simulation</t>
  </si>
  <si>
    <t>Hardcoded</t>
  </si>
  <si>
    <t>Cell Reference</t>
  </si>
  <si>
    <t>Num_</t>
  </si>
  <si>
    <t>digits</t>
  </si>
  <si>
    <t xml:space="preserve">Number </t>
  </si>
  <si>
    <t>to Round</t>
  </si>
  <si>
    <t>Worksheet Name</t>
  </si>
  <si>
    <t>Created by</t>
  </si>
  <si>
    <t>Travis Day</t>
  </si>
  <si>
    <t>Last Modified</t>
  </si>
  <si>
    <t>Workbook Description</t>
  </si>
  <si>
    <t xml:space="preserve">Truncates a number to an integer, </t>
  </si>
  <si>
    <t>removing the fractional part of the number</t>
  </si>
  <si>
    <t>Adhering to Function Syntax When Working with Multiple Arguments</t>
  </si>
  <si>
    <t>=Round(6.25,3.21,0)</t>
  </si>
  <si>
    <t>=Round(1,3.21)</t>
  </si>
  <si>
    <t>=Round(1,221.34,0)</t>
  </si>
  <si>
    <t>Solving Problems with Statistical Analysis Tools</t>
  </si>
  <si>
    <t>Normal versus Non-Normal Distribution</t>
  </si>
  <si>
    <t>(Rounds the number 1 to "3.21" decimal places!  The arguments were transposed.)</t>
  </si>
  <si>
    <t>Returns the error below. (Function as entered contains 3 argments, when it's supposed to only use 2.)</t>
  </si>
  <si>
    <t>*4</t>
  </si>
  <si>
    <t>Inspector ID</t>
  </si>
  <si>
    <t>text: mixed letters/number</t>
  </si>
  <si>
    <t>numbers</t>
  </si>
  <si>
    <t>yes</t>
  </si>
  <si>
    <t>no</t>
  </si>
  <si>
    <t>Work?</t>
  </si>
  <si>
    <t>text: #'s stored as text (cells formatted as text)</t>
  </si>
  <si>
    <t>Acts as a digit placeholder that displays significant zeros.  (Not to be confused with "Significant digits."  Significant zeros affect the value of the number.)</t>
  </si>
  <si>
    <t>#,,</t>
  </si>
  <si>
    <t>$* #,###</t>
  </si>
  <si>
    <t>accounting</t>
  </si>
  <si>
    <t>currency</t>
  </si>
  <si>
    <t>_($* #,##0_);_($* (#,##0);_($* "-"_);_(@_)</t>
  </si>
  <si>
    <t>Full Custom Format Equivalent</t>
  </si>
  <si>
    <t>left justitifed</t>
  </si>
  <si>
    <t>right justitifed</t>
  </si>
  <si>
    <t>-currency</t>
  </si>
  <si>
    <t>(currency)</t>
  </si>
  <si>
    <t xml:space="preserve">currency </t>
  </si>
  <si>
    <t>no symbol</t>
  </si>
  <si>
    <t>_(* #,##0_);_(* (#,##0);_(* "-"_);_(@_)</t>
  </si>
  <si>
    <t>$#,##0</t>
  </si>
  <si>
    <t>$#,##0;[Red]$#,##0</t>
  </si>
  <si>
    <t>$#,##0_);($#,##0)</t>
  </si>
  <si>
    <t>$#,##0_);[Red]($#,##0)</t>
  </si>
  <si>
    <t># Size equal to value in cell</t>
  </si>
  <si>
    <t>COUNTIF w/ cell refs</t>
  </si>
  <si>
    <t>Code</t>
  </si>
  <si>
    <t>Displayed as</t>
  </si>
  <si>
    <t>General</t>
  </si>
  <si>
    <t>#,##0</t>
  </si>
  <si>
    <t>#,##0.00</t>
  </si>
  <si>
    <t>#,##0_);(#,##0)</t>
  </si>
  <si>
    <t>#,##0_);[Red](#,##0)</t>
  </si>
  <si>
    <t>#,##0.00_);(#,##0.00)</t>
  </si>
  <si>
    <t>#,##0.00_);[Red](#,##0.00)</t>
  </si>
  <si>
    <t>0,000</t>
  </si>
  <si>
    <t>0,000.00</t>
  </si>
  <si>
    <t>Acts as a digit placeholder that displays both significant and insignificant zeros.  (Insignificant zeros don't change the actual value of the number.)</t>
  </si>
  <si>
    <t>Acts as a digit placeholder that does not display insignificant digits but that does hold a place so decimal points align</t>
  </si>
  <si>
    <t>Indicates repetition of the following character enough times to fill the column to its complete width</t>
  </si>
  <si>
    <t>Indicates to skip the width of the next character; frequently used with () to make sure positive numbers align with negative numbers displayed with ()</t>
  </si>
  <si>
    <r>
      <rPr>
        <sz val="10"/>
        <rFont val="Arial"/>
        <family val="2"/>
      </rPr>
      <t>Comparing the mean, mode, and median for a set of values reveals information about how the values are distributed--evenly around the mean or skewed to one end.  If two sets of data have the same mean but different standard deviations, the data might be more or less widely distributed or have an atypical distribution profile. Conversely, if two data sets have the same standard deviation but different mean values, the two sets of data are dissimilar, but vary in a similar manner.</t>
    </r>
    <r>
      <rPr>
        <sz val="8"/>
        <rFont val="Arial"/>
        <family val="2"/>
      </rPr>
      <t xml:space="preserve">
</t>
    </r>
  </si>
  <si>
    <r>
      <rPr>
        <sz val="10"/>
        <rFont val="Arial"/>
        <family val="2"/>
      </rPr>
      <t xml:space="preserve">A </t>
    </r>
    <r>
      <rPr>
        <b/>
        <sz val="10"/>
        <rFont val="Arial"/>
        <family val="2"/>
      </rPr>
      <t xml:space="preserve">Normal Distribution </t>
    </r>
    <r>
      <rPr>
        <sz val="10"/>
        <rFont val="Arial"/>
        <family val="2"/>
      </rPr>
      <t xml:space="preserve">shows an equal number of occurrences of data values above and below the arithmetic mean  A chart of a standard normal distribution forms the classic bell curve. When working with a large data set, the distribution of the curve indicates that the majority of the values often cluster near a central value, and the frequency of higher and lower values tapers off smoothly.
</t>
    </r>
  </si>
  <si>
    <r>
      <t xml:space="preserve">In a </t>
    </r>
    <r>
      <rPr>
        <b/>
        <sz val="10"/>
        <rFont val="Arial"/>
        <family val="2"/>
      </rPr>
      <t>Non-Normal Distribution</t>
    </r>
    <r>
      <rPr>
        <sz val="10"/>
        <rFont val="Arial"/>
        <family val="2"/>
      </rPr>
      <t>, the values are skewed to one end of the distrubution.  In the figure below, the data is not normally distributed--the arithmetic mean is not equal to the mode or median values. For example, the tail in this distribution indicates that a few values are at a high extreme above the median.</t>
    </r>
  </si>
  <si>
    <r>
      <t xml:space="preserve">Adjusting the number of decimal places using either the Decrease Decimal button or the Increase Decimal button simply alters the cell display, but </t>
    </r>
    <r>
      <rPr>
        <b/>
        <i/>
        <sz val="10"/>
        <rFont val="Arial"/>
        <family val="2"/>
      </rPr>
      <t>has no effect on the precision</t>
    </r>
    <r>
      <rPr>
        <sz val="10"/>
        <rFont val="Arial"/>
        <family val="2"/>
      </rPr>
      <t xml:space="preserve"> of the value stored in the cell.
</t>
    </r>
    <r>
      <rPr>
        <b/>
        <sz val="10"/>
        <rFont val="Arial"/>
        <family val="2"/>
      </rPr>
      <t>Rounding,</t>
    </r>
    <r>
      <rPr>
        <sz val="10"/>
        <rFont val="Arial"/>
        <family val="2"/>
      </rPr>
      <t xml:space="preserve"> unlike formatting, actually changes the precision of the data values stored.
</t>
    </r>
  </si>
  <si>
    <r>
      <rPr>
        <b/>
        <sz val="10"/>
        <rFont val="Arial"/>
        <family val="2"/>
      </rPr>
      <t>Freezing panes</t>
    </r>
    <r>
      <rPr>
        <sz val="10"/>
        <rFont val="Arial"/>
        <family val="2"/>
      </rPr>
      <t xml:space="preserve">—This technique always displays selected rows and/or columns while allowing others to scroll.  
To freeze column headings, select the row below the row(s) you want to remain visible when scrolling in the worksheet, then Freeze Panes.  
To freeze row headings, highlight the column to the right of the column(s) you want frozen, then Freeze Panes.
To freeze column AND row headings, click in a single cell below and to the right of the columns &amp; rows you want frozen, and then Freeze Panes.  Excel will then freeze the rows above and the columns to the left of the selected cell.
The </t>
    </r>
    <r>
      <rPr>
        <b/>
        <sz val="10"/>
        <rFont val="Arial"/>
        <family val="2"/>
      </rPr>
      <t>Unfreeze Panes</t>
    </r>
    <r>
      <rPr>
        <sz val="10"/>
        <rFont val="Arial"/>
        <family val="2"/>
      </rPr>
      <t xml:space="preserve"> command, also in the View menu, returns to normal scrolling.
</t>
    </r>
    <r>
      <rPr>
        <sz val="8"/>
        <rFont val="Arial"/>
        <family val="2"/>
      </rPr>
      <t xml:space="preserve">
</t>
    </r>
  </si>
  <si>
    <r>
      <rPr>
        <b/>
        <sz val="10"/>
        <rFont val="Arial"/>
        <family val="2"/>
      </rPr>
      <t>COUNTIF</t>
    </r>
    <r>
      <rPr>
        <sz val="10"/>
        <rFont val="Arial"/>
        <family val="2"/>
      </rPr>
      <t xml:space="preserve"> - Counts the number of items in a range that meet specified criteria
  =COUNTIF (range,criteria)
</t>
    </r>
    <r>
      <rPr>
        <b/>
        <sz val="10"/>
        <rFont val="Arial"/>
        <family val="2"/>
      </rPr>
      <t>Range</t>
    </r>
    <r>
      <rPr>
        <sz val="10"/>
        <rFont val="Arial"/>
        <family val="2"/>
      </rPr>
      <t xml:space="preserve"> - must be a contiguous set of cells (if you're trying to count items in a noncontigous range, use more than one function:  =COUNTIF(...) + COUNTIF(...))
</t>
    </r>
    <r>
      <rPr>
        <b/>
        <sz val="10"/>
        <rFont val="Arial"/>
        <family val="2"/>
      </rPr>
      <t>Criteria</t>
    </r>
    <r>
      <rPr>
        <sz val="10"/>
        <rFont val="Arial"/>
        <family val="2"/>
      </rPr>
      <t xml:space="preserve"> - is a “test” that data must meet in order to be counted in the grouping
</t>
    </r>
  </si>
  <si>
    <t xml:space="preserve">NOTE:  Criteria wildcards only work with text values.  They don't work with numbers!
</t>
  </si>
  <si>
    <t xml:space="preserve">Separately list inputs, especially those likely to change or that you might want to explore with “what-if” scenarios
If a large number of data inputs, place them on a separate worksheet or in a separate area on the same worksheet
</t>
  </si>
  <si>
    <r>
      <rPr>
        <b/>
        <sz val="8"/>
        <rFont val="Arial"/>
        <family val="2"/>
      </rPr>
      <t>Significant Zeros versus Signifcant Digits</t>
    </r>
    <r>
      <rPr>
        <sz val="8"/>
        <rFont val="Arial"/>
        <family val="2"/>
      </rPr>
      <t xml:space="preserve">
When discussing the formatting codes used for Excel's Custom Number Format, the textbook explains its view of "Significant Digits" on page 135.
However, the book’s explanation/definition doesn’t agree with what you’ve learned in science/math classes regarding “significant digits.”  Microsoft’s explanation of using # versus 0 in custom number formats can be found here: http://office.microsoft.com/en-us/excel/HP012165031033.aspx.  This explanation isn’t quite so contradictory, but may still tend to confuse people with regards to the commonly known meaning of “significant figures/digits” (http://en.wikipedia.org/wiki/Significant_figures).  
Microsoft refers to “insignificant zeros” meaning zeros that don’t change the value of the number.  But this isn’t the same as “insignificant digits.”  Please make note of this difference. 
</t>
    </r>
  </si>
  <si>
    <r>
      <rPr>
        <b/>
        <sz val="8"/>
        <rFont val="Arial"/>
        <family val="2"/>
      </rPr>
      <t>TIP:</t>
    </r>
    <r>
      <rPr>
        <sz val="8"/>
        <rFont val="Arial"/>
        <family val="2"/>
      </rPr>
      <t xml:space="preserve">  Would you like to see what Custom Format Codes are being used for some of the built-in  Number Formats (like accounting, currency, percentage, social security number, etc.)?  
First format the cell using the built-in Number Format.  Then  format the cell again and choose </t>
    </r>
    <r>
      <rPr>
        <b/>
        <sz val="8"/>
        <rFont val="Arial"/>
        <family val="2"/>
      </rPr>
      <t>Custom.</t>
    </r>
    <r>
      <rPr>
        <sz val="8"/>
        <rFont val="Arial"/>
        <family val="2"/>
      </rPr>
      <t xml:space="preserve">  The  built-in number format's "custom codes" will then be revealed for you to view/modify.
</t>
    </r>
  </si>
  <si>
    <t xml:space="preserve">Simulation is an analytical method that creates artificially generated data to imitate real data. The advantage of a simulation is that it can be easily calculated and recalculated to show different possible outcomes instead of the most probable outcome or even the extreme limits. A simulation based on randomly generating specific values that have an equal chance of appearing, such as numbers on a set of dice, is often referred to as a “Monte Carlo” simulation.
</t>
  </si>
  <si>
    <r>
      <rPr>
        <b/>
        <sz val="10"/>
        <rFont val="Arial"/>
        <family val="2"/>
      </rPr>
      <t>=ROUND(number, num_digits)</t>
    </r>
    <r>
      <rPr>
        <sz val="10"/>
        <rFont val="Arial"/>
        <family val="2"/>
      </rPr>
      <t xml:space="preserve">
</t>
    </r>
    <r>
      <rPr>
        <b/>
        <sz val="10"/>
        <rFont val="Arial"/>
        <family val="2"/>
      </rPr>
      <t>number</t>
    </r>
    <r>
      <rPr>
        <sz val="10"/>
        <rFont val="Arial"/>
        <family val="2"/>
      </rPr>
      <t xml:space="preserve"> —A single value that can be a constant, a cell reference where the cell contains a numerical value, or another formula that results in a single number value
</t>
    </r>
    <r>
      <rPr>
        <b/>
        <sz val="10"/>
        <rFont val="Arial"/>
        <family val="2"/>
      </rPr>
      <t>num_digits</t>
    </r>
    <r>
      <rPr>
        <sz val="10"/>
        <rFont val="Arial"/>
        <family val="2"/>
      </rPr>
      <t xml:space="preserve"> —The specified number of decimal places. For example, 0 rounds to the nearest whole number, 1 to the nearest tenth (0.1, 0.2, and so on), 2 to the nearest hundredth, and -2 to the nearest hundred (100, 200, and so on).</t>
    </r>
    <r>
      <rPr>
        <sz val="8"/>
        <rFont val="Arial"/>
        <family val="2"/>
      </rPr>
      <t xml:space="preserve">
</t>
    </r>
  </si>
  <si>
    <t>12139</t>
  </si>
  <si>
    <t>12140</t>
  </si>
  <si>
    <t>12142</t>
  </si>
  <si>
    <t>12144</t>
  </si>
  <si>
    <t>12145</t>
  </si>
  <si>
    <t>12146</t>
  </si>
  <si>
    <t>12148</t>
  </si>
  <si>
    <t>12149</t>
  </si>
  <si>
    <t>12154</t>
  </si>
  <si>
    <t>12156</t>
  </si>
  <si>
    <t>12160</t>
  </si>
  <si>
    <t>12161</t>
  </si>
  <si>
    <t>12162</t>
  </si>
  <si>
    <t>12136</t>
  </si>
  <si>
    <t>12137</t>
  </si>
  <si>
    <t>12138</t>
  </si>
  <si>
    <t>12141</t>
  </si>
  <si>
    <t>12143</t>
  </si>
  <si>
    <t>12147</t>
  </si>
  <si>
    <t>12150</t>
  </si>
  <si>
    <t>12151</t>
  </si>
  <si>
    <t>12152</t>
  </si>
  <si>
    <t>12153</t>
  </si>
  <si>
    <t>12155</t>
  </si>
  <si>
    <t>12157</t>
  </si>
  <si>
    <t>12158</t>
  </si>
  <si>
    <t>12159</t>
  </si>
  <si>
    <t>SUMIF (Hardcoded)</t>
  </si>
  <si>
    <t>SUMIF (Cell Reference)</t>
  </si>
  <si>
    <t>1215?</t>
  </si>
  <si>
    <t>Criteria 1</t>
  </si>
  <si>
    <t>Criteria 2</t>
  </si>
  <si>
    <t>SUMIFS</t>
  </si>
  <si>
    <t>&gt;=12150</t>
  </si>
  <si>
    <t>&lt;=12159</t>
  </si>
  <si>
    <t>&gt;=E</t>
  </si>
  <si>
    <t>&lt;&gt;A</t>
  </si>
  <si>
    <t>SUMIF + SUMIF</t>
  </si>
  <si>
    <t>Num_digits</t>
  </si>
  <si>
    <t>(although shown as %, Excel still looks as the actual number of decimal places)</t>
  </si>
  <si>
    <t>(rounds up away from 0)</t>
  </si>
  <si>
    <t>(rounds up away from 0, rounds down towards 0)</t>
  </si>
  <si>
    <t>(rounds down towards 0)</t>
  </si>
  <si>
    <t>(rounds down in the negative direction)</t>
  </si>
  <si>
    <t>(truncates towrds 0…lops off decimals)</t>
  </si>
  <si>
    <t>Freezing Panes in 2 Directions (Rows &amp; Columns)</t>
  </si>
  <si>
    <r>
      <rPr>
        <b/>
        <sz val="10"/>
        <rFont val="Arial"/>
        <family val="2"/>
      </rPr>
      <t>Splitting the window</t>
    </r>
    <r>
      <rPr>
        <sz val="10"/>
        <rFont val="Arial"/>
        <family val="2"/>
      </rPr>
      <t>—This technique separates the Excel window into two or more horizontal or vertical panes.  Allows you to scroll each portion individually, top/bottom and left/right, with separate scroll bars.
To view two parts of a worksheet simultaneously, firs tactivate teh Split via View, Split (Alt, w, s).  Then drag the split box in the direction you want the split to appear.  
To remove a split, double-click the split line (or press Alt, w, s to remove all splits).</t>
    </r>
  </si>
  <si>
    <r>
      <rPr>
        <b/>
        <sz val="10"/>
        <rFont val="Arial"/>
        <family val="2"/>
      </rPr>
      <t>Splitting the Window</t>
    </r>
    <r>
      <rPr>
        <sz val="10"/>
        <rFont val="Arial"/>
        <family val="2"/>
      </rPr>
      <t xml:space="preserve"> is handy for comparing two parts of the same worksheet.  (You could compare data for two different Mfg ID's side by side, or compare data in row 5 of a worksheet with data in row 1000 of the same worksheet.  However, Splitting the Window (or Splitting Panes) shoudn't be used when all you want to do is freeze column or row headings...that's a job for Freeze Panes.
(If you want to see something confusing, try Splitting the Windows horizontally and vertically...then use the scroll bar in each of the four window panes.) 
</t>
    </r>
  </si>
  <si>
    <r>
      <rPr>
        <b/>
        <sz val="10"/>
        <rFont val="Arial"/>
        <family val="2"/>
      </rPr>
      <t>New Window</t>
    </r>
    <r>
      <rPr>
        <sz val="10"/>
        <rFont val="Arial"/>
        <family val="2"/>
      </rPr>
      <t xml:space="preserve">
To simultanteously compare items on different worksheets, select View, New Window, (Alt, w, n) and then arrange the two window views side by side using View, View Side by Side (Alt, w, b). To view side by side horizontally versus vertically, select View, Arrange All (Alt, w, a....)
Note:  Activating "New Window" clears split panes...</t>
    </r>
  </si>
  <si>
    <t xml:space="preserve">The Paste Special dialog box contains all of the options provided for pasting copied cells, including several that are not available using the other paste methods described earlier:
 - Operation options, which allow you to paste values using one of four arithmetic operations--Add, Subtract, Multiply, and Divide.
 - The Skip Blanks option, which enables you to copy and paste a cell range that contains one or more blank cells.  The cell range into which the copied cells are pasted retains its original values for any cells that correspond to the blank cells in the copied range; in other words, the blank cells are not pasted over any existing values in the range into which they are pasted.  </t>
  </si>
  <si>
    <t>Hiding Worksheets versus Workbooks</t>
  </si>
  <si>
    <r>
      <rPr>
        <b/>
        <sz val="10"/>
        <rFont val="Arial"/>
        <family val="2"/>
      </rPr>
      <t>=RANK(number, ref, order)</t>
    </r>
    <r>
      <rPr>
        <sz val="10"/>
        <rFont val="Arial"/>
        <family val="2"/>
      </rPr>
      <t xml:space="preserve">
The RANK function finds the ranking of the number in the values in ref, and sorts the ranked values in ascending or descending order. 
</t>
    </r>
    <r>
      <rPr>
        <b/>
        <sz val="10"/>
        <rFont val="Arial"/>
        <family val="2"/>
      </rPr>
      <t>number</t>
    </r>
    <r>
      <rPr>
        <sz val="10"/>
        <rFont val="Arial"/>
        <family val="2"/>
      </rPr>
      <t xml:space="preserve"> — A value you want to rank
</t>
    </r>
    <r>
      <rPr>
        <b/>
        <sz val="10"/>
        <rFont val="Arial"/>
        <family val="2"/>
      </rPr>
      <t>ref</t>
    </r>
    <r>
      <rPr>
        <sz val="10"/>
        <rFont val="Arial"/>
        <family val="2"/>
      </rPr>
      <t xml:space="preserve"> — The range of values to which the number is being compared
</t>
    </r>
    <r>
      <rPr>
        <b/>
        <sz val="10"/>
        <rFont val="Arial"/>
        <family val="2"/>
      </rPr>
      <t>order</t>
    </r>
    <r>
      <rPr>
        <sz val="10"/>
        <rFont val="Arial"/>
        <family val="2"/>
      </rPr>
      <t xml:space="preserve"> — The sort order; 0 or blank ranks the values in descending order (biggest # at the top), and a positive number ranks the values in ascending order (littlest # at the top)
This function is available for compatibility with Excel version 2007 and earlier.</t>
    </r>
  </si>
  <si>
    <r>
      <rPr>
        <b/>
        <sz val="10"/>
        <rFont val="Arial"/>
        <family val="2"/>
      </rPr>
      <t>=RANK.EQ(number, ref, order)</t>
    </r>
    <r>
      <rPr>
        <sz val="10"/>
        <rFont val="Arial"/>
        <family val="2"/>
      </rPr>
      <t xml:space="preserve">
The RANK.EQ function returns the rank of a number in a lists of numbers; its size relative to the tother values in the list; if more than one value has the same rank, the top rank of that set of values is returned.
</t>
    </r>
    <r>
      <rPr>
        <b/>
        <sz val="10"/>
        <rFont val="Arial"/>
        <family val="2"/>
      </rPr>
      <t>Number</t>
    </r>
    <r>
      <rPr>
        <sz val="10"/>
        <rFont val="Arial"/>
        <family val="2"/>
      </rPr>
      <t xml:space="preserve"> —  is the number for which you want to find the rank.
</t>
    </r>
    <r>
      <rPr>
        <b/>
        <sz val="10"/>
        <rFont val="Arial"/>
        <family val="2"/>
      </rPr>
      <t>Ref</t>
    </r>
    <r>
      <rPr>
        <sz val="10"/>
        <rFont val="Arial"/>
        <family val="2"/>
      </rPr>
      <t xml:space="preserve"> — The range of values to which the number is being compared
</t>
    </r>
    <r>
      <rPr>
        <b/>
        <sz val="10"/>
        <rFont val="Arial"/>
        <family val="2"/>
      </rPr>
      <t>Order</t>
    </r>
    <r>
      <rPr>
        <sz val="10"/>
        <rFont val="Arial"/>
        <family val="2"/>
      </rPr>
      <t xml:space="preserve"> — The sort order; 0 or blank ranks the values in descending order (biggest # at the top), and a positive number ranks the values in ascending order (littlest # at the top)
</t>
    </r>
  </si>
  <si>
    <t># Style A AND # Inspector ID starting with "a"</t>
  </si>
  <si>
    <t>COUNTIFS w/ cell refs</t>
  </si>
  <si>
    <t>Hardcoded COUNTIFS</t>
  </si>
  <si>
    <r>
      <rPr>
        <b/>
        <sz val="10"/>
        <rFont val="Arial"/>
        <family val="2"/>
      </rPr>
      <t>COUNTIFS</t>
    </r>
    <r>
      <rPr>
        <sz val="10"/>
        <rFont val="Arial"/>
        <family val="2"/>
      </rPr>
      <t xml:space="preserve">- Counts the number of items in a range that meet specified criteria
  =COUNTIFS (range,criteria)
</t>
    </r>
    <r>
      <rPr>
        <b/>
        <sz val="10"/>
        <rFont val="Arial"/>
        <family val="2"/>
      </rPr>
      <t>Range</t>
    </r>
    <r>
      <rPr>
        <sz val="10"/>
        <rFont val="Arial"/>
        <family val="2"/>
      </rPr>
      <t xml:space="preserve"> - must be a contiguous set of cells (if you're trying to count items in a noncontigous range, use more than one function:  =COUNTIFS(...) + COUNTIFS(...))
</t>
    </r>
    <r>
      <rPr>
        <b/>
        <sz val="10"/>
        <rFont val="Arial"/>
        <family val="2"/>
      </rPr>
      <t>Criteria</t>
    </r>
    <r>
      <rPr>
        <sz val="10"/>
        <rFont val="Arial"/>
        <family val="2"/>
      </rPr>
      <t xml:space="preserve"> - is a “test” that data must meet in order to be counted in the grouping
</t>
    </r>
  </si>
  <si>
    <r>
      <t xml:space="preserve">=SUMIF(...) / COUNTIF (...) was previously necessary since there was no AVERAGEIF (...) in older versions of Excel.
However, AVERAGEIF </t>
    </r>
    <r>
      <rPr>
        <b/>
        <i/>
        <sz val="10"/>
        <rFont val="Arial"/>
        <family val="2"/>
      </rPr>
      <t>does</t>
    </r>
    <r>
      <rPr>
        <sz val="10"/>
        <rFont val="Arial"/>
        <family val="2"/>
      </rPr>
      <t xml:space="preserve"> exist in Excel 2007 and later...so use AVERAGEIF instead of SUMIF / COUNTIF (as it makes for a much simpler formula!)
</t>
    </r>
  </si>
  <si>
    <t>Total</t>
  </si>
  <si>
    <t>NOTE the different order of arguments between SUMIF and SUMIFS!!!</t>
  </si>
  <si>
    <t>Understanding the Fundamentals of Statistics</t>
  </si>
  <si>
    <t>Maximum cost of a component:</t>
  </si>
  <si>
    <t>Minimum cost of a component:</t>
  </si>
  <si>
    <t xml:space="preserve">   Materials Average</t>
  </si>
  <si>
    <t xml:space="preserve">   Materials Total</t>
  </si>
  <si>
    <t># items</t>
  </si>
  <si>
    <t>Sole</t>
  </si>
  <si>
    <t>Back Support Cushion</t>
  </si>
  <si>
    <t>Toe Support Pad</t>
  </si>
  <si>
    <t>Toe Support Brace</t>
  </si>
  <si>
    <t>Laces</t>
  </si>
  <si>
    <t>Trim (applique set &amp; logo)</t>
  </si>
  <si>
    <t>Internal Arch Support</t>
  </si>
  <si>
    <t>Leather</t>
  </si>
  <si>
    <t>Component Average</t>
  </si>
  <si>
    <t>High Top</t>
  </si>
  <si>
    <t>Textured Leather</t>
  </si>
  <si>
    <t>Original Option</t>
  </si>
  <si>
    <t>Component</t>
  </si>
  <si>
    <t>TZEdge Material Analysis</t>
  </si>
  <si>
    <t>Calculating the Number of Values Using COUNT &amp; COUNTA</t>
  </si>
  <si>
    <t>countif</t>
  </si>
  <si>
    <t>Hidden</t>
  </si>
  <si>
    <t>Visibility</t>
  </si>
  <si>
    <t>UNC_DAYT_EXCEL_2.2.1_LECTURE_STATISTICS.mp4</t>
  </si>
  <si>
    <t>UNC_DAYT_EXCEL_2.2.2_LECTURE_CIRCULAR_REFERENCE_ERRORS.mp4</t>
  </si>
  <si>
    <t>UNC_DAYT_EXCEL_2.2.3_LECTURE_REF_ERROR_&amp;_PASTE_SPECIAL.mp4</t>
  </si>
  <si>
    <t>UNC_DAYT_EXCEL_2.2.4_LECTURE_FREEZING_PANES_IN_2_DIRECTIONS.mp4</t>
  </si>
  <si>
    <t>UNC_DAYT_EXCEL_2.2.5_LECTURE_SPLITTING_WINDOWS_&amp;_NEW_WINDOW.mp4</t>
  </si>
  <si>
    <t>UNC_DAYT_EXCEL_2.3.1_LECTURE_RANK_RANK_EQ_RANK.AVG.mp4</t>
  </si>
  <si>
    <t>UNC_DAYT_EXCEL_2.3.2_LECTURE_LARGE_SMALL_RANDBETWEEN_RAND.mp4</t>
  </si>
  <si>
    <t>UNC_DAYT_EXCEL_2.3.3_LECTURE_MAKING_COUNT_&amp;_COUNTA_FLEXIBLE.mp4</t>
  </si>
  <si>
    <t>UNC_DAYT_EXCEL_2.3.4_LECTURE_COUNTIF_&amp;_CRITERIA_WILDCARDS.mp4</t>
  </si>
  <si>
    <t>UNC_DAYT_EXCEL_2.3.5_LECTURE_COUNTIFS_SUMIF_SUMIFS.mp4</t>
  </si>
  <si>
    <t>Video Link</t>
  </si>
  <si>
    <t xml:space="preserve">Other than when using a cell reference or a single value in a criteria range, you'll notice that the criteria is included within quotation marks.  For example, "&lt;&gt;0" is a valid criteria entry, while &lt;&gt;0 (without quotes) is not a valid criteria. The criteria is treated as a (text) string, which is why the quotes are necessary.
When entering a single number (or a cell reference), quotes are not necessary.  The criteria could be 0  Another example of a criteria would be “&lt;&gt;”&amp;M25.    (This is an example of the flexibility possible with the criteria being treated as a text string."  M25 could contain a 0, or any other number.  If M25 contained the value 0, this would be equivalent to using the criteria: “&lt;&gt;0”.
</t>
  </si>
  <si>
    <t>( ...using " ", &amp;, cell reference in criteria)</t>
  </si>
  <si>
    <r>
      <rPr>
        <sz val="10"/>
        <rFont val="Arial"/>
        <family val="2"/>
      </rPr>
      <t xml:space="preserve">The SUMIF function adds all the values in a range that meet specified criteria. 
</t>
    </r>
    <r>
      <rPr>
        <b/>
        <sz val="10"/>
        <rFont val="Arial"/>
        <family val="2"/>
      </rPr>
      <t>=SUMIF</t>
    </r>
    <r>
      <rPr>
        <sz val="10"/>
        <rFont val="Arial"/>
        <family val="2"/>
      </rPr>
      <t xml:space="preserve">(range, criteria, sum_range)
</t>
    </r>
    <r>
      <rPr>
        <b/>
        <sz val="10"/>
        <rFont val="Arial"/>
        <family val="2"/>
      </rPr>
      <t>range</t>
    </r>
    <r>
      <rPr>
        <sz val="10"/>
        <rFont val="Arial"/>
        <family val="2"/>
      </rPr>
      <t xml:space="preserve">--Identifies the cell range where the criteria is located
</t>
    </r>
    <r>
      <rPr>
        <b/>
        <sz val="10"/>
        <rFont val="Arial"/>
        <family val="2"/>
      </rPr>
      <t>criteria</t>
    </r>
    <r>
      <rPr>
        <sz val="10"/>
        <rFont val="Arial"/>
        <family val="2"/>
      </rPr>
      <t xml:space="preserve">--Specifies which values should be selected
</t>
    </r>
    <r>
      <rPr>
        <b/>
        <sz val="10"/>
        <rFont val="Arial"/>
        <family val="2"/>
      </rPr>
      <t>sum_range</t>
    </r>
    <r>
      <rPr>
        <sz val="10"/>
        <rFont val="Arial"/>
        <family val="2"/>
      </rPr>
      <t>--Identifies the corresponding cell range to sum if the specified criteria have been met in the range established by the range argument. If the sum_range argument is omitted, the function adds the values in the range indicated by the first argument.</t>
    </r>
    <r>
      <rPr>
        <sz val="8"/>
        <rFont val="Arial"/>
        <family val="2"/>
      </rPr>
      <t xml:space="preserve">
</t>
    </r>
  </si>
  <si>
    <t>0000</t>
  </si>
  <si>
    <t>0.0,,"m"</t>
  </si>
  <si>
    <t>0.000,,"m"</t>
  </si>
  <si>
    <t>0,,"m"</t>
  </si>
  <si>
    <t>#,##0,"k"</t>
  </si>
  <si>
    <t>#,##0.0,"k"</t>
  </si>
  <si>
    <t>#,##0.00,"k"</t>
  </si>
  <si>
    <t>Show data in "thousands" or "millions"</t>
  </si>
  <si>
    <t>Custom Number Format Examples</t>
  </si>
  <si>
    <t>Simulated</t>
  </si>
  <si>
    <t>Probable Costs</t>
  </si>
  <si>
    <t>Video Length</t>
  </si>
  <si>
    <t>Segment</t>
  </si>
  <si>
    <t>Statistical Functions</t>
  </si>
  <si>
    <t>Statistical Analysis</t>
  </si>
  <si>
    <t xml:space="preserve">She needs to use only the rounded values to calculate statistics. However, this presents a number of problems:
 - If she deletes column G and uses column H as the Torsion Strength values instead, Excel will display a #REF! error in column H because its cells contain formulas that refer to column G. 
 - If she copies cells in column H and pastes them in column G using the Paste button on the Formatting toolbar, Excel pastes the contents, including formulas and formatting. Because the formulas in the copied cells include relative references to cells in column G, Excel adjusts the cell references so that =ROUND(G9,2) becomes =ROUND(F9,2), which rounds the Friction Coefficient values instead of the Torsion Strength values. 
 - If she uses an absolute reference to column G, such as =ROUND($G9,2), she will cause a circular reference error when she copies the cells from column H to column G. 
</t>
  </si>
  <si>
    <r>
      <rPr>
        <b/>
        <sz val="10"/>
        <rFont val="Arial"/>
        <family val="2"/>
      </rPr>
      <t>=RANK.AVG(number, ref, order)</t>
    </r>
    <r>
      <rPr>
        <sz val="10"/>
        <rFont val="Arial"/>
        <family val="2"/>
      </rPr>
      <t xml:space="preserve">
The RANK.AVG function returns the rank of a number in a lists of numbers; its size relative to the tother values in the list; if more than one value has the same rank, the average rank is returned.
</t>
    </r>
    <r>
      <rPr>
        <b/>
        <sz val="10"/>
        <rFont val="Arial"/>
        <family val="2"/>
      </rPr>
      <t>Number</t>
    </r>
    <r>
      <rPr>
        <sz val="10"/>
        <rFont val="Arial"/>
        <family val="2"/>
      </rPr>
      <t xml:space="preserve"> —  is the number for which you want to find the rank.
</t>
    </r>
    <r>
      <rPr>
        <b/>
        <sz val="10"/>
        <rFont val="Arial"/>
        <family val="2"/>
      </rPr>
      <t>Ref</t>
    </r>
    <r>
      <rPr>
        <sz val="10"/>
        <rFont val="Arial"/>
        <family val="2"/>
      </rPr>
      <t xml:space="preserve"> — The range of values to which the number is being compared
</t>
    </r>
    <r>
      <rPr>
        <b/>
        <sz val="10"/>
        <rFont val="Arial"/>
        <family val="2"/>
      </rPr>
      <t>Order</t>
    </r>
    <r>
      <rPr>
        <sz val="10"/>
        <rFont val="Arial"/>
        <family val="2"/>
      </rPr>
      <t xml:space="preserve"> — The sort order; 0 or blank ranks the values in descending order (biggest # at the top), and a positive number ranks the values in ascending order (littlest # at the top)</t>
    </r>
  </si>
  <si>
    <t xml:space="preserve">RANK.AVG Torsion Strength </t>
  </si>
  <si>
    <t xml:space="preserve">RANK.EQ Torsion Strength </t>
  </si>
  <si>
    <t xml:space="preserve">RANK Torsion Strength </t>
  </si>
  <si>
    <t>RANK Friction Coefficient</t>
  </si>
  <si>
    <t>=K13+L13</t>
  </si>
  <si>
    <t>=J13+K13</t>
  </si>
  <si>
    <t>=J11+K11+L11</t>
  </si>
  <si>
    <t>Total Video Length</t>
  </si>
  <si>
    <t>Worksheet Title /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</si>
</sst>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4">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 numFmtId="165" formatCode="&quot;$&quot;0.00&quot;/hr-labor&quot;"/>
    <numFmt numFmtId="166" formatCode="_(* #,##0.0_);_(* \(#,##0.0\);_(* &quot;-&quot;??_);_(@_)"/>
    <numFmt numFmtId="167" formatCode="0.0"/>
    <numFmt numFmtId="168" formatCode="_(* #,##0.00_);_(* \(#,##0.00\);_(* &quot;0&quot;_);_(@_)"/>
    <numFmt numFmtId="169" formatCode="_(* #,##0_);_(* \(#,##0\);_(* &quot;-&quot;??_);_(@_)"/>
    <numFmt numFmtId="170" formatCode="&quot;Top &quot;General&quot; (Highest)&quot;"/>
    <numFmt numFmtId="171" formatCode="&quot;$&quot;#,##0.00"/>
    <numFmt numFmtId="172" formatCode="####.#"/>
    <numFmt numFmtId="173" formatCode="0.00?"/>
    <numFmt numFmtId="174" formatCode="#%"/>
    <numFmt numFmtId="175" formatCode="#,###"/>
    <numFmt numFmtId="176" formatCode="&quot;$&quot;* 00.00"/>
    <numFmt numFmtId="177" formatCode="_(&quot;$&quot;* #,###_);\(&quot;$&quot;* #,###\)"/>
    <numFmt numFmtId="178" formatCode="00.00\ &quot;$/hr&quot;"/>
    <numFmt numFmtId="179" formatCode="General\ &quot;$/hr&quot;"/>
    <numFmt numFmtId="180" formatCode="&quot;$&quot;@"/>
    <numFmt numFmtId="181" formatCode="m/d/yyyy\ h:mm\ AM/PM"/>
    <numFmt numFmtId="182" formatCode="#,,"/>
    <numFmt numFmtId="183" formatCode="&quot;$&quot;* #,###;\(&quot;$&quot;* #,###\)"/>
    <numFmt numFmtId="184" formatCode="&quot;$&quot;#,##0"/>
    <numFmt numFmtId="185" formatCode="&quot;$&quot;#,##0;[Red]&quot;$&quot;#,##0"/>
    <numFmt numFmtId="186" formatCode="#.###"/>
    <numFmt numFmtId="187" formatCode="#"/>
    <numFmt numFmtId="188" formatCode="0,000.00"/>
    <numFmt numFmtId="189" formatCode="0,000"/>
    <numFmt numFmtId="190" formatCode="0.0000%"/>
    <numFmt numFmtId="191" formatCode="_(* #,##0.00_);_(* \(#,##0.00\);_(* &quot;-&quot;_);_(@_)"/>
    <numFmt numFmtId="192" formatCode="0000"/>
    <numFmt numFmtId="193" formatCode="0.0,,&quot;m&quot;"/>
    <numFmt numFmtId="194" formatCode="0.000,,&quot;m&quot;"/>
    <numFmt numFmtId="195" formatCode="0,,&quot;m&quot;"/>
    <numFmt numFmtId="196" formatCode="#,##0,&quot;k&quot;"/>
    <numFmt numFmtId="197" formatCode="#,##0.0,&quot;k&quot;"/>
    <numFmt numFmtId="198" formatCode="#,##0.00,&quot;k&quot;"/>
    <numFmt numFmtId="199" formatCode="[&lt;0.0415]m&quot;m&quot;\ s&quot;s&quot;;[h]&quot;h&quot;\ m&quot;m&quot;\ s&quot;s&quot;;@"/>
    <numFmt numFmtId="200" formatCode="[&lt;0.0415]m&quot;min&quot;\ s&quot;sec&quot;;[h]&quot;hr&quot;\ m&quot;min&quot;\ s&quot;sec&quot;;@"/>
  </numFmts>
  <fonts count="50" x14ac:knownFonts="1">
    <font>
      <sz val="10"/>
      <name val="Arial"/>
    </font>
    <font>
      <sz val="11"/>
      <color theme="1"/>
      <name val="Calibri"/>
      <family val="2"/>
      <scheme val="minor"/>
    </font>
    <font>
      <sz val="10"/>
      <name val="Arial"/>
      <family val="2"/>
    </font>
    <font>
      <sz val="8"/>
      <name val="Arial"/>
      <family val="2"/>
    </font>
    <font>
      <b/>
      <sz val="12"/>
      <name val="Times New Roman"/>
      <family val="1"/>
    </font>
    <font>
      <b/>
      <i/>
      <sz val="12"/>
      <name val="Arial"/>
      <family val="2"/>
    </font>
    <font>
      <sz val="12"/>
      <name val="Times New Roman"/>
      <family val="1"/>
    </font>
    <font>
      <b/>
      <i/>
      <sz val="8"/>
      <name val="Arial"/>
      <family val="2"/>
    </font>
    <font>
      <b/>
      <sz val="10"/>
      <name val="Arial"/>
      <family val="2"/>
    </font>
    <font>
      <b/>
      <i/>
      <sz val="10"/>
      <name val="Arial"/>
      <family val="2"/>
    </font>
    <font>
      <sz val="10"/>
      <name val="Arial"/>
      <family val="2"/>
    </font>
    <font>
      <b/>
      <sz val="14"/>
      <name val="Arial"/>
      <family val="2"/>
    </font>
    <font>
      <b/>
      <sz val="14"/>
      <name val="Arial"/>
      <family val="2"/>
    </font>
    <font>
      <sz val="10"/>
      <name val="Arial"/>
      <family val="2"/>
    </font>
    <font>
      <sz val="8"/>
      <color indexed="81"/>
      <name val="Tahoma"/>
      <family val="2"/>
    </font>
    <font>
      <u/>
      <sz val="10"/>
      <color indexed="12"/>
      <name val="Arial"/>
      <family val="2"/>
    </font>
    <font>
      <vertAlign val="superscript"/>
      <sz val="10"/>
      <name val="Arial"/>
      <family val="2"/>
    </font>
    <font>
      <b/>
      <sz val="8"/>
      <color indexed="81"/>
      <name val="Tahoma"/>
      <family val="2"/>
    </font>
    <font>
      <sz val="10"/>
      <color indexed="81"/>
      <name val="Tahoma"/>
      <family val="2"/>
    </font>
    <font>
      <i/>
      <sz val="8"/>
      <color indexed="81"/>
      <name val="Tahoma"/>
      <family val="2"/>
    </font>
    <font>
      <b/>
      <i/>
      <sz val="8"/>
      <color indexed="81"/>
      <name val="Tahoma"/>
      <family val="2"/>
    </font>
    <font>
      <sz val="10"/>
      <name val="Arial"/>
      <family val="2"/>
    </font>
    <font>
      <sz val="10"/>
      <name val="Arial Narrow"/>
      <family val="2"/>
    </font>
    <font>
      <sz val="8"/>
      <name val="Arial Narrow"/>
      <family val="2"/>
    </font>
    <font>
      <b/>
      <sz val="8"/>
      <name val="Arial"/>
      <family val="2"/>
    </font>
    <font>
      <b/>
      <sz val="8"/>
      <name val="Arial"/>
      <family val="2"/>
    </font>
    <font>
      <b/>
      <sz val="8"/>
      <name val="Times New Roman"/>
      <family val="1"/>
    </font>
    <font>
      <b/>
      <i/>
      <sz val="8"/>
      <name val="Arial"/>
      <family val="2"/>
    </font>
    <font>
      <sz val="8"/>
      <name val="Arial"/>
      <family val="2"/>
    </font>
    <font>
      <sz val="10"/>
      <color indexed="12"/>
      <name val="Arial"/>
      <family val="2"/>
    </font>
    <font>
      <sz val="8"/>
      <color rgb="FFFF0000"/>
      <name val="Arial"/>
      <family val="2"/>
    </font>
    <font>
      <sz val="8"/>
      <color rgb="FF0070C0"/>
      <name val="Arial"/>
      <family val="2"/>
    </font>
    <font>
      <b/>
      <sz val="12"/>
      <name val="Arial"/>
      <family val="2"/>
    </font>
    <font>
      <sz val="10"/>
      <color rgb="FF0000FF"/>
      <name val="Arial"/>
      <family val="2"/>
    </font>
    <font>
      <sz val="8"/>
      <color rgb="FF0000FF"/>
      <name val="Arial"/>
      <family val="2"/>
    </font>
    <font>
      <b/>
      <i/>
      <sz val="10"/>
      <color indexed="8"/>
      <name val="Arial"/>
      <family val="2"/>
    </font>
    <font>
      <sz val="10"/>
      <color indexed="8"/>
      <name val="Arial"/>
      <family val="2"/>
    </font>
    <font>
      <sz val="9"/>
      <color indexed="81"/>
      <name val="Tahoma"/>
      <family val="2"/>
    </font>
    <font>
      <b/>
      <sz val="9"/>
      <color indexed="81"/>
      <name val="Tahoma"/>
      <family val="2"/>
    </font>
    <font>
      <sz val="10"/>
      <name val="Arial"/>
      <family val="2"/>
    </font>
    <font>
      <sz val="10"/>
      <color rgb="FF0070C0"/>
      <name val="Arial"/>
      <family val="2"/>
    </font>
    <font>
      <b/>
      <i/>
      <sz val="8"/>
      <color rgb="FF0070C0"/>
      <name val="Arial"/>
      <family val="2"/>
    </font>
    <font>
      <sz val="10"/>
      <color rgb="FF0033CC"/>
      <name val="Arial"/>
      <family val="2"/>
    </font>
    <font>
      <sz val="8"/>
      <color theme="1"/>
      <name val="Arial"/>
      <family val="2"/>
    </font>
    <font>
      <b/>
      <sz val="8"/>
      <color theme="1"/>
      <name val="Arial Narrow"/>
      <family val="2"/>
    </font>
    <font>
      <b/>
      <u/>
      <sz val="10"/>
      <color indexed="12"/>
      <name val="Arial"/>
      <family val="2"/>
    </font>
    <font>
      <u/>
      <sz val="10"/>
      <color rgb="FF3333FF"/>
      <name val="Arial"/>
      <family val="2"/>
    </font>
    <font>
      <b/>
      <u/>
      <sz val="10"/>
      <color rgb="FF3333FF"/>
      <name val="Arial"/>
      <family val="2"/>
    </font>
    <font>
      <b/>
      <sz val="10"/>
      <color indexed="8"/>
      <name val="Arial"/>
      <family val="2"/>
    </font>
    <font>
      <b/>
      <u/>
      <sz val="10"/>
      <name val="Arial"/>
      <family val="2"/>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22"/>
        <bgColor indexed="64"/>
      </patternFill>
    </fill>
    <fill>
      <patternFill patternType="solid">
        <fgColor indexed="13"/>
        <bgColor indexed="64"/>
      </patternFill>
    </fill>
    <fill>
      <patternFill patternType="solid">
        <fgColor indexed="43"/>
        <bgColor indexed="64"/>
      </patternFill>
    </fill>
    <fill>
      <patternFill patternType="solid">
        <fgColor indexed="65"/>
        <bgColor indexed="64"/>
      </patternFill>
    </fill>
    <fill>
      <patternFill patternType="solid">
        <fgColor theme="0" tint="-0.14999847407452621"/>
        <bgColor indexed="64"/>
      </patternFill>
    </fill>
    <fill>
      <patternFill patternType="solid">
        <fgColor rgb="FFFFFFCC"/>
      </patternFill>
    </fill>
    <fill>
      <patternFill patternType="solid">
        <fgColor theme="4" tint="0.79998168889431442"/>
        <bgColor indexed="64"/>
      </patternFill>
    </fill>
    <fill>
      <patternFill patternType="solid">
        <fgColor rgb="FFFFFF00"/>
        <bgColor indexed="64"/>
      </patternFill>
    </fill>
    <fill>
      <patternFill patternType="solid">
        <fgColor rgb="FFFFCCCC"/>
        <bgColor indexed="64"/>
      </patternFill>
    </fill>
    <fill>
      <patternFill patternType="solid">
        <fgColor rgb="FFFFFFCC"/>
        <bgColor indexed="64"/>
      </patternFill>
    </fill>
  </fills>
  <borders count="44">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style="thin">
        <color rgb="FFB2B2B2"/>
      </left>
      <right/>
      <top/>
      <bottom/>
      <diagonal/>
    </border>
    <border>
      <left style="thin">
        <color indexed="64"/>
      </left>
      <right style="thin">
        <color indexed="64"/>
      </right>
      <top/>
      <bottom style="thin">
        <color indexed="64"/>
      </bottom>
      <diagonal/>
    </border>
  </borders>
  <cellStyleXfs count="17">
    <xf numFmtId="0" fontId="0" fillId="0" borderId="0"/>
    <xf numFmtId="43" fontId="2" fillId="0" borderId="0" applyFont="0" applyFill="0" applyBorder="0" applyAlignment="0" applyProtection="0"/>
    <xf numFmtId="44" fontId="2" fillId="0" borderId="0" applyFont="0" applyFill="0" applyBorder="0" applyAlignment="0" applyProtection="0"/>
    <xf numFmtId="7" fontId="10" fillId="0" borderId="0" applyFont="0" applyFill="0" applyBorder="0" applyAlignment="0" applyProtection="0"/>
    <xf numFmtId="0" fontId="3" fillId="2" borderId="1" applyNumberFormat="0" applyFont="0" applyAlignment="0" applyProtection="0"/>
    <xf numFmtId="0" fontId="15" fillId="0" borderId="0" applyNumberFormat="0" applyFill="0" applyBorder="0" applyAlignment="0" applyProtection="0">
      <alignment vertical="top"/>
      <protection locked="0"/>
    </xf>
    <xf numFmtId="0" fontId="2" fillId="3" borderId="1" applyNumberFormat="0" applyFont="0" applyBorder="0" applyAlignment="0" applyProtection="0">
      <alignment horizontal="right"/>
    </xf>
    <xf numFmtId="0" fontId="10" fillId="0" borderId="0"/>
    <xf numFmtId="0" fontId="2" fillId="4" borderId="1" applyNumberFormat="0" applyFont="0" applyBorder="0" applyAlignment="0" applyProtection="0"/>
    <xf numFmtId="9" fontId="2" fillId="0" borderId="0" applyFont="0" applyFill="0" applyBorder="0" applyAlignment="0" applyProtection="0"/>
    <xf numFmtId="0" fontId="12" fillId="0" borderId="0" applyNumberFormat="0" applyFill="0" applyBorder="0" applyAlignment="0" applyProtection="0">
      <alignment horizontal="centerContinuous"/>
    </xf>
    <xf numFmtId="0" fontId="1" fillId="0" borderId="0"/>
    <xf numFmtId="0" fontId="2" fillId="9" borderId="40" applyNumberFormat="0" applyFont="0" applyProtection="0">
      <alignment horizontal="left" vertical="top" wrapText="1"/>
    </xf>
    <xf numFmtId="41" fontId="39" fillId="0" borderId="0" applyFont="0" applyFill="0" applyBorder="0" applyAlignment="0" applyProtection="0"/>
    <xf numFmtId="0" fontId="2" fillId="0" borderId="0"/>
    <xf numFmtId="0" fontId="8" fillId="10" borderId="0" applyNumberFormat="0" applyFont="0" applyBorder="0" applyAlignment="0" applyProtection="0"/>
    <xf numFmtId="0" fontId="11" fillId="0" borderId="0" applyNumberFormat="0" applyFill="0" applyBorder="0" applyAlignment="0" applyProtection="0">
      <alignment horizontal="centerContinuous"/>
    </xf>
  </cellStyleXfs>
  <cellXfs count="597">
    <xf numFmtId="0" fontId="0" fillId="0" borderId="0" xfId="0"/>
    <xf numFmtId="0" fontId="3" fillId="0" borderId="0" xfId="0" applyFont="1" applyAlignment="1">
      <alignment horizontal="centerContinuous"/>
    </xf>
    <xf numFmtId="0" fontId="11" fillId="0" borderId="0" xfId="0" applyFont="1" applyAlignment="1">
      <alignment horizontal="centerContinuous"/>
    </xf>
    <xf numFmtId="0" fontId="0" fillId="0" borderId="0" xfId="0" applyAlignment="1">
      <alignment horizontal="centerContinuous"/>
    </xf>
    <xf numFmtId="0" fontId="3" fillId="0" borderId="0" xfId="0" applyFont="1"/>
    <xf numFmtId="0" fontId="2" fillId="0" borderId="2" xfId="0" applyFont="1" applyBorder="1" applyAlignment="1">
      <alignment horizontal="center" wrapText="1"/>
    </xf>
    <xf numFmtId="0" fontId="3" fillId="0" borderId="0" xfId="0" applyFont="1" applyAlignment="1">
      <alignment horizontal="center"/>
    </xf>
    <xf numFmtId="0" fontId="2" fillId="0" borderId="3" xfId="0" applyFont="1" applyBorder="1"/>
    <xf numFmtId="0" fontId="2" fillId="0" borderId="0" xfId="0" applyFont="1" applyBorder="1" applyAlignment="1">
      <alignment horizontal="center"/>
    </xf>
    <xf numFmtId="14" fontId="2" fillId="0" borderId="0" xfId="0" applyNumberFormat="1" applyFont="1" applyBorder="1"/>
    <xf numFmtId="43" fontId="2" fillId="0" borderId="0" xfId="1" applyFont="1" applyBorder="1"/>
    <xf numFmtId="0" fontId="2" fillId="0" borderId="5" xfId="0" applyFont="1" applyBorder="1"/>
    <xf numFmtId="0" fontId="2" fillId="0" borderId="8" xfId="0" applyFont="1" applyBorder="1"/>
    <xf numFmtId="0" fontId="2" fillId="0" borderId="9" xfId="0" applyFont="1" applyBorder="1" applyAlignment="1">
      <alignment horizontal="center"/>
    </xf>
    <xf numFmtId="14" fontId="2" fillId="0" borderId="9" xfId="0" applyNumberFormat="1" applyFont="1" applyBorder="1"/>
    <xf numFmtId="43" fontId="2" fillId="0" borderId="9" xfId="1" applyFont="1" applyBorder="1"/>
    <xf numFmtId="0" fontId="2" fillId="0" borderId="0" xfId="0" applyFont="1"/>
    <xf numFmtId="0" fontId="2" fillId="0" borderId="9" xfId="0" applyFont="1" applyBorder="1"/>
    <xf numFmtId="43" fontId="2" fillId="0" borderId="9" xfId="0" applyNumberFormat="1" applyFont="1" applyBorder="1"/>
    <xf numFmtId="43" fontId="2" fillId="0" borderId="10" xfId="0" applyNumberFormat="1" applyFont="1" applyBorder="1"/>
    <xf numFmtId="0" fontId="2" fillId="0" borderId="0" xfId="0" applyFont="1" applyBorder="1"/>
    <xf numFmtId="43" fontId="2" fillId="0" borderId="0" xfId="0" applyNumberFormat="1" applyFont="1" applyBorder="1"/>
    <xf numFmtId="43" fontId="2" fillId="0" borderId="4" xfId="0" applyNumberFormat="1" applyFont="1" applyBorder="1"/>
    <xf numFmtId="0" fontId="2" fillId="0" borderId="6" xfId="0" applyFont="1" applyBorder="1"/>
    <xf numFmtId="43" fontId="2" fillId="0" borderId="6" xfId="0" applyNumberFormat="1" applyFont="1" applyBorder="1"/>
    <xf numFmtId="43" fontId="2" fillId="0" borderId="7" xfId="0" applyNumberFormat="1" applyFont="1" applyBorder="1"/>
    <xf numFmtId="0" fontId="0" fillId="0" borderId="11" xfId="0" applyBorder="1"/>
    <xf numFmtId="0" fontId="0" fillId="0" borderId="2" xfId="0" applyFill="1" applyBorder="1"/>
    <xf numFmtId="2" fontId="0" fillId="0" borderId="2" xfId="0" applyNumberFormat="1" applyBorder="1"/>
    <xf numFmtId="164" fontId="0" fillId="0" borderId="2" xfId="0" applyNumberFormat="1" applyBorder="1"/>
    <xf numFmtId="10" fontId="2" fillId="0" borderId="2" xfId="9" applyNumberFormat="1" applyBorder="1"/>
    <xf numFmtId="10" fontId="2" fillId="0" borderId="12" xfId="9" applyNumberFormat="1" applyBorder="1"/>
    <xf numFmtId="0" fontId="0" fillId="0" borderId="13" xfId="0" applyBorder="1" applyAlignment="1">
      <alignment wrapText="1"/>
    </xf>
    <xf numFmtId="2" fontId="0" fillId="0" borderId="14" xfId="0" applyNumberFormat="1" applyBorder="1"/>
    <xf numFmtId="164" fontId="0" fillId="0" borderId="14" xfId="0" applyNumberFormat="1" applyBorder="1"/>
    <xf numFmtId="10" fontId="2" fillId="0" borderId="14" xfId="9" applyNumberFormat="1" applyBorder="1"/>
    <xf numFmtId="0" fontId="0" fillId="0" borderId="14" xfId="0" applyFill="1" applyBorder="1"/>
    <xf numFmtId="10" fontId="2" fillId="0" borderId="15" xfId="9" applyNumberFormat="1" applyBorder="1"/>
    <xf numFmtId="0" fontId="3" fillId="0" borderId="3" xfId="0" applyFont="1" applyBorder="1"/>
    <xf numFmtId="0" fontId="3" fillId="0" borderId="5" xfId="0" applyFont="1" applyBorder="1"/>
    <xf numFmtId="0" fontId="3" fillId="0" borderId="0" xfId="0" applyFont="1" applyBorder="1"/>
    <xf numFmtId="0" fontId="7" fillId="0" borderId="0" xfId="0" applyFont="1" applyBorder="1"/>
    <xf numFmtId="44" fontId="7" fillId="0" borderId="0" xfId="2" applyFont="1" applyBorder="1"/>
    <xf numFmtId="0" fontId="0" fillId="0" borderId="16" xfId="0" applyBorder="1"/>
    <xf numFmtId="0" fontId="0" fillId="0" borderId="17" xfId="0" applyBorder="1"/>
    <xf numFmtId="43" fontId="2" fillId="0" borderId="17" xfId="1" applyBorder="1"/>
    <xf numFmtId="43" fontId="2" fillId="0" borderId="20" xfId="1" applyBorder="1"/>
    <xf numFmtId="0" fontId="0" fillId="0" borderId="21" xfId="0" applyBorder="1"/>
    <xf numFmtId="43" fontId="2" fillId="0" borderId="22" xfId="1" applyBorder="1"/>
    <xf numFmtId="0" fontId="3" fillId="0" borderId="8" xfId="0" applyFont="1" applyBorder="1"/>
    <xf numFmtId="0" fontId="9" fillId="0" borderId="23" xfId="0" applyFont="1" applyBorder="1"/>
    <xf numFmtId="0" fontId="3" fillId="0" borderId="1" xfId="0" applyFont="1" applyBorder="1"/>
    <xf numFmtId="0" fontId="2" fillId="0" borderId="1" xfId="0" applyFont="1" applyBorder="1"/>
    <xf numFmtId="0" fontId="10" fillId="0" borderId="0" xfId="0" applyFont="1"/>
    <xf numFmtId="0" fontId="10" fillId="0" borderId="0" xfId="0" applyFont="1" applyFill="1" applyBorder="1"/>
    <xf numFmtId="0" fontId="10" fillId="0" borderId="0" xfId="0" applyFont="1" applyFill="1" applyBorder="1" applyAlignment="1">
      <alignment horizontal="center"/>
    </xf>
    <xf numFmtId="167" fontId="10" fillId="0" borderId="0" xfId="0" applyNumberFormat="1" applyFont="1" applyFill="1" applyBorder="1"/>
    <xf numFmtId="0" fontId="10" fillId="0" borderId="0" xfId="0" applyFont="1" applyAlignment="1">
      <alignment horizontal="center"/>
    </xf>
    <xf numFmtId="44" fontId="10" fillId="0" borderId="0" xfId="2" applyFont="1" applyFill="1" applyBorder="1"/>
    <xf numFmtId="43" fontId="10" fillId="0" borderId="0" xfId="2" applyNumberFormat="1" applyFont="1" applyFill="1" applyBorder="1"/>
    <xf numFmtId="0" fontId="10" fillId="0" borderId="0" xfId="0" applyFont="1" applyBorder="1"/>
    <xf numFmtId="2" fontId="10" fillId="0" borderId="0" xfId="0" applyNumberFormat="1" applyFont="1" applyBorder="1"/>
    <xf numFmtId="44" fontId="10" fillId="0" borderId="20" xfId="2" applyFont="1" applyBorder="1"/>
    <xf numFmtId="0" fontId="10" fillId="0" borderId="24" xfId="0" applyFont="1" applyBorder="1"/>
    <xf numFmtId="2" fontId="10" fillId="0" borderId="24" xfId="0" applyNumberFormat="1" applyFont="1" applyBorder="1"/>
    <xf numFmtId="0" fontId="0" fillId="0" borderId="26" xfId="0" applyBorder="1"/>
    <xf numFmtId="0" fontId="0" fillId="0" borderId="0" xfId="0" applyBorder="1"/>
    <xf numFmtId="44" fontId="2" fillId="0" borderId="20" xfId="2" applyBorder="1"/>
    <xf numFmtId="0" fontId="0" fillId="0" borderId="24" xfId="0" applyBorder="1"/>
    <xf numFmtId="44" fontId="0" fillId="0" borderId="0" xfId="0" applyNumberFormat="1" applyFill="1" applyBorder="1"/>
    <xf numFmtId="0" fontId="0" fillId="0" borderId="0" xfId="0" applyAlignment="1"/>
    <xf numFmtId="0" fontId="8" fillId="0" borderId="0" xfId="0" applyFont="1" applyAlignment="1">
      <alignment horizontal="left"/>
    </xf>
    <xf numFmtId="0" fontId="10" fillId="0" borderId="0" xfId="0" applyFont="1" applyAlignment="1">
      <alignment horizontal="left" indent="2"/>
    </xf>
    <xf numFmtId="0" fontId="8" fillId="7" borderId="28" xfId="0" applyFont="1" applyFill="1" applyBorder="1" applyAlignment="1">
      <alignment horizontal="center" vertical="top" wrapText="1"/>
    </xf>
    <xf numFmtId="0" fontId="8" fillId="7" borderId="19" xfId="0" applyFont="1" applyFill="1" applyBorder="1" applyAlignment="1">
      <alignment horizontal="center" vertical="top" wrapText="1"/>
    </xf>
    <xf numFmtId="0" fontId="8" fillId="0" borderId="28" xfId="0" applyFont="1" applyBorder="1" applyAlignment="1">
      <alignment vertical="top" wrapText="1"/>
    </xf>
    <xf numFmtId="0" fontId="10" fillId="0" borderId="19" xfId="0" applyFont="1" applyBorder="1" applyAlignment="1">
      <alignment vertical="top" wrapText="1"/>
    </xf>
    <xf numFmtId="0" fontId="8" fillId="0" borderId="29" xfId="0" applyFont="1" applyBorder="1" applyAlignment="1">
      <alignment vertical="top" wrapText="1"/>
    </xf>
    <xf numFmtId="0" fontId="10" fillId="0" borderId="22" xfId="0" applyFont="1" applyBorder="1" applyAlignment="1">
      <alignment vertical="top" wrapText="1"/>
    </xf>
    <xf numFmtId="2" fontId="2" fillId="0" borderId="0" xfId="0" applyNumberFormat="1" applyFont="1"/>
    <xf numFmtId="0" fontId="11" fillId="0" borderId="0" xfId="0" applyFont="1"/>
    <xf numFmtId="0" fontId="3" fillId="0" borderId="0" xfId="0" applyFont="1" applyAlignment="1"/>
    <xf numFmtId="0" fontId="0" fillId="0" borderId="16" xfId="0"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2" fillId="5" borderId="5" xfId="0" applyFont="1" applyFill="1" applyBorder="1"/>
    <xf numFmtId="0" fontId="2" fillId="5" borderId="6" xfId="0" applyFont="1" applyFill="1" applyBorder="1" applyAlignment="1">
      <alignment horizontal="center"/>
    </xf>
    <xf numFmtId="14" fontId="2" fillId="5" borderId="6" xfId="0" applyNumberFormat="1" applyFont="1" applyFill="1" applyBorder="1"/>
    <xf numFmtId="43" fontId="2" fillId="5" borderId="6" xfId="1" applyFont="1" applyFill="1" applyBorder="1"/>
    <xf numFmtId="43" fontId="2" fillId="0" borderId="0" xfId="1" applyBorder="1"/>
    <xf numFmtId="43" fontId="2" fillId="0" borderId="24" xfId="1" applyBorder="1"/>
    <xf numFmtId="43" fontId="2" fillId="0" borderId="27" xfId="1" applyBorder="1"/>
    <xf numFmtId="0" fontId="3" fillId="5" borderId="0" xfId="0" applyFont="1" applyFill="1" applyAlignment="1">
      <alignment horizontal="centerContinuous"/>
    </xf>
    <xf numFmtId="2" fontId="2" fillId="0" borderId="9" xfId="0" applyNumberFormat="1" applyFont="1" applyBorder="1"/>
    <xf numFmtId="2" fontId="2" fillId="0" borderId="0" xfId="0" applyNumberFormat="1" applyFont="1" applyBorder="1"/>
    <xf numFmtId="0" fontId="2" fillId="0" borderId="31" xfId="0" applyFont="1" applyBorder="1" applyAlignment="1">
      <alignment horizontal="center" wrapText="1"/>
    </xf>
    <xf numFmtId="44" fontId="2" fillId="0" borderId="0" xfId="2" applyFont="1" applyBorder="1"/>
    <xf numFmtId="0" fontId="4" fillId="5" borderId="23" xfId="0" applyFont="1" applyFill="1" applyBorder="1" applyAlignment="1">
      <alignment horizontal="centerContinuous"/>
    </xf>
    <xf numFmtId="0" fontId="4" fillId="5" borderId="1" xfId="0" applyFont="1" applyFill="1" applyBorder="1" applyAlignment="1">
      <alignment horizontal="centerContinuous"/>
    </xf>
    <xf numFmtId="0" fontId="4" fillId="5" borderId="32" xfId="0" applyFont="1" applyFill="1" applyBorder="1" applyAlignment="1">
      <alignment horizontal="centerContinuous"/>
    </xf>
    <xf numFmtId="0" fontId="4" fillId="5" borderId="0" xfId="0" applyFont="1" applyFill="1" applyBorder="1" applyAlignment="1">
      <alignment horizontal="centerContinuous"/>
    </xf>
    <xf numFmtId="0" fontId="13" fillId="0" borderId="0" xfId="0" applyFont="1" applyBorder="1"/>
    <xf numFmtId="0" fontId="13" fillId="0" borderId="0" xfId="0" applyFont="1"/>
    <xf numFmtId="2" fontId="8" fillId="0" borderId="0" xfId="0" applyNumberFormat="1" applyFont="1"/>
    <xf numFmtId="0" fontId="10" fillId="0" borderId="0" xfId="0" applyFont="1" applyAlignment="1">
      <alignment horizontal="centerContinuous"/>
    </xf>
    <xf numFmtId="0" fontId="12" fillId="0" borderId="0" xfId="10" applyAlignment="1"/>
    <xf numFmtId="0" fontId="21" fillId="0" borderId="0" xfId="0" applyFont="1"/>
    <xf numFmtId="0" fontId="13" fillId="0" borderId="0" xfId="0" applyFont="1" applyAlignment="1">
      <alignment horizontal="centerContinuous"/>
    </xf>
    <xf numFmtId="0" fontId="22" fillId="0" borderId="0" xfId="0" applyNumberFormat="1" applyFont="1" applyFill="1" applyBorder="1" applyAlignment="1">
      <alignment horizontal="center" wrapText="1"/>
    </xf>
    <xf numFmtId="0" fontId="22" fillId="0" borderId="6" xfId="0" applyFont="1" applyBorder="1" applyAlignment="1">
      <alignment horizontal="center" wrapText="1"/>
    </xf>
    <xf numFmtId="0" fontId="8" fillId="0" borderId="0" xfId="0" applyFont="1"/>
    <xf numFmtId="0" fontId="0" fillId="0" borderId="20" xfId="0" applyBorder="1"/>
    <xf numFmtId="0" fontId="0" fillId="0" borderId="21" xfId="0" applyBorder="1" applyAlignment="1">
      <alignment horizontal="center"/>
    </xf>
    <xf numFmtId="0" fontId="0" fillId="0" borderId="22" xfId="0" applyBorder="1"/>
    <xf numFmtId="0" fontId="0" fillId="0" borderId="3" xfId="0" applyBorder="1" applyAlignment="1">
      <alignment horizontal="left"/>
    </xf>
    <xf numFmtId="0" fontId="0" fillId="0" borderId="34" xfId="0" applyBorder="1" applyAlignment="1">
      <alignment horizontal="left"/>
    </xf>
    <xf numFmtId="0" fontId="0" fillId="0" borderId="26" xfId="0" applyBorder="1" applyAlignment="1">
      <alignment horizontal="center"/>
    </xf>
    <xf numFmtId="0" fontId="0" fillId="0" borderId="27" xfId="0" applyBorder="1" applyAlignment="1">
      <alignment horizontal="left"/>
    </xf>
    <xf numFmtId="0" fontId="0" fillId="0" borderId="20" xfId="0" applyBorder="1" applyAlignment="1">
      <alignment horizontal="left"/>
    </xf>
    <xf numFmtId="0" fontId="0" fillId="0" borderId="0" xfId="0" applyAlignment="1">
      <alignment horizontal="right"/>
    </xf>
    <xf numFmtId="0" fontId="7" fillId="0" borderId="1" xfId="0" applyFont="1" applyBorder="1"/>
    <xf numFmtId="44" fontId="7" fillId="0" borderId="1" xfId="2" applyFont="1" applyBorder="1"/>
    <xf numFmtId="0" fontId="12" fillId="0" borderId="0" xfId="10" applyAlignment="1">
      <alignment horizontal="centerContinuous"/>
    </xf>
    <xf numFmtId="0" fontId="12" fillId="0" borderId="0" xfId="10" applyFont="1" applyAlignment="1">
      <alignment horizontal="centerContinuous"/>
    </xf>
    <xf numFmtId="0" fontId="24" fillId="0" borderId="0" xfId="10" applyFont="1" applyAlignment="1">
      <alignment horizontal="centerContinuous"/>
    </xf>
    <xf numFmtId="0" fontId="3" fillId="0" borderId="0" xfId="0" applyFont="1" applyFill="1" applyBorder="1" applyAlignment="1">
      <alignment horizontal="center"/>
    </xf>
    <xf numFmtId="0" fontId="3" fillId="0" borderId="0" xfId="0" applyFont="1" applyFill="1" applyBorder="1"/>
    <xf numFmtId="167" fontId="3" fillId="0" borderId="0" xfId="0" applyNumberFormat="1" applyFont="1" applyFill="1" applyBorder="1"/>
    <xf numFmtId="44" fontId="3" fillId="0" borderId="0" xfId="2" applyFont="1" applyFill="1" applyBorder="1"/>
    <xf numFmtId="43" fontId="3" fillId="0" borderId="0" xfId="2" applyNumberFormat="1" applyFont="1" applyFill="1" applyBorder="1"/>
    <xf numFmtId="0" fontId="12" fillId="0" borderId="0" xfId="10" applyBorder="1" applyAlignment="1">
      <alignment horizontal="centerContinuous"/>
    </xf>
    <xf numFmtId="0" fontId="27" fillId="0" borderId="23" xfId="0" applyFont="1" applyBorder="1"/>
    <xf numFmtId="44" fontId="3" fillId="0" borderId="1" xfId="2" applyFont="1" applyBorder="1"/>
    <xf numFmtId="0" fontId="3" fillId="0" borderId="9" xfId="0" applyFont="1" applyBorder="1"/>
    <xf numFmtId="43" fontId="3" fillId="0" borderId="9" xfId="0" applyNumberFormat="1" applyFont="1" applyBorder="1"/>
    <xf numFmtId="43" fontId="3" fillId="0" borderId="10" xfId="0" applyNumberFormat="1" applyFont="1" applyBorder="1"/>
    <xf numFmtId="43" fontId="3" fillId="0" borderId="0" xfId="0" applyNumberFormat="1" applyFont="1" applyBorder="1"/>
    <xf numFmtId="43" fontId="3" fillId="0" borderId="4" xfId="0" applyNumberFormat="1" applyFont="1" applyBorder="1"/>
    <xf numFmtId="0" fontId="3" fillId="0" borderId="6" xfId="0" applyFont="1" applyBorder="1"/>
    <xf numFmtId="43" fontId="3" fillId="0" borderId="6" xfId="0" applyNumberFormat="1" applyFont="1" applyBorder="1"/>
    <xf numFmtId="43" fontId="3" fillId="0" borderId="7" xfId="0" applyNumberFormat="1" applyFont="1" applyBorder="1"/>
    <xf numFmtId="2" fontId="3" fillId="0" borderId="0" xfId="0" applyNumberFormat="1" applyFont="1"/>
    <xf numFmtId="0" fontId="28" fillId="0" borderId="0" xfId="0" applyFont="1" applyBorder="1" applyAlignment="1">
      <alignment vertical="top"/>
    </xf>
    <xf numFmtId="0" fontId="28" fillId="0" borderId="0" xfId="0" applyFont="1" applyBorder="1" applyAlignment="1"/>
    <xf numFmtId="0" fontId="28" fillId="0" borderId="0" xfId="0" applyFont="1" applyBorder="1" applyAlignment="1">
      <alignment wrapText="1"/>
    </xf>
    <xf numFmtId="2" fontId="3" fillId="0" borderId="0" xfId="0" applyNumberFormat="1" applyFont="1" applyAlignment="1">
      <alignment vertical="center"/>
    </xf>
    <xf numFmtId="0" fontId="3" fillId="0" borderId="0" xfId="0" quotePrefix="1" applyFont="1" applyBorder="1" applyAlignment="1">
      <alignment vertical="top"/>
    </xf>
    <xf numFmtId="0" fontId="3" fillId="0" borderId="0" xfId="0" applyFont="1" applyBorder="1" applyAlignment="1">
      <alignment horizontal="center" vertical="top"/>
    </xf>
    <xf numFmtId="169" fontId="3" fillId="0" borderId="0" xfId="1" applyNumberFormat="1" applyFont="1" applyBorder="1" applyAlignment="1">
      <alignment horizontal="center" vertical="top"/>
    </xf>
    <xf numFmtId="9" fontId="3" fillId="0" borderId="0" xfId="9" applyFont="1" applyBorder="1" applyAlignment="1">
      <alignment horizontal="center" vertical="top"/>
    </xf>
    <xf numFmtId="3" fontId="3" fillId="0" borderId="0" xfId="0" applyNumberFormat="1" applyFont="1" applyBorder="1" applyAlignment="1">
      <alignment horizontal="center" vertical="top"/>
    </xf>
    <xf numFmtId="0" fontId="7" fillId="2" borderId="9" xfId="4" applyFont="1" applyBorder="1" applyAlignment="1"/>
    <xf numFmtId="0" fontId="7" fillId="2" borderId="9" xfId="4" applyFont="1" applyBorder="1" applyAlignment="1">
      <alignment horizontal="center" wrapText="1"/>
    </xf>
    <xf numFmtId="0" fontId="3" fillId="2" borderId="9" xfId="4" applyFont="1" applyBorder="1" applyAlignment="1">
      <alignment horizontal="center" wrapText="1"/>
    </xf>
    <xf numFmtId="0" fontId="7" fillId="2" borderId="6" xfId="4" applyFont="1" applyBorder="1" applyAlignment="1"/>
    <xf numFmtId="0" fontId="7" fillId="2" borderId="6" xfId="4" applyFont="1" applyBorder="1" applyAlignment="1">
      <alignment horizontal="center" wrapText="1"/>
    </xf>
    <xf numFmtId="0" fontId="3" fillId="2" borderId="6" xfId="4" applyFont="1" applyBorder="1" applyAlignment="1">
      <alignment horizontal="center" wrapText="1"/>
    </xf>
    <xf numFmtId="0" fontId="25" fillId="0" borderId="0" xfId="0" applyFont="1" applyAlignment="1">
      <alignment horizontal="centerContinuous"/>
    </xf>
    <xf numFmtId="0" fontId="28" fillId="0" borderId="0" xfId="0" applyFont="1" applyAlignment="1">
      <alignment horizontal="centerContinuous"/>
    </xf>
    <xf numFmtId="0" fontId="28" fillId="0" borderId="0" xfId="0" applyFont="1"/>
    <xf numFmtId="0" fontId="0" fillId="0" borderId="0" xfId="0" applyAlignment="1">
      <alignment vertical="top"/>
    </xf>
    <xf numFmtId="0" fontId="0" fillId="0" borderId="0" xfId="0" applyAlignment="1">
      <alignment horizontal="left" vertical="top" wrapText="1"/>
    </xf>
    <xf numFmtId="181" fontId="0" fillId="0" borderId="0" xfId="0" applyNumberFormat="1" applyAlignment="1">
      <alignment horizontal="left" vertical="top" wrapText="1"/>
    </xf>
    <xf numFmtId="0" fontId="10" fillId="0" borderId="0" xfId="0" quotePrefix="1" applyFont="1"/>
    <xf numFmtId="0" fontId="21" fillId="8" borderId="6" xfId="0" applyFont="1" applyFill="1" applyBorder="1" applyAlignment="1">
      <alignment horizontal="center"/>
    </xf>
    <xf numFmtId="14" fontId="21" fillId="8" borderId="6" xfId="0" applyNumberFormat="1" applyFont="1" applyFill="1" applyBorder="1"/>
    <xf numFmtId="43" fontId="21" fillId="8" borderId="6" xfId="1" applyFont="1" applyFill="1" applyBorder="1"/>
    <xf numFmtId="0" fontId="21" fillId="8" borderId="6" xfId="0" applyFont="1" applyFill="1" applyBorder="1"/>
    <xf numFmtId="0" fontId="21" fillId="8" borderId="7" xfId="0" applyFont="1" applyFill="1" applyBorder="1"/>
    <xf numFmtId="44" fontId="2" fillId="0" borderId="20" xfId="2" applyFill="1" applyBorder="1"/>
    <xf numFmtId="0" fontId="2" fillId="0" borderId="0" xfId="0" applyFont="1" applyAlignment="1">
      <alignment horizontal="center"/>
    </xf>
    <xf numFmtId="0" fontId="2" fillId="0" borderId="0" xfId="0" applyFont="1" applyAlignment="1">
      <alignment horizontal="right"/>
    </xf>
    <xf numFmtId="49" fontId="21" fillId="8" borderId="5" xfId="0" applyNumberFormat="1" applyFont="1" applyFill="1" applyBorder="1"/>
    <xf numFmtId="49" fontId="3" fillId="0" borderId="0" xfId="0" applyNumberFormat="1" applyFont="1" applyAlignment="1">
      <alignment horizontal="center" vertical="top" wrapText="1"/>
    </xf>
    <xf numFmtId="49" fontId="3" fillId="0" borderId="0" xfId="0" applyNumberFormat="1" applyFont="1" applyAlignment="1">
      <alignment horizontal="center" vertical="top"/>
    </xf>
    <xf numFmtId="172" fontId="3" fillId="0" borderId="0" xfId="0" applyNumberFormat="1" applyFont="1" applyAlignment="1">
      <alignment horizontal="right" vertical="top" wrapText="1"/>
    </xf>
    <xf numFmtId="172" fontId="3" fillId="0" borderId="0" xfId="0" quotePrefix="1" applyNumberFormat="1" applyFont="1" applyAlignment="1">
      <alignment horizontal="right" vertical="top" wrapText="1"/>
    </xf>
    <xf numFmtId="0" fontId="3" fillId="0" borderId="0" xfId="0" applyFont="1" applyAlignment="1">
      <alignment horizontal="right"/>
    </xf>
    <xf numFmtId="2" fontId="3" fillId="0" borderId="0" xfId="0" applyNumberFormat="1" applyFont="1" applyAlignment="1">
      <alignment horizontal="right" vertical="top" wrapText="1"/>
    </xf>
    <xf numFmtId="174" fontId="3" fillId="0" borderId="0" xfId="0" applyNumberFormat="1" applyFont="1" applyAlignment="1">
      <alignment horizontal="right" vertical="top" wrapText="1"/>
    </xf>
    <xf numFmtId="175" fontId="3" fillId="0" borderId="0" xfId="0" applyNumberFormat="1" applyFont="1" applyAlignment="1">
      <alignment horizontal="right" vertical="top" wrapText="1"/>
    </xf>
    <xf numFmtId="176" fontId="3" fillId="0" borderId="0" xfId="0" applyNumberFormat="1" applyFont="1" applyAlignment="1">
      <alignment horizontal="right" vertical="top" wrapText="1"/>
    </xf>
    <xf numFmtId="0" fontId="3" fillId="0" borderId="0" xfId="0" applyNumberFormat="1" applyFont="1" applyAlignment="1">
      <alignment horizontal="right"/>
    </xf>
    <xf numFmtId="177" fontId="3" fillId="0" borderId="0" xfId="0" applyNumberFormat="1" applyFont="1" applyAlignment="1">
      <alignment horizontal="right" vertical="top" wrapText="1"/>
    </xf>
    <xf numFmtId="178" fontId="3" fillId="0" borderId="0" xfId="0" applyNumberFormat="1" applyFont="1" applyAlignment="1">
      <alignment horizontal="right" vertical="top" wrapText="1"/>
    </xf>
    <xf numFmtId="179" fontId="3" fillId="0" borderId="0" xfId="0" applyNumberFormat="1" applyFont="1" applyAlignment="1">
      <alignment horizontal="right" vertical="top" wrapText="1"/>
    </xf>
    <xf numFmtId="180" fontId="3" fillId="0" borderId="0" xfId="0" applyNumberFormat="1" applyFont="1" applyAlignment="1">
      <alignment horizontal="right" vertical="top" wrapText="1"/>
    </xf>
    <xf numFmtId="173" fontId="3" fillId="0" borderId="0" xfId="0" applyNumberFormat="1" applyFont="1"/>
    <xf numFmtId="182" fontId="3" fillId="0" borderId="0" xfId="0" applyNumberFormat="1" applyFont="1"/>
    <xf numFmtId="42" fontId="3" fillId="0" borderId="0" xfId="0" applyNumberFormat="1" applyFont="1" applyAlignment="1">
      <alignment horizontal="right" vertical="top" wrapText="1"/>
    </xf>
    <xf numFmtId="5" fontId="3" fillId="0" borderId="0" xfId="0" applyNumberFormat="1" applyFont="1" applyAlignment="1">
      <alignment horizontal="right" vertical="top" wrapText="1"/>
    </xf>
    <xf numFmtId="177" fontId="3" fillId="0" borderId="0" xfId="0" applyNumberFormat="1" applyFont="1"/>
    <xf numFmtId="183" fontId="3" fillId="0" borderId="0" xfId="0" applyNumberFormat="1" applyFont="1"/>
    <xf numFmtId="42" fontId="3" fillId="0" borderId="0" xfId="0" applyNumberFormat="1" applyFont="1"/>
    <xf numFmtId="5" fontId="3" fillId="0" borderId="0" xfId="0" applyNumberFormat="1" applyFont="1"/>
    <xf numFmtId="184" fontId="3" fillId="0" borderId="0" xfId="0" applyNumberFormat="1" applyFont="1"/>
    <xf numFmtId="184" fontId="3" fillId="0" borderId="0" xfId="0" applyNumberFormat="1" applyFont="1" applyAlignment="1">
      <alignment horizontal="right" vertical="top" wrapText="1"/>
    </xf>
    <xf numFmtId="185" fontId="3" fillId="0" borderId="0" xfId="0" applyNumberFormat="1" applyFont="1"/>
    <xf numFmtId="185" fontId="3" fillId="0" borderId="0" xfId="0" applyNumberFormat="1" applyFont="1" applyAlignment="1">
      <alignment horizontal="right" vertical="top" wrapText="1"/>
    </xf>
    <xf numFmtId="6" fontId="3" fillId="0" borderId="0" xfId="0" applyNumberFormat="1" applyFont="1"/>
    <xf numFmtId="6" fontId="3" fillId="0" borderId="0" xfId="0" applyNumberFormat="1" applyFont="1" applyAlignment="1">
      <alignment horizontal="right" vertical="top" wrapText="1"/>
    </xf>
    <xf numFmtId="0" fontId="24" fillId="0" borderId="0" xfId="0" applyFont="1" applyAlignment="1">
      <alignment horizontal="center"/>
    </xf>
    <xf numFmtId="42" fontId="3" fillId="0" borderId="0" xfId="0" applyNumberFormat="1" applyFont="1" applyAlignment="1">
      <alignment horizontal="right"/>
    </xf>
    <xf numFmtId="42" fontId="3" fillId="0" borderId="0" xfId="0" applyNumberFormat="1" applyFont="1" applyAlignment="1">
      <alignment horizontal="left"/>
    </xf>
    <xf numFmtId="0" fontId="3" fillId="0" borderId="0" xfId="0" quotePrefix="1" applyFont="1" applyAlignment="1">
      <alignment horizontal="right"/>
    </xf>
    <xf numFmtId="0" fontId="30" fillId="0" borderId="0" xfId="0" applyFont="1" applyAlignment="1">
      <alignment horizontal="right"/>
    </xf>
    <xf numFmtId="41" fontId="3" fillId="0" borderId="0" xfId="0" applyNumberFormat="1" applyFont="1"/>
    <xf numFmtId="0" fontId="0" fillId="0" borderId="0" xfId="0" applyBorder="1" applyAlignment="1">
      <alignment wrapText="1"/>
    </xf>
    <xf numFmtId="0" fontId="0" fillId="0" borderId="20" xfId="0" applyBorder="1" applyAlignment="1">
      <alignment wrapText="1"/>
    </xf>
    <xf numFmtId="186" fontId="3" fillId="0" borderId="0" xfId="0" applyNumberFormat="1" applyFont="1"/>
    <xf numFmtId="0" fontId="0" fillId="0" borderId="0" xfId="0" applyBorder="1" applyAlignment="1"/>
    <xf numFmtId="0" fontId="0" fillId="0" borderId="21" xfId="0" applyBorder="1" applyAlignment="1">
      <alignment horizontal="center" vertical="center"/>
    </xf>
    <xf numFmtId="0" fontId="0" fillId="0" borderId="24" xfId="0" applyBorder="1" applyAlignment="1">
      <alignment horizontal="center" vertical="center"/>
    </xf>
    <xf numFmtId="0" fontId="3" fillId="0" borderId="0" xfId="0" applyFont="1"/>
    <xf numFmtId="0" fontId="24" fillId="0" borderId="0" xfId="0" applyFont="1" applyFill="1" applyBorder="1" applyAlignment="1">
      <alignment horizontal="center"/>
    </xf>
    <xf numFmtId="0" fontId="3" fillId="10" borderId="2" xfId="0" applyFont="1" applyFill="1" applyBorder="1" applyAlignment="1">
      <alignment horizontal="center" wrapText="1"/>
    </xf>
    <xf numFmtId="0" fontId="3" fillId="0" borderId="3" xfId="0" applyFont="1" applyFill="1" applyBorder="1"/>
    <xf numFmtId="0" fontId="3" fillId="0" borderId="4" xfId="0" applyFont="1" applyFill="1" applyBorder="1"/>
    <xf numFmtId="0" fontId="3" fillId="0" borderId="5" xfId="0" applyFont="1" applyFill="1" applyBorder="1"/>
    <xf numFmtId="0" fontId="3" fillId="0" borderId="7" xfId="0" applyFont="1" applyFill="1" applyBorder="1"/>
    <xf numFmtId="0" fontId="31" fillId="0" borderId="0" xfId="0" applyFont="1" applyFill="1" applyBorder="1" applyAlignment="1"/>
    <xf numFmtId="0" fontId="31" fillId="11" borderId="0" xfId="0" applyFont="1" applyFill="1" applyBorder="1" applyAlignment="1">
      <alignment horizontal="center"/>
    </xf>
    <xf numFmtId="3" fontId="31" fillId="11" borderId="0" xfId="0" applyNumberFormat="1" applyFont="1" applyFill="1" applyBorder="1" applyAlignment="1">
      <alignment horizontal="center"/>
    </xf>
    <xf numFmtId="0" fontId="31" fillId="0" borderId="3" xfId="0" applyFont="1" applyFill="1" applyBorder="1"/>
    <xf numFmtId="0" fontId="31" fillId="0" borderId="0" xfId="0" applyFont="1" applyFill="1" applyBorder="1" applyAlignment="1">
      <alignment horizontal="center"/>
    </xf>
    <xf numFmtId="14" fontId="31" fillId="0" borderId="0" xfId="0" applyNumberFormat="1" applyFont="1" applyFill="1" applyBorder="1"/>
    <xf numFmtId="43" fontId="31" fillId="0" borderId="0" xfId="1" applyFont="1" applyFill="1" applyBorder="1"/>
    <xf numFmtId="0" fontId="31" fillId="0" borderId="4" xfId="0" applyFont="1" applyFill="1" applyBorder="1"/>
    <xf numFmtId="0" fontId="31" fillId="0" borderId="3" xfId="0" applyFont="1" applyFill="1" applyBorder="1" applyAlignment="1">
      <alignment vertical="center"/>
    </xf>
    <xf numFmtId="0" fontId="31" fillId="0" borderId="0" xfId="0" applyFont="1" applyFill="1" applyBorder="1" applyAlignment="1">
      <alignment horizontal="center" vertical="center"/>
    </xf>
    <xf numFmtId="14" fontId="31" fillId="0" borderId="0" xfId="0" applyNumberFormat="1" applyFont="1" applyFill="1" applyBorder="1" applyAlignment="1">
      <alignment vertical="center"/>
    </xf>
    <xf numFmtId="43" fontId="31" fillId="0" borderId="0" xfId="1" applyFont="1" applyFill="1" applyBorder="1" applyAlignment="1">
      <alignment vertical="center"/>
    </xf>
    <xf numFmtId="0" fontId="31" fillId="0" borderId="4" xfId="0" applyFont="1" applyFill="1" applyBorder="1" applyAlignment="1">
      <alignment vertical="center"/>
    </xf>
    <xf numFmtId="0" fontId="31" fillId="0" borderId="5" xfId="0" applyFont="1" applyFill="1" applyBorder="1"/>
    <xf numFmtId="0" fontId="31" fillId="0" borderId="6" xfId="0" applyFont="1" applyFill="1" applyBorder="1" applyAlignment="1">
      <alignment horizontal="center"/>
    </xf>
    <xf numFmtId="14" fontId="31" fillId="0" borderId="6" xfId="0" applyNumberFormat="1" applyFont="1" applyFill="1" applyBorder="1"/>
    <xf numFmtId="43" fontId="31" fillId="0" borderId="6" xfId="1" applyFont="1" applyFill="1" applyBorder="1"/>
    <xf numFmtId="0" fontId="31" fillId="0" borderId="7" xfId="0" applyFont="1" applyFill="1" applyBorder="1"/>
    <xf numFmtId="0" fontId="27" fillId="10" borderId="9" xfId="4" applyFont="1" applyFill="1" applyBorder="1"/>
    <xf numFmtId="0" fontId="27" fillId="10" borderId="9" xfId="4" applyFont="1" applyFill="1" applyBorder="1" applyAlignment="1">
      <alignment horizontal="center" wrapText="1"/>
    </xf>
    <xf numFmtId="0" fontId="27" fillId="10" borderId="6" xfId="4" applyFont="1" applyFill="1" applyBorder="1"/>
    <xf numFmtId="0" fontId="27" fillId="10" borderId="6" xfId="4" applyFont="1" applyFill="1" applyBorder="1" applyAlignment="1">
      <alignment horizontal="center" wrapText="1"/>
    </xf>
    <xf numFmtId="0" fontId="31" fillId="0" borderId="0" xfId="0" applyNumberFormat="1" applyFont="1" applyFill="1" applyBorder="1" applyAlignment="1"/>
    <xf numFmtId="0" fontId="31" fillId="0" borderId="0" xfId="0" applyNumberFormat="1" applyFont="1" applyFill="1" applyBorder="1" applyAlignment="1">
      <alignment vertical="center"/>
    </xf>
    <xf numFmtId="0" fontId="31" fillId="0" borderId="0" xfId="0" applyNumberFormat="1" applyFont="1" applyFill="1" applyBorder="1" applyAlignment="1">
      <alignment horizontal="center"/>
    </xf>
    <xf numFmtId="0" fontId="2" fillId="0" borderId="0" xfId="0" applyFont="1" applyAlignment="1">
      <alignment horizontal="centerContinuous"/>
    </xf>
    <xf numFmtId="0" fontId="2" fillId="10" borderId="2" xfId="0" applyFont="1" applyFill="1" applyBorder="1" applyAlignment="1">
      <alignment horizontal="center" wrapText="1"/>
    </xf>
    <xf numFmtId="0" fontId="3" fillId="0" borderId="8" xfId="0" applyFont="1" applyFill="1" applyBorder="1"/>
    <xf numFmtId="0" fontId="2" fillId="10" borderId="5" xfId="0" applyFont="1" applyFill="1" applyBorder="1"/>
    <xf numFmtId="0" fontId="2" fillId="10" borderId="6" xfId="0" applyFont="1" applyFill="1" applyBorder="1" applyAlignment="1">
      <alignment horizontal="center"/>
    </xf>
    <xf numFmtId="14" fontId="2" fillId="10" borderId="6" xfId="0" applyNumberFormat="1" applyFont="1" applyFill="1" applyBorder="1"/>
    <xf numFmtId="43" fontId="2" fillId="10" borderId="6" xfId="1" applyFont="1" applyFill="1" applyBorder="1"/>
    <xf numFmtId="2" fontId="2" fillId="10" borderId="7" xfId="0" applyNumberFormat="1" applyFont="1" applyFill="1" applyBorder="1"/>
    <xf numFmtId="0" fontId="3" fillId="10" borderId="5" xfId="0" applyFont="1" applyFill="1" applyBorder="1"/>
    <xf numFmtId="0" fontId="3" fillId="10" borderId="6" xfId="0" applyFont="1" applyFill="1" applyBorder="1" applyAlignment="1">
      <alignment horizontal="center"/>
    </xf>
    <xf numFmtId="14" fontId="3" fillId="10" borderId="6" xfId="0" applyNumberFormat="1" applyFont="1" applyFill="1" applyBorder="1"/>
    <xf numFmtId="43" fontId="3" fillId="10" borderId="6" xfId="1" applyFont="1" applyFill="1" applyBorder="1"/>
    <xf numFmtId="2" fontId="3" fillId="10" borderId="7" xfId="0" applyNumberFormat="1" applyFont="1" applyFill="1" applyBorder="1"/>
    <xf numFmtId="0" fontId="0" fillId="10" borderId="23" xfId="0" applyFill="1" applyBorder="1" applyAlignment="1">
      <alignment horizontal="centerContinuous"/>
    </xf>
    <xf numFmtId="0" fontId="0" fillId="10" borderId="1" xfId="0" applyFill="1" applyBorder="1" applyAlignment="1">
      <alignment horizontal="centerContinuous"/>
    </xf>
    <xf numFmtId="0" fontId="0" fillId="10" borderId="32" xfId="0" applyFill="1" applyBorder="1" applyAlignment="1">
      <alignment horizontal="centerContinuous"/>
    </xf>
    <xf numFmtId="0" fontId="0" fillId="10" borderId="2" xfId="0" applyFill="1" applyBorder="1"/>
    <xf numFmtId="0" fontId="0" fillId="10" borderId="2" xfId="0" applyFill="1" applyBorder="1" applyAlignment="1">
      <alignment horizontal="center"/>
    </xf>
    <xf numFmtId="0" fontId="0" fillId="10" borderId="38" xfId="0" applyFill="1" applyBorder="1" applyAlignment="1">
      <alignment horizontal="centerContinuous"/>
    </xf>
    <xf numFmtId="0" fontId="0" fillId="10" borderId="12" xfId="0" applyFill="1" applyBorder="1"/>
    <xf numFmtId="0" fontId="33" fillId="6" borderId="2" xfId="0" applyFont="1" applyFill="1" applyBorder="1"/>
    <xf numFmtId="0" fontId="33" fillId="6" borderId="14" xfId="0" applyFont="1" applyFill="1" applyBorder="1"/>
    <xf numFmtId="2" fontId="33" fillId="6" borderId="2" xfId="0" applyNumberFormat="1" applyFont="1" applyFill="1" applyBorder="1"/>
    <xf numFmtId="0" fontId="3" fillId="0" borderId="10" xfId="0" applyFont="1" applyFill="1" applyBorder="1"/>
    <xf numFmtId="0" fontId="26" fillId="10" borderId="6" xfId="0" applyFont="1" applyFill="1" applyBorder="1" applyAlignment="1">
      <alignment horizontal="centerContinuous"/>
    </xf>
    <xf numFmtId="0" fontId="3" fillId="10" borderId="6" xfId="0" applyFont="1" applyFill="1" applyBorder="1" applyAlignment="1">
      <alignment horizontal="centerContinuous"/>
    </xf>
    <xf numFmtId="0" fontId="3" fillId="10" borderId="0" xfId="0" applyFont="1" applyFill="1" applyAlignment="1">
      <alignment horizontal="centerContinuous"/>
    </xf>
    <xf numFmtId="43" fontId="3" fillId="10" borderId="7" xfId="1" applyFont="1" applyFill="1" applyBorder="1"/>
    <xf numFmtId="0" fontId="3" fillId="10" borderId="7" xfId="0" applyFont="1" applyFill="1" applyBorder="1"/>
    <xf numFmtId="0" fontId="8" fillId="10" borderId="24" xfId="0" applyFont="1" applyFill="1" applyBorder="1" applyAlignment="1">
      <alignment horizontal="centerContinuous"/>
    </xf>
    <xf numFmtId="0" fontId="3" fillId="10" borderId="25" xfId="0" applyFont="1" applyFill="1" applyBorder="1" applyAlignment="1">
      <alignment horizontal="center" wrapText="1"/>
    </xf>
    <xf numFmtId="0" fontId="3" fillId="10" borderId="19" xfId="0" applyFont="1" applyFill="1" applyBorder="1" applyAlignment="1">
      <alignment horizontal="center" wrapText="1"/>
    </xf>
    <xf numFmtId="0" fontId="3" fillId="10" borderId="18" xfId="0" applyFont="1" applyFill="1" applyBorder="1" applyAlignment="1">
      <alignment horizontal="center" wrapText="1"/>
    </xf>
    <xf numFmtId="0" fontId="33" fillId="0" borderId="30" xfId="0" applyFont="1" applyFill="1" applyBorder="1"/>
    <xf numFmtId="0" fontId="33" fillId="0" borderId="29" xfId="0" applyFont="1" applyFill="1" applyBorder="1"/>
    <xf numFmtId="0" fontId="4" fillId="10" borderId="6" xfId="0" applyFont="1" applyFill="1" applyBorder="1" applyAlignment="1">
      <alignment horizontal="centerContinuous"/>
    </xf>
    <xf numFmtId="0" fontId="21" fillId="10" borderId="6" xfId="0" applyFont="1" applyFill="1" applyBorder="1" applyAlignment="1">
      <alignment horizontal="centerContinuous"/>
    </xf>
    <xf numFmtId="0" fontId="21" fillId="10" borderId="33" xfId="0" applyFont="1" applyFill="1" applyBorder="1" applyAlignment="1">
      <alignment horizontal="centerContinuous"/>
    </xf>
    <xf numFmtId="0" fontId="21" fillId="10" borderId="0" xfId="0" applyFont="1" applyFill="1" applyAlignment="1">
      <alignment horizontal="centerContinuous"/>
    </xf>
    <xf numFmtId="0" fontId="21" fillId="10" borderId="2" xfId="0" applyFont="1" applyFill="1" applyBorder="1" applyAlignment="1">
      <alignment horizontal="center" wrapText="1"/>
    </xf>
    <xf numFmtId="0" fontId="22" fillId="10" borderId="1" xfId="4" applyFont="1" applyFill="1" applyAlignment="1">
      <alignment horizontal="center" wrapText="1"/>
    </xf>
    <xf numFmtId="0" fontId="22" fillId="10" borderId="1" xfId="4" applyNumberFormat="1" applyFont="1" applyFill="1" applyAlignment="1">
      <alignment horizontal="center" wrapText="1"/>
    </xf>
    <xf numFmtId="0" fontId="0" fillId="10" borderId="32" xfId="4" applyFont="1" applyFill="1" applyBorder="1" applyAlignment="1">
      <alignment horizontal="center"/>
    </xf>
    <xf numFmtId="0" fontId="0" fillId="10" borderId="1" xfId="4" applyFont="1" applyFill="1" applyAlignment="1">
      <alignment horizontal="left"/>
    </xf>
    <xf numFmtId="0" fontId="0" fillId="10" borderId="1" xfId="4" applyFont="1" applyFill="1"/>
    <xf numFmtId="0" fontId="0" fillId="10" borderId="1" xfId="4" applyFont="1" applyFill="1" applyAlignment="1">
      <alignment horizontal="center"/>
    </xf>
    <xf numFmtId="0" fontId="2" fillId="10" borderId="1" xfId="4" applyFont="1" applyFill="1" applyAlignment="1">
      <alignment horizontal="center"/>
    </xf>
    <xf numFmtId="0" fontId="21" fillId="0" borderId="0" xfId="8" applyNumberFormat="1" applyFont="1" applyFill="1" applyBorder="1" applyAlignment="1">
      <alignment horizontal="center"/>
    </xf>
    <xf numFmtId="0" fontId="21" fillId="0" borderId="0" xfId="8" applyFont="1" applyFill="1" applyBorder="1" applyAlignment="1">
      <alignment horizontal="center"/>
    </xf>
    <xf numFmtId="0" fontId="13" fillId="0" borderId="0" xfId="8" applyNumberFormat="1" applyFont="1" applyFill="1" applyBorder="1" applyAlignment="1">
      <alignment horizontal="center"/>
    </xf>
    <xf numFmtId="0" fontId="13" fillId="0" borderId="0" xfId="8" applyFont="1" applyFill="1" applyBorder="1" applyAlignment="1">
      <alignment horizontal="center"/>
    </xf>
    <xf numFmtId="0" fontId="33" fillId="0" borderId="0" xfId="6" applyFont="1" applyFill="1" applyBorder="1" applyAlignment="1">
      <alignment horizontal="center"/>
    </xf>
    <xf numFmtId="0" fontId="6" fillId="10" borderId="6" xfId="0" applyFont="1" applyFill="1" applyBorder="1" applyAlignment="1">
      <alignment horizontal="centerContinuous"/>
    </xf>
    <xf numFmtId="0" fontId="3" fillId="10" borderId="1" xfId="4" applyFont="1" applyFill="1" applyAlignment="1"/>
    <xf numFmtId="0" fontId="23" fillId="10" borderId="1" xfId="4" applyFont="1" applyFill="1" applyAlignment="1">
      <alignment horizontal="center"/>
    </xf>
    <xf numFmtId="0" fontId="23" fillId="10" borderId="1" xfId="4" applyNumberFormat="1" applyFont="1" applyFill="1" applyAlignment="1">
      <alignment horizontal="center"/>
    </xf>
    <xf numFmtId="44" fontId="3" fillId="0" borderId="0" xfId="8" applyNumberFormat="1" applyFont="1" applyFill="1" applyBorder="1"/>
    <xf numFmtId="43" fontId="3" fillId="0" borderId="0" xfId="8" applyNumberFormat="1" applyFont="1" applyFill="1" applyBorder="1"/>
    <xf numFmtId="0" fontId="2" fillId="0" borderId="1" xfId="8" applyFont="1" applyFill="1" applyBorder="1"/>
    <xf numFmtId="44" fontId="2" fillId="0" borderId="1" xfId="8" applyNumberFormat="1" applyFont="1" applyFill="1" applyBorder="1"/>
    <xf numFmtId="0" fontId="34" fillId="0" borderId="0" xfId="6" applyFont="1" applyFill="1" applyBorder="1" applyAlignment="1">
      <alignment horizontal="center"/>
    </xf>
    <xf numFmtId="0" fontId="3" fillId="10" borderId="0" xfId="0" applyFont="1" applyFill="1" applyBorder="1"/>
    <xf numFmtId="0" fontId="3" fillId="10" borderId="0" xfId="0" applyFont="1" applyFill="1"/>
    <xf numFmtId="43" fontId="3" fillId="12" borderId="0" xfId="1" applyFont="1" applyFill="1" applyBorder="1"/>
    <xf numFmtId="0" fontId="3" fillId="12" borderId="3" xfId="0" applyFont="1" applyFill="1" applyBorder="1"/>
    <xf numFmtId="0" fontId="3" fillId="12" borderId="4" xfId="0" applyFont="1" applyFill="1" applyBorder="1"/>
    <xf numFmtId="0" fontId="10" fillId="10" borderId="0" xfId="0" applyFont="1" applyFill="1" applyBorder="1"/>
    <xf numFmtId="0" fontId="10" fillId="10" borderId="0" xfId="0" applyFont="1" applyFill="1" applyBorder="1" applyAlignment="1">
      <alignment horizontal="center"/>
    </xf>
    <xf numFmtId="167" fontId="10" fillId="10" borderId="0" xfId="0" applyNumberFormat="1" applyFont="1" applyFill="1" applyBorder="1"/>
    <xf numFmtId="167" fontId="3" fillId="10" borderId="0" xfId="0" applyNumberFormat="1" applyFont="1" applyFill="1" applyBorder="1"/>
    <xf numFmtId="0" fontId="7" fillId="0" borderId="0" xfId="0" applyFont="1" applyBorder="1" applyAlignment="1">
      <alignment horizontal="center"/>
    </xf>
    <xf numFmtId="0" fontId="3" fillId="0" borderId="0" xfId="0" applyFont="1" applyBorder="1" applyAlignment="1">
      <alignment horizontal="center"/>
    </xf>
    <xf numFmtId="0" fontId="3" fillId="10" borderId="0" xfId="0" applyFont="1" applyFill="1" applyBorder="1" applyAlignment="1">
      <alignment horizontal="center" wrapText="1"/>
    </xf>
    <xf numFmtId="44" fontId="3" fillId="0" borderId="0" xfId="2" applyFont="1" applyBorder="1"/>
    <xf numFmtId="43" fontId="3" fillId="0" borderId="0" xfId="2" applyNumberFormat="1" applyFont="1" applyBorder="1"/>
    <xf numFmtId="165" fontId="34" fillId="6" borderId="0" xfId="2" applyNumberFormat="1" applyFont="1" applyFill="1" applyBorder="1" applyAlignment="1">
      <alignment horizontal="center"/>
    </xf>
    <xf numFmtId="0" fontId="9" fillId="0" borderId="0" xfId="0" applyFont="1" applyBorder="1"/>
    <xf numFmtId="0" fontId="9" fillId="0" borderId="0" xfId="0" applyFont="1" applyBorder="1" applyAlignment="1">
      <alignment horizontal="center"/>
    </xf>
    <xf numFmtId="0" fontId="10" fillId="0" borderId="0" xfId="0" applyFont="1" applyBorder="1" applyAlignment="1">
      <alignment horizontal="center"/>
    </xf>
    <xf numFmtId="171" fontId="33" fillId="6" borderId="0" xfId="2" applyNumberFormat="1" applyFont="1" applyFill="1" applyBorder="1" applyAlignment="1">
      <alignment horizontal="center"/>
    </xf>
    <xf numFmtId="0" fontId="10" fillId="10" borderId="0" xfId="0" applyFont="1" applyFill="1" applyBorder="1" applyAlignment="1">
      <alignment horizontal="center" wrapText="1"/>
    </xf>
    <xf numFmtId="44" fontId="10" fillId="0" borderId="0" xfId="1" applyNumberFormat="1" applyFont="1" applyBorder="1"/>
    <xf numFmtId="168" fontId="10" fillId="0" borderId="0" xfId="1" applyNumberFormat="1" applyFont="1" applyBorder="1"/>
    <xf numFmtId="0" fontId="9" fillId="10" borderId="35" xfId="0" applyFont="1" applyFill="1" applyBorder="1" applyAlignment="1">
      <alignment horizontal="centerContinuous"/>
    </xf>
    <xf numFmtId="0" fontId="9" fillId="10" borderId="36" xfId="0" applyFont="1" applyFill="1" applyBorder="1" applyAlignment="1">
      <alignment horizontal="centerContinuous"/>
    </xf>
    <xf numFmtId="0" fontId="9" fillId="10" borderId="37" xfId="0" applyFont="1" applyFill="1" applyBorder="1" applyAlignment="1">
      <alignment horizontal="centerContinuous"/>
    </xf>
    <xf numFmtId="0" fontId="10" fillId="10" borderId="11" xfId="0" applyFont="1" applyFill="1" applyBorder="1" applyAlignment="1">
      <alignment horizontal="center"/>
    </xf>
    <xf numFmtId="0" fontId="10" fillId="10" borderId="2" xfId="0" applyFont="1" applyFill="1" applyBorder="1" applyAlignment="1">
      <alignment horizontal="center" wrapText="1"/>
    </xf>
    <xf numFmtId="0" fontId="10" fillId="10" borderId="12" xfId="0" applyFont="1" applyFill="1" applyBorder="1" applyAlignment="1">
      <alignment horizontal="center" wrapText="1"/>
    </xf>
    <xf numFmtId="0" fontId="33" fillId="0" borderId="17" xfId="0" applyFont="1" applyFill="1" applyBorder="1" applyAlignment="1">
      <alignment horizontal="center"/>
    </xf>
    <xf numFmtId="167" fontId="33" fillId="0" borderId="17" xfId="0" applyNumberFormat="1" applyFont="1" applyFill="1" applyBorder="1" applyAlignment="1">
      <alignment horizontal="center"/>
    </xf>
    <xf numFmtId="167" fontId="33" fillId="0" borderId="21" xfId="0" applyNumberFormat="1" applyFont="1" applyFill="1" applyBorder="1" applyAlignment="1">
      <alignment horizontal="center"/>
    </xf>
    <xf numFmtId="44" fontId="2" fillId="0" borderId="0" xfId="2" applyBorder="1"/>
    <xf numFmtId="0" fontId="33" fillId="6" borderId="17" xfId="0" applyFont="1" applyFill="1" applyBorder="1"/>
    <xf numFmtId="0" fontId="33" fillId="6" borderId="0" xfId="0" applyFont="1" applyFill="1" applyBorder="1"/>
    <xf numFmtId="0" fontId="23" fillId="10" borderId="1" xfId="4" applyNumberFormat="1" applyFont="1" applyFill="1" applyAlignment="1">
      <alignment horizontal="left"/>
    </xf>
    <xf numFmtId="0" fontId="23" fillId="10" borderId="1" xfId="4" applyFont="1" applyFill="1" applyAlignment="1">
      <alignment horizontal="left"/>
    </xf>
    <xf numFmtId="0" fontId="3" fillId="0" borderId="0" xfId="0" applyFont="1" applyAlignment="1">
      <alignment horizontal="left" vertical="top" wrapText="1"/>
    </xf>
    <xf numFmtId="10" fontId="28" fillId="0" borderId="0" xfId="9" applyNumberFormat="1" applyFont="1" applyBorder="1" applyAlignment="1">
      <alignment horizontal="right" vertical="top"/>
    </xf>
    <xf numFmtId="190" fontId="31" fillId="0" borderId="0" xfId="0" applyNumberFormat="1" applyFont="1" applyFill="1" applyBorder="1" applyAlignment="1"/>
    <xf numFmtId="164" fontId="28" fillId="0" borderId="0" xfId="0" applyNumberFormat="1" applyFont="1" applyBorder="1" applyAlignment="1">
      <alignment horizontal="right" vertical="top"/>
    </xf>
    <xf numFmtId="164" fontId="28" fillId="0" borderId="0" xfId="1" applyNumberFormat="1" applyFont="1" applyBorder="1" applyAlignment="1">
      <alignment horizontal="right" vertical="top"/>
    </xf>
    <xf numFmtId="164" fontId="28" fillId="0" borderId="0" xfId="9" applyNumberFormat="1" applyFont="1" applyBorder="1" applyAlignment="1">
      <alignment horizontal="right" vertical="top"/>
    </xf>
    <xf numFmtId="164" fontId="28" fillId="0" borderId="0" xfId="0" applyNumberFormat="1" applyFont="1" applyBorder="1" applyAlignment="1">
      <alignment horizontal="right" vertical="center"/>
    </xf>
    <xf numFmtId="0" fontId="7" fillId="10" borderId="6" xfId="4" applyFont="1" applyFill="1" applyBorder="1" applyAlignment="1">
      <alignment horizontal="center" wrapText="1"/>
    </xf>
    <xf numFmtId="0" fontId="3" fillId="0" borderId="0" xfId="0" applyFont="1" applyAlignment="1">
      <alignment horizontal="left" indent="1"/>
    </xf>
    <xf numFmtId="0" fontId="11"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wrapText="1"/>
    </xf>
    <xf numFmtId="0" fontId="3" fillId="0" borderId="6" xfId="0" applyFont="1" applyFill="1" applyBorder="1"/>
    <xf numFmtId="0" fontId="3" fillId="10" borderId="6" xfId="0" applyFont="1" applyFill="1" applyBorder="1"/>
    <xf numFmtId="191" fontId="10" fillId="0" borderId="20" xfId="13" applyNumberFormat="1" applyFont="1" applyBorder="1"/>
    <xf numFmtId="191" fontId="10" fillId="0" borderId="22" xfId="13" applyNumberFormat="1" applyFont="1" applyBorder="1"/>
    <xf numFmtId="44" fontId="2" fillId="0" borderId="28" xfId="2" applyFill="1" applyBorder="1"/>
    <xf numFmtId="191" fontId="2" fillId="0" borderId="20" xfId="13" applyNumberFormat="1" applyFont="1" applyBorder="1"/>
    <xf numFmtId="0" fontId="8" fillId="0" borderId="24" xfId="0" applyFont="1" applyBorder="1"/>
    <xf numFmtId="0" fontId="9" fillId="0" borderId="18" xfId="0" applyFont="1" applyBorder="1" applyAlignment="1">
      <alignment horizontal="centerContinuous"/>
    </xf>
    <xf numFmtId="0" fontId="0" fillId="0" borderId="25" xfId="0" applyBorder="1" applyAlignment="1">
      <alignment horizontal="centerContinuous"/>
    </xf>
    <xf numFmtId="0" fontId="0" fillId="0" borderId="19" xfId="0" applyBorder="1" applyAlignment="1">
      <alignment horizontal="centerContinuous"/>
    </xf>
    <xf numFmtId="0" fontId="31" fillId="0" borderId="8" xfId="0" applyFont="1" applyFill="1" applyBorder="1"/>
    <xf numFmtId="0" fontId="31" fillId="0" borderId="9" xfId="0" applyFont="1" applyFill="1" applyBorder="1" applyAlignment="1">
      <alignment horizontal="center"/>
    </xf>
    <xf numFmtId="14" fontId="31" fillId="0" borderId="9" xfId="0" applyNumberFormat="1" applyFont="1" applyFill="1" applyBorder="1"/>
    <xf numFmtId="43" fontId="31" fillId="0" borderId="9" xfId="1" applyFont="1" applyFill="1" applyBorder="1"/>
    <xf numFmtId="2" fontId="31" fillId="0" borderId="10" xfId="0" applyNumberFormat="1" applyFont="1" applyFill="1" applyBorder="1"/>
    <xf numFmtId="2" fontId="31" fillId="0" borderId="4" xfId="0" applyNumberFormat="1" applyFont="1" applyFill="1" applyBorder="1"/>
    <xf numFmtId="2" fontId="31" fillId="0" borderId="7" xfId="0" applyNumberFormat="1" applyFont="1" applyFill="1" applyBorder="1"/>
    <xf numFmtId="0" fontId="40" fillId="0" borderId="8" xfId="0" applyFont="1" applyFill="1" applyBorder="1"/>
    <xf numFmtId="0" fontId="40" fillId="0" borderId="9" xfId="0" applyFont="1" applyFill="1" applyBorder="1" applyAlignment="1">
      <alignment horizontal="center"/>
    </xf>
    <xf numFmtId="14" fontId="40" fillId="0" borderId="9" xfId="0" applyNumberFormat="1" applyFont="1" applyFill="1" applyBorder="1"/>
    <xf numFmtId="43" fontId="40" fillId="0" borderId="9" xfId="1" applyFont="1" applyFill="1" applyBorder="1"/>
    <xf numFmtId="2" fontId="40" fillId="0" borderId="10" xfId="0" applyNumberFormat="1" applyFont="1" applyFill="1" applyBorder="1"/>
    <xf numFmtId="0" fontId="40" fillId="0" borderId="3" xfId="0" applyFont="1" applyFill="1" applyBorder="1"/>
    <xf numFmtId="0" fontId="40" fillId="0" borderId="0" xfId="0" applyFont="1" applyFill="1" applyBorder="1" applyAlignment="1">
      <alignment horizontal="center"/>
    </xf>
    <xf numFmtId="14" fontId="40" fillId="0" borderId="0" xfId="0" applyNumberFormat="1" applyFont="1" applyFill="1" applyBorder="1"/>
    <xf numFmtId="43" fontId="40" fillId="0" borderId="0" xfId="1" applyFont="1" applyFill="1" applyBorder="1"/>
    <xf numFmtId="2" fontId="40" fillId="0" borderId="4" xfId="0" applyNumberFormat="1" applyFont="1" applyFill="1" applyBorder="1"/>
    <xf numFmtId="0" fontId="40" fillId="0" borderId="5" xfId="0" applyFont="1" applyFill="1" applyBorder="1"/>
    <xf numFmtId="0" fontId="40" fillId="0" borderId="6" xfId="0" applyFont="1" applyFill="1" applyBorder="1" applyAlignment="1">
      <alignment horizontal="center"/>
    </xf>
    <xf numFmtId="14" fontId="40" fillId="0" borderId="6" xfId="0" applyNumberFormat="1" applyFont="1" applyFill="1" applyBorder="1"/>
    <xf numFmtId="43" fontId="40" fillId="0" borderId="6" xfId="1" applyFont="1" applyFill="1" applyBorder="1"/>
    <xf numFmtId="2" fontId="40" fillId="0" borderId="7" xfId="0" applyNumberFormat="1" applyFont="1" applyFill="1" applyBorder="1"/>
    <xf numFmtId="44" fontId="31" fillId="0" borderId="4" xfId="2" applyFont="1" applyFill="1" applyBorder="1"/>
    <xf numFmtId="43" fontId="31" fillId="0" borderId="4" xfId="1" applyFont="1" applyFill="1" applyBorder="1"/>
    <xf numFmtId="43" fontId="31" fillId="0" borderId="7" xfId="1" applyFont="1" applyFill="1" applyBorder="1"/>
    <xf numFmtId="0" fontId="40" fillId="0" borderId="8" xfId="8" applyNumberFormat="1" applyFont="1" applyFill="1" applyBorder="1"/>
    <xf numFmtId="0" fontId="40" fillId="0" borderId="10" xfId="0" applyFont="1" applyFill="1" applyBorder="1"/>
    <xf numFmtId="0" fontId="40" fillId="0" borderId="3" xfId="0" applyNumberFormat="1" applyFont="1" applyFill="1" applyBorder="1"/>
    <xf numFmtId="0" fontId="40" fillId="0" borderId="4" xfId="0" applyFont="1" applyFill="1" applyBorder="1"/>
    <xf numFmtId="49" fontId="40" fillId="8" borderId="5" xfId="0" applyNumberFormat="1" applyFont="1" applyFill="1" applyBorder="1"/>
    <xf numFmtId="0" fontId="40" fillId="8" borderId="6" xfId="0" applyFont="1" applyFill="1" applyBorder="1" applyAlignment="1">
      <alignment horizontal="center"/>
    </xf>
    <xf numFmtId="14" fontId="40" fillId="8" borderId="6" xfId="0" applyNumberFormat="1" applyFont="1" applyFill="1" applyBorder="1"/>
    <xf numFmtId="43" fontId="40" fillId="8" borderId="6" xfId="1" applyFont="1" applyFill="1" applyBorder="1"/>
    <xf numFmtId="0" fontId="40" fillId="8" borderId="6" xfId="0" applyFont="1" applyFill="1" applyBorder="1"/>
    <xf numFmtId="0" fontId="40" fillId="8" borderId="7" xfId="0" applyFont="1" applyFill="1" applyBorder="1"/>
    <xf numFmtId="0" fontId="40" fillId="0" borderId="26" xfId="0" applyFont="1" applyBorder="1" applyAlignment="1">
      <alignment horizontal="center"/>
    </xf>
    <xf numFmtId="0" fontId="40" fillId="0" borderId="0" xfId="0" applyFont="1" applyBorder="1" applyAlignment="1">
      <alignment horizontal="center"/>
    </xf>
    <xf numFmtId="0" fontId="40" fillId="0" borderId="24" xfId="0" applyFont="1" applyBorder="1" applyAlignment="1">
      <alignment horizontal="center" vertical="center"/>
    </xf>
    <xf numFmtId="0" fontId="40" fillId="0" borderId="0" xfId="6" applyFont="1" applyFill="1" applyBorder="1" applyAlignment="1">
      <alignment horizontal="center"/>
    </xf>
    <xf numFmtId="0" fontId="40" fillId="0" borderId="0" xfId="0" applyFont="1" applyFill="1"/>
    <xf numFmtId="0" fontId="40" fillId="0" borderId="0" xfId="0" applyFont="1" applyAlignment="1">
      <alignment horizontal="center"/>
    </xf>
    <xf numFmtId="0" fontId="40" fillId="0" borderId="0" xfId="0" applyFont="1"/>
    <xf numFmtId="0" fontId="40" fillId="0" borderId="0" xfId="6" applyFont="1" applyFill="1" applyBorder="1" applyAlignment="1">
      <alignment horizontal="right"/>
    </xf>
    <xf numFmtId="44" fontId="31" fillId="0" borderId="10" xfId="2" applyFont="1" applyFill="1" applyBorder="1"/>
    <xf numFmtId="43" fontId="31" fillId="12" borderId="0" xfId="1" applyFont="1" applyFill="1" applyBorder="1"/>
    <xf numFmtId="0" fontId="31" fillId="10" borderId="0" xfId="0" applyFont="1" applyFill="1" applyBorder="1"/>
    <xf numFmtId="0" fontId="41" fillId="10" borderId="0" xfId="0" applyFont="1" applyFill="1" applyBorder="1"/>
    <xf numFmtId="44" fontId="41" fillId="10" borderId="0" xfId="2" applyFont="1" applyFill="1" applyBorder="1"/>
    <xf numFmtId="0" fontId="31" fillId="0" borderId="0" xfId="6" applyFont="1" applyFill="1" applyBorder="1" applyAlignment="1">
      <alignment horizontal="center"/>
    </xf>
    <xf numFmtId="0" fontId="40" fillId="0" borderId="1" xfId="6" applyFont="1" applyFill="1" applyBorder="1" applyAlignment="1">
      <alignment horizontal="right"/>
    </xf>
    <xf numFmtId="0" fontId="40" fillId="0" borderId="0" xfId="0" applyFont="1" applyFill="1" applyBorder="1"/>
    <xf numFmtId="166" fontId="40" fillId="0" borderId="0" xfId="1" applyNumberFormat="1" applyFont="1" applyFill="1" applyBorder="1"/>
    <xf numFmtId="0" fontId="31" fillId="0" borderId="0" xfId="0" applyFont="1" applyFill="1" applyBorder="1"/>
    <xf numFmtId="166" fontId="31" fillId="0" borderId="0" xfId="1" applyNumberFormat="1" applyFont="1" applyFill="1" applyBorder="1"/>
    <xf numFmtId="0" fontId="24" fillId="0" borderId="0" xfId="0" applyFont="1"/>
    <xf numFmtId="0" fontId="3" fillId="0" borderId="0" xfId="0" quotePrefix="1" applyFont="1"/>
    <xf numFmtId="0" fontId="2" fillId="0" borderId="0" xfId="14"/>
    <xf numFmtId="44" fontId="2" fillId="0" borderId="0" xfId="14" applyNumberFormat="1"/>
    <xf numFmtId="44" fontId="2" fillId="10" borderId="0" xfId="15" applyNumberFormat="1" applyFont="1"/>
    <xf numFmtId="0" fontId="8" fillId="10" borderId="0" xfId="15"/>
    <xf numFmtId="44" fontId="0" fillId="10" borderId="0" xfId="15" applyNumberFormat="1" applyFont="1"/>
    <xf numFmtId="0" fontId="9" fillId="10" borderId="0" xfId="15" applyFont="1" applyAlignment="1">
      <alignment horizontal="center"/>
    </xf>
    <xf numFmtId="43" fontId="2" fillId="10" borderId="0" xfId="15" applyNumberFormat="1" applyFont="1"/>
    <xf numFmtId="43" fontId="42" fillId="10" borderId="0" xfId="15" applyNumberFormat="1" applyFont="1"/>
    <xf numFmtId="0" fontId="0" fillId="10" borderId="0" xfId="15" applyFont="1" applyAlignment="1">
      <alignment wrapText="1"/>
    </xf>
    <xf numFmtId="43" fontId="2" fillId="0" borderId="0" xfId="1"/>
    <xf numFmtId="0" fontId="2" fillId="0" borderId="0" xfId="14" applyAlignment="1">
      <alignment wrapText="1"/>
    </xf>
    <xf numFmtId="43" fontId="42" fillId="0" borderId="0" xfId="1" applyFont="1"/>
    <xf numFmtId="0" fontId="8" fillId="0" borderId="0" xfId="14" applyFont="1" applyAlignment="1">
      <alignment horizontal="right" wrapText="1"/>
    </xf>
    <xf numFmtId="0" fontId="8" fillId="0" borderId="0" xfId="14" applyFont="1"/>
    <xf numFmtId="0" fontId="4" fillId="10" borderId="0" xfId="15" applyFont="1" applyAlignment="1">
      <alignment horizontal="centerContinuous"/>
    </xf>
    <xf numFmtId="49" fontId="31" fillId="0" borderId="3" xfId="0" quotePrefix="1" applyNumberFormat="1" applyFont="1" applyFill="1" applyBorder="1"/>
    <xf numFmtId="49" fontId="31" fillId="0" borderId="5" xfId="0" quotePrefix="1" applyNumberFormat="1" applyFont="1" applyFill="1" applyBorder="1"/>
    <xf numFmtId="0" fontId="15" fillId="0" borderId="0" xfId="5" applyAlignment="1" applyProtection="1">
      <alignment horizontal="left"/>
    </xf>
    <xf numFmtId="0" fontId="24" fillId="0" borderId="0" xfId="0" applyFont="1" applyAlignment="1">
      <alignment horizontal="centerContinuous"/>
    </xf>
    <xf numFmtId="14" fontId="0" fillId="0" borderId="0" xfId="0" applyNumberFormat="1"/>
    <xf numFmtId="49" fontId="31" fillId="0" borderId="3" xfId="0" applyNumberFormat="1" applyFont="1" applyFill="1" applyBorder="1" applyAlignment="1">
      <alignment horizontal="center"/>
    </xf>
    <xf numFmtId="49" fontId="31" fillId="0" borderId="5" xfId="0" applyNumberFormat="1" applyFont="1" applyFill="1" applyBorder="1" applyAlignment="1">
      <alignment horizontal="center"/>
    </xf>
    <xf numFmtId="0" fontId="31" fillId="10" borderId="0" xfId="0" applyFont="1" applyFill="1" applyBorder="1" applyAlignment="1">
      <alignment horizontal="center"/>
    </xf>
    <xf numFmtId="0" fontId="28" fillId="0" borderId="0" xfId="12" applyFont="1" applyFill="1" applyBorder="1" applyAlignment="1">
      <alignment vertical="top"/>
    </xf>
    <xf numFmtId="0" fontId="3" fillId="0" borderId="0" xfId="0" applyFont="1" applyAlignment="1">
      <alignment horizontal="center" vertical="top" wrapText="1"/>
    </xf>
    <xf numFmtId="0" fontId="3" fillId="0" borderId="0" xfId="0" applyFont="1" applyAlignment="1">
      <alignment horizontal="left" vertical="top" wrapText="1"/>
    </xf>
    <xf numFmtId="0" fontId="3" fillId="10" borderId="0" xfId="0" applyFont="1" applyFill="1" applyBorder="1" applyAlignment="1">
      <alignment horizontal="center"/>
    </xf>
    <xf numFmtId="0" fontId="3" fillId="0" borderId="0" xfId="0" applyFont="1" applyAlignment="1">
      <alignment horizontal="center" vertical="top"/>
    </xf>
    <xf numFmtId="0" fontId="3" fillId="0" borderId="0" xfId="12" applyFont="1" applyFill="1" applyBorder="1">
      <alignment horizontal="left" vertical="top" wrapText="1"/>
    </xf>
    <xf numFmtId="0" fontId="3" fillId="0" borderId="42" xfId="12" applyFont="1" applyFill="1" applyBorder="1">
      <alignment horizontal="left" vertical="top" wrapText="1"/>
    </xf>
    <xf numFmtId="0" fontId="12" fillId="0" borderId="0" xfId="10" applyAlignment="1">
      <alignment horizontal="left"/>
    </xf>
    <xf numFmtId="0" fontId="11" fillId="0" borderId="0" xfId="16" applyAlignment="1">
      <alignment horizontal="left"/>
    </xf>
    <xf numFmtId="0" fontId="12" fillId="0" borderId="0" xfId="10" applyBorder="1" applyAlignment="1">
      <alignment horizontal="left"/>
    </xf>
    <xf numFmtId="0" fontId="11" fillId="0" borderId="0" xfId="10" applyFont="1" applyAlignment="1">
      <alignment horizontal="left"/>
    </xf>
    <xf numFmtId="0" fontId="15" fillId="0" borderId="0" xfId="5" applyFont="1" applyAlignment="1" applyProtection="1">
      <alignment horizontal="left"/>
    </xf>
    <xf numFmtId="0" fontId="24" fillId="0" borderId="0" xfId="0" applyFont="1" applyAlignment="1">
      <alignment horizontal="left"/>
    </xf>
    <xf numFmtId="0" fontId="43" fillId="0" borderId="0" xfId="11" applyFont="1" applyAlignment="1">
      <alignment horizontal="center"/>
    </xf>
    <xf numFmtId="0" fontId="43" fillId="0" borderId="0" xfId="11" applyFont="1" applyBorder="1" applyAlignment="1">
      <alignment horizontal="center"/>
    </xf>
    <xf numFmtId="1" fontId="43" fillId="0" borderId="0" xfId="11" applyNumberFormat="1" applyFont="1" applyAlignment="1">
      <alignment horizontal="center"/>
    </xf>
    <xf numFmtId="187" fontId="43" fillId="0" borderId="0" xfId="11" applyNumberFormat="1" applyFont="1" applyAlignment="1">
      <alignment horizontal="center"/>
    </xf>
    <xf numFmtId="2" fontId="43" fillId="0" borderId="0" xfId="11" applyNumberFormat="1" applyFont="1" applyAlignment="1">
      <alignment horizontal="center"/>
    </xf>
    <xf numFmtId="3" fontId="43" fillId="0" borderId="0" xfId="11" applyNumberFormat="1" applyFont="1" applyAlignment="1">
      <alignment horizontal="center"/>
    </xf>
    <xf numFmtId="4" fontId="43" fillId="0" borderId="0" xfId="11" applyNumberFormat="1" applyFont="1" applyAlignment="1">
      <alignment horizontal="center"/>
    </xf>
    <xf numFmtId="0" fontId="43" fillId="0" borderId="0" xfId="11" quotePrefix="1" applyFont="1" applyAlignment="1">
      <alignment horizontal="center"/>
    </xf>
    <xf numFmtId="192" fontId="43" fillId="0" borderId="0" xfId="11" applyNumberFormat="1" applyFont="1" applyAlignment="1">
      <alignment horizontal="center"/>
    </xf>
    <xf numFmtId="189" fontId="43" fillId="0" borderId="0" xfId="11" applyNumberFormat="1" applyFont="1" applyAlignment="1">
      <alignment horizontal="center"/>
    </xf>
    <xf numFmtId="188" fontId="43" fillId="0" borderId="0" xfId="11" applyNumberFormat="1" applyFont="1" applyAlignment="1">
      <alignment horizontal="center"/>
    </xf>
    <xf numFmtId="37" fontId="43" fillId="0" borderId="0" xfId="11" applyNumberFormat="1" applyFont="1" applyAlignment="1">
      <alignment horizontal="center"/>
    </xf>
    <xf numFmtId="38" fontId="43" fillId="0" borderId="0" xfId="11" applyNumberFormat="1" applyFont="1" applyAlignment="1">
      <alignment horizontal="center"/>
    </xf>
    <xf numFmtId="39" fontId="43" fillId="0" borderId="0" xfId="11" applyNumberFormat="1" applyFont="1" applyAlignment="1">
      <alignment horizontal="center"/>
    </xf>
    <xf numFmtId="40" fontId="43" fillId="0" borderId="0" xfId="11" applyNumberFormat="1" applyFont="1" applyAlignment="1">
      <alignment horizontal="center"/>
    </xf>
    <xf numFmtId="0" fontId="43" fillId="0" borderId="0" xfId="11" applyNumberFormat="1" applyFont="1" applyAlignment="1">
      <alignment horizontal="center"/>
    </xf>
    <xf numFmtId="0" fontId="44" fillId="0" borderId="39" xfId="11" applyFont="1" applyBorder="1" applyAlignment="1">
      <alignment horizontal="center" wrapText="1"/>
    </xf>
    <xf numFmtId="193" fontId="43" fillId="0" borderId="0" xfId="11" applyNumberFormat="1" applyFont="1" applyAlignment="1">
      <alignment horizontal="center"/>
    </xf>
    <xf numFmtId="194" fontId="43" fillId="0" borderId="0" xfId="11" applyNumberFormat="1" applyFont="1" applyAlignment="1">
      <alignment horizontal="center"/>
    </xf>
    <xf numFmtId="195" fontId="43" fillId="0" borderId="0" xfId="11" applyNumberFormat="1" applyFont="1" applyAlignment="1">
      <alignment horizontal="center"/>
    </xf>
    <xf numFmtId="196" fontId="43" fillId="0" borderId="0" xfId="11" applyNumberFormat="1" applyFont="1" applyAlignment="1">
      <alignment horizontal="center"/>
    </xf>
    <xf numFmtId="0" fontId="3" fillId="0" borderId="0" xfId="0" quotePrefix="1" applyFont="1" applyAlignment="1">
      <alignment horizontal="center"/>
    </xf>
    <xf numFmtId="197" fontId="43" fillId="0" borderId="0" xfId="11" applyNumberFormat="1" applyFont="1" applyAlignment="1">
      <alignment horizontal="center"/>
    </xf>
    <xf numFmtId="198" fontId="43" fillId="0" borderId="0" xfId="11" applyNumberFormat="1" applyFont="1" applyAlignment="1">
      <alignment horizontal="center"/>
    </xf>
    <xf numFmtId="0" fontId="9" fillId="0" borderId="20" xfId="0" applyFont="1" applyBorder="1" applyAlignment="1">
      <alignment horizontal="right"/>
    </xf>
    <xf numFmtId="0" fontId="9" fillId="0" borderId="27" xfId="0" applyFont="1" applyBorder="1" applyAlignment="1">
      <alignment horizontal="right" wrapText="1"/>
    </xf>
    <xf numFmtId="0" fontId="36" fillId="10" borderId="0" xfId="0" applyFont="1" applyFill="1" applyBorder="1" applyAlignment="1">
      <alignment horizontal="right" wrapText="1"/>
    </xf>
    <xf numFmtId="0" fontId="36" fillId="10" borderId="0" xfId="0" applyFont="1" applyFill="1" applyBorder="1" applyAlignment="1">
      <alignment horizontal="center" wrapText="1"/>
    </xf>
    <xf numFmtId="0" fontId="0" fillId="0" borderId="30" xfId="0" applyBorder="1" applyAlignment="1">
      <alignment wrapText="1"/>
    </xf>
    <xf numFmtId="0" fontId="0" fillId="0" borderId="0" xfId="0" applyAlignment="1">
      <alignment wrapText="1"/>
    </xf>
    <xf numFmtId="43" fontId="40" fillId="0" borderId="0" xfId="1" applyFont="1"/>
    <xf numFmtId="44" fontId="40" fillId="0" borderId="0" xfId="2" applyFont="1"/>
    <xf numFmtId="0" fontId="40" fillId="0" borderId="7" xfId="0" applyFont="1" applyFill="1" applyBorder="1"/>
    <xf numFmtId="0" fontId="3" fillId="0" borderId="0" xfId="0" applyFont="1" applyFill="1" applyBorder="1" applyAlignment="1"/>
    <xf numFmtId="3" fontId="31" fillId="0" borderId="0" xfId="0" applyNumberFormat="1" applyFont="1" applyFill="1" applyBorder="1" applyAlignment="1"/>
    <xf numFmtId="3" fontId="3" fillId="0" borderId="0" xfId="0" applyNumberFormat="1" applyFont="1" applyFill="1" applyBorder="1" applyAlignment="1"/>
    <xf numFmtId="3" fontId="31" fillId="0" borderId="0" xfId="0" applyNumberFormat="1" applyFont="1" applyFill="1" applyBorder="1" applyAlignment="1">
      <alignment horizontal="center"/>
    </xf>
    <xf numFmtId="10" fontId="31" fillId="0" borderId="0" xfId="0" applyNumberFormat="1" applyFont="1" applyFill="1" applyBorder="1" applyAlignment="1"/>
    <xf numFmtId="10" fontId="3" fillId="0" borderId="0" xfId="0" applyNumberFormat="1" applyFont="1" applyFill="1" applyBorder="1" applyAlignment="1"/>
    <xf numFmtId="0" fontId="40" fillId="0" borderId="3" xfId="0" applyFont="1" applyFill="1" applyBorder="1" applyAlignment="1">
      <alignment horizontal="center"/>
    </xf>
    <xf numFmtId="0" fontId="40" fillId="0" borderId="5" xfId="0" applyFont="1" applyFill="1" applyBorder="1" applyAlignment="1">
      <alignment horizontal="center"/>
    </xf>
    <xf numFmtId="0" fontId="31" fillId="0" borderId="3" xfId="0" applyFont="1" applyFill="1" applyBorder="1" applyAlignment="1">
      <alignment horizontal="center"/>
    </xf>
    <xf numFmtId="0" fontId="31" fillId="0" borderId="5" xfId="0" applyFont="1" applyFill="1" applyBorder="1" applyAlignment="1">
      <alignment horizontal="center"/>
    </xf>
    <xf numFmtId="21" fontId="40" fillId="0" borderId="0" xfId="0" applyNumberFormat="1" applyFont="1" applyAlignment="1">
      <alignment horizontal="right"/>
    </xf>
    <xf numFmtId="199" fontId="0" fillId="0" borderId="0" xfId="0" applyNumberFormat="1" applyAlignment="1">
      <alignment horizontal="left" wrapText="1"/>
    </xf>
    <xf numFmtId="0" fontId="28" fillId="0" borderId="0" xfId="0" applyFont="1" applyAlignment="1">
      <alignment horizontal="left"/>
    </xf>
    <xf numFmtId="21" fontId="3" fillId="0" borderId="0" xfId="0" applyNumberFormat="1" applyFont="1"/>
    <xf numFmtId="199" fontId="40" fillId="0" borderId="0" xfId="0" applyNumberFormat="1" applyFont="1" applyAlignment="1">
      <alignment horizontal="right"/>
    </xf>
    <xf numFmtId="21" fontId="0" fillId="0" borderId="0" xfId="0" applyNumberFormat="1"/>
    <xf numFmtId="21" fontId="2" fillId="0" borderId="0" xfId="14" applyNumberFormat="1"/>
    <xf numFmtId="21" fontId="13" fillId="0" borderId="0" xfId="0" applyNumberFormat="1" applyFont="1"/>
    <xf numFmtId="0" fontId="35" fillId="10" borderId="0" xfId="0" applyFont="1" applyFill="1" applyBorder="1" applyAlignment="1">
      <alignment horizontal="center"/>
    </xf>
    <xf numFmtId="0" fontId="36" fillId="0" borderId="0" xfId="5" applyFont="1" applyAlignment="1" applyProtection="1">
      <alignment horizontal="left"/>
    </xf>
    <xf numFmtId="200" fontId="29" fillId="0" borderId="0" xfId="0" applyNumberFormat="1" applyFont="1"/>
    <xf numFmtId="200" fontId="0" fillId="0" borderId="0" xfId="0" applyNumberFormat="1"/>
    <xf numFmtId="0" fontId="45" fillId="0" borderId="0" xfId="5" applyFont="1" applyAlignment="1" applyProtection="1"/>
    <xf numFmtId="0" fontId="15" fillId="0" borderId="0" xfId="5" applyAlignment="1" applyProtection="1">
      <alignment horizontal="left" indent="1"/>
    </xf>
    <xf numFmtId="0" fontId="46" fillId="0" borderId="0" xfId="0" applyFont="1"/>
    <xf numFmtId="0" fontId="47" fillId="0" borderId="0" xfId="0" applyFont="1"/>
    <xf numFmtId="0" fontId="2" fillId="0" borderId="0" xfId="12" quotePrefix="1" applyFont="1" applyFill="1" applyBorder="1" applyAlignment="1">
      <alignment horizontal="left" vertical="top" wrapText="1"/>
    </xf>
    <xf numFmtId="0" fontId="0" fillId="0" borderId="0" xfId="0" applyFill="1" applyAlignment="1">
      <alignment horizontal="left" vertical="top" wrapText="1"/>
    </xf>
    <xf numFmtId="0" fontId="3" fillId="10" borderId="0" xfId="0" applyFont="1" applyFill="1" applyBorder="1" applyAlignment="1">
      <alignment horizontal="centerContinuous"/>
    </xf>
    <xf numFmtId="0" fontId="3" fillId="12" borderId="0" xfId="0" applyFont="1" applyFill="1" applyBorder="1"/>
    <xf numFmtId="0" fontId="21" fillId="10" borderId="0" xfId="0" applyFont="1" applyFill="1" applyBorder="1" applyAlignment="1">
      <alignment horizontal="centerContinuous"/>
    </xf>
    <xf numFmtId="0" fontId="2" fillId="0" borderId="42" xfId="12" applyFont="1" applyFill="1" applyBorder="1">
      <alignment horizontal="left" vertical="top" wrapText="1"/>
    </xf>
    <xf numFmtId="0" fontId="2" fillId="0" borderId="0" xfId="12" applyFont="1" applyFill="1" applyBorder="1">
      <alignment horizontal="left" vertical="top" wrapText="1"/>
    </xf>
    <xf numFmtId="165" fontId="34" fillId="0" borderId="0" xfId="2" applyNumberFormat="1" applyFont="1" applyFill="1" applyBorder="1" applyAlignment="1">
      <alignment horizontal="center"/>
    </xf>
    <xf numFmtId="0" fontId="6" fillId="10" borderId="0" xfId="0" applyFont="1" applyFill="1" applyBorder="1" applyAlignment="1">
      <alignment horizontal="centerContinuous"/>
    </xf>
    <xf numFmtId="0" fontId="3" fillId="10" borderId="0" xfId="0" applyFont="1" applyFill="1" applyBorder="1" applyAlignment="1">
      <alignment horizontal="centerContinuous" wrapText="1"/>
    </xf>
    <xf numFmtId="0" fontId="3" fillId="10" borderId="6" xfId="0" applyFont="1" applyFill="1" applyBorder="1" applyAlignment="1">
      <alignment horizontal="centerContinuous" wrapText="1"/>
    </xf>
    <xf numFmtId="0" fontId="9" fillId="0" borderId="16" xfId="0" applyFont="1" applyBorder="1" applyAlignment="1">
      <alignment horizontal="centerContinuous"/>
    </xf>
    <xf numFmtId="0" fontId="0" fillId="0" borderId="26" xfId="0" applyBorder="1" applyAlignment="1">
      <alignment horizontal="centerContinuous"/>
    </xf>
    <xf numFmtId="0" fontId="0" fillId="0" borderId="27" xfId="0" applyBorder="1" applyAlignment="1">
      <alignment horizontal="centerContinuous"/>
    </xf>
    <xf numFmtId="0" fontId="2" fillId="10" borderId="43" xfId="0" applyFont="1" applyFill="1" applyBorder="1" applyAlignment="1">
      <alignment horizontal="center" wrapText="1"/>
    </xf>
    <xf numFmtId="0" fontId="4" fillId="10" borderId="9" xfId="0" applyFont="1" applyFill="1" applyBorder="1" applyAlignment="1">
      <alignment horizontal="centerContinuous"/>
    </xf>
    <xf numFmtId="0" fontId="4" fillId="10" borderId="10" xfId="0" applyFont="1" applyFill="1" applyBorder="1" applyAlignment="1">
      <alignment horizontal="centerContinuous"/>
    </xf>
    <xf numFmtId="0" fontId="4" fillId="10" borderId="5" xfId="0" applyFont="1" applyFill="1" applyBorder="1" applyAlignment="1">
      <alignment horizontal="centerContinuous"/>
    </xf>
    <xf numFmtId="0" fontId="4" fillId="10" borderId="7" xfId="0" applyFont="1" applyFill="1" applyBorder="1" applyAlignment="1">
      <alignment horizontal="centerContinuous"/>
    </xf>
    <xf numFmtId="0" fontId="3" fillId="10" borderId="43" xfId="0" applyFont="1" applyFill="1" applyBorder="1" applyAlignment="1">
      <alignment horizontal="center" wrapText="1"/>
    </xf>
    <xf numFmtId="0" fontId="32" fillId="10" borderId="8" xfId="0" applyFont="1" applyFill="1" applyBorder="1" applyAlignment="1">
      <alignment horizontal="centerContinuous"/>
    </xf>
    <xf numFmtId="0" fontId="8" fillId="10" borderId="8" xfId="0" applyFont="1" applyFill="1" applyBorder="1" applyAlignment="1">
      <alignment horizontal="centerContinuous"/>
    </xf>
    <xf numFmtId="0" fontId="8" fillId="10" borderId="9" xfId="0" applyFont="1" applyFill="1" applyBorder="1" applyAlignment="1">
      <alignment horizontal="centerContinuous"/>
    </xf>
    <xf numFmtId="0" fontId="8" fillId="10" borderId="10" xfId="0" applyFont="1" applyFill="1" applyBorder="1" applyAlignment="1">
      <alignment horizontal="centerContinuous"/>
    </xf>
    <xf numFmtId="0" fontId="8" fillId="10" borderId="5" xfId="0" applyFont="1" applyFill="1" applyBorder="1" applyAlignment="1">
      <alignment horizontal="centerContinuous"/>
    </xf>
    <xf numFmtId="0" fontId="8" fillId="10" borderId="6" xfId="0" applyFont="1" applyFill="1" applyBorder="1" applyAlignment="1">
      <alignment horizontal="centerContinuous"/>
    </xf>
    <xf numFmtId="0" fontId="8" fillId="10" borderId="7" xfId="0" applyFont="1" applyFill="1" applyBorder="1" applyAlignment="1">
      <alignment horizontal="centerContinuous"/>
    </xf>
    <xf numFmtId="0" fontId="27" fillId="10" borderId="0" xfId="4" applyFont="1" applyFill="1" applyBorder="1"/>
    <xf numFmtId="0" fontId="27" fillId="10" borderId="0" xfId="4" applyFont="1" applyFill="1" applyBorder="1" applyAlignment="1">
      <alignment horizontal="center" wrapText="1"/>
    </xf>
    <xf numFmtId="0" fontId="32" fillId="10" borderId="9" xfId="0" applyFont="1" applyFill="1" applyBorder="1" applyAlignment="1">
      <alignment horizontal="centerContinuous"/>
    </xf>
    <xf numFmtId="0" fontId="32" fillId="10" borderId="10" xfId="0" applyFont="1" applyFill="1" applyBorder="1" applyAlignment="1">
      <alignment horizontal="centerContinuous"/>
    </xf>
    <xf numFmtId="0" fontId="32" fillId="10" borderId="5" xfId="0" applyFont="1" applyFill="1" applyBorder="1" applyAlignment="1">
      <alignment horizontal="centerContinuous"/>
    </xf>
    <xf numFmtId="0" fontId="32" fillId="10" borderId="6" xfId="0" applyFont="1" applyFill="1" applyBorder="1" applyAlignment="1">
      <alignment horizontal="centerContinuous"/>
    </xf>
    <xf numFmtId="0" fontId="32" fillId="10" borderId="7" xfId="0" applyFont="1" applyFill="1" applyBorder="1" applyAlignment="1">
      <alignment horizontal="centerContinuous"/>
    </xf>
    <xf numFmtId="0" fontId="24" fillId="10" borderId="0" xfId="0" applyFont="1" applyFill="1" applyBorder="1" applyAlignment="1">
      <alignment horizontal="centerContinuous"/>
    </xf>
    <xf numFmtId="0" fontId="32" fillId="10" borderId="0" xfId="15" applyFont="1" applyAlignment="1">
      <alignment horizontal="centerContinuous"/>
    </xf>
    <xf numFmtId="0" fontId="32" fillId="10" borderId="0" xfId="0" applyFont="1" applyFill="1" applyBorder="1" applyAlignment="1">
      <alignment horizontal="centerContinuous"/>
    </xf>
    <xf numFmtId="200" fontId="48" fillId="0" borderId="0" xfId="0" applyNumberFormat="1" applyFont="1" applyAlignment="1">
      <alignment horizontal="center"/>
    </xf>
    <xf numFmtId="200" fontId="8" fillId="0" borderId="0" xfId="0" applyNumberFormat="1" applyFont="1" applyAlignment="1">
      <alignment vertical="center"/>
    </xf>
    <xf numFmtId="0" fontId="49" fillId="0" borderId="0" xfId="0" applyFont="1"/>
    <xf numFmtId="200" fontId="49" fillId="0" borderId="0" xfId="0" applyNumberFormat="1" applyFont="1"/>
    <xf numFmtId="0" fontId="3" fillId="9" borderId="0" xfId="12" applyFont="1" applyBorder="1" applyAlignment="1">
      <alignment vertical="top" wrapText="1"/>
    </xf>
    <xf numFmtId="0" fontId="8" fillId="9" borderId="40" xfId="12" applyFont="1" applyAlignment="1">
      <alignment horizontal="left" vertical="top" wrapText="1"/>
    </xf>
    <xf numFmtId="0" fontId="2" fillId="9" borderId="40" xfId="12">
      <alignment horizontal="left" vertical="top" wrapText="1"/>
    </xf>
    <xf numFmtId="0" fontId="3" fillId="9" borderId="40" xfId="12" quotePrefix="1" applyFont="1">
      <alignment horizontal="left" vertical="top" wrapText="1"/>
    </xf>
    <xf numFmtId="0" fontId="2" fillId="9" borderId="40" xfId="12" applyFont="1">
      <alignment horizontal="left" vertical="top" wrapText="1"/>
    </xf>
    <xf numFmtId="0" fontId="3" fillId="9" borderId="40" xfId="12" applyFont="1">
      <alignment horizontal="left" vertical="top" wrapText="1"/>
    </xf>
    <xf numFmtId="0" fontId="2" fillId="13" borderId="0" xfId="0" applyFont="1" applyFill="1" applyAlignment="1">
      <alignment horizontal="left" vertical="top" wrapText="1"/>
    </xf>
    <xf numFmtId="0" fontId="2" fillId="9" borderId="41" xfId="12" applyFont="1" applyBorder="1">
      <alignment horizontal="left" vertical="top" wrapText="1"/>
    </xf>
    <xf numFmtId="0" fontId="2" fillId="9" borderId="0" xfId="12" applyFont="1" applyBorder="1">
      <alignment horizontal="left" vertical="top" wrapText="1"/>
    </xf>
    <xf numFmtId="0" fontId="5" fillId="0" borderId="35" xfId="0" applyFont="1" applyBorder="1" applyAlignment="1">
      <alignment horizontal="center"/>
    </xf>
    <xf numFmtId="0" fontId="5" fillId="0" borderId="36" xfId="0" applyFont="1" applyBorder="1" applyAlignment="1">
      <alignment horizontal="center"/>
    </xf>
    <xf numFmtId="0" fontId="5" fillId="0" borderId="37" xfId="0" applyFont="1" applyBorder="1" applyAlignment="1">
      <alignment horizontal="center"/>
    </xf>
    <xf numFmtId="0" fontId="2" fillId="13" borderId="41" xfId="12" quotePrefix="1" applyFont="1" applyFill="1" applyBorder="1">
      <alignment horizontal="left" vertical="top" wrapText="1"/>
    </xf>
    <xf numFmtId="0" fontId="2" fillId="13" borderId="0" xfId="12" quotePrefix="1" applyFont="1" applyFill="1" applyBorder="1">
      <alignment horizontal="left" vertical="top" wrapText="1"/>
    </xf>
    <xf numFmtId="0" fontId="2" fillId="13" borderId="0" xfId="12" quotePrefix="1" applyFont="1" applyFill="1" applyBorder="1" applyAlignment="1">
      <alignment horizontal="left" vertical="top" wrapText="1"/>
    </xf>
    <xf numFmtId="0" fontId="0" fillId="10" borderId="16" xfId="0" applyNumberFormat="1" applyFill="1" applyBorder="1" applyAlignment="1">
      <alignment horizontal="center"/>
    </xf>
    <xf numFmtId="0" fontId="0" fillId="10" borderId="27" xfId="0" applyNumberFormat="1" applyFill="1" applyBorder="1" applyAlignment="1">
      <alignment horizontal="center"/>
    </xf>
    <xf numFmtId="170" fontId="0" fillId="10" borderId="16" xfId="0" applyNumberFormat="1" applyFill="1" applyBorder="1" applyAlignment="1">
      <alignment horizontal="center"/>
    </xf>
    <xf numFmtId="170" fontId="0" fillId="10" borderId="27" xfId="0" applyNumberFormat="1" applyFill="1" applyBorder="1" applyAlignment="1">
      <alignment horizontal="center"/>
    </xf>
    <xf numFmtId="0" fontId="35" fillId="10" borderId="0" xfId="0" applyFont="1" applyFill="1" applyBorder="1" applyAlignment="1">
      <alignment horizontal="center"/>
    </xf>
    <xf numFmtId="0" fontId="33" fillId="6" borderId="17" xfId="0" applyFont="1" applyFill="1" applyBorder="1" applyAlignment="1">
      <alignment horizontal="center"/>
    </xf>
    <xf numFmtId="0" fontId="33" fillId="6" borderId="0" xfId="0" applyFont="1" applyFill="1" applyBorder="1" applyAlignment="1">
      <alignment horizontal="center"/>
    </xf>
    <xf numFmtId="0" fontId="0" fillId="9" borderId="40" xfId="12" applyFont="1">
      <alignment horizontal="left" vertical="top" wrapText="1"/>
    </xf>
    <xf numFmtId="0" fontId="33" fillId="0" borderId="17" xfId="0" applyFont="1" applyFill="1" applyBorder="1" applyAlignment="1">
      <alignment horizontal="center"/>
    </xf>
    <xf numFmtId="0" fontId="33" fillId="0" borderId="0" xfId="0" applyFont="1" applyFill="1" applyBorder="1" applyAlignment="1">
      <alignment horizontal="center"/>
    </xf>
    <xf numFmtId="0" fontId="0" fillId="0" borderId="24" xfId="0" applyBorder="1" applyAlignment="1">
      <alignment wrapText="1"/>
    </xf>
    <xf numFmtId="0" fontId="0" fillId="0" borderId="22" xfId="0" applyBorder="1" applyAlignment="1">
      <alignment wrapText="1"/>
    </xf>
    <xf numFmtId="0" fontId="13" fillId="9" borderId="40" xfId="12" applyFont="1">
      <alignment horizontal="left" vertical="top" wrapText="1"/>
    </xf>
    <xf numFmtId="0" fontId="2" fillId="13" borderId="42" xfId="12" applyFont="1" applyFill="1" applyBorder="1">
      <alignment horizontal="left" vertical="top" wrapText="1"/>
    </xf>
    <xf numFmtId="0" fontId="2" fillId="13" borderId="0" xfId="12" applyFont="1" applyFill="1" applyBorder="1">
      <alignment horizontal="left" vertical="top" wrapText="1"/>
    </xf>
    <xf numFmtId="0" fontId="3" fillId="9" borderId="0" xfId="12" applyFont="1" applyBorder="1">
      <alignment horizontal="left" vertical="top" wrapText="1"/>
    </xf>
    <xf numFmtId="0" fontId="10" fillId="10" borderId="0" xfId="0" applyFont="1" applyFill="1" applyBorder="1" applyAlignment="1">
      <alignment horizontal="center"/>
    </xf>
    <xf numFmtId="0" fontId="10" fillId="9" borderId="40" xfId="12" applyFont="1">
      <alignment horizontal="left" vertical="top" wrapText="1"/>
    </xf>
    <xf numFmtId="0" fontId="3" fillId="0" borderId="0" xfId="0" applyFont="1" applyAlignment="1">
      <alignment horizontal="center" vertical="top"/>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quotePrefix="1" applyFont="1" applyAlignment="1">
      <alignment horizontal="center" vertical="top"/>
    </xf>
    <xf numFmtId="0" fontId="3" fillId="10" borderId="0" xfId="0" applyFont="1" applyFill="1" applyBorder="1" applyAlignment="1">
      <alignment horizontal="center"/>
    </xf>
    <xf numFmtId="0" fontId="3" fillId="0" borderId="42" xfId="12" applyFont="1" applyFill="1" applyBorder="1">
      <alignment horizontal="left" vertical="top" wrapText="1"/>
    </xf>
    <xf numFmtId="0" fontId="2" fillId="9" borderId="40" xfId="12" quotePrefix="1" applyFont="1" applyAlignment="1">
      <alignment wrapText="1"/>
    </xf>
  </cellXfs>
  <cellStyles count="17">
    <cellStyle name="Comma" xfId="1" builtinId="3"/>
    <cellStyle name="Comma [0]" xfId="13" builtinId="6"/>
    <cellStyle name="Currency" xfId="2" builtinId="4"/>
    <cellStyle name="Currency 2" xfId="3" xr:uid="{00000000-0005-0000-0000-000002000000}"/>
    <cellStyle name="Heading" xfId="4" xr:uid="{00000000-0005-0000-0000-000003000000}"/>
    <cellStyle name="Heading 4 2" xfId="15" xr:uid="{7A852BA7-7FEA-475D-B02F-46FF4DD6E54A}"/>
    <cellStyle name="Hyperlink" xfId="5" builtinId="8"/>
    <cellStyle name="Inputs" xfId="6" xr:uid="{00000000-0005-0000-0000-000005000000}"/>
    <cellStyle name="Normal" xfId="0" builtinId="0"/>
    <cellStyle name="Normal 2" xfId="7" xr:uid="{00000000-0005-0000-0000-000007000000}"/>
    <cellStyle name="Normal 3" xfId="11" xr:uid="{00000000-0005-0000-0000-000008000000}"/>
    <cellStyle name="Normal 4" xfId="14" xr:uid="{9BD544CC-0CFA-4437-B295-97B1D070F927}"/>
    <cellStyle name="Note" xfId="12" builtinId="10" customBuiltin="1"/>
    <cellStyle name="Outputs" xfId="8" xr:uid="{00000000-0005-0000-0000-00000A000000}"/>
    <cellStyle name="Percent" xfId="9" builtinId="5"/>
    <cellStyle name="Title" xfId="10" builtinId="15" customBuiltin="1"/>
    <cellStyle name="Title 2" xfId="16" xr:uid="{FACF85AC-F7F5-4A0B-AC65-551E3AAABB3D}"/>
  </cellStyles>
  <dxfs count="3">
    <dxf>
      <font>
        <color rgb="FF0070C0"/>
      </font>
    </dxf>
    <dxf>
      <font>
        <color rgb="FF0070C0"/>
      </font>
    </dxf>
    <dxf>
      <font>
        <color rgb="FF0070C0"/>
      </font>
    </dxf>
  </dxfs>
  <tableStyles count="0" defaultTableStyle="TableStyleMedium9" defaultPivotStyle="PivotStyleLight16"/>
  <colors>
    <mruColors>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jpeg"/></Relationships>
</file>

<file path=xl/drawings/drawing1.xml><?xml version="1.0" encoding="utf-8"?>
<xdr:wsDr xmlns:xdr="http://schemas.openxmlformats.org/drawingml/2006/spreadsheetDrawing" xmlns:a="http://schemas.openxmlformats.org/drawingml/2006/main">
  <xdr:twoCellAnchor>
    <xdr:from>
      <xdr:col>0</xdr:col>
      <xdr:colOff>95250</xdr:colOff>
      <xdr:row>6</xdr:row>
      <xdr:rowOff>95250</xdr:rowOff>
    </xdr:from>
    <xdr:to>
      <xdr:col>7</xdr:col>
      <xdr:colOff>266700</xdr:colOff>
      <xdr:row>12</xdr:row>
      <xdr:rowOff>47625</xdr:rowOff>
    </xdr:to>
    <xdr:pic>
      <xdr:nvPicPr>
        <xdr:cNvPr id="1632" name="Picture 8">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5250" y="752475"/>
          <a:ext cx="4438650" cy="809625"/>
        </a:xfrm>
        <a:prstGeom prst="rect">
          <a:avLst/>
        </a:prstGeom>
        <a:noFill/>
        <a:ln w="9525">
          <a:noFill/>
          <a:miter lim="800000"/>
          <a:headEnd/>
          <a:tailEnd/>
        </a:ln>
      </xdr:spPr>
    </xdr:pic>
    <xdr:clientData/>
  </xdr:twoCellAnchor>
  <xdr:twoCellAnchor>
    <xdr:from>
      <xdr:col>7</xdr:col>
      <xdr:colOff>493102</xdr:colOff>
      <xdr:row>4</xdr:row>
      <xdr:rowOff>87923</xdr:rowOff>
    </xdr:from>
    <xdr:to>
      <xdr:col>15</xdr:col>
      <xdr:colOff>197827</xdr:colOff>
      <xdr:row>29</xdr:row>
      <xdr:rowOff>150202</xdr:rowOff>
    </xdr:to>
    <xdr:pic>
      <xdr:nvPicPr>
        <xdr:cNvPr id="1633" name="Picture 1" descr="Figure2-1">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t="6403" r="17809"/>
        <a:stretch>
          <a:fillRect/>
        </a:stretch>
      </xdr:blipFill>
      <xdr:spPr bwMode="auto">
        <a:xfrm>
          <a:off x="4750044" y="476250"/>
          <a:ext cx="4569802" cy="3725740"/>
        </a:xfrm>
        <a:prstGeom prst="rect">
          <a:avLst/>
        </a:prstGeom>
        <a:noFill/>
        <a:ln w="9525">
          <a:noFill/>
          <a:miter lim="800000"/>
          <a:headEnd/>
          <a:tailEnd/>
        </a:ln>
      </xdr:spPr>
    </xdr:pic>
    <xdr:clientData/>
  </xdr:twoCellAnchor>
  <xdr:twoCellAnchor>
    <xdr:from>
      <xdr:col>12</xdr:col>
      <xdr:colOff>295275</xdr:colOff>
      <xdr:row>5</xdr:row>
      <xdr:rowOff>123825</xdr:rowOff>
    </xdr:from>
    <xdr:to>
      <xdr:col>14</xdr:col>
      <xdr:colOff>152400</xdr:colOff>
      <xdr:row>10</xdr:row>
      <xdr:rowOff>57150</xdr:rowOff>
    </xdr:to>
    <xdr:sp macro="" textlink="">
      <xdr:nvSpPr>
        <xdr:cNvPr id="1204" name="Text Box 9">
          <a:extLst>
            <a:ext uri="{FF2B5EF4-FFF2-40B4-BE49-F238E27FC236}">
              <a16:creationId xmlns:a16="http://schemas.microsoft.com/office/drawing/2014/main" id="{00000000-0008-0000-0400-0000B4040000}"/>
            </a:ext>
          </a:extLst>
        </xdr:cNvPr>
        <xdr:cNvSpPr txBox="1">
          <a:spLocks noChangeArrowheads="1"/>
        </xdr:cNvSpPr>
      </xdr:nvSpPr>
      <xdr:spPr bwMode="auto">
        <a:xfrm>
          <a:off x="7610475" y="638175"/>
          <a:ext cx="1076325" cy="647700"/>
        </a:xfrm>
        <a:prstGeom prst="rect">
          <a:avLst/>
        </a:prstGeom>
        <a:solidFill>
          <a:srgbClr val="FFFFFF"/>
        </a:solidFill>
        <a:ln w="9525" algn="ctr">
          <a:solidFill>
            <a:srgbClr val="000000"/>
          </a:solidFill>
          <a:miter lim="800000"/>
          <a:headEnd/>
          <a:tailEnd/>
        </a:ln>
        <a:effectLst>
          <a:outerShdw dist="35921" dir="2700000" algn="ctr" rotWithShape="0">
            <a:srgbClr val="000000"/>
          </a:outerShdw>
        </a:effectLst>
      </xdr:spPr>
      <xdr:txBody>
        <a:bodyPr vertOverflow="clip" wrap="square" lIns="27432" tIns="18288" rIns="27432" bIns="0" anchor="t" upright="1"/>
        <a:lstStyle/>
        <a:p>
          <a:pPr algn="ctr" rtl="0">
            <a:defRPr sz="1000"/>
          </a:pPr>
          <a:r>
            <a:rPr lang="en-US" sz="900" b="0" i="0" strike="noStrike">
              <a:solidFill>
                <a:srgbClr val="000000"/>
              </a:solidFill>
              <a:latin typeface="Arial"/>
              <a:cs typeface="Arial"/>
            </a:rPr>
            <a:t>Normal distribution with a mean of 5 and standard deviation of 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600807</xdr:colOff>
      <xdr:row>4</xdr:row>
      <xdr:rowOff>39091</xdr:rowOff>
    </xdr:from>
    <xdr:to>
      <xdr:col>14</xdr:col>
      <xdr:colOff>399317</xdr:colOff>
      <xdr:row>10</xdr:row>
      <xdr:rowOff>43961</xdr:rowOff>
    </xdr:to>
    <xdr:pic>
      <xdr:nvPicPr>
        <xdr:cNvPr id="2" name="Picture 8">
          <a:extLst>
            <a:ext uri="{FF2B5EF4-FFF2-40B4-BE49-F238E27FC236}">
              <a16:creationId xmlns:a16="http://schemas.microsoft.com/office/drawing/2014/main" id="{947B0127-D990-4B9B-A402-ECEF6519476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681903" y="412764"/>
          <a:ext cx="4055452" cy="986678"/>
        </a:xfrm>
        <a:prstGeom prst="rect">
          <a:avLst/>
        </a:prstGeom>
        <a:noFill/>
        <a:ln w="9525">
          <a:noFill/>
          <a:miter lim="800000"/>
          <a:headEnd/>
          <a:tailEnd/>
        </a:ln>
      </xdr:spPr>
    </xdr:pic>
    <xdr:clientData/>
  </xdr:twoCellAnchor>
  <xdr:twoCellAnchor>
    <xdr:from>
      <xdr:col>8</xdr:col>
      <xdr:colOff>4398</xdr:colOff>
      <xdr:row>19</xdr:row>
      <xdr:rowOff>114299</xdr:rowOff>
    </xdr:from>
    <xdr:to>
      <xdr:col>15</xdr:col>
      <xdr:colOff>2</xdr:colOff>
      <xdr:row>42</xdr:row>
      <xdr:rowOff>134228</xdr:rowOff>
    </xdr:to>
    <xdr:pic>
      <xdr:nvPicPr>
        <xdr:cNvPr id="3" name="Picture 1" descr="Figure2-1">
          <a:extLst>
            <a:ext uri="{FF2B5EF4-FFF2-40B4-BE49-F238E27FC236}">
              <a16:creationId xmlns:a16="http://schemas.microsoft.com/office/drawing/2014/main" id="{FCD6FFB8-0411-40BD-82A1-707CB4F4354D}"/>
            </a:ext>
          </a:extLst>
        </xdr:cNvPr>
        <xdr:cNvPicPr>
          <a:picLocks noChangeAspect="1" noChangeArrowheads="1"/>
        </xdr:cNvPicPr>
      </xdr:nvPicPr>
      <xdr:blipFill>
        <a:blip xmlns:r="http://schemas.openxmlformats.org/officeDocument/2006/relationships" r:embed="rId2"/>
        <a:srcRect t="6403" r="17809"/>
        <a:stretch>
          <a:fillRect/>
        </a:stretch>
      </xdr:blipFill>
      <xdr:spPr bwMode="auto">
        <a:xfrm>
          <a:off x="4693629" y="2788626"/>
          <a:ext cx="4252546" cy="3390314"/>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46158</xdr:colOff>
      <xdr:row>14</xdr:row>
      <xdr:rowOff>62279</xdr:rowOff>
    </xdr:from>
    <xdr:to>
      <xdr:col>15</xdr:col>
      <xdr:colOff>397118</xdr:colOff>
      <xdr:row>36</xdr:row>
      <xdr:rowOff>6594</xdr:rowOff>
    </xdr:to>
    <xdr:pic>
      <xdr:nvPicPr>
        <xdr:cNvPr id="31361" name="Picture 4" descr="Figure2-3">
          <a:extLst>
            <a:ext uri="{FF2B5EF4-FFF2-40B4-BE49-F238E27FC236}">
              <a16:creationId xmlns:a16="http://schemas.microsoft.com/office/drawing/2014/main" id="{00000000-0008-0000-0500-0000817A0000}"/>
            </a:ext>
          </a:extLst>
        </xdr:cNvPr>
        <xdr:cNvPicPr>
          <a:picLocks noChangeAspect="1" noChangeArrowheads="1"/>
        </xdr:cNvPicPr>
      </xdr:nvPicPr>
      <xdr:blipFill>
        <a:blip xmlns:r="http://schemas.openxmlformats.org/officeDocument/2006/relationships" r:embed="rId1"/>
        <a:srcRect t="7143"/>
        <a:stretch>
          <a:fillRect/>
        </a:stretch>
      </xdr:blipFill>
      <xdr:spPr bwMode="auto">
        <a:xfrm>
          <a:off x="4911235" y="1989260"/>
          <a:ext cx="4607902" cy="3168161"/>
        </a:xfrm>
        <a:prstGeom prst="rect">
          <a:avLst/>
        </a:prstGeom>
        <a:noFill/>
        <a:ln w="9525">
          <a:noFill/>
          <a:miter lim="800000"/>
          <a:headEnd/>
          <a:tailEnd/>
        </a:ln>
      </xdr:spPr>
    </xdr:pic>
    <xdr:clientData/>
  </xdr:twoCellAnchor>
  <xdr:twoCellAnchor>
    <xdr:from>
      <xdr:col>0</xdr:col>
      <xdr:colOff>139944</xdr:colOff>
      <xdr:row>12</xdr:row>
      <xdr:rowOff>125290</xdr:rowOff>
    </xdr:from>
    <xdr:to>
      <xdr:col>7</xdr:col>
      <xdr:colOff>292344</xdr:colOff>
      <xdr:row>33</xdr:row>
      <xdr:rowOff>7326</xdr:rowOff>
    </xdr:to>
    <xdr:pic>
      <xdr:nvPicPr>
        <xdr:cNvPr id="31362" name="Picture 2" descr="Figure2-2">
          <a:extLst>
            <a:ext uri="{FF2B5EF4-FFF2-40B4-BE49-F238E27FC236}">
              <a16:creationId xmlns:a16="http://schemas.microsoft.com/office/drawing/2014/main" id="{00000000-0008-0000-0500-0000827A0000}"/>
            </a:ext>
          </a:extLst>
        </xdr:cNvPr>
        <xdr:cNvPicPr>
          <a:picLocks noChangeAspect="1" noChangeArrowheads="1"/>
        </xdr:cNvPicPr>
      </xdr:nvPicPr>
      <xdr:blipFill>
        <a:blip xmlns:r="http://schemas.openxmlformats.org/officeDocument/2006/relationships" r:embed="rId2"/>
        <a:srcRect t="6752" r="17607"/>
        <a:stretch>
          <a:fillRect/>
        </a:stretch>
      </xdr:blipFill>
      <xdr:spPr bwMode="auto">
        <a:xfrm>
          <a:off x="139944" y="1759194"/>
          <a:ext cx="4409342" cy="2959344"/>
        </a:xfrm>
        <a:prstGeom prst="rect">
          <a:avLst/>
        </a:prstGeom>
        <a:noFill/>
        <a:ln w="9525">
          <a:noFill/>
          <a:miter lim="800000"/>
          <a:headEnd/>
          <a:tailEnd/>
        </a:ln>
      </xdr:spPr>
    </xdr:pic>
    <xdr:clientData/>
  </xdr:twoCellAnchor>
  <xdr:twoCellAnchor>
    <xdr:from>
      <xdr:col>5</xdr:col>
      <xdr:colOff>19050</xdr:colOff>
      <xdr:row>15</xdr:row>
      <xdr:rowOff>123825</xdr:rowOff>
    </xdr:from>
    <xdr:to>
      <xdr:col>7</xdr:col>
      <xdr:colOff>85725</xdr:colOff>
      <xdr:row>20</xdr:row>
      <xdr:rowOff>57150</xdr:rowOff>
    </xdr:to>
    <xdr:sp macro="" textlink="">
      <xdr:nvSpPr>
        <xdr:cNvPr id="30727" name="Text Box 11">
          <a:extLst>
            <a:ext uri="{FF2B5EF4-FFF2-40B4-BE49-F238E27FC236}">
              <a16:creationId xmlns:a16="http://schemas.microsoft.com/office/drawing/2014/main" id="{00000000-0008-0000-0500-000007780000}"/>
            </a:ext>
          </a:extLst>
        </xdr:cNvPr>
        <xdr:cNvSpPr txBox="1">
          <a:spLocks noChangeArrowheads="1"/>
        </xdr:cNvSpPr>
      </xdr:nvSpPr>
      <xdr:spPr bwMode="auto">
        <a:xfrm>
          <a:off x="3067050" y="2209800"/>
          <a:ext cx="1285875" cy="647700"/>
        </a:xfrm>
        <a:prstGeom prst="rect">
          <a:avLst/>
        </a:prstGeom>
        <a:solidFill>
          <a:srgbClr val="FFFFFF"/>
        </a:solidFill>
        <a:ln w="9525" algn="ctr">
          <a:solidFill>
            <a:srgbClr val="000000"/>
          </a:solidFill>
          <a:miter lim="800000"/>
          <a:headEnd/>
          <a:tailEnd/>
        </a:ln>
        <a:effectLst>
          <a:outerShdw dist="35921" dir="2700000" algn="ctr" rotWithShape="0">
            <a:srgbClr val="000000"/>
          </a:outerShdw>
        </a:effectLst>
      </xdr:spPr>
      <xdr:txBody>
        <a:bodyPr vertOverflow="clip" wrap="square" lIns="27432" tIns="18288" rIns="27432" bIns="0" anchor="t" upright="1"/>
        <a:lstStyle/>
        <a:p>
          <a:pPr algn="ctr" rtl="0">
            <a:defRPr sz="1000"/>
          </a:pPr>
          <a:r>
            <a:rPr lang="en-US" sz="900" b="0" i="0" strike="noStrike">
              <a:solidFill>
                <a:srgbClr val="000000"/>
              </a:solidFill>
              <a:latin typeface="Arial"/>
              <a:cs typeface="Arial"/>
            </a:rPr>
            <a:t>Figure 2.2:</a:t>
          </a:r>
        </a:p>
        <a:p>
          <a:pPr algn="ctr" rtl="0">
            <a:defRPr sz="1000"/>
          </a:pPr>
          <a:r>
            <a:rPr lang="en-US" sz="900" b="0" i="0" strike="noStrike">
              <a:solidFill>
                <a:srgbClr val="000000"/>
              </a:solidFill>
              <a:latin typeface="Arial"/>
              <a:cs typeface="Arial"/>
            </a:rPr>
            <a:t>Normal distribution with a mean of 5 and standard deviation of 1</a:t>
          </a:r>
        </a:p>
      </xdr:txBody>
    </xdr:sp>
    <xdr:clientData/>
  </xdr:twoCellAnchor>
  <xdr:twoCellAnchor>
    <xdr:from>
      <xdr:col>13</xdr:col>
      <xdr:colOff>172915</xdr:colOff>
      <xdr:row>16</xdr:row>
      <xdr:rowOff>2931</xdr:rowOff>
    </xdr:from>
    <xdr:to>
      <xdr:col>15</xdr:col>
      <xdr:colOff>69606</xdr:colOff>
      <xdr:row>20</xdr:row>
      <xdr:rowOff>139944</xdr:rowOff>
    </xdr:to>
    <xdr:sp macro="" textlink="">
      <xdr:nvSpPr>
        <xdr:cNvPr id="30728" name="Text Box 17">
          <a:extLst>
            <a:ext uri="{FF2B5EF4-FFF2-40B4-BE49-F238E27FC236}">
              <a16:creationId xmlns:a16="http://schemas.microsoft.com/office/drawing/2014/main" id="{00000000-0008-0000-0500-000008780000}"/>
            </a:ext>
          </a:extLst>
        </xdr:cNvPr>
        <xdr:cNvSpPr txBox="1">
          <a:spLocks noChangeArrowheads="1"/>
        </xdr:cNvSpPr>
      </xdr:nvSpPr>
      <xdr:spPr bwMode="auto">
        <a:xfrm>
          <a:off x="8078665" y="2222989"/>
          <a:ext cx="1112960" cy="723167"/>
        </a:xfrm>
        <a:prstGeom prst="rect">
          <a:avLst/>
        </a:prstGeom>
        <a:solidFill>
          <a:srgbClr val="FFFFFF"/>
        </a:solidFill>
        <a:ln w="9525" algn="ctr">
          <a:solidFill>
            <a:srgbClr val="000000"/>
          </a:solidFill>
          <a:miter lim="800000"/>
          <a:headEnd/>
          <a:tailEnd/>
        </a:ln>
        <a:effectLst>
          <a:outerShdw dist="35921" dir="2700000" algn="ctr" rotWithShape="0">
            <a:srgbClr val="000000"/>
          </a:outerShdw>
        </a:effectLst>
      </xdr:spPr>
      <xdr:txBody>
        <a:bodyPr vertOverflow="clip" wrap="square" lIns="27432" tIns="18288" rIns="27432" bIns="0" anchor="t" upright="1"/>
        <a:lstStyle/>
        <a:p>
          <a:pPr algn="ctr" rtl="0">
            <a:defRPr sz="1000"/>
          </a:pPr>
          <a:r>
            <a:rPr lang="en-US" sz="1000" b="0" i="0" strike="noStrike">
              <a:solidFill>
                <a:srgbClr val="000000"/>
              </a:solidFill>
              <a:latin typeface="Arial"/>
              <a:cs typeface="Arial"/>
            </a:rPr>
            <a:t>Figure 2.3: </a:t>
          </a:r>
        </a:p>
        <a:p>
          <a:pPr algn="ctr" rtl="0">
            <a:defRPr sz="1000"/>
          </a:pPr>
          <a:r>
            <a:rPr lang="en-US" sz="1000" b="0" i="0" strike="noStrike">
              <a:solidFill>
                <a:srgbClr val="000000"/>
              </a:solidFill>
              <a:latin typeface="Arial"/>
              <a:cs typeface="Arial"/>
            </a:rPr>
            <a:t>Non-normal distribution with a mean of 5</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5</xdr:row>
      <xdr:rowOff>104775</xdr:rowOff>
    </xdr:from>
    <xdr:to>
      <xdr:col>12</xdr:col>
      <xdr:colOff>57150</xdr:colOff>
      <xdr:row>13</xdr:row>
      <xdr:rowOff>19050</xdr:rowOff>
    </xdr:to>
    <xdr:pic>
      <xdr:nvPicPr>
        <xdr:cNvPr id="33888" name="Picture 1">
          <a:extLst>
            <a:ext uri="{FF2B5EF4-FFF2-40B4-BE49-F238E27FC236}">
              <a16:creationId xmlns:a16="http://schemas.microsoft.com/office/drawing/2014/main" id="{00000000-0008-0000-0800-0000608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981075"/>
          <a:ext cx="7286625" cy="1209675"/>
        </a:xfrm>
        <a:prstGeom prst="rect">
          <a:avLst/>
        </a:prstGeom>
        <a:noFill/>
        <a:ln w="1">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476250</xdr:colOff>
      <xdr:row>14</xdr:row>
      <xdr:rowOff>36635</xdr:rowOff>
    </xdr:from>
    <xdr:to>
      <xdr:col>22</xdr:col>
      <xdr:colOff>209984</xdr:colOff>
      <xdr:row>21</xdr:row>
      <xdr:rowOff>60670</xdr:rowOff>
    </xdr:to>
    <xdr:pic>
      <xdr:nvPicPr>
        <xdr:cNvPr id="2" name="Picture 1">
          <a:extLst>
            <a:ext uri="{FF2B5EF4-FFF2-40B4-BE49-F238E27FC236}">
              <a16:creationId xmlns:a16="http://schemas.microsoft.com/office/drawing/2014/main" id="{19E71B5E-95CE-40EF-90AE-7B32CE0169DC}"/>
            </a:ext>
          </a:extLst>
        </xdr:cNvPr>
        <xdr:cNvPicPr>
          <a:picLocks noChangeAspect="1"/>
        </xdr:cNvPicPr>
      </xdr:nvPicPr>
      <xdr:blipFill>
        <a:blip xmlns:r="http://schemas.openxmlformats.org/officeDocument/2006/relationships" r:embed="rId1"/>
        <a:stretch>
          <a:fillRect/>
        </a:stretch>
      </xdr:blipFill>
      <xdr:spPr>
        <a:xfrm>
          <a:off x="5121519" y="1883020"/>
          <a:ext cx="8247619" cy="11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381000</xdr:colOff>
      <xdr:row>0</xdr:row>
      <xdr:rowOff>180974</xdr:rowOff>
    </xdr:from>
    <xdr:to>
      <xdr:col>28</xdr:col>
      <xdr:colOff>342900</xdr:colOff>
      <xdr:row>50</xdr:row>
      <xdr:rowOff>93068</xdr:rowOff>
    </xdr:to>
    <xdr:pic>
      <xdr:nvPicPr>
        <xdr:cNvPr id="11228" name="Picture 18">
          <a:extLst>
            <a:ext uri="{FF2B5EF4-FFF2-40B4-BE49-F238E27FC236}">
              <a16:creationId xmlns:a16="http://schemas.microsoft.com/office/drawing/2014/main" id="{00000000-0008-0000-0C00-0000DC2B0000}"/>
            </a:ext>
          </a:extLst>
        </xdr:cNvPr>
        <xdr:cNvPicPr>
          <a:picLocks noChangeAspect="1" noChangeArrowheads="1"/>
        </xdr:cNvPicPr>
      </xdr:nvPicPr>
      <xdr:blipFill>
        <a:blip xmlns:r="http://schemas.openxmlformats.org/officeDocument/2006/relationships" r:embed="rId1"/>
        <a:srcRect l="2678" t="8571" r="8928" b="2515"/>
        <a:stretch>
          <a:fillRect/>
        </a:stretch>
      </xdr:blipFill>
      <xdr:spPr bwMode="auto">
        <a:xfrm>
          <a:off x="14173200" y="180974"/>
          <a:ext cx="3009900" cy="7884519"/>
        </a:xfrm>
        <a:prstGeom prst="rect">
          <a:avLst/>
        </a:prstGeom>
        <a:noFill/>
        <a:ln w="1">
          <a:noFill/>
          <a:miter lim="800000"/>
          <a:headEnd/>
          <a:tailEnd/>
        </a:ln>
      </xdr:spPr>
    </xdr:pic>
    <xdr:clientData/>
  </xdr:twoCellAnchor>
  <xdr:twoCellAnchor>
    <xdr:from>
      <xdr:col>13</xdr:col>
      <xdr:colOff>190500</xdr:colOff>
      <xdr:row>7</xdr:row>
      <xdr:rowOff>133350</xdr:rowOff>
    </xdr:from>
    <xdr:to>
      <xdr:col>23</xdr:col>
      <xdr:colOff>152399</xdr:colOff>
      <xdr:row>26</xdr:row>
      <xdr:rowOff>133350</xdr:rowOff>
    </xdr:to>
    <xdr:grpSp>
      <xdr:nvGrpSpPr>
        <xdr:cNvPr id="11230" name="Group 26">
          <a:extLst>
            <a:ext uri="{FF2B5EF4-FFF2-40B4-BE49-F238E27FC236}">
              <a16:creationId xmlns:a16="http://schemas.microsoft.com/office/drawing/2014/main" id="{00000000-0008-0000-0C00-0000DE2B0000}"/>
            </a:ext>
          </a:extLst>
        </xdr:cNvPr>
        <xdr:cNvGrpSpPr>
          <a:grpSpLocks/>
        </xdr:cNvGrpSpPr>
      </xdr:nvGrpSpPr>
      <xdr:grpSpPr bwMode="auto">
        <a:xfrm>
          <a:off x="7886700" y="1228725"/>
          <a:ext cx="6057899" cy="3238500"/>
          <a:chOff x="3" y="608"/>
          <a:chExt cx="512" cy="229"/>
        </a:xfrm>
      </xdr:grpSpPr>
      <xdr:pic>
        <xdr:nvPicPr>
          <xdr:cNvPr id="11234" name="Picture 3" descr="Table2-4">
            <a:extLst>
              <a:ext uri="{FF2B5EF4-FFF2-40B4-BE49-F238E27FC236}">
                <a16:creationId xmlns:a16="http://schemas.microsoft.com/office/drawing/2014/main" id="{00000000-0008-0000-0C00-0000E22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 y="613"/>
            <a:ext cx="512" cy="224"/>
          </a:xfrm>
          <a:prstGeom prst="rect">
            <a:avLst/>
          </a:prstGeom>
          <a:noFill/>
          <a:ln w="9525">
            <a:noFill/>
            <a:miter lim="800000"/>
            <a:headEnd/>
            <a:tailEnd/>
          </a:ln>
        </xdr:spPr>
      </xdr:pic>
      <xdr:pic>
        <xdr:nvPicPr>
          <xdr:cNvPr id="11235" name="Picture 13">
            <a:extLst>
              <a:ext uri="{FF2B5EF4-FFF2-40B4-BE49-F238E27FC236}">
                <a16:creationId xmlns:a16="http://schemas.microsoft.com/office/drawing/2014/main" id="{00000000-0008-0000-0C00-0000E32B0000}"/>
              </a:ext>
            </a:extLst>
          </xdr:cNvPr>
          <xdr:cNvPicPr>
            <a:picLocks noChangeAspect="1" noChangeArrowheads="1"/>
          </xdr:cNvPicPr>
        </xdr:nvPicPr>
        <xdr:blipFill>
          <a:blip xmlns:r="http://schemas.openxmlformats.org/officeDocument/2006/relationships" r:embed="rId3"/>
          <a:srcRect l="17500" t="3697" r="80376" b="94417"/>
          <a:stretch>
            <a:fillRect/>
          </a:stretch>
        </xdr:blipFill>
        <xdr:spPr bwMode="auto">
          <a:xfrm>
            <a:off x="367" y="608"/>
            <a:ext cx="60" cy="40"/>
          </a:xfrm>
          <a:prstGeom prst="rect">
            <a:avLst/>
          </a:prstGeom>
          <a:noFill/>
          <a:ln w="1">
            <a:noFill/>
            <a:miter lim="800000"/>
            <a:headEnd/>
            <a:tailEnd/>
          </a:ln>
        </xdr:spPr>
      </xdr:pic>
    </xdr:grpSp>
    <xdr:clientData/>
  </xdr:twoCellAnchor>
  <xdr:twoCellAnchor>
    <xdr:from>
      <xdr:col>11</xdr:col>
      <xdr:colOff>38099</xdr:colOff>
      <xdr:row>29</xdr:row>
      <xdr:rowOff>95250</xdr:rowOff>
    </xdr:from>
    <xdr:to>
      <xdr:col>22</xdr:col>
      <xdr:colOff>123824</xdr:colOff>
      <xdr:row>52</xdr:row>
      <xdr:rowOff>95250</xdr:rowOff>
    </xdr:to>
    <xdr:grpSp>
      <xdr:nvGrpSpPr>
        <xdr:cNvPr id="11231" name="Group 27">
          <a:extLst>
            <a:ext uri="{FF2B5EF4-FFF2-40B4-BE49-F238E27FC236}">
              <a16:creationId xmlns:a16="http://schemas.microsoft.com/office/drawing/2014/main" id="{00000000-0008-0000-0C00-0000DF2B0000}"/>
            </a:ext>
          </a:extLst>
        </xdr:cNvPr>
        <xdr:cNvGrpSpPr>
          <a:grpSpLocks/>
        </xdr:cNvGrpSpPr>
      </xdr:nvGrpSpPr>
      <xdr:grpSpPr bwMode="auto">
        <a:xfrm>
          <a:off x="6515099" y="4914900"/>
          <a:ext cx="6791325" cy="3438525"/>
          <a:chOff x="3" y="846"/>
          <a:chExt cx="510" cy="282"/>
        </a:xfrm>
      </xdr:grpSpPr>
      <xdr:pic>
        <xdr:nvPicPr>
          <xdr:cNvPr id="11232" name="Picture 4" descr="Table2-5">
            <a:extLst>
              <a:ext uri="{FF2B5EF4-FFF2-40B4-BE49-F238E27FC236}">
                <a16:creationId xmlns:a16="http://schemas.microsoft.com/office/drawing/2014/main" id="{00000000-0008-0000-0C00-0000E02B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3" y="851"/>
            <a:ext cx="510" cy="277"/>
          </a:xfrm>
          <a:prstGeom prst="rect">
            <a:avLst/>
          </a:prstGeom>
          <a:noFill/>
          <a:ln w="9525">
            <a:noFill/>
            <a:miter lim="800000"/>
            <a:headEnd/>
            <a:tailEnd/>
          </a:ln>
        </xdr:spPr>
      </xdr:pic>
      <xdr:pic>
        <xdr:nvPicPr>
          <xdr:cNvPr id="11233" name="Picture 10">
            <a:extLst>
              <a:ext uri="{FF2B5EF4-FFF2-40B4-BE49-F238E27FC236}">
                <a16:creationId xmlns:a16="http://schemas.microsoft.com/office/drawing/2014/main" id="{00000000-0008-0000-0C00-0000E12B0000}"/>
              </a:ext>
            </a:extLst>
          </xdr:cNvPr>
          <xdr:cNvPicPr>
            <a:picLocks noChangeAspect="1" noChangeArrowheads="1"/>
          </xdr:cNvPicPr>
        </xdr:nvPicPr>
        <xdr:blipFill>
          <a:blip xmlns:r="http://schemas.openxmlformats.org/officeDocument/2006/relationships" r:embed="rId5"/>
          <a:srcRect l="44418" t="36954" r="53378" b="61060"/>
          <a:stretch>
            <a:fillRect/>
          </a:stretch>
        </xdr:blipFill>
        <xdr:spPr bwMode="auto">
          <a:xfrm>
            <a:off x="264" y="846"/>
            <a:ext cx="59" cy="40"/>
          </a:xfrm>
          <a:prstGeom prst="rect">
            <a:avLst/>
          </a:prstGeom>
          <a:noFill/>
          <a:ln w="1">
            <a:noFill/>
            <a:miter lim="800000"/>
            <a:headEnd/>
            <a:tailEnd/>
          </a:ln>
        </xdr:spPr>
      </xdr:pic>
    </xdr:grpSp>
    <xdr:clientData/>
  </xdr:twoCellAnchor>
  <xdr:twoCellAnchor editAs="oneCell">
    <xdr:from>
      <xdr:col>7</xdr:col>
      <xdr:colOff>171450</xdr:colOff>
      <xdr:row>10</xdr:row>
      <xdr:rowOff>87151</xdr:rowOff>
    </xdr:from>
    <xdr:to>
      <xdr:col>12</xdr:col>
      <xdr:colOff>514350</xdr:colOff>
      <xdr:row>27</xdr:row>
      <xdr:rowOff>145976</xdr:rowOff>
    </xdr:to>
    <xdr:pic>
      <xdr:nvPicPr>
        <xdr:cNvPr id="2" name="Picture 1">
          <a:extLst>
            <a:ext uri="{FF2B5EF4-FFF2-40B4-BE49-F238E27FC236}">
              <a16:creationId xmlns:a16="http://schemas.microsoft.com/office/drawing/2014/main" id="{06AB6CD5-65BC-4DA2-8240-50E0A2B3B072}"/>
            </a:ext>
          </a:extLst>
        </xdr:cNvPr>
        <xdr:cNvPicPr>
          <a:picLocks noChangeAspect="1"/>
        </xdr:cNvPicPr>
      </xdr:nvPicPr>
      <xdr:blipFill>
        <a:blip xmlns:r="http://schemas.openxmlformats.org/officeDocument/2006/relationships" r:embed="rId6"/>
        <a:stretch>
          <a:fillRect/>
        </a:stretch>
      </xdr:blipFill>
      <xdr:spPr>
        <a:xfrm>
          <a:off x="4210050" y="1630201"/>
          <a:ext cx="3390900" cy="28115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361950</xdr:colOff>
      <xdr:row>93</xdr:row>
      <xdr:rowOff>85725</xdr:rowOff>
    </xdr:from>
    <xdr:to>
      <xdr:col>13</xdr:col>
      <xdr:colOff>47625</xdr:colOff>
      <xdr:row>115</xdr:row>
      <xdr:rowOff>1</xdr:rowOff>
    </xdr:to>
    <xdr:pic>
      <xdr:nvPicPr>
        <xdr:cNvPr id="28016" name="Picture 4" descr="image001">
          <a:extLst>
            <a:ext uri="{FF2B5EF4-FFF2-40B4-BE49-F238E27FC236}">
              <a16:creationId xmlns:a16="http://schemas.microsoft.com/office/drawing/2014/main" id="{00000000-0008-0000-1C00-0000706D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991225" y="14754225"/>
          <a:ext cx="2733675" cy="3476625"/>
        </a:xfrm>
        <a:prstGeom prst="rect">
          <a:avLst/>
        </a:prstGeom>
        <a:noFill/>
        <a:ln w="9525">
          <a:noFill/>
          <a:miter lim="800000"/>
          <a:headEnd/>
          <a:tailEnd/>
        </a:ln>
      </xdr:spPr>
    </xdr:pic>
    <xdr:clientData/>
  </xdr:twoCellAnchor>
  <xdr:twoCellAnchor editAs="oneCell">
    <xdr:from>
      <xdr:col>5</xdr:col>
      <xdr:colOff>85725</xdr:colOff>
      <xdr:row>117</xdr:row>
      <xdr:rowOff>38100</xdr:rowOff>
    </xdr:from>
    <xdr:to>
      <xdr:col>12</xdr:col>
      <xdr:colOff>492369</xdr:colOff>
      <xdr:row>140</xdr:row>
      <xdr:rowOff>0</xdr:rowOff>
    </xdr:to>
    <xdr:pic>
      <xdr:nvPicPr>
        <xdr:cNvPr id="28017" name="Picture 6">
          <a:extLst>
            <a:ext uri="{FF2B5EF4-FFF2-40B4-BE49-F238E27FC236}">
              <a16:creationId xmlns:a16="http://schemas.microsoft.com/office/drawing/2014/main" id="{00000000-0008-0000-1C00-0000716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238500" y="18592800"/>
          <a:ext cx="4638675" cy="3686175"/>
        </a:xfrm>
        <a:prstGeom prst="rect">
          <a:avLst/>
        </a:prstGeom>
        <a:noFill/>
        <a:ln w="1">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330646</xdr:colOff>
      <xdr:row>5</xdr:row>
      <xdr:rowOff>117838</xdr:rowOff>
    </xdr:from>
    <xdr:to>
      <xdr:col>9</xdr:col>
      <xdr:colOff>153867</xdr:colOff>
      <xdr:row>10</xdr:row>
      <xdr:rowOff>14655</xdr:rowOff>
    </xdr:to>
    <xdr:pic>
      <xdr:nvPicPr>
        <xdr:cNvPr id="24827" name="Picture 9" descr="Figure2-27">
          <a:extLst>
            <a:ext uri="{FF2B5EF4-FFF2-40B4-BE49-F238E27FC236}">
              <a16:creationId xmlns:a16="http://schemas.microsoft.com/office/drawing/2014/main" id="{00000000-0008-0000-1800-0000FB6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400627" y="813896"/>
          <a:ext cx="3472028" cy="1179028"/>
        </a:xfrm>
        <a:prstGeom prst="rect">
          <a:avLst/>
        </a:prstGeom>
        <a:noFill/>
        <a:ln w="9525">
          <a:noFill/>
          <a:miter lim="800000"/>
          <a:headEnd/>
          <a:tailEnd/>
        </a:ln>
      </xdr:spPr>
    </xdr:pic>
    <xdr:clientData/>
  </xdr:twoCellAnchor>
  <xdr:twoCellAnchor editAs="oneCell">
    <xdr:from>
      <xdr:col>12</xdr:col>
      <xdr:colOff>49329</xdr:colOff>
      <xdr:row>18</xdr:row>
      <xdr:rowOff>161191</xdr:rowOff>
    </xdr:from>
    <xdr:to>
      <xdr:col>12</xdr:col>
      <xdr:colOff>3921666</xdr:colOff>
      <xdr:row>41</xdr:row>
      <xdr:rowOff>108670</xdr:rowOff>
    </xdr:to>
    <xdr:pic>
      <xdr:nvPicPr>
        <xdr:cNvPr id="2" name="Picture 1">
          <a:extLst>
            <a:ext uri="{FF2B5EF4-FFF2-40B4-BE49-F238E27FC236}">
              <a16:creationId xmlns:a16="http://schemas.microsoft.com/office/drawing/2014/main" id="{5A4401E3-9162-47B5-828B-B40B64F8E5D8}"/>
            </a:ext>
          </a:extLst>
        </xdr:cNvPr>
        <xdr:cNvPicPr>
          <a:picLocks noChangeAspect="1"/>
        </xdr:cNvPicPr>
      </xdr:nvPicPr>
      <xdr:blipFill>
        <a:blip xmlns:r="http://schemas.openxmlformats.org/officeDocument/2006/relationships" r:embed="rId2"/>
        <a:stretch>
          <a:fillRect/>
        </a:stretch>
      </xdr:blipFill>
      <xdr:spPr>
        <a:xfrm>
          <a:off x="8592521" y="3150576"/>
          <a:ext cx="3872337" cy="34937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2.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14.bin"/><Relationship Id="rId4" Type="http://schemas.openxmlformats.org/officeDocument/2006/relationships/comments" Target="../comments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xml"/><Relationship Id="rId1" Type="http://schemas.openxmlformats.org/officeDocument/2006/relationships/printerSettings" Target="../printerSettings/printerSettings22.bin"/><Relationship Id="rId4" Type="http://schemas.openxmlformats.org/officeDocument/2006/relationships/comments" Target="../comments13.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8.xml"/><Relationship Id="rId1" Type="http://schemas.openxmlformats.org/officeDocument/2006/relationships/printerSettings" Target="../printerSettings/printerSettings29.bin"/><Relationship Id="rId4" Type="http://schemas.openxmlformats.org/officeDocument/2006/relationships/comments" Target="../comments19.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outlinePr summaryBelow="0" summaryRight="0"/>
  </sheetPr>
  <dimension ref="A1:I42"/>
  <sheetViews>
    <sheetView tabSelected="1" zoomScale="115" zoomScaleNormal="115" workbookViewId="0">
      <pane xSplit="1" ySplit="8" topLeftCell="B9" activePane="bottomRight" state="frozen"/>
      <selection pane="topRight" activeCell="B1" sqref="B1"/>
      <selection pane="bottomLeft" activeCell="A9" sqref="A9"/>
      <selection pane="bottomRight" activeCell="B4" sqref="B4"/>
    </sheetView>
  </sheetViews>
  <sheetFormatPr defaultRowHeight="12.75" outlineLevelCol="1" x14ac:dyDescent="0.2"/>
  <cols>
    <col min="1" max="1" width="26.5703125" bestFit="1" customWidth="1"/>
    <col min="2" max="2" width="60.42578125" style="161" bestFit="1" customWidth="1"/>
    <col min="3" max="3" width="13.28515625" style="510" customWidth="1" outlineLevel="1"/>
    <col min="4" max="4" width="76" style="514" customWidth="1" outlineLevel="1"/>
    <col min="5" max="5" width="2.7109375" customWidth="1" collapsed="1"/>
    <col min="6" max="6" width="54.5703125" hidden="1" customWidth="1" outlineLevel="1"/>
    <col min="7" max="7" width="8.7109375" hidden="1" customWidth="1" outlineLevel="1"/>
  </cols>
  <sheetData>
    <row r="1" spans="1:9" ht="18" x14ac:dyDescent="0.25">
      <c r="A1" s="80" t="str">
        <f ca="1">SUBSTITUTE(MID(CELL("filename",A1),FIND("[",CELL("filename",A1),1)+1,FIND("]",CELL("filename",A1),1)-FIND("[",CELL("filename",A1),1)-1),".xlsx","")</f>
        <v>3_Statistical_Analysis_Notes</v>
      </c>
    </row>
    <row r="3" spans="1:9" x14ac:dyDescent="0.2">
      <c r="A3" t="s">
        <v>247</v>
      </c>
      <c r="B3" s="161" t="s">
        <v>248</v>
      </c>
    </row>
    <row r="4" spans="1:9" x14ac:dyDescent="0.2">
      <c r="A4" t="s">
        <v>249</v>
      </c>
      <c r="B4" s="162">
        <v>44788.364328935182</v>
      </c>
    </row>
    <row r="5" spans="1:9" x14ac:dyDescent="0.2">
      <c r="C5" s="553" t="s">
        <v>438</v>
      </c>
    </row>
    <row r="6" spans="1:9" x14ac:dyDescent="0.2">
      <c r="A6" s="160" t="s">
        <v>250</v>
      </c>
      <c r="B6" s="161" t="s">
        <v>257</v>
      </c>
      <c r="C6" s="554">
        <f>SUMIFS(C9:C60,D9:D60,"?*")</f>
        <v>4.099537037037037E-2</v>
      </c>
    </row>
    <row r="8" spans="1:9" s="110" customFormat="1" x14ac:dyDescent="0.2">
      <c r="A8" s="555" t="s">
        <v>246</v>
      </c>
      <c r="B8" s="555" t="s">
        <v>439</v>
      </c>
      <c r="C8" s="556" t="s">
        <v>425</v>
      </c>
      <c r="D8" s="110" t="s">
        <v>410</v>
      </c>
      <c r="E8" s="555" t="str">
        <f>segment_designator</f>
        <v>_</v>
      </c>
      <c r="F8" s="555" t="s">
        <v>426</v>
      </c>
      <c r="G8" s="555" t="s">
        <v>399</v>
      </c>
      <c r="H8" s="555"/>
      <c r="I8" s="555"/>
    </row>
    <row r="9" spans="1:9" x14ac:dyDescent="0.2">
      <c r="A9" s="513" t="str">
        <f ca="1">HYPERLINK("#"&amp;CELL("address",Documentation!$A$1),MID(CELL("filename",Documentation!$A$1),FIND("]",CELL("filename",Documentation!$A$1))+1,255))</f>
        <v>Documentation</v>
      </c>
      <c r="B9" t="str">
        <f ca="1">IF(Documentation!$A$1="","", Documentation!$A$1)</f>
        <v>3_Statistical_Analysis_Notes</v>
      </c>
      <c r="C9" s="511" t="str">
        <f>IF(Documentation!$B$2="","",Documentation!$B$2)</f>
        <v/>
      </c>
      <c r="D9" s="514" t="str">
        <f>IF(Documentation!$A$2="","",HYPERLINK(Video_website&amp;Documentation!$A$2, Documentation!$A$2))</f>
        <v/>
      </c>
      <c r="F9" t="str">
        <f t="shared" ref="F9:F41" ca="1" si="0">IF(LEFT($A9,1)=segment_designator,B9,"")</f>
        <v/>
      </c>
    </row>
    <row r="10" spans="1:9" x14ac:dyDescent="0.2">
      <c r="A10" s="513" t="str">
        <f ca="1">HYPERLINK("#"&amp;CELL("address",Objectives!$A$1),MID(CELL("filename",Objectives!$A$1),FIND("]",CELL("filename",Objectives!$A$1))+1,255))</f>
        <v>Objectives</v>
      </c>
      <c r="B10" t="str">
        <f>IF(Objectives!$A$1="","", Objectives!$A$1)</f>
        <v>Learning Objectives</v>
      </c>
      <c r="C10" s="511" t="str">
        <f>IF(Objectives!$B$2="","",Objectives!$B$2)</f>
        <v/>
      </c>
      <c r="D10" s="514" t="str">
        <f>IF(Objectives!$A$2="","",HYPERLINK(Video_website&amp;Objectives!$A$2, Objectives!$A$2))</f>
        <v/>
      </c>
      <c r="F10" t="str">
        <f t="shared" ca="1" si="0"/>
        <v/>
      </c>
    </row>
    <row r="11" spans="1:9" x14ac:dyDescent="0.2">
      <c r="A11" s="513" t="str">
        <f ca="1">HYPERLINK("#"&amp;CELL("address",Functions!$A$1),MID(CELL("filename",Functions!$A$1),FIND("]",CELL("filename",Functions!$A$1))+1,255))</f>
        <v>Functions</v>
      </c>
      <c r="B11" t="str">
        <f>IF(Functions!$A$1="","", Functions!$A$1)</f>
        <v>Functions Covered in this Chapter</v>
      </c>
      <c r="C11" s="511" t="str">
        <f>IF(Functions!$B$2="","",Functions!$B$2)</f>
        <v/>
      </c>
      <c r="D11" s="514" t="str">
        <f>IF(Functions!$A$2="","",HYPERLINK(Video_website&amp;Functions!$A$2, Functions!$A$2))</f>
        <v/>
      </c>
      <c r="F11" t="str">
        <f t="shared" ca="1" si="0"/>
        <v/>
      </c>
    </row>
    <row r="12" spans="1:9" x14ac:dyDescent="0.2">
      <c r="A12" s="513" t="str">
        <f ca="1">HYPERLINK("#"&amp;CELL("address",Key_Terms!$A$1),MID(CELL("filename",Key_Terms!$A$1),FIND("]",CELL("filename",Key_Terms!$A$1))+1,255))</f>
        <v>Key_Terms</v>
      </c>
      <c r="B12" t="str">
        <f>IF(Key_Terms!$A$1="","", Key_Terms!$A$1)</f>
        <v>Key Terms</v>
      </c>
      <c r="C12" s="511" t="str">
        <f>IF(Key_Terms!$B$2="","",Key_Terms!$B$2)</f>
        <v/>
      </c>
      <c r="D12" s="514" t="str">
        <f>IF(Key_Terms!$A$2="","",HYPERLINK(Video_website&amp;Key_Terms!$A$2, Key_Terms!$A$2))</f>
        <v/>
      </c>
      <c r="F12" t="str">
        <f t="shared" ca="1" si="0"/>
        <v/>
      </c>
    </row>
    <row r="13" spans="1:9" x14ac:dyDescent="0.2">
      <c r="A13" s="512" t="str">
        <f ca="1">HYPERLINK("#"&amp;CELL("address",_Statistics!$A$1),MID(CELL("filename",_Statistics!$A$1),FIND("]",CELL("filename",_Statistics!$A$1))+1,255))</f>
        <v>_Statistics</v>
      </c>
      <c r="B13" s="555" t="str">
        <f>IF(_Statistics!$A$1="","", _Statistics!$A$1)</f>
        <v>Statistical Analysis</v>
      </c>
      <c r="C13" s="556">
        <f>IF(_Statistics!$B$2="","",_Statistics!$B$2)</f>
        <v>2.2326388888888889E-2</v>
      </c>
      <c r="D13" s="515" t="str">
        <f>IF(_Statistics!$A$2="","",HYPERLINK(Video_website&amp;_Statistics!$A$2, _Statistics!$A$2))</f>
        <v/>
      </c>
      <c r="E13" s="555"/>
      <c r="F13" s="555" t="str">
        <f t="shared" ca="1" si="0"/>
        <v>Statistical Analysis</v>
      </c>
      <c r="G13" s="555"/>
      <c r="H13" s="555"/>
      <c r="I13" s="555"/>
    </row>
    <row r="14" spans="1:9" x14ac:dyDescent="0.2">
      <c r="A14" s="513" t="str">
        <f ca="1">HYPERLINK("#"&amp;CELL("address",Fundamentals!$A$1),MID(CELL("filename",Fundamentals!$A$1),FIND("]",CELL("filename",Fundamentals!$A$1))+1,255))</f>
        <v>Fundamentals</v>
      </c>
      <c r="B14" t="str">
        <f>IF(Fundamentals!$A$1="","", Fundamentals!$A$1)</f>
        <v>Understanding the Fundamentals of Statistics</v>
      </c>
      <c r="C14" s="511">
        <f>IF(Fundamentals!$B$2="","",Fundamentals!$B$2)</f>
        <v>4.8726851851851856E-3</v>
      </c>
      <c r="D14" s="514" t="str">
        <f>IF(Fundamentals!$A$2="","",HYPERLINK(Video_website&amp;Fundamentals!$A$2, Fundamentals!$A$2))</f>
        <v>UNC_DAYT_EXCEL_2.2.1_LECTURE_STATISTICS.mp4</v>
      </c>
      <c r="F14" t="str">
        <f t="shared" ca="1" si="0"/>
        <v/>
      </c>
    </row>
    <row r="15" spans="1:9" x14ac:dyDescent="0.2">
      <c r="A15" s="513" t="str">
        <f ca="1">HYPERLINK("#"&amp;CELL("address",Statistics!$A$1),MID(CELL("filename",Statistics!$A$1),FIND("]",CELL("filename",Statistics!$A$1))+1,255))</f>
        <v>Statistics</v>
      </c>
      <c r="B15" t="str">
        <f>IF(Statistics!$A$1="","", Statistics!$A$1)</f>
        <v>Calculating the Mean, Median, Mode, and Standard Deviation</v>
      </c>
      <c r="C15" s="511" t="str">
        <f>IF(Statistics!$B$2="","",Statistics!$B$2)</f>
        <v/>
      </c>
      <c r="D15" s="514" t="str">
        <f>IF(Statistics!$A$2="","",HYPERLINK(Video_website&amp;Statistics!$A$2, Statistics!$A$2))</f>
        <v/>
      </c>
      <c r="F15" t="str">
        <f t="shared" ca="1" si="0"/>
        <v/>
      </c>
    </row>
    <row r="16" spans="1:9" x14ac:dyDescent="0.2">
      <c r="A16" s="513" t="str">
        <f ca="1">HYPERLINK("#"&amp;CELL("address",Normal_Dist!$A$1),MID(CELL("filename",Normal_Dist!$A$1),FIND("]",CELL("filename",Normal_Dist!$A$1))+1,255))</f>
        <v>Normal_Dist</v>
      </c>
      <c r="B16" t="str">
        <f>IF(Normal_Dist!$A$1="","", Normal_Dist!$A$1)</f>
        <v>Normal versus Non-Normal Distribution</v>
      </c>
      <c r="C16" s="511" t="str">
        <f>IF(Normal_Dist!$B$2="","",Normal_Dist!$B$2)</f>
        <v/>
      </c>
      <c r="D16" s="514" t="str">
        <f>IF(Normal_Dist!$A$2="","",HYPERLINK(Video_website&amp;Normal_Dist!$A$2, Normal_Dist!$A$2))</f>
        <v/>
      </c>
      <c r="F16" t="str">
        <f t="shared" ca="1" si="0"/>
        <v/>
      </c>
    </row>
    <row r="17" spans="1:9" x14ac:dyDescent="0.2">
      <c r="A17" s="513" t="str">
        <f ca="1">HYPERLINK("#"&amp;CELL("address",Precision!$A$1),MID(CELL("filename",Precision!$A$1),FIND("]",CELL("filename",Precision!$A$1))+1,255))</f>
        <v>Precision</v>
      </c>
      <c r="B17" t="str">
        <f>IF(Precision!$A$1="","", Precision!$A$1)</f>
        <v>Values Stored with Different Precisions</v>
      </c>
      <c r="C17" s="511" t="str">
        <f>IF(Precision!$B$2="","",Precision!$B$2)</f>
        <v/>
      </c>
      <c r="D17" s="514" t="str">
        <f>IF(Precision!$A$2="","",HYPERLINK(Video_website&amp;Precision!$A$2, Precision!$A$2))</f>
        <v/>
      </c>
      <c r="F17" t="str">
        <f t="shared" ca="1" si="0"/>
        <v/>
      </c>
    </row>
    <row r="18" spans="1:9" x14ac:dyDescent="0.2">
      <c r="A18" s="513" t="str">
        <f ca="1">HYPERLINK("#"&amp;CELL("address",Round!$A$1),MID(CELL("filename",Round!$A$1),FIND("]",CELL("filename",Round!$A$1))+1,255))</f>
        <v>Round</v>
      </c>
      <c r="B18" t="str">
        <f>IF(Round!$A$1="","", Round!$A$1)</f>
        <v>Controlling the Precision of Data Using the ROUND Function</v>
      </c>
      <c r="C18" s="511" t="str">
        <f>IF(Round!$B$2="","",Round!$B$2)</f>
        <v/>
      </c>
      <c r="D18" s="514" t="str">
        <f>IF(Round!$A$2="","",HYPERLINK(Video_website&amp;Round!$A$2, Round!$A$2))</f>
        <v/>
      </c>
      <c r="F18" t="str">
        <f t="shared" ca="1" si="0"/>
        <v/>
      </c>
    </row>
    <row r="19" spans="1:9" hidden="1" x14ac:dyDescent="0.2">
      <c r="A19" s="513" t="str">
        <f ca="1">HYPERLINK("#"&amp;CELL("address",Syntax!$A$1),MID(CELL("filename",Syntax!$A$1),FIND("]",CELL("filename",Syntax!$A$1))+1,255))</f>
        <v>Syntax</v>
      </c>
      <c r="B19" t="str">
        <f>IF(Syntax!$A$1="","", Syntax!$A$1)</f>
        <v>Adhering to Function Syntax When Working with Multiple Arguments</v>
      </c>
      <c r="C19" s="511" t="str">
        <f>IF(Syntax!$B$2="","",Syntax!$B$2)</f>
        <v/>
      </c>
      <c r="D19" s="514" t="str">
        <f>IF(Syntax!$A$2="","",HYPERLINK(Video_website&amp;Syntax!$A$2, Syntax!$A$2))</f>
        <v/>
      </c>
      <c r="F19" t="str">
        <f t="shared" ca="1" si="0"/>
        <v/>
      </c>
      <c r="G19" t="s">
        <v>398</v>
      </c>
    </row>
    <row r="20" spans="1:9" x14ac:dyDescent="0.2">
      <c r="A20" s="513" t="str">
        <f ca="1">HYPERLINK("#"&amp;CELL("address",Precision_Functions!$A$1),MID(CELL("filename",Precision_Functions!$A$1),FIND("]",CELL("filename",Precision_Functions!$A$1))+1,255))</f>
        <v>Precision_Functions</v>
      </c>
      <c r="B20" t="str">
        <f>IF(Precision_Functions!$A$1="","", Precision_Functions!$A$1)</f>
        <v>Examples of Functions that Modify the Precision of a Value</v>
      </c>
      <c r="C20" s="511" t="str">
        <f>IF(Precision_Functions!$B$2="","",Precision_Functions!$B$2)</f>
        <v/>
      </c>
      <c r="D20" s="514" t="str">
        <f>IF(Precision_Functions!$A$2="","",HYPERLINK(Video_website&amp;Precision_Functions!$A$2, Precision_Functions!$A$2))</f>
        <v/>
      </c>
      <c r="F20" t="str">
        <f t="shared" ca="1" si="0"/>
        <v/>
      </c>
    </row>
    <row r="21" spans="1:9" x14ac:dyDescent="0.2">
      <c r="A21" s="513" t="str">
        <f ca="1">HYPERLINK("#"&amp;CELL("address",'Circular Reference'!$A$1),MID(CELL("filename",'Circular Reference'!$A$1),FIND("]",CELL("filename",'Circular Reference'!$A$1))+1,255))</f>
        <v>Circular Reference</v>
      </c>
      <c r="B21" t="str">
        <f>IF('Circular Reference'!$A$1="","", 'Circular Reference'!$A$1)</f>
        <v>Avoiding Circular Reference Errors</v>
      </c>
      <c r="C21" s="511">
        <f>IF('Circular Reference'!$B$2="","",'Circular Reference'!$B$2)</f>
        <v>4.7337962962962958E-3</v>
      </c>
      <c r="D21" s="514" t="str">
        <f>IF('Circular Reference'!$A$2="","",HYPERLINK(Video_website&amp;'Circular Reference'!$A$2, 'Circular Reference'!$A$2))</f>
        <v>UNC_DAYT_EXCEL_2.2.2_LECTURE_CIRCULAR_REFERENCE_ERRORS.mp4</v>
      </c>
      <c r="F21" t="str">
        <f t="shared" ca="1" si="0"/>
        <v/>
      </c>
    </row>
    <row r="22" spans="1:9" x14ac:dyDescent="0.2">
      <c r="A22" s="513" t="str">
        <f ca="1">HYPERLINK("#"&amp;CELL("address",'#REF!_error'!$A$1),MID(CELL("filename",'#REF!_error'!$A$1),FIND("]",CELL("filename",'#REF!_error'!$A$1))+1,255))</f>
        <v>#REF!_error</v>
      </c>
      <c r="B22" t="str">
        <f>IF('#REF!_error'!$A$1="","", '#REF!_error'!$A$1)</f>
        <v>Avoiding #REF! (Cell Reference Error)</v>
      </c>
      <c r="C22" s="511">
        <f>IF('#REF!_error'!$B$2="","",'#REF!_error'!$B$2)</f>
        <v>4.1319444444444442E-3</v>
      </c>
      <c r="D22" s="514" t="str">
        <f>IF('#REF!_error'!$A$2="","",HYPERLINK(Video_website&amp;'#REF!_error'!$A$2, '#REF!_error'!$A$2))</f>
        <v>UNC_DAYT_EXCEL_2.2.3_LECTURE_REF_ERROR_&amp;_PASTE_SPECIAL.mp4</v>
      </c>
      <c r="F22" t="str">
        <f t="shared" ca="1" si="0"/>
        <v/>
      </c>
    </row>
    <row r="23" spans="1:9" x14ac:dyDescent="0.2">
      <c r="A23" s="513" t="str">
        <f ca="1">HYPERLINK("#"&amp;CELL("address",Paste_Special!$A$1),MID(CELL("filename",Paste_Special!$A$1),FIND("]",CELL("filename",Paste_Special!$A$1))+1,255))</f>
        <v>Paste_Special</v>
      </c>
      <c r="B23" t="str">
        <f>IF(Paste_Special!$A$1="","", Paste_Special!$A$1)</f>
        <v>Using Paste Special to Copy and Paste Data</v>
      </c>
      <c r="C23" s="511" t="str">
        <f>IF(Paste_Special!$B$2="","",Paste_Special!$B$2)</f>
        <v/>
      </c>
      <c r="D23" s="514" t="str">
        <f>IF(Paste_Special!$A$2="","",HYPERLINK(Video_website&amp;Paste_Special!$A$2, Paste_Special!$A$2))</f>
        <v/>
      </c>
      <c r="F23" t="str">
        <f t="shared" ca="1" si="0"/>
        <v/>
      </c>
    </row>
    <row r="24" spans="1:9" x14ac:dyDescent="0.2">
      <c r="A24" s="513" t="str">
        <f ca="1">HYPERLINK("#"&amp;CELL("address",Freezing_Panes!$A$1),MID(CELL("filename",Freezing_Panes!$A$1),FIND("]",CELL("filename",Freezing_Panes!$A$1))+1,255))</f>
        <v>Freezing_Panes</v>
      </c>
      <c r="B24" t="str">
        <f>IF(Freezing_Panes!$A$1="","", Freezing_Panes!$A$1)</f>
        <v>Managing Large Worksheets by Freezing Panes</v>
      </c>
      <c r="C24" s="511">
        <f>IF(Freezing_Panes!$B$2="","",Freezing_Panes!$B$2)</f>
        <v>5.208333333333333E-3</v>
      </c>
      <c r="D24" s="514" t="str">
        <f>IF(Freezing_Panes!$A$2="","",HYPERLINK(Video_website&amp;Freezing_Panes!$A$2, Freezing_Panes!$A$2))</f>
        <v>UNC_DAYT_EXCEL_2.2.4_LECTURE_FREEZING_PANES_IN_2_DIRECTIONS.mp4</v>
      </c>
      <c r="F24" t="str">
        <f t="shared" ca="1" si="0"/>
        <v/>
      </c>
    </row>
    <row r="25" spans="1:9" x14ac:dyDescent="0.2">
      <c r="A25" s="513" t="str">
        <f ca="1">HYPERLINK("#"&amp;CELL("address",'Freezing_Rows_&amp;_Columns'!$A$1),MID(CELL("filename",'Freezing_Rows_&amp;_Columns'!$A$1),FIND("]",CELL("filename",'Freezing_Rows_&amp;_Columns'!$A$1))+1,255))</f>
        <v>Freezing_Rows_&amp;_Columns</v>
      </c>
      <c r="B25" t="str">
        <f>IF('Freezing_Rows_&amp;_Columns'!$A$1="","", 'Freezing_Rows_&amp;_Columns'!$A$1)</f>
        <v>Freezing Panes in 2 Directions (Rows &amp; Columns)</v>
      </c>
      <c r="C25" s="511" t="str">
        <f>IF('Freezing_Rows_&amp;_Columns'!$B$2="","",'Freezing_Rows_&amp;_Columns'!$B$2)</f>
        <v/>
      </c>
      <c r="D25" s="514" t="str">
        <f>IF('Freezing_Rows_&amp;_Columns'!$A$2="","",HYPERLINK(Video_website&amp;'Freezing_Rows_&amp;_Columns'!$A$2, 'Freezing_Rows_&amp;_Columns'!$A$2))</f>
        <v/>
      </c>
      <c r="F25" t="str">
        <f t="shared" ca="1" si="0"/>
        <v/>
      </c>
    </row>
    <row r="26" spans="1:9" x14ac:dyDescent="0.2">
      <c r="A26" s="513" t="str">
        <f ca="1">HYPERLINK("#"&amp;CELL("address",Splitting_Windows!$A$1),MID(CELL("filename",Splitting_Windows!$A$1),FIND("]",CELL("filename",Splitting_Windows!$A$1))+1,255))</f>
        <v>Splitting_Windows</v>
      </c>
      <c r="B26" t="str">
        <f>IF(Splitting_Windows!$A$1="","", Splitting_Windows!$A$1)</f>
        <v>Managing Large Worksheets by Splitting the Window</v>
      </c>
      <c r="C26" s="511">
        <f>IF(Splitting_Windows!$B$2="","",Splitting_Windows!$B$2)</f>
        <v>3.37962962962963E-3</v>
      </c>
      <c r="D26" s="514" t="str">
        <f>IF(Splitting_Windows!$A$2="","",HYPERLINK(Video_website&amp;Splitting_Windows!$A$2, Splitting_Windows!$A$2))</f>
        <v>UNC_DAYT_EXCEL_2.2.5_LECTURE_SPLITTING_WINDOWS_&amp;_NEW_WINDOW.mp4</v>
      </c>
      <c r="F26" t="str">
        <f t="shared" ca="1" si="0"/>
        <v/>
      </c>
    </row>
    <row r="27" spans="1:9" hidden="1" x14ac:dyDescent="0.2">
      <c r="A27" s="513" t="str">
        <f ca="1">HYPERLINK("#"&amp;CELL("address",CurrentQCdata!$A$1),MID(CELL("filename",CurrentQCdata!$A$1),FIND("]",CELL("filename",CurrentQCdata!$A$1))+1,255))</f>
        <v>CurrentQCdata</v>
      </c>
      <c r="B27" t="str">
        <f>IF(CurrentQCdata!$A$1="","", CurrentQCdata!$A$1)</f>
        <v>Quality Control Data for TZBlazer Skis</v>
      </c>
      <c r="C27" s="511" t="str">
        <f>IF(CurrentQCdata!$B$2="","",CurrentQCdata!$B$2)</f>
        <v>Size</v>
      </c>
      <c r="D27" s="514" t="str">
        <f>IF(CurrentQCdata!$A$2="","",HYPERLINK(Video_website&amp;CurrentQCdata!$A$2, CurrentQCdata!$A$2))</f>
        <v>Mfg ID#</v>
      </c>
      <c r="F27" t="str">
        <f t="shared" ca="1" si="0"/>
        <v/>
      </c>
      <c r="G27" t="s">
        <v>398</v>
      </c>
    </row>
    <row r="28" spans="1:9" hidden="1" x14ac:dyDescent="0.2">
      <c r="A28" s="513" t="str">
        <f ca="1">HYPERLINK("#"&amp;CELL("address",'Current vs Historical'!$A$1),MID(CELL("filename",'Current vs Historical'!$A$1),FIND("]",CELL("filename",'Current vs Historical'!$A$1))+1,255))</f>
        <v>Current vs Historical</v>
      </c>
      <c r="B28" t="str">
        <f>IF('Current vs Historical'!$A$1="","", 'Current vs Historical'!$A$1)</f>
        <v>Comparing Current Values to Historical Values</v>
      </c>
      <c r="C28" s="511" t="str">
        <f>IF('Current vs Historical'!$B$2="","",'Current vs Historical'!$B$2)</f>
        <v/>
      </c>
      <c r="D28" s="514" t="str">
        <f>IF('Current vs Historical'!$A$2="","",HYPERLINK(Video_website&amp;'Current vs Historical'!$A$2, 'Current vs Historical'!$A$2))</f>
        <v/>
      </c>
      <c r="F28" t="str">
        <f t="shared" ca="1" si="0"/>
        <v/>
      </c>
      <c r="G28" t="s">
        <v>398</v>
      </c>
    </row>
    <row r="29" spans="1:9" x14ac:dyDescent="0.2">
      <c r="A29" s="512" t="str">
        <f ca="1">HYPERLINK("#"&amp;CELL("address",_Statistics_2!$A$1),MID(CELL("filename",_Statistics_2!$A$1),FIND("]",CELL("filename",_Statistics_2!$A$1))+1,255))</f>
        <v>_Statistics_2</v>
      </c>
      <c r="B29" s="555" t="str">
        <f>IF(_Statistics_2!$A$1="","", _Statistics_2!$A$1)</f>
        <v>Statistical Functions</v>
      </c>
      <c r="C29" s="556">
        <f>IF(_Statistics_2!$B$2="","",_Statistics_2!$B$2)</f>
        <v>1.8668981481481481E-2</v>
      </c>
      <c r="D29" s="515" t="str">
        <f>IF(_Statistics_2!$A$2="","",HYPERLINK(Video_website&amp;_Statistics_2!$A$2, _Statistics_2!$A$2))</f>
        <v/>
      </c>
      <c r="E29" s="555"/>
      <c r="F29" s="555" t="str">
        <f t="shared" ca="1" si="0"/>
        <v>Statistical Functions</v>
      </c>
      <c r="G29" s="555"/>
      <c r="H29" s="555"/>
      <c r="I29" s="555"/>
    </row>
    <row r="30" spans="1:9" x14ac:dyDescent="0.2">
      <c r="A30" s="513" t="str">
        <f ca="1">HYPERLINK("#"&amp;CELL("address",RANK!$A$1),MID(CELL("filename",RANK!$A$1),FIND("]",CELL("filename",RANK!$A$1))+1,255))</f>
        <v>RANK</v>
      </c>
      <c r="B30" t="str">
        <f>IF(RANK!$A$1="","", RANK!$A$1)</f>
        <v>Determining a Rank for Each Value in a Data Set</v>
      </c>
      <c r="C30" s="511">
        <f>IF(RANK!$B$2="","",RANK!$B$2)</f>
        <v>4.4212962962962956E-3</v>
      </c>
      <c r="D30" s="514" t="str">
        <f>IF(RANK!$A$2="","",HYPERLINK(Video_website&amp;RANK!$A$2, RANK!$A$2))</f>
        <v>UNC_DAYT_EXCEL_2.3.1_LECTURE_RANK_RANK_EQ_RANK.AVG.mp4</v>
      </c>
      <c r="F30" t="str">
        <f t="shared" ca="1" si="0"/>
        <v/>
      </c>
    </row>
    <row r="31" spans="1:9" x14ac:dyDescent="0.2">
      <c r="A31" s="513" t="str">
        <f ca="1">HYPERLINK("#"&amp;CELL("address",'LARGE_&amp;_SMALL'!$A$1),MID(CELL("filename",'LARGE_&amp;_SMALL'!$A$1),FIND("]",CELL("filename",'LARGE_&amp;_SMALL'!$A$1))+1,255))</f>
        <v>LARGE_&amp;_SMALL</v>
      </c>
      <c r="B31" t="str">
        <f>IF('LARGE_&amp;_SMALL'!$A$1="","", 'LARGE_&amp;_SMALL'!$A$1)</f>
        <v>Determining the Highest &amp; Lowest Values in a Data Set</v>
      </c>
      <c r="C31" s="511">
        <f>IF('LARGE_&amp;_SMALL'!$B$2="","",'LARGE_&amp;_SMALL'!$B$2)</f>
        <v>3.0439814814814821E-3</v>
      </c>
      <c r="D31" s="514" t="str">
        <f>IF('LARGE_&amp;_SMALL'!$A$2="","",HYPERLINK(Video_website&amp;'LARGE_&amp;_SMALL'!$A$2, 'LARGE_&amp;_SMALL'!$A$2))</f>
        <v>UNC_DAYT_EXCEL_2.3.2_LECTURE_LARGE_SMALL_RANDBETWEEN_RAND.mp4</v>
      </c>
      <c r="F31" t="str">
        <f t="shared" ca="1" si="0"/>
        <v/>
      </c>
    </row>
    <row r="32" spans="1:9" x14ac:dyDescent="0.2">
      <c r="A32" s="513" t="str">
        <f ca="1">HYPERLINK("#"&amp;CELL("address",'RANDBETWEEN_&amp;_RAND'!$A$1),MID(CELL("filename",'RANDBETWEEN_&amp;_RAND'!$A$1),FIND("]",CELL("filename",'RANDBETWEEN_&amp;_RAND'!$A$1))+1,255))</f>
        <v>RANDBETWEEN_&amp;_RAND</v>
      </c>
      <c r="B32" t="str">
        <f>IF('RANDBETWEEN_&amp;_RAND'!$A$1="","", 'RANDBETWEEN_&amp;_RAND'!$A$1)</f>
        <v>Analyzing Data Through Simulation</v>
      </c>
      <c r="C32" s="511" t="str">
        <f>IF('RANDBETWEEN_&amp;_RAND'!$B$2="","",'RANDBETWEEN_&amp;_RAND'!$B$2)</f>
        <v/>
      </c>
      <c r="D32" s="514" t="str">
        <f>IF('RANDBETWEEN_&amp;_RAND'!$A$2="","",HYPERLINK(Video_website&amp;'RANDBETWEEN_&amp;_RAND'!$A$2, 'RANDBETWEEN_&amp;_RAND'!$A$2))</f>
        <v>UNC_DAYT_EXCEL_2.3.2_LECTURE_LARGE_SMALL_RANDBETWEEN_RAND.mp4</v>
      </c>
      <c r="F32" t="str">
        <f t="shared" ca="1" si="0"/>
        <v/>
      </c>
    </row>
    <row r="33" spans="1:9" x14ac:dyDescent="0.2">
      <c r="A33" s="513" t="str">
        <f ca="1">HYPERLINK("#"&amp;CELL("address",COUNT!$A$1),MID(CELL("filename",COUNT!$A$1),FIND("]",CELL("filename",COUNT!$A$1))+1,255))</f>
        <v>COUNT</v>
      </c>
      <c r="B33" t="str">
        <f>IF(COUNT!$A$1="","", COUNT!$A$1)</f>
        <v>Calculating the Number of Values Using COUNT &amp; COUNTA</v>
      </c>
      <c r="C33" s="511">
        <f>IF(COUNT!$B$2="","",COUNT!$B$2)</f>
        <v>2.1643518518518518E-3</v>
      </c>
      <c r="D33" s="514" t="str">
        <f>IF(COUNT!$A$2="","",HYPERLINK(Video_website&amp;COUNT!$A$2, COUNT!$A$2))</f>
        <v>UNC_DAYT_EXCEL_2.3.3_LECTURE_MAKING_COUNT_&amp;_COUNTA_FLEXIBLE.mp4</v>
      </c>
      <c r="F33" t="str">
        <f t="shared" ca="1" si="0"/>
        <v/>
      </c>
    </row>
    <row r="34" spans="1:9" x14ac:dyDescent="0.2">
      <c r="A34" s="513" t="str">
        <f ca="1">HYPERLINK("#"&amp;CELL("address",COUNTIF!$A$1),MID(CELL("filename",COUNTIF!$A$1),FIND("]",CELL("filename",COUNTIF!$A$1))+1,255))</f>
        <v>COUNTIF</v>
      </c>
      <c r="B34" t="str">
        <f>IF(COUNTIF!$A$1="","", COUNTIF!$A$1)</f>
        <v>Determining the Number of Items that Meet Specified Criteria</v>
      </c>
      <c r="C34" s="511">
        <f>IF(COUNTIF!$B$2="","",COUNTIF!$B$2)</f>
        <v>5.9606481481481489E-3</v>
      </c>
      <c r="D34" s="514" t="str">
        <f>IF(COUNTIF!$A$2="","",HYPERLINK(Video_website&amp;COUNTIF!$A$2, COUNTIF!$A$2))</f>
        <v>UNC_DAYT_EXCEL_2.3.4_LECTURE_COUNTIF_&amp;_CRITERIA_WILDCARDS.mp4</v>
      </c>
      <c r="F34" t="str">
        <f t="shared" ca="1" si="0"/>
        <v/>
      </c>
    </row>
    <row r="35" spans="1:9" x14ac:dyDescent="0.2">
      <c r="A35" s="513" t="str">
        <f ca="1">HYPERLINK("#"&amp;CELL("address",COUNTIFS!$A$1),MID(CELL("filename",COUNTIFS!$A$1),FIND("]",CELL("filename",COUNTIFS!$A$1))+1,255))</f>
        <v>COUNTIFS</v>
      </c>
      <c r="B35" t="str">
        <f>IF(COUNTIFS!$A$1="","", COUNTIFS!$A$1)</f>
        <v>Determining the Number of Items that Meet Specified Criteria</v>
      </c>
      <c r="C35" s="511">
        <f>IF(COUNTIFS!$B$2="","",COUNTIFS!$B$2)</f>
        <v>3.0787037037037037E-3</v>
      </c>
      <c r="D35" s="514" t="str">
        <f>IF(COUNTIFS!$A$2="","",HYPERLINK(Video_website&amp;COUNTIFS!$A$2, COUNTIFS!$A$2))</f>
        <v>UNC_DAYT_EXCEL_2.3.5_LECTURE_COUNTIFS_SUMIF_SUMIFS.mp4</v>
      </c>
      <c r="F35" t="str">
        <f t="shared" ca="1" si="0"/>
        <v/>
      </c>
    </row>
    <row r="36" spans="1:9" x14ac:dyDescent="0.2">
      <c r="A36" s="513" t="str">
        <f ca="1">HYPERLINK("#"&amp;CELL("address",SUMIF!$A$1),MID(CELL("filename",SUMIF!$A$1),FIND("]",CELL("filename",SUMIF!$A$1))+1,255))</f>
        <v>SUMIF</v>
      </c>
      <c r="B36" t="str">
        <f>IF(SUMIF!$A$1="","", SUMIF!$A$1)</f>
        <v>Determining a Total Value for Items that Meet Specified Criteria</v>
      </c>
      <c r="C36" s="511" t="str">
        <f>IF(SUMIF!$B$2="","",SUMIF!$B$2)</f>
        <v/>
      </c>
      <c r="D36" s="514" t="str">
        <f>IF(SUMIF!$A$2="","",HYPERLINK(Video_website&amp;SUMIF!$A$2, SUMIF!$A$2))</f>
        <v/>
      </c>
      <c r="F36" t="str">
        <f t="shared" ca="1" si="0"/>
        <v/>
      </c>
    </row>
    <row r="37" spans="1:9" x14ac:dyDescent="0.2">
      <c r="A37" s="512" t="str">
        <f ca="1">HYPERLINK("#"&amp;CELL("address",_Supplemental!$A$1),MID(CELL("filename",_Supplemental!$A$1),FIND("]",CELL("filename",_Supplemental!$A$1))+1,255))</f>
        <v>_Supplemental</v>
      </c>
      <c r="B37" s="555" t="str">
        <f>IF(_Supplemental!$A$1="","", _Supplemental!$A$1)</f>
        <v>Determining a Total Value for Items that Meet Specified Criteria</v>
      </c>
      <c r="C37" s="556" t="str">
        <f>IF(_Supplemental!$B$2="","",_Supplemental!$B$2)</f>
        <v/>
      </c>
      <c r="D37" s="515" t="str">
        <f>IF(_Supplemental!$A$2="","",HYPERLINK(Video_website&amp;_Supplemental!$A$2, _Supplemental!$A$2))</f>
        <v/>
      </c>
      <c r="E37" s="555"/>
      <c r="F37" s="555" t="str">
        <f t="shared" ca="1" si="0"/>
        <v>Determining a Total Value for Items that Meet Specified Criteria</v>
      </c>
      <c r="G37" s="555"/>
      <c r="H37" s="555"/>
      <c r="I37" s="555"/>
    </row>
    <row r="38" spans="1:9" hidden="1" x14ac:dyDescent="0.2">
      <c r="A38" s="513" t="str">
        <f ca="1">HYPERLINK("#"&amp;CELL("address",Inputs!$A$1),MID(CELL("filename",Inputs!$A$1),FIND("]",CELL("filename",Inputs!$A$1))+1,255))</f>
        <v>Inputs</v>
      </c>
      <c r="B38" t="str">
        <f>IF(Inputs!$A$1="","", Inputs!$A$1)</f>
        <v>Evaluating a Larger Data Set</v>
      </c>
      <c r="C38" s="511" t="str">
        <f>IF(Inputs!$B$2="","",Inputs!$B$2)</f>
        <v/>
      </c>
      <c r="D38" s="514" t="str">
        <f>IF(Inputs!$A$2="","",HYPERLINK(Video_website&amp;Inputs!$A$2, Inputs!$A$2))</f>
        <v/>
      </c>
      <c r="F38" t="str">
        <f t="shared" ca="1" si="0"/>
        <v/>
      </c>
      <c r="G38" t="s">
        <v>398</v>
      </c>
    </row>
    <row r="39" spans="1:9" x14ac:dyDescent="0.2">
      <c r="A39" s="513" t="str">
        <f ca="1">HYPERLINK("#"&amp;CELL("address",Custom_Format!$A$1),MID(CELL("filename",Custom_Format!$A$1),FIND("]",CELL("filename",Custom_Format!$A$1))+1,255))</f>
        <v>Custom_Format</v>
      </c>
      <c r="B39" t="str">
        <f>IF(Custom_Format!$A$1="","", Custom_Format!$A$1)</f>
        <v>Specifying a Custom Number Format</v>
      </c>
      <c r="C39" s="511" t="str">
        <f>IF(Custom_Format!$B$2="","",Custom_Format!$B$2)</f>
        <v/>
      </c>
      <c r="D39" s="514" t="str">
        <f>IF(Custom_Format!$A$2="","",HYPERLINK(Video_website&amp;Custom_Format!$A$2, Custom_Format!$A$2))</f>
        <v/>
      </c>
      <c r="F39" t="str">
        <f t="shared" ca="1" si="0"/>
        <v/>
      </c>
    </row>
    <row r="40" spans="1:9" x14ac:dyDescent="0.2">
      <c r="A40" s="513" t="str">
        <f ca="1">HYPERLINK("#"&amp;CELL("address",Custom_Examples!$A$1),MID(CELL("filename",Custom_Examples!$A$1),FIND("]",CELL("filename",Custom_Examples!$A$1))+1,255))</f>
        <v>Custom_Examples</v>
      </c>
      <c r="B40" t="str">
        <f>IF(Custom_Examples!$A$1="","", Custom_Examples!$A$1)</f>
        <v>Custom Number Format Examples</v>
      </c>
      <c r="C40" s="511" t="str">
        <f>IF(Custom_Examples!$B$2="","",Custom_Examples!$B$2)</f>
        <v/>
      </c>
      <c r="D40" s="514" t="str">
        <f>IF(Custom_Examples!$A$2="","",HYPERLINK(Video_website&amp;Custom_Examples!$A$2, Custom_Examples!$A$2))</f>
        <v/>
      </c>
      <c r="F40" t="str">
        <f t="shared" ca="1" si="0"/>
        <v/>
      </c>
    </row>
    <row r="41" spans="1:9" hidden="1" x14ac:dyDescent="0.2">
      <c r="A41" s="513" t="str">
        <f ca="1">HYPERLINK("#"&amp;CELL("address",'SUMIF &amp; COUNTIF'!$A$1),MID(CELL("filename",'SUMIF &amp; COUNTIF'!$A$1),FIND("]",CELL("filename",'SUMIF &amp; COUNTIF'!$A$1))+1,255))</f>
        <v>SUMIF &amp; COUNTIF</v>
      </c>
      <c r="B41" t="str">
        <f>IF('SUMIF &amp; COUNTIF'!$A$1="","", 'SUMIF &amp; COUNTIF'!$A$1)</f>
        <v>Combining COUNTIF &amp; SUMIF to Analyze Data in Specific Categories</v>
      </c>
      <c r="C41" s="511" t="str">
        <f>IF('SUMIF &amp; COUNTIF'!$B$2="","",'SUMIF &amp; COUNTIF'!$B$2)</f>
        <v/>
      </c>
      <c r="D41" s="514" t="str">
        <f>IF('SUMIF &amp; COUNTIF'!$A$2="","",HYPERLINK(Video_website&amp;'SUMIF &amp; COUNTIF'!$A$2, 'SUMIF &amp; COUNTIF'!$A$2))</f>
        <v/>
      </c>
      <c r="F41" t="str">
        <f t="shared" ca="1" si="0"/>
        <v/>
      </c>
      <c r="G41" t="s">
        <v>398</v>
      </c>
    </row>
    <row r="42" spans="1:9" x14ac:dyDescent="0.2">
      <c r="B42"/>
      <c r="C42" s="511"/>
    </row>
  </sheetData>
  <autoFilter ref="A8:I42" xr:uid="{00000000-0001-0000-0000-000000000000}">
    <filterColumn colId="6">
      <filters blank="1"/>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autoPageBreaks="0"/>
  </sheetPr>
  <dimension ref="A1:N37"/>
  <sheetViews>
    <sheetView zoomScale="130" zoomScaleNormal="130" workbookViewId="0">
      <selection activeCell="A5" sqref="A5"/>
    </sheetView>
  </sheetViews>
  <sheetFormatPr defaultColWidth="9.140625" defaultRowHeight="11.25" x14ac:dyDescent="0.2"/>
  <cols>
    <col min="1" max="1" width="8" style="4" customWidth="1"/>
    <col min="2" max="2" width="5.28515625" style="4" customWidth="1"/>
    <col min="3" max="3" width="5.28515625" style="4" bestFit="1" customWidth="1"/>
    <col min="4" max="4" width="12.5703125" style="4" customWidth="1"/>
    <col min="5" max="5" width="10.140625" style="4" customWidth="1"/>
    <col min="6" max="6" width="9.85546875" style="4" customWidth="1"/>
    <col min="7" max="7" width="9.42578125" style="4" customWidth="1"/>
    <col min="8" max="8" width="9.140625" style="4"/>
    <col min="9" max="9" width="6.7109375" style="4" customWidth="1"/>
    <col min="10" max="10" width="22.42578125" style="4" bestFit="1" customWidth="1"/>
    <col min="11" max="16384" width="9.140625" style="4"/>
  </cols>
  <sheetData>
    <row r="1" spans="1:14" ht="18" x14ac:dyDescent="0.25">
      <c r="A1" s="351" t="s">
        <v>142</v>
      </c>
      <c r="B1" s="3"/>
      <c r="C1" s="3"/>
      <c r="D1" s="3"/>
      <c r="E1" s="3"/>
      <c r="F1" s="3"/>
      <c r="G1" s="3"/>
      <c r="H1" s="3"/>
      <c r="I1" s="3"/>
      <c r="J1" s="3"/>
      <c r="K1" s="3"/>
      <c r="L1" s="3"/>
      <c r="M1" s="3"/>
      <c r="N1" s="1"/>
    </row>
    <row r="2" spans="1:14" hidden="1" x14ac:dyDescent="0.2"/>
    <row r="3" spans="1:14" s="213" customFormat="1" ht="12.75" x14ac:dyDescent="0.2">
      <c r="A3" s="438" t="str">
        <f>IF(A2="","",IF(Disable_Video_Hyperlinks,A2,HYPERLINK(Video_website&amp;A2,A2)))</f>
        <v/>
      </c>
    </row>
    <row r="4" spans="1:14" s="213" customFormat="1" ht="12.75" x14ac:dyDescent="0.2">
      <c r="A4" s="501" t="str">
        <f>IF(B2="","",B2)</f>
        <v/>
      </c>
    </row>
    <row r="5" spans="1:14" s="213" customFormat="1" x14ac:dyDescent="0.2"/>
    <row r="6" spans="1:14" ht="15.75" x14ac:dyDescent="0.25">
      <c r="A6" s="536" t="s">
        <v>0</v>
      </c>
      <c r="B6" s="545"/>
      <c r="C6" s="545"/>
      <c r="D6" s="545"/>
      <c r="E6" s="545"/>
      <c r="F6" s="545"/>
      <c r="G6" s="546"/>
      <c r="H6" s="16"/>
    </row>
    <row r="7" spans="1:14" s="213" customFormat="1" ht="15.75" x14ac:dyDescent="0.25">
      <c r="A7" s="547"/>
      <c r="B7" s="548"/>
      <c r="C7" s="548"/>
      <c r="D7" s="548"/>
      <c r="E7" s="548"/>
      <c r="F7" s="548"/>
      <c r="G7" s="549"/>
      <c r="H7" s="16"/>
    </row>
    <row r="8" spans="1:14" s="6" customFormat="1" ht="25.5" x14ac:dyDescent="0.2">
      <c r="A8" s="246" t="s">
        <v>1</v>
      </c>
      <c r="B8" s="246" t="s">
        <v>2</v>
      </c>
      <c r="C8" s="246" t="s">
        <v>3</v>
      </c>
      <c r="D8" s="246" t="s">
        <v>4</v>
      </c>
      <c r="E8" s="246" t="s">
        <v>5</v>
      </c>
      <c r="F8" s="246" t="s">
        <v>6</v>
      </c>
      <c r="G8" s="246" t="s">
        <v>7</v>
      </c>
      <c r="H8" s="170"/>
    </row>
    <row r="9" spans="1:14" ht="11.25" customHeight="1" x14ac:dyDescent="0.2">
      <c r="A9" s="496">
        <v>12134</v>
      </c>
      <c r="B9" s="378">
        <v>174</v>
      </c>
      <c r="C9" s="378" t="s">
        <v>8</v>
      </c>
      <c r="D9" s="379">
        <v>39403</v>
      </c>
      <c r="E9" s="378">
        <v>1</v>
      </c>
      <c r="F9" s="380">
        <v>0.82</v>
      </c>
      <c r="G9" s="393">
        <v>2.21</v>
      </c>
      <c r="H9" s="79">
        <f t="shared" ref="H9:H37" si="0">ROUND(G9,2)</f>
        <v>2.21</v>
      </c>
      <c r="I9" s="141"/>
      <c r="J9" s="560" t="s">
        <v>315</v>
      </c>
      <c r="K9" s="560"/>
      <c r="L9" s="560"/>
      <c r="M9" s="560"/>
      <c r="N9" s="560"/>
    </row>
    <row r="10" spans="1:14" ht="12.75" x14ac:dyDescent="0.2">
      <c r="A10" s="496">
        <v>12135</v>
      </c>
      <c r="B10" s="378">
        <v>174</v>
      </c>
      <c r="C10" s="378" t="s">
        <v>8</v>
      </c>
      <c r="D10" s="379">
        <v>39403</v>
      </c>
      <c r="E10" s="378">
        <v>1</v>
      </c>
      <c r="F10" s="380">
        <v>0.49</v>
      </c>
      <c r="G10" s="393">
        <v>1.94</v>
      </c>
      <c r="H10" s="79">
        <f t="shared" si="0"/>
        <v>1.94</v>
      </c>
      <c r="I10" s="141"/>
      <c r="J10" s="560"/>
      <c r="K10" s="560"/>
      <c r="L10" s="560"/>
      <c r="M10" s="560"/>
      <c r="N10" s="560"/>
    </row>
    <row r="11" spans="1:14" ht="12.75" x14ac:dyDescent="0.2">
      <c r="A11" s="496">
        <v>12139</v>
      </c>
      <c r="B11" s="378">
        <v>174</v>
      </c>
      <c r="C11" s="378" t="s">
        <v>8</v>
      </c>
      <c r="D11" s="379">
        <v>39403</v>
      </c>
      <c r="E11" s="378">
        <v>1</v>
      </c>
      <c r="F11" s="380">
        <v>0.52</v>
      </c>
      <c r="G11" s="393">
        <v>2.0299999999999998</v>
      </c>
      <c r="H11" s="79">
        <f t="shared" si="0"/>
        <v>2.0299999999999998</v>
      </c>
      <c r="I11" s="141"/>
      <c r="J11" s="560"/>
      <c r="K11" s="560"/>
      <c r="L11" s="560"/>
      <c r="M11" s="560"/>
      <c r="N11" s="560"/>
    </row>
    <row r="12" spans="1:14" ht="12.75" x14ac:dyDescent="0.2">
      <c r="A12" s="496">
        <v>12140</v>
      </c>
      <c r="B12" s="378">
        <v>167</v>
      </c>
      <c r="C12" s="378" t="s">
        <v>8</v>
      </c>
      <c r="D12" s="379">
        <v>39403</v>
      </c>
      <c r="E12" s="378">
        <v>1</v>
      </c>
      <c r="F12" s="380">
        <v>0.63</v>
      </c>
      <c r="G12" s="393">
        <v>2.2400000000000002</v>
      </c>
      <c r="H12" s="79">
        <f t="shared" si="0"/>
        <v>2.2400000000000002</v>
      </c>
      <c r="I12" s="141"/>
      <c r="J12" s="560"/>
      <c r="K12" s="560"/>
      <c r="L12" s="560"/>
      <c r="M12" s="560"/>
      <c r="N12" s="560"/>
    </row>
    <row r="13" spans="1:14" ht="12.75" x14ac:dyDescent="0.2">
      <c r="A13" s="496">
        <v>12142</v>
      </c>
      <c r="B13" s="378">
        <v>167</v>
      </c>
      <c r="C13" s="378" t="s">
        <v>8</v>
      </c>
      <c r="D13" s="379">
        <v>39403</v>
      </c>
      <c r="E13" s="378">
        <v>1</v>
      </c>
      <c r="F13" s="380">
        <v>0.64</v>
      </c>
      <c r="G13" s="393">
        <v>2.2799999999999998</v>
      </c>
      <c r="H13" s="79">
        <f t="shared" si="0"/>
        <v>2.2799999999999998</v>
      </c>
      <c r="I13" s="141"/>
      <c r="J13" s="560"/>
      <c r="K13" s="560"/>
      <c r="L13" s="560"/>
      <c r="M13" s="560"/>
      <c r="N13" s="560"/>
    </row>
    <row r="14" spans="1:14" ht="12.75" x14ac:dyDescent="0.2">
      <c r="A14" s="496">
        <v>12144</v>
      </c>
      <c r="B14" s="378">
        <v>167</v>
      </c>
      <c r="C14" s="378" t="s">
        <v>8</v>
      </c>
      <c r="D14" s="379">
        <v>39403</v>
      </c>
      <c r="E14" s="378">
        <v>1</v>
      </c>
      <c r="F14" s="380">
        <v>1.28</v>
      </c>
      <c r="G14" s="393">
        <v>2.31</v>
      </c>
      <c r="H14" s="79">
        <f t="shared" si="0"/>
        <v>2.31</v>
      </c>
      <c r="I14" s="141"/>
      <c r="J14" s="560"/>
      <c r="K14" s="560"/>
      <c r="L14" s="560"/>
      <c r="M14" s="560"/>
      <c r="N14" s="560"/>
    </row>
    <row r="15" spans="1:14" ht="12.75" x14ac:dyDescent="0.2">
      <c r="A15" s="496">
        <v>12145</v>
      </c>
      <c r="B15" s="378">
        <v>174</v>
      </c>
      <c r="C15" s="378" t="s">
        <v>8</v>
      </c>
      <c r="D15" s="379">
        <v>39403</v>
      </c>
      <c r="E15" s="378">
        <v>1</v>
      </c>
      <c r="F15" s="380">
        <v>0.45</v>
      </c>
      <c r="G15" s="393">
        <v>2.02</v>
      </c>
      <c r="H15" s="79">
        <f t="shared" si="0"/>
        <v>2.02</v>
      </c>
      <c r="I15" s="141"/>
      <c r="J15" s="560"/>
      <c r="K15" s="560"/>
      <c r="L15" s="560"/>
      <c r="M15" s="560"/>
      <c r="N15" s="560"/>
    </row>
    <row r="16" spans="1:14" ht="12.75" customHeight="1" x14ac:dyDescent="0.2">
      <c r="A16" s="496">
        <v>12146</v>
      </c>
      <c r="B16" s="378">
        <v>167</v>
      </c>
      <c r="C16" s="378" t="s">
        <v>8</v>
      </c>
      <c r="D16" s="379">
        <v>39403</v>
      </c>
      <c r="E16" s="378">
        <v>1</v>
      </c>
      <c r="F16" s="380">
        <v>1.1299999999999999</v>
      </c>
      <c r="G16" s="393">
        <v>2.0499999999999998</v>
      </c>
      <c r="H16" s="79">
        <f t="shared" si="0"/>
        <v>2.0499999999999998</v>
      </c>
      <c r="I16" s="141"/>
      <c r="J16" s="560"/>
      <c r="K16" s="560"/>
      <c r="L16" s="560"/>
      <c r="M16" s="560"/>
      <c r="N16" s="560"/>
    </row>
    <row r="17" spans="1:14" ht="12.75" x14ac:dyDescent="0.2">
      <c r="A17" s="496">
        <v>12148</v>
      </c>
      <c r="B17" s="378">
        <v>167</v>
      </c>
      <c r="C17" s="378" t="s">
        <v>9</v>
      </c>
      <c r="D17" s="379">
        <v>39404</v>
      </c>
      <c r="E17" s="378">
        <v>1</v>
      </c>
      <c r="F17" s="380">
        <v>0.43</v>
      </c>
      <c r="G17" s="393">
        <v>2.27</v>
      </c>
      <c r="H17" s="79">
        <f t="shared" si="0"/>
        <v>2.27</v>
      </c>
      <c r="I17" s="141"/>
      <c r="J17" s="560"/>
      <c r="K17" s="560"/>
      <c r="L17" s="560"/>
      <c r="M17" s="560"/>
      <c r="N17" s="560"/>
    </row>
    <row r="18" spans="1:14" ht="12.75" x14ac:dyDescent="0.2">
      <c r="A18" s="496">
        <v>12149</v>
      </c>
      <c r="B18" s="378">
        <v>174</v>
      </c>
      <c r="C18" s="378" t="s">
        <v>9</v>
      </c>
      <c r="D18" s="379">
        <v>39404</v>
      </c>
      <c r="E18" s="378">
        <v>1</v>
      </c>
      <c r="F18" s="380">
        <v>0.47</v>
      </c>
      <c r="G18" s="393">
        <v>2.31</v>
      </c>
      <c r="H18" s="79">
        <f t="shared" si="0"/>
        <v>2.31</v>
      </c>
      <c r="I18" s="141"/>
    </row>
    <row r="19" spans="1:14" ht="12.75" x14ac:dyDescent="0.2">
      <c r="A19" s="496">
        <v>12154</v>
      </c>
      <c r="B19" s="378">
        <v>174</v>
      </c>
      <c r="C19" s="378" t="s">
        <v>9</v>
      </c>
      <c r="D19" s="379">
        <v>39404</v>
      </c>
      <c r="E19" s="378">
        <v>1</v>
      </c>
      <c r="F19" s="380">
        <v>0.97</v>
      </c>
      <c r="G19" s="393">
        <v>2.23</v>
      </c>
      <c r="H19" s="79">
        <f t="shared" si="0"/>
        <v>2.23</v>
      </c>
      <c r="I19" s="141"/>
      <c r="J19" s="151"/>
      <c r="K19" s="152" t="s">
        <v>244</v>
      </c>
      <c r="L19" s="153"/>
      <c r="M19" s="152" t="s">
        <v>242</v>
      </c>
      <c r="N19" s="152"/>
    </row>
    <row r="20" spans="1:14" ht="12.75" x14ac:dyDescent="0.2">
      <c r="A20" s="496">
        <v>12156</v>
      </c>
      <c r="B20" s="378">
        <v>174</v>
      </c>
      <c r="C20" s="378" t="s">
        <v>9</v>
      </c>
      <c r="D20" s="379">
        <v>39404</v>
      </c>
      <c r="E20" s="378">
        <v>1</v>
      </c>
      <c r="F20" s="380">
        <v>0.81</v>
      </c>
      <c r="G20" s="393">
        <v>2.11</v>
      </c>
      <c r="H20" s="79">
        <f t="shared" si="0"/>
        <v>2.11</v>
      </c>
      <c r="I20" s="141"/>
      <c r="J20" s="154" t="s">
        <v>116</v>
      </c>
      <c r="K20" s="155" t="s">
        <v>245</v>
      </c>
      <c r="L20" s="156"/>
      <c r="M20" s="155" t="s">
        <v>243</v>
      </c>
      <c r="N20" s="155" t="s">
        <v>199</v>
      </c>
    </row>
    <row r="21" spans="1:14" ht="12.75" x14ac:dyDescent="0.2">
      <c r="A21" s="496">
        <v>12160</v>
      </c>
      <c r="B21" s="378">
        <v>174</v>
      </c>
      <c r="C21" s="378" t="s">
        <v>9</v>
      </c>
      <c r="D21" s="379">
        <v>39405</v>
      </c>
      <c r="E21" s="378">
        <v>1</v>
      </c>
      <c r="F21" s="380">
        <v>0.68</v>
      </c>
      <c r="G21" s="393">
        <v>2.2200000000000002</v>
      </c>
      <c r="H21" s="79">
        <f t="shared" si="0"/>
        <v>2.2200000000000002</v>
      </c>
      <c r="I21" s="141"/>
      <c r="J21" s="146" t="str">
        <f>"=ROUND("&amp;K21&amp;","&amp;M21&amp;")"</f>
        <v>=ROUND(25.449,0)</v>
      </c>
      <c r="K21" s="220">
        <v>25.449000000000002</v>
      </c>
      <c r="L21" s="490"/>
      <c r="M21" s="224">
        <v>0</v>
      </c>
      <c r="N21" s="147">
        <f>ROUND(K21,M21)</f>
        <v>25</v>
      </c>
    </row>
    <row r="22" spans="1:14" ht="12.75" x14ac:dyDescent="0.2">
      <c r="A22" s="496">
        <v>12161</v>
      </c>
      <c r="B22" s="378">
        <v>174</v>
      </c>
      <c r="C22" s="378" t="s">
        <v>9</v>
      </c>
      <c r="D22" s="379">
        <v>39405</v>
      </c>
      <c r="E22" s="378">
        <v>1</v>
      </c>
      <c r="F22" s="380">
        <v>0.67</v>
      </c>
      <c r="G22" s="393">
        <v>2.08</v>
      </c>
      <c r="H22" s="79">
        <f t="shared" si="0"/>
        <v>2.08</v>
      </c>
      <c r="I22" s="141"/>
      <c r="J22" s="146" t="str">
        <f>"=ROUND("&amp;K22&amp;","&amp;M22&amp;")"</f>
        <v>=ROUND(23.39,1)</v>
      </c>
      <c r="K22" s="220">
        <v>23.39</v>
      </c>
      <c r="L22" s="490"/>
      <c r="M22" s="224">
        <v>1</v>
      </c>
      <c r="N22" s="147">
        <f>ROUND(K22,M22)</f>
        <v>23.4</v>
      </c>
    </row>
    <row r="23" spans="1:14" ht="12.75" x14ac:dyDescent="0.2">
      <c r="A23" s="496">
        <v>12162</v>
      </c>
      <c r="B23" s="378">
        <v>181</v>
      </c>
      <c r="C23" s="378" t="s">
        <v>9</v>
      </c>
      <c r="D23" s="379">
        <v>39405</v>
      </c>
      <c r="E23" s="378">
        <v>1</v>
      </c>
      <c r="F23" s="380">
        <v>0.95</v>
      </c>
      <c r="G23" s="393">
        <v>2.0099999999999998</v>
      </c>
      <c r="H23" s="79">
        <f t="shared" si="0"/>
        <v>2.0099999999999998</v>
      </c>
      <c r="I23" s="141"/>
      <c r="J23" s="146" t="str">
        <f>"=ROUND("&amp;K23&amp;","&amp;M23&amp;")"</f>
        <v>=ROUND(103234,-2)</v>
      </c>
      <c r="K23" s="491">
        <v>103234</v>
      </c>
      <c r="L23" s="492"/>
      <c r="M23" s="493">
        <v>-2</v>
      </c>
      <c r="N23" s="148">
        <f>ROUND(K23,M23)</f>
        <v>103200</v>
      </c>
    </row>
    <row r="24" spans="1:14" ht="12.75" x14ac:dyDescent="0.2">
      <c r="A24" s="496">
        <v>12136</v>
      </c>
      <c r="B24" s="378">
        <v>181</v>
      </c>
      <c r="C24" s="378" t="s">
        <v>10</v>
      </c>
      <c r="D24" s="379">
        <v>39403</v>
      </c>
      <c r="E24" s="378">
        <v>2</v>
      </c>
      <c r="F24" s="380">
        <v>1.32</v>
      </c>
      <c r="G24" s="393">
        <v>2.35</v>
      </c>
      <c r="H24" s="79">
        <f t="shared" si="0"/>
        <v>2.35</v>
      </c>
      <c r="I24" s="141"/>
      <c r="J24" s="146" t="str">
        <f>"=ROUND("&amp;K24&amp;","&amp;M24&amp;")"</f>
        <v>=ROUND(0.2375,2)</v>
      </c>
      <c r="K24" s="494">
        <v>0.23749999999999999</v>
      </c>
      <c r="L24" s="495"/>
      <c r="M24" s="493">
        <v>2</v>
      </c>
      <c r="N24" s="149">
        <f>ROUND(K24,M24)</f>
        <v>0.24</v>
      </c>
    </row>
    <row r="25" spans="1:14" ht="12.75" x14ac:dyDescent="0.2">
      <c r="A25" s="496">
        <v>12137</v>
      </c>
      <c r="B25" s="378">
        <v>181</v>
      </c>
      <c r="C25" s="378" t="s">
        <v>10</v>
      </c>
      <c r="D25" s="379">
        <v>39403</v>
      </c>
      <c r="E25" s="378">
        <v>2</v>
      </c>
      <c r="F25" s="380">
        <v>0.75</v>
      </c>
      <c r="G25" s="393">
        <v>1.7344999999999999</v>
      </c>
      <c r="H25" s="79">
        <f t="shared" si="0"/>
        <v>1.73</v>
      </c>
      <c r="I25" s="141"/>
      <c r="J25" s="146" t="s">
        <v>117</v>
      </c>
      <c r="K25" s="220">
        <v>10.33</v>
      </c>
      <c r="L25" s="220">
        <v>10.44</v>
      </c>
      <c r="M25" s="493">
        <v>0</v>
      </c>
      <c r="N25" s="150">
        <f>ROUND(SUM(K25:L25),M25)</f>
        <v>21</v>
      </c>
    </row>
    <row r="26" spans="1:14" ht="12.75" x14ac:dyDescent="0.2">
      <c r="A26" s="496">
        <v>12138</v>
      </c>
      <c r="B26" s="378">
        <v>181</v>
      </c>
      <c r="C26" s="378" t="s">
        <v>10</v>
      </c>
      <c r="D26" s="379">
        <v>39403</v>
      </c>
      <c r="E26" s="378">
        <v>2</v>
      </c>
      <c r="F26" s="380">
        <v>0.92</v>
      </c>
      <c r="G26" s="393">
        <v>2.08</v>
      </c>
      <c r="H26" s="79">
        <f t="shared" si="0"/>
        <v>2.08</v>
      </c>
      <c r="I26" s="141"/>
    </row>
    <row r="27" spans="1:14" ht="12.75" x14ac:dyDescent="0.2">
      <c r="A27" s="496">
        <v>12141</v>
      </c>
      <c r="B27" s="378">
        <v>181</v>
      </c>
      <c r="C27" s="378" t="s">
        <v>10</v>
      </c>
      <c r="D27" s="379">
        <v>39403</v>
      </c>
      <c r="E27" s="378">
        <v>2</v>
      </c>
      <c r="F27" s="380">
        <v>0.46</v>
      </c>
      <c r="G27" s="393">
        <v>2.2599999999999998</v>
      </c>
      <c r="H27" s="79">
        <f t="shared" si="0"/>
        <v>2.2599999999999998</v>
      </c>
      <c r="I27" s="141"/>
    </row>
    <row r="28" spans="1:14" ht="12.75" x14ac:dyDescent="0.2">
      <c r="A28" s="496">
        <v>12143</v>
      </c>
      <c r="B28" s="378">
        <v>174</v>
      </c>
      <c r="C28" s="378" t="s">
        <v>10</v>
      </c>
      <c r="D28" s="379">
        <v>39403</v>
      </c>
      <c r="E28" s="378">
        <v>2</v>
      </c>
      <c r="F28" s="380">
        <v>1.04</v>
      </c>
      <c r="G28" s="393">
        <v>2.2400000000000002</v>
      </c>
      <c r="H28" s="79">
        <f t="shared" si="0"/>
        <v>2.2400000000000002</v>
      </c>
      <c r="I28" s="141"/>
    </row>
    <row r="29" spans="1:14" ht="12.75" x14ac:dyDescent="0.2">
      <c r="A29" s="496">
        <v>12147</v>
      </c>
      <c r="B29" s="378">
        <v>181</v>
      </c>
      <c r="C29" s="378" t="s">
        <v>8</v>
      </c>
      <c r="D29" s="379">
        <v>39404</v>
      </c>
      <c r="E29" s="378">
        <v>2</v>
      </c>
      <c r="F29" s="380">
        <v>0.9</v>
      </c>
      <c r="G29" s="393">
        <v>2.0099999999999998</v>
      </c>
      <c r="H29" s="79">
        <f t="shared" si="0"/>
        <v>2.0099999999999998</v>
      </c>
      <c r="I29" s="141"/>
    </row>
    <row r="30" spans="1:14" ht="12.75" x14ac:dyDescent="0.2">
      <c r="A30" s="496">
        <v>12150</v>
      </c>
      <c r="B30" s="378">
        <v>167</v>
      </c>
      <c r="C30" s="378" t="s">
        <v>8</v>
      </c>
      <c r="D30" s="379">
        <v>39404</v>
      </c>
      <c r="E30" s="378">
        <v>2</v>
      </c>
      <c r="F30" s="380">
        <v>0.97</v>
      </c>
      <c r="G30" s="393">
        <v>2.0000100000000001</v>
      </c>
      <c r="H30" s="79">
        <f t="shared" si="0"/>
        <v>2</v>
      </c>
      <c r="I30" s="141"/>
    </row>
    <row r="31" spans="1:14" ht="12.75" x14ac:dyDescent="0.2">
      <c r="A31" s="496">
        <v>12151</v>
      </c>
      <c r="B31" s="378">
        <v>181</v>
      </c>
      <c r="C31" s="378" t="s">
        <v>8</v>
      </c>
      <c r="D31" s="379">
        <v>39404</v>
      </c>
      <c r="E31" s="378">
        <v>2</v>
      </c>
      <c r="F31" s="380">
        <v>0.49</v>
      </c>
      <c r="G31" s="393">
        <v>2.08</v>
      </c>
      <c r="H31" s="79">
        <f t="shared" si="0"/>
        <v>2.08</v>
      </c>
      <c r="I31" s="141"/>
    </row>
    <row r="32" spans="1:14" ht="12.75" x14ac:dyDescent="0.2">
      <c r="A32" s="496">
        <v>12152</v>
      </c>
      <c r="B32" s="378">
        <v>181</v>
      </c>
      <c r="C32" s="378" t="s">
        <v>8</v>
      </c>
      <c r="D32" s="379">
        <v>39404</v>
      </c>
      <c r="E32" s="378">
        <v>2</v>
      </c>
      <c r="F32" s="380">
        <v>0.75</v>
      </c>
      <c r="G32" s="393">
        <v>2.17</v>
      </c>
      <c r="H32" s="79">
        <f t="shared" si="0"/>
        <v>2.17</v>
      </c>
      <c r="I32" s="141"/>
    </row>
    <row r="33" spans="1:9" ht="12.75" x14ac:dyDescent="0.2">
      <c r="A33" s="496">
        <v>12153</v>
      </c>
      <c r="B33" s="378">
        <v>167</v>
      </c>
      <c r="C33" s="378" t="s">
        <v>8</v>
      </c>
      <c r="D33" s="379">
        <v>39404</v>
      </c>
      <c r="E33" s="378">
        <v>2</v>
      </c>
      <c r="F33" s="380">
        <v>0.3</v>
      </c>
      <c r="G33" s="393">
        <v>3.2160000000000002</v>
      </c>
      <c r="H33" s="79">
        <f t="shared" si="0"/>
        <v>3.22</v>
      </c>
      <c r="I33" s="141"/>
    </row>
    <row r="34" spans="1:9" ht="12.75" x14ac:dyDescent="0.2">
      <c r="A34" s="496">
        <v>12155</v>
      </c>
      <c r="B34" s="378">
        <v>181</v>
      </c>
      <c r="C34" s="378" t="s">
        <v>9</v>
      </c>
      <c r="D34" s="379">
        <v>39404</v>
      </c>
      <c r="E34" s="378">
        <v>2</v>
      </c>
      <c r="F34" s="380">
        <v>1.01</v>
      </c>
      <c r="G34" s="393">
        <v>2.2400000000000002</v>
      </c>
      <c r="H34" s="79">
        <f t="shared" si="0"/>
        <v>2.2400000000000002</v>
      </c>
      <c r="I34" s="141"/>
    </row>
    <row r="35" spans="1:9" ht="12.75" x14ac:dyDescent="0.2">
      <c r="A35" s="496">
        <v>12157</v>
      </c>
      <c r="B35" s="378">
        <v>181</v>
      </c>
      <c r="C35" s="378" t="s">
        <v>9</v>
      </c>
      <c r="D35" s="379">
        <v>39405</v>
      </c>
      <c r="E35" s="378">
        <v>2</v>
      </c>
      <c r="F35" s="380">
        <v>0.84</v>
      </c>
      <c r="G35" s="393">
        <v>2.34</v>
      </c>
      <c r="H35" s="79">
        <f t="shared" si="0"/>
        <v>2.34</v>
      </c>
      <c r="I35" s="141"/>
    </row>
    <row r="36" spans="1:9" ht="12.75" x14ac:dyDescent="0.2">
      <c r="A36" s="496">
        <v>12158</v>
      </c>
      <c r="B36" s="378">
        <v>174</v>
      </c>
      <c r="C36" s="378" t="s">
        <v>9</v>
      </c>
      <c r="D36" s="379">
        <v>39405</v>
      </c>
      <c r="E36" s="378">
        <v>2</v>
      </c>
      <c r="F36" s="380">
        <v>0.68</v>
      </c>
      <c r="G36" s="393">
        <v>2.1</v>
      </c>
      <c r="H36" s="79">
        <f t="shared" si="0"/>
        <v>2.1</v>
      </c>
      <c r="I36" s="141"/>
    </row>
    <row r="37" spans="1:9" ht="12.75" x14ac:dyDescent="0.2">
      <c r="A37" s="497">
        <v>12159</v>
      </c>
      <c r="B37" s="383">
        <v>181</v>
      </c>
      <c r="C37" s="383" t="s">
        <v>8</v>
      </c>
      <c r="D37" s="384">
        <v>39405</v>
      </c>
      <c r="E37" s="383">
        <v>2</v>
      </c>
      <c r="F37" s="385">
        <v>0.57999999999999996</v>
      </c>
      <c r="G37" s="489">
        <v>2.33</v>
      </c>
      <c r="H37" s="79">
        <f t="shared" si="0"/>
        <v>2.33</v>
      </c>
      <c r="I37" s="141"/>
    </row>
  </sheetData>
  <mergeCells count="1">
    <mergeCell ref="J9:N17"/>
  </mergeCells>
  <phoneticPr fontId="3" type="noConversion"/>
  <pageMargins left="0.75" right="0.75" top="1" bottom="1" header="0.5" footer="0.5"/>
  <pageSetup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D5"/>
  <sheetViews>
    <sheetView workbookViewId="0"/>
  </sheetViews>
  <sheetFormatPr defaultRowHeight="12.75" x14ac:dyDescent="0.2"/>
  <sheetData>
    <row r="1" spans="1:4" ht="18" x14ac:dyDescent="0.25">
      <c r="A1" s="80" t="s">
        <v>253</v>
      </c>
    </row>
    <row r="3" spans="1:4" x14ac:dyDescent="0.2">
      <c r="A3" s="163" t="s">
        <v>254</v>
      </c>
      <c r="C3" s="53" t="s">
        <v>260</v>
      </c>
    </row>
    <row r="4" spans="1:4" x14ac:dyDescent="0.2">
      <c r="A4" s="163" t="s">
        <v>255</v>
      </c>
      <c r="C4" s="163">
        <f>ROUND(1,3.21)</f>
        <v>1</v>
      </c>
      <c r="D4" s="53" t="s">
        <v>259</v>
      </c>
    </row>
    <row r="5" spans="1:4" x14ac:dyDescent="0.2">
      <c r="A5" s="163" t="s">
        <v>256</v>
      </c>
      <c r="C5" s="53" t="s">
        <v>260</v>
      </c>
    </row>
  </sheetData>
  <phoneticPr fontId="3"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autoPageBreaks="0"/>
  </sheetPr>
  <dimension ref="A1:O57"/>
  <sheetViews>
    <sheetView zoomScale="130" zoomScaleNormal="130" workbookViewId="0">
      <selection activeCell="A5" sqref="A5"/>
    </sheetView>
  </sheetViews>
  <sheetFormatPr defaultColWidth="9.140625" defaultRowHeight="11.25" x14ac:dyDescent="0.2"/>
  <cols>
    <col min="1" max="1" width="8" style="4" customWidth="1"/>
    <col min="2" max="2" width="5.28515625" style="4" customWidth="1"/>
    <col min="3" max="3" width="5.28515625" style="4" bestFit="1" customWidth="1"/>
    <col min="4" max="4" width="12.5703125" style="4" customWidth="1"/>
    <col min="5" max="5" width="10.140625" style="4" customWidth="1"/>
    <col min="6" max="6" width="9.85546875" style="4" customWidth="1"/>
    <col min="7" max="7" width="9.42578125" style="4" customWidth="1"/>
    <col min="8" max="8" width="9.140625" style="4"/>
    <col min="9" max="9" width="5.5703125" style="4" customWidth="1"/>
    <col min="10" max="10" width="11" style="4" bestFit="1" customWidth="1"/>
    <col min="11" max="11" width="32" style="4" customWidth="1"/>
    <col min="12" max="12" width="9.140625" style="4"/>
    <col min="13" max="13" width="6" style="4" bestFit="1" customWidth="1"/>
    <col min="14" max="14" width="8.28515625" style="4" customWidth="1"/>
    <col min="15" max="15" width="59.140625" style="4" bestFit="1" customWidth="1"/>
    <col min="16" max="16" width="8.5703125" style="4" bestFit="1" customWidth="1"/>
    <col min="17" max="17" width="6.5703125" style="4" bestFit="1" customWidth="1"/>
    <col min="18" max="16384" width="9.140625" style="4"/>
  </cols>
  <sheetData>
    <row r="1" spans="1:15" ht="18" x14ac:dyDescent="0.25">
      <c r="A1" s="351" t="s">
        <v>143</v>
      </c>
      <c r="B1" s="3"/>
      <c r="C1" s="3"/>
      <c r="D1" s="3"/>
      <c r="E1" s="3"/>
      <c r="F1" s="3"/>
      <c r="G1" s="3"/>
      <c r="H1" s="3"/>
      <c r="I1" s="3"/>
      <c r="J1" s="3"/>
      <c r="K1" s="3"/>
      <c r="L1" s="3"/>
      <c r="M1" s="3"/>
      <c r="N1" s="1"/>
    </row>
    <row r="2" spans="1:15" hidden="1" x14ac:dyDescent="0.2"/>
    <row r="3" spans="1:15" s="213" customFormat="1" ht="12.75" x14ac:dyDescent="0.2">
      <c r="A3" s="438" t="str">
        <f>IF(A2="","",IF(Disable_Video_Hyperlinks,A2,HYPERLINK(Video_website&amp;A2,A2)))</f>
        <v/>
      </c>
    </row>
    <row r="4" spans="1:15" s="213" customFormat="1" ht="12.75" x14ac:dyDescent="0.2">
      <c r="A4" s="501" t="str">
        <f>IF(B2="","",B2)</f>
        <v/>
      </c>
    </row>
    <row r="5" spans="1:15" s="213" customFormat="1" x14ac:dyDescent="0.2"/>
    <row r="6" spans="1:15" ht="15.75" x14ac:dyDescent="0.25">
      <c r="A6" s="536" t="s">
        <v>0</v>
      </c>
      <c r="B6" s="545"/>
      <c r="C6" s="545"/>
      <c r="D6" s="545"/>
      <c r="E6" s="545"/>
      <c r="F6" s="545"/>
      <c r="G6" s="546"/>
      <c r="J6" s="238"/>
      <c r="K6" s="238"/>
      <c r="L6" s="239"/>
      <c r="M6" s="239"/>
      <c r="N6" s="239"/>
    </row>
    <row r="7" spans="1:15" s="213" customFormat="1" ht="15.75" x14ac:dyDescent="0.25">
      <c r="A7" s="547"/>
      <c r="B7" s="548"/>
      <c r="C7" s="548"/>
      <c r="D7" s="548"/>
      <c r="E7" s="548"/>
      <c r="F7" s="548"/>
      <c r="G7" s="549"/>
      <c r="J7" s="543"/>
      <c r="K7" s="543"/>
      <c r="L7" s="544"/>
      <c r="M7" s="544"/>
      <c r="N7" s="544"/>
    </row>
    <row r="8" spans="1:15" s="6" customFormat="1" ht="22.5" x14ac:dyDescent="0.2">
      <c r="A8" s="535" t="s">
        <v>1</v>
      </c>
      <c r="B8" s="535" t="s">
        <v>2</v>
      </c>
      <c r="C8" s="535" t="s">
        <v>3</v>
      </c>
      <c r="D8" s="535" t="s">
        <v>4</v>
      </c>
      <c r="E8" s="535" t="s">
        <v>5</v>
      </c>
      <c r="F8" s="535" t="s">
        <v>6</v>
      </c>
      <c r="G8" s="535" t="s">
        <v>7</v>
      </c>
      <c r="J8" s="240" t="s">
        <v>118</v>
      </c>
      <c r="K8" s="240" t="s">
        <v>125</v>
      </c>
      <c r="L8" s="241" t="s">
        <v>126</v>
      </c>
      <c r="M8" s="349" t="s">
        <v>354</v>
      </c>
      <c r="N8" s="241" t="s">
        <v>199</v>
      </c>
    </row>
    <row r="9" spans="1:15" x14ac:dyDescent="0.2">
      <c r="A9" s="223">
        <v>12134</v>
      </c>
      <c r="B9" s="224">
        <v>174</v>
      </c>
      <c r="C9" s="224" t="s">
        <v>8</v>
      </c>
      <c r="D9" s="225">
        <v>39403</v>
      </c>
      <c r="E9" s="224">
        <v>1</v>
      </c>
      <c r="F9" s="226">
        <v>0.82</v>
      </c>
      <c r="G9" s="227">
        <v>2.21</v>
      </c>
      <c r="H9" s="141">
        <f>ROUND(G9,2)</f>
        <v>2.21</v>
      </c>
      <c r="I9" s="141"/>
      <c r="J9" s="142" t="s">
        <v>75</v>
      </c>
      <c r="K9" s="143" t="s">
        <v>127</v>
      </c>
      <c r="L9" s="242">
        <v>0.25333299999999997</v>
      </c>
      <c r="M9" s="221">
        <v>2</v>
      </c>
      <c r="N9" s="343">
        <f t="shared" ref="N9:N14" si="0">ROUND(L9,M9)</f>
        <v>0.25</v>
      </c>
      <c r="O9" s="350" t="s">
        <v>357</v>
      </c>
    </row>
    <row r="10" spans="1:15" x14ac:dyDescent="0.2">
      <c r="A10" s="223">
        <v>12135</v>
      </c>
      <c r="B10" s="224">
        <v>174</v>
      </c>
      <c r="C10" s="224" t="s">
        <v>8</v>
      </c>
      <c r="D10" s="225">
        <v>39403</v>
      </c>
      <c r="E10" s="224">
        <v>1</v>
      </c>
      <c r="F10" s="226">
        <v>0.49</v>
      </c>
      <c r="G10" s="227">
        <v>1.94</v>
      </c>
      <c r="H10" s="141">
        <f t="shared" ref="H10:H37" si="1">ROUND(G10,2)</f>
        <v>1.94</v>
      </c>
      <c r="I10" s="141"/>
      <c r="J10" s="142"/>
      <c r="K10" s="143"/>
      <c r="L10" s="242">
        <v>-0.25333299999999997</v>
      </c>
      <c r="M10" s="221">
        <v>2</v>
      </c>
      <c r="N10" s="343">
        <f t="shared" si="0"/>
        <v>-0.25</v>
      </c>
      <c r="O10" s="350" t="s">
        <v>357</v>
      </c>
    </row>
    <row r="11" spans="1:15" x14ac:dyDescent="0.2">
      <c r="A11" s="223">
        <v>12139</v>
      </c>
      <c r="B11" s="224">
        <v>174</v>
      </c>
      <c r="C11" s="224" t="s">
        <v>8</v>
      </c>
      <c r="D11" s="225">
        <v>39403</v>
      </c>
      <c r="E11" s="224">
        <v>1</v>
      </c>
      <c r="F11" s="226">
        <v>0.52</v>
      </c>
      <c r="G11" s="227">
        <v>2.0299999999999998</v>
      </c>
      <c r="H11" s="141">
        <f t="shared" si="1"/>
        <v>2.0299999999999998</v>
      </c>
      <c r="I11" s="141"/>
      <c r="J11" s="142"/>
      <c r="K11" s="143"/>
      <c r="L11" s="344">
        <v>0.25333299999999997</v>
      </c>
      <c r="M11" s="221">
        <v>2</v>
      </c>
      <c r="N11" s="343">
        <f t="shared" si="0"/>
        <v>0.25</v>
      </c>
      <c r="O11" s="350" t="s">
        <v>355</v>
      </c>
    </row>
    <row r="12" spans="1:15" x14ac:dyDescent="0.2">
      <c r="A12" s="223">
        <v>12140</v>
      </c>
      <c r="B12" s="224">
        <v>167</v>
      </c>
      <c r="C12" s="224" t="s">
        <v>8</v>
      </c>
      <c r="D12" s="225">
        <v>39403</v>
      </c>
      <c r="E12" s="224">
        <v>1</v>
      </c>
      <c r="F12" s="226">
        <v>0.63</v>
      </c>
      <c r="G12" s="227">
        <v>2.2400000000000002</v>
      </c>
      <c r="H12" s="141">
        <f t="shared" si="1"/>
        <v>2.2400000000000002</v>
      </c>
      <c r="I12" s="141"/>
      <c r="J12" s="142"/>
      <c r="K12" s="143"/>
      <c r="L12" s="344">
        <v>-0.25333299999999997</v>
      </c>
      <c r="M12" s="221">
        <v>2</v>
      </c>
      <c r="N12" s="343">
        <f t="shared" si="0"/>
        <v>-0.25</v>
      </c>
      <c r="O12" s="350" t="s">
        <v>355</v>
      </c>
    </row>
    <row r="13" spans="1:15" x14ac:dyDescent="0.2">
      <c r="A13" s="223">
        <v>12142</v>
      </c>
      <c r="B13" s="224">
        <v>167</v>
      </c>
      <c r="C13" s="224" t="s">
        <v>8</v>
      </c>
      <c r="D13" s="225">
        <v>39403</v>
      </c>
      <c r="E13" s="224">
        <v>1</v>
      </c>
      <c r="F13" s="226">
        <v>0.64</v>
      </c>
      <c r="G13" s="227">
        <v>2.2799999999999998</v>
      </c>
      <c r="H13" s="141">
        <f t="shared" si="1"/>
        <v>2.2799999999999998</v>
      </c>
      <c r="I13" s="141"/>
      <c r="J13" s="142"/>
      <c r="K13" s="143"/>
      <c r="L13" s="242">
        <v>0.25666600000000001</v>
      </c>
      <c r="M13" s="221">
        <v>2</v>
      </c>
      <c r="N13" s="343">
        <f t="shared" si="0"/>
        <v>0.26</v>
      </c>
      <c r="O13" s="350" t="s">
        <v>357</v>
      </c>
    </row>
    <row r="14" spans="1:15" x14ac:dyDescent="0.2">
      <c r="A14" s="223">
        <v>12144</v>
      </c>
      <c r="B14" s="224">
        <v>167</v>
      </c>
      <c r="C14" s="224" t="s">
        <v>8</v>
      </c>
      <c r="D14" s="225">
        <v>39403</v>
      </c>
      <c r="E14" s="224">
        <v>1</v>
      </c>
      <c r="F14" s="226">
        <v>1.28</v>
      </c>
      <c r="G14" s="227">
        <v>2.31</v>
      </c>
      <c r="H14" s="141">
        <f t="shared" si="1"/>
        <v>2.31</v>
      </c>
      <c r="I14" s="141"/>
      <c r="J14" s="142"/>
      <c r="K14" s="143"/>
      <c r="L14" s="242">
        <v>-0.25666600000000001</v>
      </c>
      <c r="M14" s="221">
        <v>2</v>
      </c>
      <c r="N14" s="343">
        <f t="shared" si="0"/>
        <v>-0.26</v>
      </c>
      <c r="O14" s="350" t="s">
        <v>357</v>
      </c>
    </row>
    <row r="15" spans="1:15" x14ac:dyDescent="0.2">
      <c r="A15" s="223">
        <v>12145</v>
      </c>
      <c r="B15" s="224">
        <v>174</v>
      </c>
      <c r="C15" s="224" t="s">
        <v>8</v>
      </c>
      <c r="D15" s="225">
        <v>39403</v>
      </c>
      <c r="E15" s="224">
        <v>1</v>
      </c>
      <c r="F15" s="226">
        <v>0.45</v>
      </c>
      <c r="G15" s="227">
        <v>2.02</v>
      </c>
      <c r="H15" s="141">
        <f t="shared" si="1"/>
        <v>2.02</v>
      </c>
      <c r="I15" s="141"/>
      <c r="J15" s="142" t="s">
        <v>124</v>
      </c>
      <c r="K15" s="143" t="s">
        <v>128</v>
      </c>
      <c r="L15" s="220">
        <v>1.002</v>
      </c>
      <c r="M15" s="221">
        <v>2</v>
      </c>
      <c r="N15" s="345">
        <f>ROUNDUP(L15,M15)</f>
        <v>1.01</v>
      </c>
      <c r="O15" s="350" t="s">
        <v>356</v>
      </c>
    </row>
    <row r="16" spans="1:15" x14ac:dyDescent="0.2">
      <c r="A16" s="223">
        <v>12146</v>
      </c>
      <c r="B16" s="224">
        <v>167</v>
      </c>
      <c r="C16" s="224" t="s">
        <v>8</v>
      </c>
      <c r="D16" s="225">
        <v>39403</v>
      </c>
      <c r="E16" s="224">
        <v>1</v>
      </c>
      <c r="F16" s="226">
        <v>1.1299999999999999</v>
      </c>
      <c r="G16" s="227">
        <v>2.0499999999999998</v>
      </c>
      <c r="H16" s="141">
        <f t="shared" si="1"/>
        <v>2.0499999999999998</v>
      </c>
      <c r="I16" s="141"/>
      <c r="J16" s="142"/>
      <c r="K16" s="143"/>
      <c r="L16" s="220">
        <v>-1.002</v>
      </c>
      <c r="M16" s="221">
        <v>2</v>
      </c>
      <c r="N16" s="345">
        <f>ROUNDUP(L16,M16)</f>
        <v>-1.01</v>
      </c>
      <c r="O16" s="350" t="s">
        <v>356</v>
      </c>
    </row>
    <row r="17" spans="1:15" x14ac:dyDescent="0.2">
      <c r="A17" s="223">
        <v>12148</v>
      </c>
      <c r="B17" s="224">
        <v>167</v>
      </c>
      <c r="C17" s="224" t="s">
        <v>9</v>
      </c>
      <c r="D17" s="225">
        <v>39404</v>
      </c>
      <c r="E17" s="224">
        <v>1</v>
      </c>
      <c r="F17" s="226">
        <v>0.43</v>
      </c>
      <c r="G17" s="227">
        <v>2.27</v>
      </c>
      <c r="H17" s="141">
        <f t="shared" si="1"/>
        <v>2.27</v>
      </c>
      <c r="I17" s="141"/>
      <c r="J17" s="142" t="s">
        <v>119</v>
      </c>
      <c r="K17" s="143" t="s">
        <v>129</v>
      </c>
      <c r="L17" s="242">
        <v>9.99</v>
      </c>
      <c r="M17" s="222">
        <v>0</v>
      </c>
      <c r="N17" s="346">
        <f>ROUNDDOWN(L17,M17)</f>
        <v>9</v>
      </c>
      <c r="O17" s="350" t="s">
        <v>358</v>
      </c>
    </row>
    <row r="18" spans="1:15" x14ac:dyDescent="0.2">
      <c r="A18" s="223">
        <v>12149</v>
      </c>
      <c r="B18" s="224">
        <v>174</v>
      </c>
      <c r="C18" s="224" t="s">
        <v>9</v>
      </c>
      <c r="D18" s="225">
        <v>39404</v>
      </c>
      <c r="E18" s="224">
        <v>1</v>
      </c>
      <c r="F18" s="226">
        <v>0.47</v>
      </c>
      <c r="G18" s="227">
        <v>2.31</v>
      </c>
      <c r="H18" s="141">
        <f t="shared" si="1"/>
        <v>2.31</v>
      </c>
      <c r="I18" s="141"/>
      <c r="J18" s="142"/>
      <c r="K18" s="143"/>
      <c r="L18" s="242">
        <v>-9.99</v>
      </c>
      <c r="M18" s="222">
        <v>0</v>
      </c>
      <c r="N18" s="346">
        <f>ROUNDDOWN(L18,M18)</f>
        <v>-9</v>
      </c>
      <c r="O18" s="350" t="s">
        <v>358</v>
      </c>
    </row>
    <row r="19" spans="1:15" x14ac:dyDescent="0.2">
      <c r="A19" s="223">
        <v>12154</v>
      </c>
      <c r="B19" s="224">
        <v>174</v>
      </c>
      <c r="C19" s="224" t="s">
        <v>9</v>
      </c>
      <c r="D19" s="225">
        <v>39404</v>
      </c>
      <c r="E19" s="224">
        <v>1</v>
      </c>
      <c r="F19" s="226">
        <v>0.97</v>
      </c>
      <c r="G19" s="227">
        <v>2.23</v>
      </c>
      <c r="H19" s="141">
        <f t="shared" si="1"/>
        <v>2.23</v>
      </c>
      <c r="I19" s="141"/>
      <c r="J19" s="142" t="s">
        <v>120</v>
      </c>
      <c r="K19" s="143" t="s">
        <v>130</v>
      </c>
      <c r="L19" s="242">
        <v>2.23</v>
      </c>
      <c r="M19" s="244"/>
      <c r="N19" s="347">
        <f>EVEN(L19)</f>
        <v>4</v>
      </c>
      <c r="O19" s="350" t="s">
        <v>356</v>
      </c>
    </row>
    <row r="20" spans="1:15" x14ac:dyDescent="0.2">
      <c r="A20" s="223">
        <v>12156</v>
      </c>
      <c r="B20" s="224">
        <v>174</v>
      </c>
      <c r="C20" s="224" t="s">
        <v>9</v>
      </c>
      <c r="D20" s="225">
        <v>39404</v>
      </c>
      <c r="E20" s="224">
        <v>1</v>
      </c>
      <c r="F20" s="226">
        <v>0.81</v>
      </c>
      <c r="G20" s="227">
        <v>2.11</v>
      </c>
      <c r="H20" s="141">
        <f t="shared" si="1"/>
        <v>2.11</v>
      </c>
      <c r="I20" s="141"/>
      <c r="J20" s="142"/>
      <c r="K20" s="143"/>
      <c r="L20" s="242">
        <v>-2.23</v>
      </c>
      <c r="M20" s="244"/>
      <c r="N20" s="347">
        <f>EVEN(L20)</f>
        <v>-4</v>
      </c>
      <c r="O20" s="350" t="s">
        <v>356</v>
      </c>
    </row>
    <row r="21" spans="1:15" x14ac:dyDescent="0.2">
      <c r="A21" s="223">
        <v>12160</v>
      </c>
      <c r="B21" s="224">
        <v>174</v>
      </c>
      <c r="C21" s="224" t="s">
        <v>9</v>
      </c>
      <c r="D21" s="225">
        <v>39405</v>
      </c>
      <c r="E21" s="224">
        <v>1</v>
      </c>
      <c r="F21" s="226">
        <v>0.68</v>
      </c>
      <c r="G21" s="227">
        <v>2.2200000000000002</v>
      </c>
      <c r="H21" s="141">
        <f t="shared" si="1"/>
        <v>2.2200000000000002</v>
      </c>
      <c r="I21" s="141"/>
      <c r="J21" s="142" t="s">
        <v>121</v>
      </c>
      <c r="K21" s="143" t="s">
        <v>131</v>
      </c>
      <c r="L21" s="242">
        <v>1.23</v>
      </c>
      <c r="M21" s="244"/>
      <c r="N21" s="345">
        <f>ODD(L21)</f>
        <v>3</v>
      </c>
      <c r="O21" s="350" t="s">
        <v>358</v>
      </c>
    </row>
    <row r="22" spans="1:15" x14ac:dyDescent="0.2">
      <c r="A22" s="223">
        <v>12161</v>
      </c>
      <c r="B22" s="224">
        <v>174</v>
      </c>
      <c r="C22" s="224" t="s">
        <v>9</v>
      </c>
      <c r="D22" s="225">
        <v>39405</v>
      </c>
      <c r="E22" s="224">
        <v>1</v>
      </c>
      <c r="F22" s="226">
        <v>0.67</v>
      </c>
      <c r="G22" s="227">
        <v>2.08</v>
      </c>
      <c r="H22" s="141">
        <f t="shared" si="1"/>
        <v>2.08</v>
      </c>
      <c r="I22" s="141"/>
      <c r="J22" s="142"/>
      <c r="K22" s="143"/>
      <c r="L22" s="242">
        <v>-1.23</v>
      </c>
      <c r="M22" s="244"/>
      <c r="N22" s="345">
        <f>ODD(L22)</f>
        <v>-3</v>
      </c>
      <c r="O22" s="350" t="s">
        <v>358</v>
      </c>
    </row>
    <row r="23" spans="1:15" x14ac:dyDescent="0.2">
      <c r="A23" s="223">
        <v>12162</v>
      </c>
      <c r="B23" s="224">
        <v>181</v>
      </c>
      <c r="C23" s="224" t="s">
        <v>9</v>
      </c>
      <c r="D23" s="225">
        <v>39405</v>
      </c>
      <c r="E23" s="224">
        <v>1</v>
      </c>
      <c r="F23" s="226">
        <v>0.95</v>
      </c>
      <c r="G23" s="227">
        <v>2.0099999999999998</v>
      </c>
      <c r="H23" s="141">
        <f t="shared" si="1"/>
        <v>2.0099999999999998</v>
      </c>
      <c r="I23" s="141"/>
      <c r="J23" s="142" t="s">
        <v>122</v>
      </c>
      <c r="K23" s="143" t="s">
        <v>132</v>
      </c>
      <c r="L23" s="242">
        <v>4.3</v>
      </c>
      <c r="M23" s="244"/>
      <c r="N23" s="345">
        <f>INT(L23)</f>
        <v>4</v>
      </c>
      <c r="O23" s="350" t="s">
        <v>359</v>
      </c>
    </row>
    <row r="24" spans="1:15" x14ac:dyDescent="0.2">
      <c r="A24" s="223">
        <v>12136</v>
      </c>
      <c r="B24" s="224">
        <v>181</v>
      </c>
      <c r="C24" s="224" t="s">
        <v>10</v>
      </c>
      <c r="D24" s="225">
        <v>39403</v>
      </c>
      <c r="E24" s="224">
        <v>2</v>
      </c>
      <c r="F24" s="226">
        <v>1.32</v>
      </c>
      <c r="G24" s="227">
        <v>2.35</v>
      </c>
      <c r="H24" s="141">
        <f t="shared" si="1"/>
        <v>2.35</v>
      </c>
      <c r="I24" s="141"/>
      <c r="J24" s="142"/>
      <c r="K24" s="143"/>
      <c r="L24" s="242">
        <v>-4.3</v>
      </c>
      <c r="M24" s="244"/>
      <c r="N24" s="345">
        <f>INT(L24)</f>
        <v>-5</v>
      </c>
      <c r="O24" s="350" t="s">
        <v>359</v>
      </c>
    </row>
    <row r="25" spans="1:15" x14ac:dyDescent="0.2">
      <c r="A25" s="223">
        <v>12137</v>
      </c>
      <c r="B25" s="224">
        <v>181</v>
      </c>
      <c r="C25" s="224" t="s">
        <v>10</v>
      </c>
      <c r="D25" s="225">
        <v>39403</v>
      </c>
      <c r="E25" s="224">
        <v>2</v>
      </c>
      <c r="F25" s="226">
        <v>0.75</v>
      </c>
      <c r="G25" s="227">
        <v>1.7344999999999999</v>
      </c>
      <c r="H25" s="141">
        <f t="shared" si="1"/>
        <v>1.73</v>
      </c>
      <c r="I25" s="141"/>
      <c r="J25" s="142" t="s">
        <v>123</v>
      </c>
      <c r="K25" s="144" t="s">
        <v>251</v>
      </c>
      <c r="L25" s="243">
        <v>4.3</v>
      </c>
      <c r="M25" s="244"/>
      <c r="N25" s="348">
        <f>TRUNC(L25)</f>
        <v>4</v>
      </c>
      <c r="O25" s="350" t="s">
        <v>360</v>
      </c>
    </row>
    <row r="26" spans="1:15" x14ac:dyDescent="0.2">
      <c r="A26" s="223">
        <v>12138</v>
      </c>
      <c r="B26" s="224">
        <v>181</v>
      </c>
      <c r="C26" s="224" t="s">
        <v>10</v>
      </c>
      <c r="D26" s="225">
        <v>39403</v>
      </c>
      <c r="E26" s="224">
        <v>2</v>
      </c>
      <c r="F26" s="226">
        <v>0.92</v>
      </c>
      <c r="G26" s="227">
        <v>2.08</v>
      </c>
      <c r="H26" s="141">
        <f t="shared" si="1"/>
        <v>2.08</v>
      </c>
      <c r="I26" s="141"/>
      <c r="K26" s="213" t="s">
        <v>252</v>
      </c>
      <c r="L26" s="243">
        <v>-4.3</v>
      </c>
      <c r="M26" s="244"/>
      <c r="N26" s="348">
        <f>TRUNC(L26)</f>
        <v>-4</v>
      </c>
      <c r="O26" s="350" t="s">
        <v>360</v>
      </c>
    </row>
    <row r="27" spans="1:15" x14ac:dyDescent="0.2">
      <c r="A27" s="223">
        <v>12141</v>
      </c>
      <c r="B27" s="224">
        <v>181</v>
      </c>
      <c r="C27" s="224" t="s">
        <v>10</v>
      </c>
      <c r="D27" s="225">
        <v>39403</v>
      </c>
      <c r="E27" s="224">
        <v>2</v>
      </c>
      <c r="F27" s="226">
        <v>0.46</v>
      </c>
      <c r="G27" s="227">
        <v>2.2599999999999998</v>
      </c>
      <c r="H27" s="141">
        <f t="shared" si="1"/>
        <v>2.2599999999999998</v>
      </c>
      <c r="I27" s="141"/>
    </row>
    <row r="28" spans="1:15" x14ac:dyDescent="0.2">
      <c r="A28" s="223">
        <v>12143</v>
      </c>
      <c r="B28" s="224">
        <v>174</v>
      </c>
      <c r="C28" s="224" t="s">
        <v>10</v>
      </c>
      <c r="D28" s="225">
        <v>39403</v>
      </c>
      <c r="E28" s="224">
        <v>2</v>
      </c>
      <c r="F28" s="226">
        <v>1.04</v>
      </c>
      <c r="G28" s="227">
        <v>2.2400000000000002</v>
      </c>
      <c r="H28" s="141">
        <f t="shared" si="1"/>
        <v>2.2400000000000002</v>
      </c>
      <c r="I28" s="141"/>
    </row>
    <row r="29" spans="1:15" x14ac:dyDescent="0.2">
      <c r="A29" s="223">
        <v>12147</v>
      </c>
      <c r="B29" s="224">
        <v>181</v>
      </c>
      <c r="C29" s="224" t="s">
        <v>8</v>
      </c>
      <c r="D29" s="225">
        <v>39404</v>
      </c>
      <c r="E29" s="224">
        <v>2</v>
      </c>
      <c r="F29" s="226">
        <v>0.9</v>
      </c>
      <c r="G29" s="227">
        <v>2.0099999999999998</v>
      </c>
      <c r="H29" s="141">
        <f t="shared" si="1"/>
        <v>2.0099999999999998</v>
      </c>
      <c r="I29" s="141"/>
    </row>
    <row r="30" spans="1:15" x14ac:dyDescent="0.2">
      <c r="A30" s="228">
        <v>12150</v>
      </c>
      <c r="B30" s="229">
        <v>167</v>
      </c>
      <c r="C30" s="229" t="s">
        <v>8</v>
      </c>
      <c r="D30" s="230">
        <v>39404</v>
      </c>
      <c r="E30" s="229">
        <v>2</v>
      </c>
      <c r="F30" s="231">
        <v>0.97</v>
      </c>
      <c r="G30" s="232">
        <v>2.0000100000000001</v>
      </c>
      <c r="H30" s="145">
        <f t="shared" si="1"/>
        <v>2</v>
      </c>
      <c r="I30" s="141"/>
    </row>
    <row r="31" spans="1:15" x14ac:dyDescent="0.2">
      <c r="A31" s="223">
        <v>12151</v>
      </c>
      <c r="B31" s="224">
        <v>181</v>
      </c>
      <c r="C31" s="224" t="s">
        <v>8</v>
      </c>
      <c r="D31" s="225">
        <v>39404</v>
      </c>
      <c r="E31" s="224">
        <v>2</v>
      </c>
      <c r="F31" s="226">
        <v>0.49</v>
      </c>
      <c r="G31" s="227">
        <v>2.08</v>
      </c>
      <c r="H31" s="141">
        <f t="shared" si="1"/>
        <v>2.08</v>
      </c>
      <c r="I31" s="141"/>
    </row>
    <row r="32" spans="1:15" x14ac:dyDescent="0.2">
      <c r="A32" s="223">
        <v>12152</v>
      </c>
      <c r="B32" s="224">
        <v>181</v>
      </c>
      <c r="C32" s="224" t="s">
        <v>8</v>
      </c>
      <c r="D32" s="225">
        <v>39404</v>
      </c>
      <c r="E32" s="224">
        <v>2</v>
      </c>
      <c r="F32" s="226">
        <v>0.75</v>
      </c>
      <c r="G32" s="227">
        <v>2.17</v>
      </c>
      <c r="H32" s="141">
        <f t="shared" si="1"/>
        <v>2.17</v>
      </c>
      <c r="I32" s="141"/>
    </row>
    <row r="33" spans="1:14" x14ac:dyDescent="0.2">
      <c r="A33" s="223">
        <v>12153</v>
      </c>
      <c r="B33" s="224">
        <v>167</v>
      </c>
      <c r="C33" s="224" t="s">
        <v>8</v>
      </c>
      <c r="D33" s="225">
        <v>39404</v>
      </c>
      <c r="E33" s="224">
        <v>2</v>
      </c>
      <c r="F33" s="226">
        <v>0.3</v>
      </c>
      <c r="G33" s="227">
        <v>3.2160000000000002</v>
      </c>
      <c r="H33" s="141">
        <f t="shared" si="1"/>
        <v>3.22</v>
      </c>
      <c r="I33" s="141"/>
    </row>
    <row r="34" spans="1:14" x14ac:dyDescent="0.2">
      <c r="A34" s="223">
        <v>12155</v>
      </c>
      <c r="B34" s="224">
        <v>181</v>
      </c>
      <c r="C34" s="224" t="s">
        <v>9</v>
      </c>
      <c r="D34" s="225">
        <v>39404</v>
      </c>
      <c r="E34" s="224">
        <v>2</v>
      </c>
      <c r="F34" s="226">
        <v>1.01</v>
      </c>
      <c r="G34" s="227">
        <v>2.2400000000000002</v>
      </c>
      <c r="H34" s="141">
        <f t="shared" si="1"/>
        <v>2.2400000000000002</v>
      </c>
      <c r="I34" s="141"/>
    </row>
    <row r="35" spans="1:14" x14ac:dyDescent="0.2">
      <c r="A35" s="223">
        <v>12157</v>
      </c>
      <c r="B35" s="224">
        <v>181</v>
      </c>
      <c r="C35" s="224" t="s">
        <v>9</v>
      </c>
      <c r="D35" s="225">
        <v>39405</v>
      </c>
      <c r="E35" s="224">
        <v>2</v>
      </c>
      <c r="F35" s="226">
        <v>0.84</v>
      </c>
      <c r="G35" s="227">
        <v>2.34</v>
      </c>
      <c r="H35" s="141">
        <f t="shared" si="1"/>
        <v>2.34</v>
      </c>
      <c r="I35" s="141"/>
    </row>
    <row r="36" spans="1:14" x14ac:dyDescent="0.2">
      <c r="A36" s="223">
        <v>12158</v>
      </c>
      <c r="B36" s="224">
        <v>174</v>
      </c>
      <c r="C36" s="224" t="s">
        <v>9</v>
      </c>
      <c r="D36" s="225">
        <v>39405</v>
      </c>
      <c r="E36" s="224">
        <v>2</v>
      </c>
      <c r="F36" s="226">
        <v>0.68</v>
      </c>
      <c r="G36" s="227">
        <v>2.1</v>
      </c>
      <c r="H36" s="141">
        <f t="shared" si="1"/>
        <v>2.1</v>
      </c>
      <c r="I36" s="141"/>
    </row>
    <row r="37" spans="1:14" ht="12.75" customHeight="1" x14ac:dyDescent="0.2">
      <c r="A37" s="233">
        <v>12159</v>
      </c>
      <c r="B37" s="234">
        <v>181</v>
      </c>
      <c r="C37" s="234" t="s">
        <v>8</v>
      </c>
      <c r="D37" s="235">
        <v>39405</v>
      </c>
      <c r="E37" s="234">
        <v>2</v>
      </c>
      <c r="F37" s="236">
        <v>0.57999999999999996</v>
      </c>
      <c r="G37" s="237">
        <v>2.33</v>
      </c>
      <c r="H37" s="141">
        <f t="shared" si="1"/>
        <v>2.33</v>
      </c>
      <c r="I37" s="141"/>
    </row>
    <row r="42" spans="1:14" s="81" customFormat="1" ht="12.75" customHeight="1" x14ac:dyDescent="0.2">
      <c r="J42" s="4"/>
      <c r="K42" s="4"/>
      <c r="L42" s="4"/>
      <c r="M42" s="4"/>
      <c r="N42" s="4"/>
    </row>
    <row r="43" spans="1:14" s="81" customFormat="1" ht="12.75" customHeight="1" x14ac:dyDescent="0.2">
      <c r="J43" s="4"/>
      <c r="K43" s="4"/>
      <c r="L43" s="4"/>
      <c r="M43" s="4"/>
      <c r="N43" s="4"/>
    </row>
    <row r="44" spans="1:14" s="81" customFormat="1" ht="12.75" customHeight="1" x14ac:dyDescent="0.2">
      <c r="J44" s="4"/>
      <c r="K44" s="4"/>
      <c r="L44" s="4"/>
      <c r="M44" s="4"/>
      <c r="N44" s="4"/>
    </row>
    <row r="45" spans="1:14" s="81" customFormat="1" ht="12.75" customHeight="1" x14ac:dyDescent="0.2">
      <c r="J45" s="4"/>
      <c r="K45" s="4"/>
      <c r="L45" s="4"/>
      <c r="M45" s="4"/>
      <c r="N45" s="4"/>
    </row>
    <row r="46" spans="1:14" s="81" customFormat="1" ht="12.75" customHeight="1" x14ac:dyDescent="0.2">
      <c r="J46" s="4"/>
      <c r="K46" s="4"/>
      <c r="L46" s="4"/>
      <c r="M46" s="4"/>
      <c r="N46" s="4"/>
    </row>
    <row r="47" spans="1:14" s="81" customFormat="1" ht="12.75" customHeight="1" x14ac:dyDescent="0.2">
      <c r="J47" s="4"/>
      <c r="K47" s="4"/>
      <c r="L47" s="4"/>
      <c r="M47" s="4"/>
      <c r="N47" s="4"/>
    </row>
    <row r="52" spans="10:14" x14ac:dyDescent="0.2">
      <c r="J52" s="81"/>
      <c r="K52" s="81"/>
      <c r="L52" s="81"/>
      <c r="M52" s="81"/>
      <c r="N52" s="81"/>
    </row>
    <row r="53" spans="10:14" x14ac:dyDescent="0.2">
      <c r="J53" s="81"/>
      <c r="K53" s="81"/>
      <c r="L53" s="81"/>
      <c r="M53" s="81"/>
      <c r="N53" s="81"/>
    </row>
    <row r="54" spans="10:14" x14ac:dyDescent="0.2">
      <c r="J54" s="81"/>
      <c r="K54" s="81"/>
      <c r="L54" s="81"/>
      <c r="M54" s="81"/>
      <c r="N54" s="81"/>
    </row>
    <row r="55" spans="10:14" x14ac:dyDescent="0.2">
      <c r="J55" s="81"/>
      <c r="K55" s="81"/>
      <c r="L55" s="81"/>
      <c r="M55" s="81"/>
      <c r="N55" s="81"/>
    </row>
    <row r="56" spans="10:14" x14ac:dyDescent="0.2">
      <c r="J56" s="81"/>
      <c r="K56" s="81"/>
      <c r="L56" s="81"/>
      <c r="M56" s="81"/>
      <c r="N56" s="81"/>
    </row>
    <row r="57" spans="10:14" x14ac:dyDescent="0.2">
      <c r="J57" s="81"/>
      <c r="K57" s="81"/>
      <c r="L57" s="81"/>
      <c r="M57" s="81"/>
      <c r="N57" s="81"/>
    </row>
  </sheetData>
  <phoneticPr fontId="3" type="noConversion"/>
  <pageMargins left="0.75" right="0.75" top="1" bottom="1" header="0.5" footer="0.5"/>
  <pageSetup orientation="portrait" horizontalDpi="4294967293"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autoPageBreaks="0"/>
  </sheetPr>
  <dimension ref="A1:O37"/>
  <sheetViews>
    <sheetView zoomScale="130" zoomScaleNormal="130" workbookViewId="0">
      <selection activeCell="A5" sqref="A5"/>
    </sheetView>
  </sheetViews>
  <sheetFormatPr defaultColWidth="9.140625" defaultRowHeight="11.25" x14ac:dyDescent="0.2"/>
  <cols>
    <col min="1" max="1" width="8" style="4" customWidth="1"/>
    <col min="2" max="2" width="5.28515625" style="4" customWidth="1"/>
    <col min="3" max="3" width="5.28515625" style="4" bestFit="1" customWidth="1"/>
    <col min="4" max="4" width="12.5703125" style="4" customWidth="1"/>
    <col min="5" max="5" width="10.140625" style="4" customWidth="1"/>
    <col min="6" max="6" width="9.85546875" style="4" customWidth="1"/>
    <col min="7" max="7" width="9.42578125" style="4" customWidth="1"/>
    <col min="8" max="16384" width="9.140625" style="4"/>
  </cols>
  <sheetData>
    <row r="1" spans="1:15" ht="18" x14ac:dyDescent="0.25">
      <c r="A1" s="351" t="s">
        <v>145</v>
      </c>
      <c r="B1" s="3"/>
      <c r="C1" s="3"/>
      <c r="D1" s="3"/>
      <c r="E1" s="3"/>
      <c r="F1" s="3"/>
      <c r="G1" s="3"/>
      <c r="H1" s="3"/>
      <c r="I1" s="3"/>
      <c r="J1" s="3"/>
      <c r="K1" s="3"/>
      <c r="L1" s="3"/>
      <c r="M1" s="3"/>
      <c r="N1" s="1"/>
      <c r="O1" s="1"/>
    </row>
    <row r="2" spans="1:15" hidden="1" x14ac:dyDescent="0.2">
      <c r="A2" s="4" t="s">
        <v>401</v>
      </c>
      <c r="B2" s="503">
        <v>4.7337962962962958E-3</v>
      </c>
    </row>
    <row r="3" spans="1:15" s="213" customFormat="1" ht="12.75" x14ac:dyDescent="0.2">
      <c r="A3" s="438" t="str">
        <f>IF(A2="","",IF(Disable_Video_Hyperlinks,A2,HYPERLINK(Video_website&amp;A2,A2)))</f>
        <v>UNC_DAYT_EXCEL_2.2.2_LECTURE_CIRCULAR_REFERENCE_ERRORS.mp4</v>
      </c>
    </row>
    <row r="4" spans="1:15" s="213" customFormat="1" ht="12.75" x14ac:dyDescent="0.2">
      <c r="A4" s="501">
        <f>IF(B2="","",B2)</f>
        <v>4.7337962962962958E-3</v>
      </c>
    </row>
    <row r="5" spans="1:15" s="213" customFormat="1" x14ac:dyDescent="0.2"/>
    <row r="6" spans="1:15" ht="12.75" x14ac:dyDescent="0.2">
      <c r="A6" s="537" t="s">
        <v>0</v>
      </c>
      <c r="B6" s="538"/>
      <c r="C6" s="538"/>
      <c r="D6" s="538"/>
      <c r="E6" s="538"/>
      <c r="F6" s="538"/>
      <c r="G6" s="539"/>
      <c r="H6" s="16"/>
    </row>
    <row r="7" spans="1:15" s="213" customFormat="1" ht="12.75" x14ac:dyDescent="0.2">
      <c r="A7" s="540"/>
      <c r="B7" s="541"/>
      <c r="C7" s="541"/>
      <c r="D7" s="541"/>
      <c r="E7" s="541"/>
      <c r="F7" s="541"/>
      <c r="G7" s="542"/>
      <c r="H7" s="16"/>
    </row>
    <row r="8" spans="1:15" s="6" customFormat="1" ht="25.5" x14ac:dyDescent="0.2">
      <c r="A8" s="530" t="s">
        <v>1</v>
      </c>
      <c r="B8" s="530" t="s">
        <v>2</v>
      </c>
      <c r="C8" s="530" t="s">
        <v>3</v>
      </c>
      <c r="D8" s="530" t="s">
        <v>4</v>
      </c>
      <c r="E8" s="530" t="s">
        <v>5</v>
      </c>
      <c r="F8" s="530" t="s">
        <v>6</v>
      </c>
      <c r="G8" s="530" t="s">
        <v>7</v>
      </c>
      <c r="H8" s="170"/>
    </row>
    <row r="9" spans="1:15" ht="12.75" x14ac:dyDescent="0.2">
      <c r="A9" s="377">
        <v>12134</v>
      </c>
      <c r="B9" s="378">
        <v>174</v>
      </c>
      <c r="C9" s="378" t="s">
        <v>8</v>
      </c>
      <c r="D9" s="379">
        <v>39403</v>
      </c>
      <c r="E9" s="378">
        <v>1</v>
      </c>
      <c r="F9" s="380">
        <v>0.82</v>
      </c>
      <c r="G9" s="393">
        <v>2.21</v>
      </c>
      <c r="H9" s="79">
        <f t="shared" ref="H9:H37" si="0">ROUND(G9,2)</f>
        <v>2.21</v>
      </c>
      <c r="J9" s="213">
        <v>1</v>
      </c>
      <c r="K9" s="213">
        <v>2</v>
      </c>
      <c r="L9" s="213">
        <f>J9+K9</f>
        <v>3</v>
      </c>
    </row>
    <row r="10" spans="1:15" ht="12.75" x14ac:dyDescent="0.2">
      <c r="A10" s="377">
        <v>12135</v>
      </c>
      <c r="B10" s="378">
        <v>174</v>
      </c>
      <c r="C10" s="378" t="s">
        <v>8</v>
      </c>
      <c r="D10" s="379">
        <v>39403</v>
      </c>
      <c r="E10" s="378">
        <v>1</v>
      </c>
      <c r="F10" s="380">
        <v>0.49</v>
      </c>
      <c r="G10" s="393">
        <v>1.94</v>
      </c>
      <c r="H10" s="79">
        <f>ROUND(G11,2)</f>
        <v>2.0299999999999998</v>
      </c>
      <c r="J10" s="6"/>
      <c r="K10" s="6"/>
      <c r="L10" s="6"/>
    </row>
    <row r="11" spans="1:15" ht="12.75" x14ac:dyDescent="0.2">
      <c r="A11" s="377">
        <v>12139</v>
      </c>
      <c r="B11" s="378">
        <v>174</v>
      </c>
      <c r="C11" s="378" t="s">
        <v>8</v>
      </c>
      <c r="D11" s="379">
        <v>39403</v>
      </c>
      <c r="E11" s="378">
        <v>1</v>
      </c>
      <c r="F11" s="380">
        <v>0.52</v>
      </c>
      <c r="G11" s="393">
        <v>2.0299999999999998</v>
      </c>
      <c r="H11" s="79">
        <f t="shared" si="0"/>
        <v>2.0299999999999998</v>
      </c>
      <c r="J11" s="4">
        <v>1</v>
      </c>
      <c r="K11" s="4">
        <v>2</v>
      </c>
      <c r="L11" s="420" t="s">
        <v>437</v>
      </c>
    </row>
    <row r="12" spans="1:15" ht="12.75" x14ac:dyDescent="0.2">
      <c r="A12" s="377">
        <v>12140</v>
      </c>
      <c r="B12" s="378">
        <v>167</v>
      </c>
      <c r="C12" s="378" t="s">
        <v>8</v>
      </c>
      <c r="D12" s="379">
        <v>39403</v>
      </c>
      <c r="E12" s="378">
        <v>1</v>
      </c>
      <c r="F12" s="380">
        <v>0.63</v>
      </c>
      <c r="G12" s="393">
        <v>2.2400000000000002</v>
      </c>
      <c r="H12" s="79">
        <f t="shared" si="0"/>
        <v>2.2400000000000002</v>
      </c>
    </row>
    <row r="13" spans="1:15" ht="12.75" x14ac:dyDescent="0.2">
      <c r="A13" s="377">
        <v>12142</v>
      </c>
      <c r="B13" s="378">
        <v>167</v>
      </c>
      <c r="C13" s="378" t="s">
        <v>8</v>
      </c>
      <c r="D13" s="379">
        <v>39403</v>
      </c>
      <c r="E13" s="378">
        <v>1</v>
      </c>
      <c r="F13" s="380">
        <v>0.64</v>
      </c>
      <c r="G13" s="393">
        <v>2.2799999999999998</v>
      </c>
      <c r="H13" s="79">
        <f t="shared" si="0"/>
        <v>2.2799999999999998</v>
      </c>
      <c r="J13" s="420" t="s">
        <v>435</v>
      </c>
      <c r="K13" s="213">
        <v>2</v>
      </c>
      <c r="L13" s="420" t="s">
        <v>436</v>
      </c>
    </row>
    <row r="14" spans="1:15" ht="12.75" x14ac:dyDescent="0.2">
      <c r="A14" s="377">
        <v>12144</v>
      </c>
      <c r="B14" s="378">
        <v>167</v>
      </c>
      <c r="C14" s="378" t="s">
        <v>8</v>
      </c>
      <c r="D14" s="379">
        <v>39403</v>
      </c>
      <c r="E14" s="378">
        <v>1</v>
      </c>
      <c r="F14" s="380">
        <v>1.28</v>
      </c>
      <c r="G14" s="393">
        <v>2.31</v>
      </c>
      <c r="H14" s="79">
        <f t="shared" si="0"/>
        <v>2.31</v>
      </c>
    </row>
    <row r="15" spans="1:15" ht="12.75" x14ac:dyDescent="0.2">
      <c r="A15" s="377">
        <v>12145</v>
      </c>
      <c r="B15" s="378">
        <v>174</v>
      </c>
      <c r="C15" s="378" t="s">
        <v>8</v>
      </c>
      <c r="D15" s="379">
        <v>39403</v>
      </c>
      <c r="E15" s="378">
        <v>1</v>
      </c>
      <c r="F15" s="380">
        <v>0.45</v>
      </c>
      <c r="G15" s="393">
        <v>2.02</v>
      </c>
      <c r="H15" s="79">
        <f t="shared" si="0"/>
        <v>2.02</v>
      </c>
    </row>
    <row r="16" spans="1:15" ht="12.75" x14ac:dyDescent="0.2">
      <c r="A16" s="377">
        <v>12146</v>
      </c>
      <c r="B16" s="378">
        <v>167</v>
      </c>
      <c r="C16" s="378" t="s">
        <v>8</v>
      </c>
      <c r="D16" s="379">
        <v>39403</v>
      </c>
      <c r="E16" s="378">
        <v>1</v>
      </c>
      <c r="F16" s="380">
        <v>1.1299999999999999</v>
      </c>
      <c r="G16" s="393">
        <v>2.0499999999999998</v>
      </c>
      <c r="H16" s="79">
        <f t="shared" si="0"/>
        <v>2.0499999999999998</v>
      </c>
    </row>
    <row r="17" spans="1:8" ht="12.75" x14ac:dyDescent="0.2">
      <c r="A17" s="377">
        <v>12148</v>
      </c>
      <c r="B17" s="378">
        <v>167</v>
      </c>
      <c r="C17" s="378" t="s">
        <v>9</v>
      </c>
      <c r="D17" s="379">
        <v>39404</v>
      </c>
      <c r="E17" s="378">
        <v>1</v>
      </c>
      <c r="F17" s="380">
        <v>0.43</v>
      </c>
      <c r="G17" s="393">
        <v>2.27</v>
      </c>
      <c r="H17" s="79">
        <f t="shared" si="0"/>
        <v>2.27</v>
      </c>
    </row>
    <row r="18" spans="1:8" ht="12.75" x14ac:dyDescent="0.2">
      <c r="A18" s="377">
        <v>12149</v>
      </c>
      <c r="B18" s="378">
        <v>174</v>
      </c>
      <c r="C18" s="378" t="s">
        <v>9</v>
      </c>
      <c r="D18" s="379">
        <v>39404</v>
      </c>
      <c r="E18" s="378">
        <v>1</v>
      </c>
      <c r="F18" s="380">
        <v>0.47</v>
      </c>
      <c r="G18" s="393">
        <v>2.31</v>
      </c>
      <c r="H18" s="79">
        <f t="shared" si="0"/>
        <v>2.31</v>
      </c>
    </row>
    <row r="19" spans="1:8" ht="12.75" x14ac:dyDescent="0.2">
      <c r="A19" s="377">
        <v>12154</v>
      </c>
      <c r="B19" s="378">
        <v>174</v>
      </c>
      <c r="C19" s="378" t="s">
        <v>9</v>
      </c>
      <c r="D19" s="379">
        <v>39404</v>
      </c>
      <c r="E19" s="378">
        <v>1</v>
      </c>
      <c r="F19" s="380">
        <v>0.97</v>
      </c>
      <c r="G19" s="393">
        <v>2.23</v>
      </c>
      <c r="H19" s="79">
        <f t="shared" si="0"/>
        <v>2.23</v>
      </c>
    </row>
    <row r="20" spans="1:8" ht="12.75" x14ac:dyDescent="0.2">
      <c r="A20" s="377">
        <v>12156</v>
      </c>
      <c r="B20" s="378">
        <v>174</v>
      </c>
      <c r="C20" s="378" t="s">
        <v>9</v>
      </c>
      <c r="D20" s="379">
        <v>39404</v>
      </c>
      <c r="E20" s="378">
        <v>1</v>
      </c>
      <c r="F20" s="380">
        <v>0.81</v>
      </c>
      <c r="G20" s="393">
        <v>2.11</v>
      </c>
      <c r="H20" s="79">
        <f t="shared" si="0"/>
        <v>2.11</v>
      </c>
    </row>
    <row r="21" spans="1:8" ht="12.75" x14ac:dyDescent="0.2">
      <c r="A21" s="377">
        <v>12160</v>
      </c>
      <c r="B21" s="378">
        <v>174</v>
      </c>
      <c r="C21" s="378" t="s">
        <v>9</v>
      </c>
      <c r="D21" s="379">
        <v>39405</v>
      </c>
      <c r="E21" s="378">
        <v>1</v>
      </c>
      <c r="F21" s="380">
        <v>0.68</v>
      </c>
      <c r="G21" s="393">
        <v>2.2200000000000002</v>
      </c>
      <c r="H21" s="79">
        <f t="shared" si="0"/>
        <v>2.2200000000000002</v>
      </c>
    </row>
    <row r="22" spans="1:8" ht="12.75" x14ac:dyDescent="0.2">
      <c r="A22" s="377">
        <v>12161</v>
      </c>
      <c r="B22" s="378">
        <v>174</v>
      </c>
      <c r="C22" s="378" t="s">
        <v>9</v>
      </c>
      <c r="D22" s="379">
        <v>39405</v>
      </c>
      <c r="E22" s="378">
        <v>1</v>
      </c>
      <c r="F22" s="380">
        <v>0.67</v>
      </c>
      <c r="G22" s="393">
        <v>2.08</v>
      </c>
      <c r="H22" s="79">
        <f t="shared" si="0"/>
        <v>2.08</v>
      </c>
    </row>
    <row r="23" spans="1:8" ht="12.75" x14ac:dyDescent="0.2">
      <c r="A23" s="377">
        <v>12162</v>
      </c>
      <c r="B23" s="378">
        <v>181</v>
      </c>
      <c r="C23" s="378" t="s">
        <v>9</v>
      </c>
      <c r="D23" s="379">
        <v>39405</v>
      </c>
      <c r="E23" s="378">
        <v>1</v>
      </c>
      <c r="F23" s="380">
        <v>0.95</v>
      </c>
      <c r="G23" s="393">
        <v>2.0099999999999998</v>
      </c>
      <c r="H23" s="79">
        <f t="shared" si="0"/>
        <v>2.0099999999999998</v>
      </c>
    </row>
    <row r="24" spans="1:8" ht="12.75" x14ac:dyDescent="0.2">
      <c r="A24" s="377">
        <v>12136</v>
      </c>
      <c r="B24" s="378">
        <v>181</v>
      </c>
      <c r="C24" s="378" t="s">
        <v>10</v>
      </c>
      <c r="D24" s="379">
        <v>39403</v>
      </c>
      <c r="E24" s="378">
        <v>2</v>
      </c>
      <c r="F24" s="380">
        <v>1.32</v>
      </c>
      <c r="G24" s="393">
        <v>2.35</v>
      </c>
      <c r="H24" s="79">
        <f t="shared" si="0"/>
        <v>2.35</v>
      </c>
    </row>
    <row r="25" spans="1:8" ht="12.75" x14ac:dyDescent="0.2">
      <c r="A25" s="377">
        <v>12137</v>
      </c>
      <c r="B25" s="378">
        <v>181</v>
      </c>
      <c r="C25" s="378" t="s">
        <v>10</v>
      </c>
      <c r="D25" s="379">
        <v>39403</v>
      </c>
      <c r="E25" s="378">
        <v>2</v>
      </c>
      <c r="F25" s="380">
        <v>0.75</v>
      </c>
      <c r="G25" s="393">
        <v>1.7344999999999999</v>
      </c>
      <c r="H25" s="79">
        <f t="shared" si="0"/>
        <v>1.73</v>
      </c>
    </row>
    <row r="26" spans="1:8" ht="12.75" x14ac:dyDescent="0.2">
      <c r="A26" s="377">
        <v>12138</v>
      </c>
      <c r="B26" s="378">
        <v>181</v>
      </c>
      <c r="C26" s="378" t="s">
        <v>10</v>
      </c>
      <c r="D26" s="379">
        <v>39403</v>
      </c>
      <c r="E26" s="378">
        <v>2</v>
      </c>
      <c r="F26" s="380">
        <v>0.92</v>
      </c>
      <c r="G26" s="393">
        <v>2.08</v>
      </c>
      <c r="H26" s="79">
        <f t="shared" si="0"/>
        <v>2.08</v>
      </c>
    </row>
    <row r="27" spans="1:8" ht="12.75" x14ac:dyDescent="0.2">
      <c r="A27" s="377">
        <v>12141</v>
      </c>
      <c r="B27" s="378">
        <v>181</v>
      </c>
      <c r="C27" s="378" t="s">
        <v>10</v>
      </c>
      <c r="D27" s="379">
        <v>39403</v>
      </c>
      <c r="E27" s="378">
        <v>2</v>
      </c>
      <c r="F27" s="380">
        <v>0.46</v>
      </c>
      <c r="G27" s="393">
        <v>2.2599999999999998</v>
      </c>
      <c r="H27" s="79">
        <f t="shared" si="0"/>
        <v>2.2599999999999998</v>
      </c>
    </row>
    <row r="28" spans="1:8" ht="12.75" x14ac:dyDescent="0.2">
      <c r="A28" s="377">
        <v>12143</v>
      </c>
      <c r="B28" s="378">
        <v>174</v>
      </c>
      <c r="C28" s="378" t="s">
        <v>10</v>
      </c>
      <c r="D28" s="379">
        <v>39403</v>
      </c>
      <c r="E28" s="378">
        <v>2</v>
      </c>
      <c r="F28" s="380">
        <v>1.04</v>
      </c>
      <c r="G28" s="393">
        <v>2.2400000000000002</v>
      </c>
      <c r="H28" s="79">
        <f t="shared" si="0"/>
        <v>2.2400000000000002</v>
      </c>
    </row>
    <row r="29" spans="1:8" ht="12.75" x14ac:dyDescent="0.2">
      <c r="A29" s="377">
        <v>12147</v>
      </c>
      <c r="B29" s="378">
        <v>181</v>
      </c>
      <c r="C29" s="378" t="s">
        <v>8</v>
      </c>
      <c r="D29" s="379">
        <v>39404</v>
      </c>
      <c r="E29" s="378">
        <v>2</v>
      </c>
      <c r="F29" s="380">
        <v>0.9</v>
      </c>
      <c r="G29" s="393">
        <v>2.0099999999999998</v>
      </c>
      <c r="H29" s="79">
        <f t="shared" si="0"/>
        <v>2.0099999999999998</v>
      </c>
    </row>
    <row r="30" spans="1:8" ht="12.75" x14ac:dyDescent="0.2">
      <c r="A30" s="377">
        <v>12150</v>
      </c>
      <c r="B30" s="378">
        <v>167</v>
      </c>
      <c r="C30" s="378" t="s">
        <v>8</v>
      </c>
      <c r="D30" s="379">
        <v>39404</v>
      </c>
      <c r="E30" s="378">
        <v>2</v>
      </c>
      <c r="F30" s="380">
        <v>0.97</v>
      </c>
      <c r="G30" s="393">
        <v>2.0000100000000001</v>
      </c>
      <c r="H30" s="79">
        <f t="shared" si="0"/>
        <v>2</v>
      </c>
    </row>
    <row r="31" spans="1:8" ht="12.75" x14ac:dyDescent="0.2">
      <c r="A31" s="377">
        <v>12151</v>
      </c>
      <c r="B31" s="378">
        <v>181</v>
      </c>
      <c r="C31" s="378" t="s">
        <v>8</v>
      </c>
      <c r="D31" s="379">
        <v>39404</v>
      </c>
      <c r="E31" s="378">
        <v>2</v>
      </c>
      <c r="F31" s="380">
        <v>0.49</v>
      </c>
      <c r="G31" s="393">
        <v>2.08</v>
      </c>
      <c r="H31" s="79">
        <f t="shared" si="0"/>
        <v>2.08</v>
      </c>
    </row>
    <row r="32" spans="1:8" ht="12.75" x14ac:dyDescent="0.2">
      <c r="A32" s="377">
        <v>12152</v>
      </c>
      <c r="B32" s="378">
        <v>181</v>
      </c>
      <c r="C32" s="378" t="s">
        <v>8</v>
      </c>
      <c r="D32" s="379">
        <v>39404</v>
      </c>
      <c r="E32" s="378">
        <v>2</v>
      </c>
      <c r="F32" s="380">
        <v>0.75</v>
      </c>
      <c r="G32" s="393">
        <v>2.17</v>
      </c>
      <c r="H32" s="79">
        <f t="shared" si="0"/>
        <v>2.17</v>
      </c>
    </row>
    <row r="33" spans="1:8" ht="12.75" x14ac:dyDescent="0.2">
      <c r="A33" s="377">
        <v>12153</v>
      </c>
      <c r="B33" s="378">
        <v>167</v>
      </c>
      <c r="C33" s="378" t="s">
        <v>8</v>
      </c>
      <c r="D33" s="379">
        <v>39404</v>
      </c>
      <c r="E33" s="378">
        <v>2</v>
      </c>
      <c r="F33" s="380">
        <v>0.3</v>
      </c>
      <c r="G33" s="393">
        <v>3.2160000000000002</v>
      </c>
      <c r="H33" s="79">
        <f t="shared" si="0"/>
        <v>3.22</v>
      </c>
    </row>
    <row r="34" spans="1:8" ht="12.75" x14ac:dyDescent="0.2">
      <c r="A34" s="377">
        <v>12155</v>
      </c>
      <c r="B34" s="378">
        <v>181</v>
      </c>
      <c r="C34" s="378" t="s">
        <v>9</v>
      </c>
      <c r="D34" s="379">
        <v>39404</v>
      </c>
      <c r="E34" s="378">
        <v>2</v>
      </c>
      <c r="F34" s="380">
        <v>1.01</v>
      </c>
      <c r="G34" s="393">
        <v>2.2400000000000002</v>
      </c>
      <c r="H34" s="79">
        <f t="shared" si="0"/>
        <v>2.2400000000000002</v>
      </c>
    </row>
    <row r="35" spans="1:8" ht="12.75" x14ac:dyDescent="0.2">
      <c r="A35" s="377">
        <v>12157</v>
      </c>
      <c r="B35" s="378">
        <v>181</v>
      </c>
      <c r="C35" s="378" t="s">
        <v>9</v>
      </c>
      <c r="D35" s="379">
        <v>39405</v>
      </c>
      <c r="E35" s="378">
        <v>2</v>
      </c>
      <c r="F35" s="380">
        <v>0.84</v>
      </c>
      <c r="G35" s="393">
        <v>2.34</v>
      </c>
      <c r="H35" s="79">
        <f t="shared" si="0"/>
        <v>2.34</v>
      </c>
    </row>
    <row r="36" spans="1:8" ht="12.75" x14ac:dyDescent="0.2">
      <c r="A36" s="377">
        <v>12158</v>
      </c>
      <c r="B36" s="378">
        <v>174</v>
      </c>
      <c r="C36" s="378" t="s">
        <v>9</v>
      </c>
      <c r="D36" s="379">
        <v>39405</v>
      </c>
      <c r="E36" s="378">
        <v>2</v>
      </c>
      <c r="F36" s="380">
        <v>0.68</v>
      </c>
      <c r="G36" s="393">
        <v>2.1</v>
      </c>
      <c r="H36" s="79">
        <f t="shared" si="0"/>
        <v>2.1</v>
      </c>
    </row>
    <row r="37" spans="1:8" ht="12.75" x14ac:dyDescent="0.2">
      <c r="A37" s="382">
        <v>12159</v>
      </c>
      <c r="B37" s="383">
        <v>181</v>
      </c>
      <c r="C37" s="383" t="s">
        <v>8</v>
      </c>
      <c r="D37" s="384">
        <v>39405</v>
      </c>
      <c r="E37" s="383">
        <v>2</v>
      </c>
      <c r="F37" s="385">
        <v>0.57999999999999996</v>
      </c>
      <c r="G37" s="489">
        <v>2.33</v>
      </c>
      <c r="H37" s="79">
        <f t="shared" si="0"/>
        <v>2.33</v>
      </c>
    </row>
  </sheetData>
  <phoneticPr fontId="3" type="noConversion"/>
  <pageMargins left="0.75" right="0.75" top="1" bottom="1" header="0.5" footer="0.5"/>
  <pageSetup orientation="portrait"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autoPageBreaks="0"/>
  </sheetPr>
  <dimension ref="A1:N37"/>
  <sheetViews>
    <sheetView zoomScale="130" zoomScaleNormal="130" workbookViewId="0">
      <selection activeCell="A5" sqref="A5"/>
    </sheetView>
  </sheetViews>
  <sheetFormatPr defaultColWidth="9.140625" defaultRowHeight="11.25" x14ac:dyDescent="0.2"/>
  <cols>
    <col min="1" max="1" width="8" style="213" customWidth="1"/>
    <col min="2" max="2" width="5.28515625" style="213" customWidth="1"/>
    <col min="3" max="3" width="5.28515625" style="213" bestFit="1" customWidth="1"/>
    <col min="4" max="4" width="12.5703125" style="213" customWidth="1"/>
    <col min="5" max="5" width="10.140625" style="213" customWidth="1"/>
    <col min="6" max="6" width="9.85546875" style="213" customWidth="1"/>
    <col min="7" max="7" width="9.42578125" style="213" customWidth="1"/>
    <col min="8" max="16384" width="9.140625" style="213"/>
  </cols>
  <sheetData>
    <row r="1" spans="1:14" ht="18" x14ac:dyDescent="0.25">
      <c r="A1" s="351" t="s">
        <v>146</v>
      </c>
      <c r="B1" s="245"/>
      <c r="C1" s="245"/>
      <c r="D1" s="245"/>
      <c r="E1" s="245"/>
      <c r="F1" s="245"/>
      <c r="G1" s="245"/>
      <c r="H1" s="245"/>
      <c r="I1" s="245"/>
      <c r="J1" s="245"/>
      <c r="K1" s="245"/>
      <c r="L1" s="245"/>
      <c r="M1" s="245"/>
      <c r="N1" s="1"/>
    </row>
    <row r="2" spans="1:14" hidden="1" x14ac:dyDescent="0.2">
      <c r="A2" s="213" t="s">
        <v>402</v>
      </c>
      <c r="B2" s="503">
        <v>4.1319444444444442E-3</v>
      </c>
    </row>
    <row r="3" spans="1:14" ht="12.75" x14ac:dyDescent="0.2">
      <c r="A3" s="438" t="str">
        <f>IF(A2="","",IF(Disable_Video_Hyperlinks,A2,HYPERLINK(Video_website&amp;A2,A2)))</f>
        <v>UNC_DAYT_EXCEL_2.2.3_LECTURE_REF_ERROR_&amp;_PASTE_SPECIAL.mp4</v>
      </c>
    </row>
    <row r="4" spans="1:14" ht="12.75" x14ac:dyDescent="0.2">
      <c r="A4" s="501">
        <f>IF(B2="","",B2)</f>
        <v>4.1319444444444442E-3</v>
      </c>
    </row>
    <row r="6" spans="1:14" ht="15.75" x14ac:dyDescent="0.25">
      <c r="A6" s="536" t="s">
        <v>0</v>
      </c>
      <c r="B6" s="531"/>
      <c r="C6" s="531"/>
      <c r="D6" s="531"/>
      <c r="E6" s="531"/>
      <c r="F6" s="531"/>
      <c r="G6" s="532"/>
      <c r="J6"/>
      <c r="K6"/>
      <c r="L6"/>
      <c r="M6"/>
      <c r="N6"/>
    </row>
    <row r="7" spans="1:14" ht="15.75" x14ac:dyDescent="0.25">
      <c r="A7" s="533"/>
      <c r="B7" s="280"/>
      <c r="C7" s="280"/>
      <c r="D7" s="280"/>
      <c r="E7" s="280"/>
      <c r="F7" s="280"/>
      <c r="G7" s="534"/>
      <c r="J7"/>
      <c r="K7"/>
      <c r="L7"/>
      <c r="M7"/>
      <c r="N7"/>
    </row>
    <row r="8" spans="1:14" s="6" customFormat="1" ht="25.5" x14ac:dyDescent="0.2">
      <c r="A8" s="246" t="s">
        <v>1</v>
      </c>
      <c r="B8" s="246" t="s">
        <v>2</v>
      </c>
      <c r="C8" s="246" t="s">
        <v>3</v>
      </c>
      <c r="D8" s="246" t="s">
        <v>4</v>
      </c>
      <c r="E8" s="246" t="s">
        <v>5</v>
      </c>
      <c r="F8" s="246" t="s">
        <v>6</v>
      </c>
      <c r="G8" s="246" t="s">
        <v>7</v>
      </c>
    </row>
    <row r="9" spans="1:14" ht="12.75" x14ac:dyDescent="0.2">
      <c r="A9" s="377">
        <v>12134</v>
      </c>
      <c r="B9" s="378">
        <v>174</v>
      </c>
      <c r="C9" s="378" t="s">
        <v>8</v>
      </c>
      <c r="D9" s="379">
        <v>39403</v>
      </c>
      <c r="E9" s="378">
        <v>1</v>
      </c>
      <c r="F9" s="380">
        <v>0.82</v>
      </c>
      <c r="G9" s="393">
        <v>2.21</v>
      </c>
      <c r="H9" s="79">
        <f t="shared" ref="H9:H37" si="0">ROUND(G9,2)</f>
        <v>2.21</v>
      </c>
      <c r="I9" s="79"/>
      <c r="J9" s="561" t="s">
        <v>429</v>
      </c>
      <c r="K9" s="562"/>
      <c r="L9" s="562"/>
      <c r="M9" s="562"/>
      <c r="N9" s="562"/>
    </row>
    <row r="10" spans="1:14" ht="12.75" x14ac:dyDescent="0.2">
      <c r="A10" s="377">
        <v>12135</v>
      </c>
      <c r="B10" s="378">
        <v>174</v>
      </c>
      <c r="C10" s="378" t="s">
        <v>8</v>
      </c>
      <c r="D10" s="379">
        <v>39403</v>
      </c>
      <c r="E10" s="378">
        <v>1</v>
      </c>
      <c r="F10" s="380">
        <v>0.49</v>
      </c>
      <c r="G10" s="393">
        <v>1.94</v>
      </c>
      <c r="H10" s="79">
        <f t="shared" si="0"/>
        <v>1.94</v>
      </c>
      <c r="I10" s="79"/>
      <c r="J10" s="562"/>
      <c r="K10" s="562"/>
      <c r="L10" s="562"/>
      <c r="M10" s="562"/>
      <c r="N10" s="562"/>
    </row>
    <row r="11" spans="1:14" ht="12.75" x14ac:dyDescent="0.2">
      <c r="A11" s="377">
        <v>12139</v>
      </c>
      <c r="B11" s="378">
        <v>174</v>
      </c>
      <c r="C11" s="378" t="s">
        <v>8</v>
      </c>
      <c r="D11" s="379">
        <v>39403</v>
      </c>
      <c r="E11" s="378">
        <v>1</v>
      </c>
      <c r="F11" s="380">
        <v>0.52</v>
      </c>
      <c r="G11" s="393">
        <v>2.0299999999999998</v>
      </c>
      <c r="H11" s="79">
        <f t="shared" si="0"/>
        <v>2.0299999999999998</v>
      </c>
      <c r="I11" s="79"/>
      <c r="J11" s="562"/>
      <c r="K11" s="562"/>
      <c r="L11" s="562"/>
      <c r="M11" s="562"/>
      <c r="N11" s="562"/>
    </row>
    <row r="12" spans="1:14" ht="12.75" x14ac:dyDescent="0.2">
      <c r="A12" s="377">
        <v>12140</v>
      </c>
      <c r="B12" s="378">
        <v>167</v>
      </c>
      <c r="C12" s="378" t="s">
        <v>8</v>
      </c>
      <c r="D12" s="379">
        <v>39403</v>
      </c>
      <c r="E12" s="378">
        <v>1</v>
      </c>
      <c r="F12" s="380">
        <v>0.63</v>
      </c>
      <c r="G12" s="393">
        <v>2.2400000000000002</v>
      </c>
      <c r="H12" s="79">
        <f t="shared" si="0"/>
        <v>2.2400000000000002</v>
      </c>
      <c r="I12" s="79"/>
      <c r="J12" s="562"/>
      <c r="K12" s="562"/>
      <c r="L12" s="562"/>
      <c r="M12" s="562"/>
      <c r="N12" s="562"/>
    </row>
    <row r="13" spans="1:14" ht="12.75" x14ac:dyDescent="0.2">
      <c r="A13" s="377">
        <v>12142</v>
      </c>
      <c r="B13" s="378">
        <v>167</v>
      </c>
      <c r="C13" s="378" t="s">
        <v>8</v>
      </c>
      <c r="D13" s="379">
        <v>39403</v>
      </c>
      <c r="E13" s="378">
        <v>1</v>
      </c>
      <c r="F13" s="380">
        <v>0.64</v>
      </c>
      <c r="G13" s="393">
        <v>2.2799999999999998</v>
      </c>
      <c r="H13" s="79">
        <f t="shared" si="0"/>
        <v>2.2799999999999998</v>
      </c>
      <c r="I13" s="79"/>
      <c r="J13" s="562"/>
      <c r="K13" s="562"/>
      <c r="L13" s="562"/>
      <c r="M13" s="562"/>
      <c r="N13" s="562"/>
    </row>
    <row r="14" spans="1:14" ht="12.75" x14ac:dyDescent="0.2">
      <c r="A14" s="377">
        <v>12144</v>
      </c>
      <c r="B14" s="378">
        <v>167</v>
      </c>
      <c r="C14" s="378" t="s">
        <v>8</v>
      </c>
      <c r="D14" s="379">
        <v>39403</v>
      </c>
      <c r="E14" s="378">
        <v>1</v>
      </c>
      <c r="F14" s="380">
        <v>1.28</v>
      </c>
      <c r="G14" s="393">
        <v>2.31</v>
      </c>
      <c r="H14" s="79">
        <f t="shared" si="0"/>
        <v>2.31</v>
      </c>
      <c r="I14" s="79"/>
      <c r="J14" s="562"/>
      <c r="K14" s="562"/>
      <c r="L14" s="562"/>
      <c r="M14" s="562"/>
      <c r="N14" s="562"/>
    </row>
    <row r="15" spans="1:14" ht="12.75" x14ac:dyDescent="0.2">
      <c r="A15" s="377">
        <v>12145</v>
      </c>
      <c r="B15" s="378">
        <v>174</v>
      </c>
      <c r="C15" s="378" t="s">
        <v>8</v>
      </c>
      <c r="D15" s="379">
        <v>39403</v>
      </c>
      <c r="E15" s="378">
        <v>1</v>
      </c>
      <c r="F15" s="380">
        <v>0.45</v>
      </c>
      <c r="G15" s="393">
        <v>2.02</v>
      </c>
      <c r="H15" s="79">
        <f t="shared" si="0"/>
        <v>2.02</v>
      </c>
      <c r="I15" s="79"/>
      <c r="J15" s="562"/>
      <c r="K15" s="562"/>
      <c r="L15" s="562"/>
      <c r="M15" s="562"/>
      <c r="N15" s="562"/>
    </row>
    <row r="16" spans="1:14" ht="12.75" x14ac:dyDescent="0.2">
      <c r="A16" s="377">
        <v>12146</v>
      </c>
      <c r="B16" s="378">
        <v>167</v>
      </c>
      <c r="C16" s="378" t="s">
        <v>8</v>
      </c>
      <c r="D16" s="379">
        <v>39403</v>
      </c>
      <c r="E16" s="378">
        <v>1</v>
      </c>
      <c r="F16" s="380">
        <v>1.1299999999999999</v>
      </c>
      <c r="G16" s="393">
        <v>2.0499999999999998</v>
      </c>
      <c r="H16" s="79">
        <f t="shared" si="0"/>
        <v>2.0499999999999998</v>
      </c>
      <c r="I16" s="79"/>
      <c r="J16" s="562"/>
      <c r="K16" s="562"/>
      <c r="L16" s="562"/>
      <c r="M16" s="562"/>
      <c r="N16" s="562"/>
    </row>
    <row r="17" spans="1:14" ht="12.75" x14ac:dyDescent="0.2">
      <c r="A17" s="377">
        <v>12148</v>
      </c>
      <c r="B17" s="378">
        <v>167</v>
      </c>
      <c r="C17" s="378" t="s">
        <v>9</v>
      </c>
      <c r="D17" s="379">
        <v>39404</v>
      </c>
      <c r="E17" s="378">
        <v>1</v>
      </c>
      <c r="F17" s="380">
        <v>0.43</v>
      </c>
      <c r="G17" s="393">
        <v>2.27</v>
      </c>
      <c r="H17" s="79">
        <f t="shared" si="0"/>
        <v>2.27</v>
      </c>
      <c r="I17" s="79"/>
      <c r="J17" s="562"/>
      <c r="K17" s="562"/>
      <c r="L17" s="562"/>
      <c r="M17" s="562"/>
      <c r="N17" s="562"/>
    </row>
    <row r="18" spans="1:14" ht="12.75" x14ac:dyDescent="0.2">
      <c r="A18" s="377">
        <v>12149</v>
      </c>
      <c r="B18" s="378">
        <v>174</v>
      </c>
      <c r="C18" s="378" t="s">
        <v>9</v>
      </c>
      <c r="D18" s="379">
        <v>39404</v>
      </c>
      <c r="E18" s="378">
        <v>1</v>
      </c>
      <c r="F18" s="380">
        <v>0.47</v>
      </c>
      <c r="G18" s="393">
        <v>2.31</v>
      </c>
      <c r="H18" s="79">
        <f t="shared" si="0"/>
        <v>2.31</v>
      </c>
      <c r="I18" s="79"/>
      <c r="J18" s="562"/>
      <c r="K18" s="562"/>
      <c r="L18" s="562"/>
      <c r="M18" s="562"/>
      <c r="N18" s="562"/>
    </row>
    <row r="19" spans="1:14" ht="12.75" x14ac:dyDescent="0.2">
      <c r="A19" s="377">
        <v>12154</v>
      </c>
      <c r="B19" s="378">
        <v>174</v>
      </c>
      <c r="C19" s="378" t="s">
        <v>9</v>
      </c>
      <c r="D19" s="379">
        <v>39404</v>
      </c>
      <c r="E19" s="378">
        <v>1</v>
      </c>
      <c r="F19" s="380">
        <v>0.97</v>
      </c>
      <c r="G19" s="393">
        <v>2.23</v>
      </c>
      <c r="H19" s="79">
        <f t="shared" si="0"/>
        <v>2.23</v>
      </c>
      <c r="I19" s="79"/>
      <c r="J19" s="562"/>
      <c r="K19" s="562"/>
      <c r="L19" s="562"/>
      <c r="M19" s="562"/>
      <c r="N19" s="562"/>
    </row>
    <row r="20" spans="1:14" ht="12.75" x14ac:dyDescent="0.2">
      <c r="A20" s="377">
        <v>12156</v>
      </c>
      <c r="B20" s="378">
        <v>174</v>
      </c>
      <c r="C20" s="378" t="s">
        <v>9</v>
      </c>
      <c r="D20" s="379">
        <v>39404</v>
      </c>
      <c r="E20" s="378">
        <v>1</v>
      </c>
      <c r="F20" s="380">
        <v>0.81</v>
      </c>
      <c r="G20" s="393">
        <v>2.11</v>
      </c>
      <c r="H20" s="79">
        <f t="shared" si="0"/>
        <v>2.11</v>
      </c>
      <c r="I20" s="79"/>
      <c r="J20" s="562"/>
      <c r="K20" s="562"/>
      <c r="L20" s="562"/>
      <c r="M20" s="562"/>
      <c r="N20" s="562"/>
    </row>
    <row r="21" spans="1:14" ht="12.75" x14ac:dyDescent="0.2">
      <c r="A21" s="377">
        <v>12160</v>
      </c>
      <c r="B21" s="378">
        <v>174</v>
      </c>
      <c r="C21" s="378" t="s">
        <v>9</v>
      </c>
      <c r="D21" s="379">
        <v>39405</v>
      </c>
      <c r="E21" s="378">
        <v>1</v>
      </c>
      <c r="F21" s="380">
        <v>0.68</v>
      </c>
      <c r="G21" s="393">
        <v>2.2200000000000002</v>
      </c>
      <c r="H21" s="79">
        <f t="shared" si="0"/>
        <v>2.2200000000000002</v>
      </c>
      <c r="I21" s="79"/>
      <c r="J21" s="562"/>
      <c r="K21" s="562"/>
      <c r="L21" s="562"/>
      <c r="M21" s="562"/>
      <c r="N21" s="562"/>
    </row>
    <row r="22" spans="1:14" ht="12.75" x14ac:dyDescent="0.2">
      <c r="A22" s="377">
        <v>12161</v>
      </c>
      <c r="B22" s="378">
        <v>174</v>
      </c>
      <c r="C22" s="378" t="s">
        <v>9</v>
      </c>
      <c r="D22" s="379">
        <v>39405</v>
      </c>
      <c r="E22" s="378">
        <v>1</v>
      </c>
      <c r="F22" s="380">
        <v>0.67</v>
      </c>
      <c r="G22" s="393">
        <v>2.08</v>
      </c>
      <c r="H22" s="79">
        <f t="shared" si="0"/>
        <v>2.08</v>
      </c>
      <c r="I22" s="79"/>
      <c r="J22" s="562"/>
      <c r="K22" s="562"/>
      <c r="L22" s="562"/>
      <c r="M22" s="562"/>
      <c r="N22" s="562"/>
    </row>
    <row r="23" spans="1:14" ht="12.75" x14ac:dyDescent="0.2">
      <c r="A23" s="377">
        <v>12162</v>
      </c>
      <c r="B23" s="378">
        <v>181</v>
      </c>
      <c r="C23" s="378" t="s">
        <v>9</v>
      </c>
      <c r="D23" s="379">
        <v>39405</v>
      </c>
      <c r="E23" s="378">
        <v>1</v>
      </c>
      <c r="F23" s="380">
        <v>0.95</v>
      </c>
      <c r="G23" s="393">
        <v>2.0099999999999998</v>
      </c>
      <c r="H23" s="79">
        <f t="shared" si="0"/>
        <v>2.0099999999999998</v>
      </c>
      <c r="I23" s="79"/>
      <c r="J23" s="562"/>
      <c r="K23" s="562"/>
      <c r="L23" s="562"/>
      <c r="M23" s="562"/>
      <c r="N23" s="562"/>
    </row>
    <row r="24" spans="1:14" ht="12.75" x14ac:dyDescent="0.2">
      <c r="A24" s="377">
        <v>12136</v>
      </c>
      <c r="B24" s="378">
        <v>181</v>
      </c>
      <c r="C24" s="378" t="s">
        <v>10</v>
      </c>
      <c r="D24" s="379">
        <v>39403</v>
      </c>
      <c r="E24" s="378">
        <v>2</v>
      </c>
      <c r="F24" s="380">
        <v>1.32</v>
      </c>
      <c r="G24" s="393">
        <v>2.35</v>
      </c>
      <c r="H24" s="79">
        <f t="shared" si="0"/>
        <v>2.35</v>
      </c>
      <c r="I24" s="79"/>
      <c r="J24" s="562"/>
      <c r="K24" s="562"/>
      <c r="L24" s="562"/>
      <c r="M24" s="562"/>
      <c r="N24" s="562"/>
    </row>
    <row r="25" spans="1:14" ht="12.75" x14ac:dyDescent="0.2">
      <c r="A25" s="377">
        <v>12137</v>
      </c>
      <c r="B25" s="378">
        <v>181</v>
      </c>
      <c r="C25" s="378" t="s">
        <v>10</v>
      </c>
      <c r="D25" s="379">
        <v>39403</v>
      </c>
      <c r="E25" s="378">
        <v>2</v>
      </c>
      <c r="F25" s="380">
        <v>0.75</v>
      </c>
      <c r="G25" s="393">
        <v>1.7344999999999999</v>
      </c>
      <c r="H25" s="79">
        <f t="shared" si="0"/>
        <v>1.73</v>
      </c>
      <c r="I25" s="79"/>
      <c r="J25" s="562"/>
      <c r="K25" s="562"/>
      <c r="L25" s="562"/>
      <c r="M25" s="562"/>
      <c r="N25" s="562"/>
    </row>
    <row r="26" spans="1:14" ht="12.75" x14ac:dyDescent="0.2">
      <c r="A26" s="377">
        <v>12138</v>
      </c>
      <c r="B26" s="378">
        <v>181</v>
      </c>
      <c r="C26" s="378" t="s">
        <v>10</v>
      </c>
      <c r="D26" s="379">
        <v>39403</v>
      </c>
      <c r="E26" s="378">
        <v>2</v>
      </c>
      <c r="F26" s="380">
        <v>0.92</v>
      </c>
      <c r="G26" s="393">
        <v>2.08</v>
      </c>
      <c r="H26" s="79">
        <f t="shared" si="0"/>
        <v>2.08</v>
      </c>
      <c r="I26" s="79"/>
      <c r="J26" s="562"/>
      <c r="K26" s="562"/>
      <c r="L26" s="562"/>
      <c r="M26" s="562"/>
      <c r="N26" s="562"/>
    </row>
    <row r="27" spans="1:14" ht="12.75" x14ac:dyDescent="0.2">
      <c r="A27" s="377">
        <v>12141</v>
      </c>
      <c r="B27" s="378">
        <v>181</v>
      </c>
      <c r="C27" s="378" t="s">
        <v>10</v>
      </c>
      <c r="D27" s="379">
        <v>39403</v>
      </c>
      <c r="E27" s="378">
        <v>2</v>
      </c>
      <c r="F27" s="380">
        <v>0.46</v>
      </c>
      <c r="G27" s="393">
        <v>2.2599999999999998</v>
      </c>
      <c r="H27" s="79">
        <f t="shared" si="0"/>
        <v>2.2599999999999998</v>
      </c>
      <c r="I27" s="79"/>
      <c r="J27" s="562"/>
      <c r="K27" s="562"/>
      <c r="L27" s="562"/>
      <c r="M27" s="562"/>
      <c r="N27" s="562"/>
    </row>
    <row r="28" spans="1:14" ht="12.75" x14ac:dyDescent="0.2">
      <c r="A28" s="377">
        <v>12143</v>
      </c>
      <c r="B28" s="378">
        <v>174</v>
      </c>
      <c r="C28" s="378" t="s">
        <v>10</v>
      </c>
      <c r="D28" s="379">
        <v>39403</v>
      </c>
      <c r="E28" s="378">
        <v>2</v>
      </c>
      <c r="F28" s="380">
        <v>1.04</v>
      </c>
      <c r="G28" s="393">
        <v>2.2400000000000002</v>
      </c>
      <c r="H28" s="79">
        <f t="shared" si="0"/>
        <v>2.2400000000000002</v>
      </c>
      <c r="I28" s="79"/>
      <c r="J28" s="562"/>
      <c r="K28" s="562"/>
      <c r="L28" s="562"/>
      <c r="M28" s="562"/>
      <c r="N28" s="562"/>
    </row>
    <row r="29" spans="1:14" ht="12.75" x14ac:dyDescent="0.2">
      <c r="A29" s="377">
        <v>12147</v>
      </c>
      <c r="B29" s="378">
        <v>181</v>
      </c>
      <c r="C29" s="378" t="s">
        <v>8</v>
      </c>
      <c r="D29" s="379">
        <v>39404</v>
      </c>
      <c r="E29" s="378">
        <v>2</v>
      </c>
      <c r="F29" s="380">
        <v>0.9</v>
      </c>
      <c r="G29" s="393">
        <v>2.0099999999999998</v>
      </c>
      <c r="H29" s="79">
        <f t="shared" si="0"/>
        <v>2.0099999999999998</v>
      </c>
      <c r="I29" s="79"/>
      <c r="J29" s="562"/>
      <c r="K29" s="562"/>
      <c r="L29" s="562"/>
      <c r="M29" s="562"/>
      <c r="N29" s="562"/>
    </row>
    <row r="30" spans="1:14" ht="12.75" x14ac:dyDescent="0.2">
      <c r="A30" s="377">
        <v>12150</v>
      </c>
      <c r="B30" s="378">
        <v>167</v>
      </c>
      <c r="C30" s="378" t="s">
        <v>8</v>
      </c>
      <c r="D30" s="379">
        <v>39404</v>
      </c>
      <c r="E30" s="378">
        <v>2</v>
      </c>
      <c r="F30" s="380">
        <v>0.97</v>
      </c>
      <c r="G30" s="393">
        <v>2.0000100000000001</v>
      </c>
      <c r="H30" s="79">
        <f t="shared" si="0"/>
        <v>2</v>
      </c>
      <c r="I30" s="79"/>
      <c r="J30" s="562"/>
      <c r="K30" s="562"/>
      <c r="L30" s="562"/>
      <c r="M30" s="562"/>
      <c r="N30" s="562"/>
    </row>
    <row r="31" spans="1:14" ht="12.75" x14ac:dyDescent="0.2">
      <c r="A31" s="377">
        <v>12151</v>
      </c>
      <c r="B31" s="378">
        <v>181</v>
      </c>
      <c r="C31" s="378" t="s">
        <v>8</v>
      </c>
      <c r="D31" s="379">
        <v>39404</v>
      </c>
      <c r="E31" s="378">
        <v>2</v>
      </c>
      <c r="F31" s="380">
        <v>0.49</v>
      </c>
      <c r="G31" s="393">
        <v>2.08</v>
      </c>
      <c r="H31" s="79">
        <f t="shared" si="0"/>
        <v>2.08</v>
      </c>
      <c r="I31" s="79"/>
      <c r="J31" s="562"/>
      <c r="K31" s="562"/>
      <c r="L31" s="562"/>
      <c r="M31" s="562"/>
      <c r="N31" s="562"/>
    </row>
    <row r="32" spans="1:14" ht="12.75" x14ac:dyDescent="0.2">
      <c r="A32" s="377">
        <v>12152</v>
      </c>
      <c r="B32" s="378">
        <v>181</v>
      </c>
      <c r="C32" s="378" t="s">
        <v>8</v>
      </c>
      <c r="D32" s="379">
        <v>39404</v>
      </c>
      <c r="E32" s="378">
        <v>2</v>
      </c>
      <c r="F32" s="380">
        <v>0.75</v>
      </c>
      <c r="G32" s="393">
        <v>2.17</v>
      </c>
      <c r="H32" s="79">
        <f t="shared" si="0"/>
        <v>2.17</v>
      </c>
      <c r="I32" s="79"/>
    </row>
    <row r="33" spans="1:9" ht="12.75" x14ac:dyDescent="0.2">
      <c r="A33" s="377">
        <v>12153</v>
      </c>
      <c r="B33" s="378">
        <v>167</v>
      </c>
      <c r="C33" s="378" t="s">
        <v>8</v>
      </c>
      <c r="D33" s="379">
        <v>39404</v>
      </c>
      <c r="E33" s="378">
        <v>2</v>
      </c>
      <c r="F33" s="380">
        <v>0.3</v>
      </c>
      <c r="G33" s="393">
        <v>3.2160000000000002</v>
      </c>
      <c r="H33" s="79">
        <f t="shared" si="0"/>
        <v>3.22</v>
      </c>
      <c r="I33" s="79"/>
    </row>
    <row r="34" spans="1:9" ht="12.75" x14ac:dyDescent="0.2">
      <c r="A34" s="377">
        <v>12155</v>
      </c>
      <c r="B34" s="378">
        <v>181</v>
      </c>
      <c r="C34" s="378" t="s">
        <v>9</v>
      </c>
      <c r="D34" s="379">
        <v>39404</v>
      </c>
      <c r="E34" s="378">
        <v>2</v>
      </c>
      <c r="F34" s="380">
        <v>1.01</v>
      </c>
      <c r="G34" s="393">
        <v>2.2400000000000002</v>
      </c>
      <c r="H34" s="79">
        <f t="shared" si="0"/>
        <v>2.2400000000000002</v>
      </c>
      <c r="I34" s="79"/>
    </row>
    <row r="35" spans="1:9" ht="12.75" x14ac:dyDescent="0.2">
      <c r="A35" s="377">
        <v>12157</v>
      </c>
      <c r="B35" s="378">
        <v>181</v>
      </c>
      <c r="C35" s="378" t="s">
        <v>9</v>
      </c>
      <c r="D35" s="379">
        <v>39405</v>
      </c>
      <c r="E35" s="378">
        <v>2</v>
      </c>
      <c r="F35" s="380">
        <v>0.84</v>
      </c>
      <c r="G35" s="393">
        <v>2.34</v>
      </c>
      <c r="H35" s="79">
        <f t="shared" si="0"/>
        <v>2.34</v>
      </c>
      <c r="I35" s="79"/>
    </row>
    <row r="36" spans="1:9" ht="12.75" x14ac:dyDescent="0.2">
      <c r="A36" s="377">
        <v>12158</v>
      </c>
      <c r="B36" s="378">
        <v>174</v>
      </c>
      <c r="C36" s="378" t="s">
        <v>9</v>
      </c>
      <c r="D36" s="379">
        <v>39405</v>
      </c>
      <c r="E36" s="378">
        <v>2</v>
      </c>
      <c r="F36" s="380">
        <v>0.68</v>
      </c>
      <c r="G36" s="393">
        <v>2.1</v>
      </c>
      <c r="H36" s="79">
        <f t="shared" si="0"/>
        <v>2.1</v>
      </c>
      <c r="I36" s="79"/>
    </row>
    <row r="37" spans="1:9" ht="12.75" x14ac:dyDescent="0.2">
      <c r="A37" s="382">
        <v>12159</v>
      </c>
      <c r="B37" s="383">
        <v>181</v>
      </c>
      <c r="C37" s="383" t="s">
        <v>8</v>
      </c>
      <c r="D37" s="384">
        <v>39405</v>
      </c>
      <c r="E37" s="383">
        <v>2</v>
      </c>
      <c r="F37" s="385">
        <v>0.57999999999999996</v>
      </c>
      <c r="G37" s="489">
        <v>2.33</v>
      </c>
      <c r="H37" s="79">
        <f t="shared" si="0"/>
        <v>2.33</v>
      </c>
      <c r="I37" s="79"/>
    </row>
  </sheetData>
  <mergeCells count="1">
    <mergeCell ref="J9:N31"/>
  </mergeCells>
  <phoneticPr fontId="3" type="noConversion"/>
  <pageMargins left="0.75" right="0.75" top="1" bottom="1" header="0.5" footer="0.5"/>
  <pageSetup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autoPageBreaks="0"/>
  </sheetPr>
  <dimension ref="A1:Z52"/>
  <sheetViews>
    <sheetView workbookViewId="0">
      <selection activeCell="A6" sqref="A6"/>
    </sheetView>
  </sheetViews>
  <sheetFormatPr defaultColWidth="9.140625" defaultRowHeight="11.25" x14ac:dyDescent="0.2"/>
  <cols>
    <col min="1" max="1" width="8" style="4" customWidth="1"/>
    <col min="2" max="2" width="5.28515625" style="4" customWidth="1"/>
    <col min="3" max="3" width="5.28515625" style="4" bestFit="1" customWidth="1"/>
    <col min="4" max="4" width="12.5703125" style="4" customWidth="1"/>
    <col min="5" max="5" width="10.140625" style="4" customWidth="1"/>
    <col min="6" max="6" width="9.85546875" style="4" customWidth="1"/>
    <col min="7" max="7" width="9.42578125" style="4" customWidth="1"/>
    <col min="8" max="16384" width="9.140625" style="4"/>
  </cols>
  <sheetData>
    <row r="1" spans="1:26" ht="18" x14ac:dyDescent="0.25">
      <c r="A1" s="351" t="s">
        <v>141</v>
      </c>
      <c r="B1" s="3"/>
      <c r="C1" s="3"/>
      <c r="D1" s="3"/>
      <c r="E1" s="3"/>
      <c r="F1" s="3"/>
      <c r="G1" s="3"/>
      <c r="H1" s="3"/>
      <c r="I1" s="3"/>
      <c r="J1" s="3"/>
      <c r="K1" s="3"/>
      <c r="L1" s="3"/>
    </row>
    <row r="2" spans="1:26" hidden="1" x14ac:dyDescent="0.2"/>
    <row r="3" spans="1:26" s="213" customFormat="1" ht="12.75" x14ac:dyDescent="0.2">
      <c r="A3" s="438" t="str">
        <f>IF(A2="","",IF(Disable_Video_Hyperlinks,A2,HYPERLINK(Video_website&amp;A2,A2)))</f>
        <v/>
      </c>
    </row>
    <row r="4" spans="1:26" s="213" customFormat="1" ht="12.75" x14ac:dyDescent="0.2">
      <c r="A4" s="501" t="str">
        <f>IF(B2="","",B2)</f>
        <v/>
      </c>
    </row>
    <row r="5" spans="1:26" s="213" customFormat="1" x14ac:dyDescent="0.2"/>
    <row r="6" spans="1:26" ht="15.75" x14ac:dyDescent="0.25">
      <c r="A6" s="536" t="s">
        <v>0</v>
      </c>
      <c r="B6" s="545"/>
      <c r="C6" s="545"/>
      <c r="D6" s="545"/>
      <c r="E6" s="545"/>
      <c r="F6" s="545"/>
      <c r="G6" s="546"/>
    </row>
    <row r="7" spans="1:26" s="213" customFormat="1" ht="15.75" x14ac:dyDescent="0.25">
      <c r="A7" s="547"/>
      <c r="B7" s="548"/>
      <c r="C7" s="548"/>
      <c r="D7" s="548"/>
      <c r="E7" s="548"/>
      <c r="F7" s="548"/>
      <c r="G7" s="549"/>
    </row>
    <row r="8" spans="1:26" s="6" customFormat="1" ht="25.5" x14ac:dyDescent="0.2">
      <c r="A8" s="246" t="s">
        <v>1</v>
      </c>
      <c r="B8" s="246" t="s">
        <v>2</v>
      </c>
      <c r="C8" s="246" t="s">
        <v>3</v>
      </c>
      <c r="D8" s="246" t="s">
        <v>4</v>
      </c>
      <c r="E8" s="246" t="s">
        <v>5</v>
      </c>
      <c r="F8" s="246" t="s">
        <v>6</v>
      </c>
      <c r="G8" s="246" t="s">
        <v>7</v>
      </c>
    </row>
    <row r="9" spans="1:26" ht="12.75" customHeight="1" x14ac:dyDescent="0.2">
      <c r="A9" s="377">
        <v>12134</v>
      </c>
      <c r="B9" s="378">
        <v>174</v>
      </c>
      <c r="C9" s="378" t="s">
        <v>8</v>
      </c>
      <c r="D9" s="379">
        <v>39403</v>
      </c>
      <c r="E9" s="378">
        <v>1</v>
      </c>
      <c r="F9" s="380">
        <v>0.82</v>
      </c>
      <c r="G9" s="393">
        <v>2.21</v>
      </c>
      <c r="H9" s="79">
        <f t="shared" ref="H9:H37" si="0">ROUND(G9,2)</f>
        <v>2.21</v>
      </c>
      <c r="X9" s="342"/>
      <c r="Z9" s="354"/>
    </row>
    <row r="10" spans="1:26" ht="12.75" x14ac:dyDescent="0.2">
      <c r="A10" s="377">
        <v>12135</v>
      </c>
      <c r="B10" s="378">
        <v>174</v>
      </c>
      <c r="C10" s="378" t="s">
        <v>8</v>
      </c>
      <c r="D10" s="379">
        <v>39403</v>
      </c>
      <c r="E10" s="378">
        <v>1</v>
      </c>
      <c r="F10" s="380">
        <v>0.49</v>
      </c>
      <c r="G10" s="393">
        <v>1.94</v>
      </c>
      <c r="H10" s="79">
        <f t="shared" si="0"/>
        <v>1.94</v>
      </c>
      <c r="X10" s="342"/>
    </row>
    <row r="11" spans="1:26" ht="12.75" x14ac:dyDescent="0.2">
      <c r="A11" s="377">
        <v>12139</v>
      </c>
      <c r="B11" s="378">
        <v>174</v>
      </c>
      <c r="C11" s="378" t="s">
        <v>8</v>
      </c>
      <c r="D11" s="379">
        <v>39403</v>
      </c>
      <c r="E11" s="378">
        <v>1</v>
      </c>
      <c r="F11" s="380">
        <v>0.52</v>
      </c>
      <c r="G11" s="393">
        <v>2.0299999999999998</v>
      </c>
      <c r="H11" s="79">
        <f t="shared" si="0"/>
        <v>2.0299999999999998</v>
      </c>
      <c r="X11" s="342"/>
    </row>
    <row r="12" spans="1:26" ht="12.75" x14ac:dyDescent="0.2">
      <c r="A12" s="377">
        <v>12140</v>
      </c>
      <c r="B12" s="378">
        <v>167</v>
      </c>
      <c r="C12" s="378" t="s">
        <v>8</v>
      </c>
      <c r="D12" s="379">
        <v>39403</v>
      </c>
      <c r="E12" s="378">
        <v>1</v>
      </c>
      <c r="F12" s="380">
        <v>0.63</v>
      </c>
      <c r="G12" s="393">
        <v>2.2400000000000002</v>
      </c>
      <c r="H12" s="79">
        <f t="shared" si="0"/>
        <v>2.2400000000000002</v>
      </c>
      <c r="X12" s="342"/>
    </row>
    <row r="13" spans="1:26" ht="12.75" x14ac:dyDescent="0.2">
      <c r="A13" s="377">
        <v>12142</v>
      </c>
      <c r="B13" s="378">
        <v>167</v>
      </c>
      <c r="C13" s="378" t="s">
        <v>8</v>
      </c>
      <c r="D13" s="379">
        <v>39403</v>
      </c>
      <c r="E13" s="378">
        <v>1</v>
      </c>
      <c r="F13" s="380">
        <v>0.64</v>
      </c>
      <c r="G13" s="393">
        <v>2.2799999999999998</v>
      </c>
      <c r="H13" s="79">
        <f t="shared" si="0"/>
        <v>2.2799999999999998</v>
      </c>
      <c r="X13" s="342"/>
    </row>
    <row r="14" spans="1:26" ht="12.75" x14ac:dyDescent="0.2">
      <c r="A14" s="377">
        <v>12144</v>
      </c>
      <c r="B14" s="378">
        <v>167</v>
      </c>
      <c r="C14" s="378" t="s">
        <v>8</v>
      </c>
      <c r="D14" s="379">
        <v>39403</v>
      </c>
      <c r="E14" s="378">
        <v>1</v>
      </c>
      <c r="F14" s="380">
        <v>1.28</v>
      </c>
      <c r="G14" s="393">
        <v>2.31</v>
      </c>
      <c r="H14" s="79">
        <f t="shared" si="0"/>
        <v>2.31</v>
      </c>
      <c r="X14" s="342"/>
    </row>
    <row r="15" spans="1:26" ht="12.75" x14ac:dyDescent="0.2">
      <c r="A15" s="377">
        <v>12145</v>
      </c>
      <c r="B15" s="378">
        <v>174</v>
      </c>
      <c r="C15" s="378" t="s">
        <v>8</v>
      </c>
      <c r="D15" s="379">
        <v>39403</v>
      </c>
      <c r="E15" s="378">
        <v>1</v>
      </c>
      <c r="F15" s="380">
        <v>0.45</v>
      </c>
      <c r="G15" s="393">
        <v>2.02</v>
      </c>
      <c r="H15" s="79">
        <f t="shared" si="0"/>
        <v>2.02</v>
      </c>
      <c r="X15" s="342"/>
    </row>
    <row r="16" spans="1:26" ht="12.75" x14ac:dyDescent="0.2">
      <c r="A16" s="377">
        <v>12146</v>
      </c>
      <c r="B16" s="378">
        <v>167</v>
      </c>
      <c r="C16" s="378" t="s">
        <v>8</v>
      </c>
      <c r="D16" s="379">
        <v>39403</v>
      </c>
      <c r="E16" s="378">
        <v>1</v>
      </c>
      <c r="F16" s="380">
        <v>1.1299999999999999</v>
      </c>
      <c r="G16" s="393">
        <v>2.0499999999999998</v>
      </c>
      <c r="H16" s="79">
        <f t="shared" si="0"/>
        <v>2.0499999999999998</v>
      </c>
      <c r="X16" s="342"/>
    </row>
    <row r="17" spans="1:24" ht="12.75" x14ac:dyDescent="0.2">
      <c r="A17" s="377">
        <v>12148</v>
      </c>
      <c r="B17" s="378">
        <v>167</v>
      </c>
      <c r="C17" s="378" t="s">
        <v>9</v>
      </c>
      <c r="D17" s="379">
        <v>39404</v>
      </c>
      <c r="E17" s="378">
        <v>1</v>
      </c>
      <c r="F17" s="380">
        <v>0.43</v>
      </c>
      <c r="G17" s="393">
        <v>2.27</v>
      </c>
      <c r="H17" s="79">
        <f t="shared" si="0"/>
        <v>2.27</v>
      </c>
      <c r="X17" s="342"/>
    </row>
    <row r="18" spans="1:24" ht="12.75" x14ac:dyDescent="0.2">
      <c r="A18" s="377">
        <v>12149</v>
      </c>
      <c r="B18" s="378">
        <v>174</v>
      </c>
      <c r="C18" s="378" t="s">
        <v>9</v>
      </c>
      <c r="D18" s="379">
        <v>39404</v>
      </c>
      <c r="E18" s="378">
        <v>1</v>
      </c>
      <c r="F18" s="380">
        <v>0.47</v>
      </c>
      <c r="G18" s="393">
        <v>2.31</v>
      </c>
      <c r="H18" s="79">
        <f t="shared" si="0"/>
        <v>2.31</v>
      </c>
      <c r="X18" s="342"/>
    </row>
    <row r="19" spans="1:24" ht="12.75" x14ac:dyDescent="0.2">
      <c r="A19" s="377">
        <v>12154</v>
      </c>
      <c r="B19" s="378">
        <v>174</v>
      </c>
      <c r="C19" s="378" t="s">
        <v>9</v>
      </c>
      <c r="D19" s="379">
        <v>39404</v>
      </c>
      <c r="E19" s="378">
        <v>1</v>
      </c>
      <c r="F19" s="380">
        <v>0.97</v>
      </c>
      <c r="G19" s="393">
        <v>2.23</v>
      </c>
      <c r="H19" s="79">
        <f t="shared" si="0"/>
        <v>2.23</v>
      </c>
      <c r="X19" s="342"/>
    </row>
    <row r="20" spans="1:24" ht="12.75" x14ac:dyDescent="0.2">
      <c r="A20" s="377">
        <v>12156</v>
      </c>
      <c r="B20" s="378">
        <v>174</v>
      </c>
      <c r="C20" s="378" t="s">
        <v>9</v>
      </c>
      <c r="D20" s="379">
        <v>39404</v>
      </c>
      <c r="E20" s="378">
        <v>1</v>
      </c>
      <c r="F20" s="380">
        <v>0.81</v>
      </c>
      <c r="G20" s="393">
        <v>2.11</v>
      </c>
      <c r="H20" s="79">
        <f t="shared" si="0"/>
        <v>2.11</v>
      </c>
      <c r="X20" s="342"/>
    </row>
    <row r="21" spans="1:24" ht="12.75" x14ac:dyDescent="0.2">
      <c r="A21" s="377">
        <v>12160</v>
      </c>
      <c r="B21" s="378">
        <v>174</v>
      </c>
      <c r="C21" s="378" t="s">
        <v>9</v>
      </c>
      <c r="D21" s="379">
        <v>39405</v>
      </c>
      <c r="E21" s="378">
        <v>1</v>
      </c>
      <c r="F21" s="380">
        <v>0.68</v>
      </c>
      <c r="G21" s="393">
        <v>2.2200000000000002</v>
      </c>
      <c r="H21" s="79">
        <f t="shared" si="0"/>
        <v>2.2200000000000002</v>
      </c>
      <c r="X21" s="342"/>
    </row>
    <row r="22" spans="1:24" ht="12.75" x14ac:dyDescent="0.2">
      <c r="A22" s="377">
        <v>12161</v>
      </c>
      <c r="B22" s="378">
        <v>174</v>
      </c>
      <c r="C22" s="378" t="s">
        <v>9</v>
      </c>
      <c r="D22" s="379">
        <v>39405</v>
      </c>
      <c r="E22" s="378">
        <v>1</v>
      </c>
      <c r="F22" s="380">
        <v>0.67</v>
      </c>
      <c r="G22" s="393">
        <v>2.08</v>
      </c>
      <c r="H22" s="79">
        <f t="shared" si="0"/>
        <v>2.08</v>
      </c>
      <c r="X22" s="342"/>
    </row>
    <row r="23" spans="1:24" ht="12.75" x14ac:dyDescent="0.2">
      <c r="A23" s="377">
        <v>12162</v>
      </c>
      <c r="B23" s="378">
        <v>181</v>
      </c>
      <c r="C23" s="378" t="s">
        <v>9</v>
      </c>
      <c r="D23" s="379">
        <v>39405</v>
      </c>
      <c r="E23" s="378">
        <v>1</v>
      </c>
      <c r="F23" s="380">
        <v>0.95</v>
      </c>
      <c r="G23" s="393">
        <v>2.0099999999999998</v>
      </c>
      <c r="H23" s="79">
        <f t="shared" si="0"/>
        <v>2.0099999999999998</v>
      </c>
      <c r="J23" s="103"/>
      <c r="K23" s="79"/>
      <c r="Q23" s="342"/>
      <c r="R23" s="342"/>
      <c r="S23" s="342"/>
      <c r="T23" s="342"/>
      <c r="U23" s="342"/>
      <c r="V23" s="342"/>
      <c r="W23" s="342"/>
      <c r="X23" s="342"/>
    </row>
    <row r="24" spans="1:24" ht="12.75" x14ac:dyDescent="0.2">
      <c r="A24" s="377">
        <v>12136</v>
      </c>
      <c r="B24" s="378">
        <v>181</v>
      </c>
      <c r="C24" s="378" t="s">
        <v>10</v>
      </c>
      <c r="D24" s="379">
        <v>39403</v>
      </c>
      <c r="E24" s="378">
        <v>2</v>
      </c>
      <c r="F24" s="380">
        <v>1.32</v>
      </c>
      <c r="G24" s="393">
        <v>2.35</v>
      </c>
      <c r="H24" s="79">
        <f t="shared" si="0"/>
        <v>2.35</v>
      </c>
      <c r="Q24" s="342"/>
      <c r="R24" s="342"/>
      <c r="S24" s="342"/>
      <c r="T24" s="342"/>
      <c r="U24" s="342"/>
      <c r="V24" s="342"/>
      <c r="W24" s="342"/>
      <c r="X24" s="342"/>
    </row>
    <row r="25" spans="1:24" ht="12.75" x14ac:dyDescent="0.2">
      <c r="A25" s="377">
        <v>12137</v>
      </c>
      <c r="B25" s="378">
        <v>181</v>
      </c>
      <c r="C25" s="378" t="s">
        <v>10</v>
      </c>
      <c r="D25" s="379">
        <v>39403</v>
      </c>
      <c r="E25" s="378">
        <v>2</v>
      </c>
      <c r="F25" s="380">
        <v>0.75</v>
      </c>
      <c r="G25" s="393">
        <v>1.7344999999999999</v>
      </c>
      <c r="H25" s="79">
        <f t="shared" si="0"/>
        <v>1.73</v>
      </c>
      <c r="Q25" s="342"/>
      <c r="R25" s="342"/>
      <c r="S25" s="342"/>
      <c r="T25" s="342"/>
      <c r="U25" s="342"/>
      <c r="V25" s="342"/>
      <c r="W25" s="342"/>
      <c r="X25" s="342"/>
    </row>
    <row r="26" spans="1:24" ht="12.75" x14ac:dyDescent="0.2">
      <c r="A26" s="377">
        <v>12138</v>
      </c>
      <c r="B26" s="378">
        <v>181</v>
      </c>
      <c r="C26" s="378" t="s">
        <v>10</v>
      </c>
      <c r="D26" s="379">
        <v>39403</v>
      </c>
      <c r="E26" s="378">
        <v>2</v>
      </c>
      <c r="F26" s="380">
        <v>0.92</v>
      </c>
      <c r="G26" s="393">
        <v>2.08</v>
      </c>
      <c r="H26" s="79">
        <f t="shared" si="0"/>
        <v>2.08</v>
      </c>
      <c r="Q26" s="342"/>
      <c r="R26" s="342"/>
      <c r="S26" s="342"/>
      <c r="T26" s="342"/>
      <c r="U26" s="342"/>
      <c r="V26" s="342"/>
      <c r="W26" s="342"/>
      <c r="X26" s="342"/>
    </row>
    <row r="27" spans="1:24" ht="12.75" x14ac:dyDescent="0.2">
      <c r="A27" s="377">
        <v>12141</v>
      </c>
      <c r="B27" s="378">
        <v>181</v>
      </c>
      <c r="C27" s="378" t="s">
        <v>10</v>
      </c>
      <c r="D27" s="379">
        <v>39403</v>
      </c>
      <c r="E27" s="378">
        <v>2</v>
      </c>
      <c r="F27" s="380">
        <v>0.46</v>
      </c>
      <c r="G27" s="393">
        <v>2.2599999999999998</v>
      </c>
      <c r="H27" s="79">
        <f t="shared" si="0"/>
        <v>2.2599999999999998</v>
      </c>
    </row>
    <row r="28" spans="1:24" ht="12.75" x14ac:dyDescent="0.2">
      <c r="A28" s="377">
        <v>12143</v>
      </c>
      <c r="B28" s="378">
        <v>174</v>
      </c>
      <c r="C28" s="378" t="s">
        <v>10</v>
      </c>
      <c r="D28" s="379">
        <v>39403</v>
      </c>
      <c r="E28" s="378">
        <v>2</v>
      </c>
      <c r="F28" s="380">
        <v>1.04</v>
      </c>
      <c r="G28" s="393">
        <v>2.2400000000000002</v>
      </c>
      <c r="H28" s="79">
        <f t="shared" si="0"/>
        <v>2.2400000000000002</v>
      </c>
    </row>
    <row r="29" spans="1:24" ht="12.75" x14ac:dyDescent="0.2">
      <c r="A29" s="377">
        <v>12147</v>
      </c>
      <c r="B29" s="378">
        <v>181</v>
      </c>
      <c r="C29" s="378" t="s">
        <v>8</v>
      </c>
      <c r="D29" s="379">
        <v>39404</v>
      </c>
      <c r="E29" s="378">
        <v>2</v>
      </c>
      <c r="F29" s="380">
        <v>0.9</v>
      </c>
      <c r="G29" s="393">
        <v>2.0099999999999998</v>
      </c>
      <c r="H29" s="79">
        <f t="shared" si="0"/>
        <v>2.0099999999999998</v>
      </c>
    </row>
    <row r="30" spans="1:24" ht="12.75" x14ac:dyDescent="0.2">
      <c r="A30" s="377">
        <v>12150</v>
      </c>
      <c r="B30" s="378">
        <v>167</v>
      </c>
      <c r="C30" s="378" t="s">
        <v>8</v>
      </c>
      <c r="D30" s="379">
        <v>39404</v>
      </c>
      <c r="E30" s="378">
        <v>2</v>
      </c>
      <c r="F30" s="380">
        <v>0.97</v>
      </c>
      <c r="G30" s="393">
        <v>2.0000100000000001</v>
      </c>
      <c r="H30" s="79">
        <f t="shared" si="0"/>
        <v>2</v>
      </c>
    </row>
    <row r="31" spans="1:24" ht="12.75" x14ac:dyDescent="0.2">
      <c r="A31" s="377">
        <v>12151</v>
      </c>
      <c r="B31" s="378">
        <v>181</v>
      </c>
      <c r="C31" s="378" t="s">
        <v>8</v>
      </c>
      <c r="D31" s="379">
        <v>39404</v>
      </c>
      <c r="E31" s="378">
        <v>2</v>
      </c>
      <c r="F31" s="380">
        <v>0.49</v>
      </c>
      <c r="G31" s="393">
        <v>2.08</v>
      </c>
      <c r="H31" s="79">
        <f t="shared" si="0"/>
        <v>2.08</v>
      </c>
    </row>
    <row r="32" spans="1:24" ht="12.75" x14ac:dyDescent="0.2">
      <c r="A32" s="377">
        <v>12152</v>
      </c>
      <c r="B32" s="378">
        <v>181</v>
      </c>
      <c r="C32" s="378" t="s">
        <v>8</v>
      </c>
      <c r="D32" s="379">
        <v>39404</v>
      </c>
      <c r="E32" s="378">
        <v>2</v>
      </c>
      <c r="F32" s="380">
        <v>0.75</v>
      </c>
      <c r="G32" s="393">
        <v>2.17</v>
      </c>
      <c r="H32" s="79">
        <f t="shared" si="0"/>
        <v>2.17</v>
      </c>
    </row>
    <row r="33" spans="1:8" ht="12.75" x14ac:dyDescent="0.2">
      <c r="A33" s="377">
        <v>12153</v>
      </c>
      <c r="B33" s="378">
        <v>167</v>
      </c>
      <c r="C33" s="378" t="s">
        <v>8</v>
      </c>
      <c r="D33" s="379">
        <v>39404</v>
      </c>
      <c r="E33" s="378">
        <v>2</v>
      </c>
      <c r="F33" s="380">
        <v>0.3</v>
      </c>
      <c r="G33" s="393">
        <v>3.2160000000000002</v>
      </c>
      <c r="H33" s="79">
        <f t="shared" si="0"/>
        <v>3.22</v>
      </c>
    </row>
    <row r="34" spans="1:8" ht="12.75" x14ac:dyDescent="0.2">
      <c r="A34" s="377">
        <v>12155</v>
      </c>
      <c r="B34" s="378">
        <v>181</v>
      </c>
      <c r="C34" s="378" t="s">
        <v>9</v>
      </c>
      <c r="D34" s="379">
        <v>39404</v>
      </c>
      <c r="E34" s="378">
        <v>2</v>
      </c>
      <c r="F34" s="380">
        <v>1.01</v>
      </c>
      <c r="G34" s="393">
        <v>2.2400000000000002</v>
      </c>
      <c r="H34" s="79">
        <f t="shared" si="0"/>
        <v>2.2400000000000002</v>
      </c>
    </row>
    <row r="35" spans="1:8" ht="12.75" x14ac:dyDescent="0.2">
      <c r="A35" s="377">
        <v>12157</v>
      </c>
      <c r="B35" s="378">
        <v>181</v>
      </c>
      <c r="C35" s="378" t="s">
        <v>9</v>
      </c>
      <c r="D35" s="379">
        <v>39405</v>
      </c>
      <c r="E35" s="378">
        <v>2</v>
      </c>
      <c r="F35" s="380">
        <v>0.84</v>
      </c>
      <c r="G35" s="393">
        <v>2.34</v>
      </c>
      <c r="H35" s="79">
        <f t="shared" si="0"/>
        <v>2.34</v>
      </c>
    </row>
    <row r="36" spans="1:8" ht="12.75" x14ac:dyDescent="0.2">
      <c r="A36" s="377">
        <v>12158</v>
      </c>
      <c r="B36" s="378">
        <v>174</v>
      </c>
      <c r="C36" s="378" t="s">
        <v>9</v>
      </c>
      <c r="D36" s="379">
        <v>39405</v>
      </c>
      <c r="E36" s="378">
        <v>2</v>
      </c>
      <c r="F36" s="380">
        <v>0.68</v>
      </c>
      <c r="G36" s="393">
        <v>2.1</v>
      </c>
      <c r="H36" s="79">
        <f t="shared" si="0"/>
        <v>2.1</v>
      </c>
    </row>
    <row r="37" spans="1:8" ht="12.75" x14ac:dyDescent="0.2">
      <c r="A37" s="382">
        <v>12159</v>
      </c>
      <c r="B37" s="383">
        <v>181</v>
      </c>
      <c r="C37" s="383" t="s">
        <v>8</v>
      </c>
      <c r="D37" s="384">
        <v>39405</v>
      </c>
      <c r="E37" s="383">
        <v>2</v>
      </c>
      <c r="F37" s="385">
        <v>0.57999999999999996</v>
      </c>
      <c r="G37" s="489">
        <v>2.33</v>
      </c>
      <c r="H37" s="79">
        <f t="shared" si="0"/>
        <v>2.33</v>
      </c>
    </row>
    <row r="39" spans="1:8" x14ac:dyDescent="0.2">
      <c r="A39" s="563" t="s">
        <v>365</v>
      </c>
      <c r="B39" s="563"/>
      <c r="C39" s="563"/>
      <c r="D39" s="563"/>
      <c r="E39" s="563"/>
      <c r="F39" s="563"/>
      <c r="G39" s="563"/>
      <c r="H39" s="563"/>
    </row>
    <row r="40" spans="1:8" x14ac:dyDescent="0.2">
      <c r="A40" s="563"/>
      <c r="B40" s="563"/>
      <c r="C40" s="563"/>
      <c r="D40" s="563"/>
      <c r="E40" s="563"/>
      <c r="F40" s="563"/>
      <c r="G40" s="563"/>
      <c r="H40" s="563"/>
    </row>
    <row r="41" spans="1:8" x14ac:dyDescent="0.2">
      <c r="A41" s="563"/>
      <c r="B41" s="563"/>
      <c r="C41" s="563"/>
      <c r="D41" s="563"/>
      <c r="E41" s="563"/>
      <c r="F41" s="563"/>
      <c r="G41" s="563"/>
      <c r="H41" s="563"/>
    </row>
    <row r="42" spans="1:8" x14ac:dyDescent="0.2">
      <c r="A42" s="563"/>
      <c r="B42" s="563"/>
      <c r="C42" s="563"/>
      <c r="D42" s="563"/>
      <c r="E42" s="563"/>
      <c r="F42" s="563"/>
      <c r="G42" s="563"/>
      <c r="H42" s="563"/>
    </row>
    <row r="43" spans="1:8" x14ac:dyDescent="0.2">
      <c r="A43" s="563"/>
      <c r="B43" s="563"/>
      <c r="C43" s="563"/>
      <c r="D43" s="563"/>
      <c r="E43" s="563"/>
      <c r="F43" s="563"/>
      <c r="G43" s="563"/>
      <c r="H43" s="563"/>
    </row>
    <row r="44" spans="1:8" x14ac:dyDescent="0.2">
      <c r="A44" s="563"/>
      <c r="B44" s="563"/>
      <c r="C44" s="563"/>
      <c r="D44" s="563"/>
      <c r="E44" s="563"/>
      <c r="F44" s="563"/>
      <c r="G44" s="563"/>
      <c r="H44" s="563"/>
    </row>
    <row r="45" spans="1:8" x14ac:dyDescent="0.2">
      <c r="A45" s="563"/>
      <c r="B45" s="563"/>
      <c r="C45" s="563"/>
      <c r="D45" s="563"/>
      <c r="E45" s="563"/>
      <c r="F45" s="563"/>
      <c r="G45" s="563"/>
      <c r="H45" s="563"/>
    </row>
    <row r="46" spans="1:8" x14ac:dyDescent="0.2">
      <c r="A46" s="563"/>
      <c r="B46" s="563"/>
      <c r="C46" s="563"/>
      <c r="D46" s="563"/>
      <c r="E46" s="563"/>
      <c r="F46" s="563"/>
      <c r="G46" s="563"/>
      <c r="H46" s="563"/>
    </row>
    <row r="47" spans="1:8" x14ac:dyDescent="0.2">
      <c r="A47" s="563"/>
      <c r="B47" s="563"/>
      <c r="C47" s="563"/>
      <c r="D47" s="563"/>
      <c r="E47" s="563"/>
      <c r="F47" s="563"/>
      <c r="G47" s="563"/>
      <c r="H47" s="563"/>
    </row>
    <row r="48" spans="1:8" x14ac:dyDescent="0.2">
      <c r="A48" s="563"/>
      <c r="B48" s="563"/>
      <c r="C48" s="563"/>
      <c r="D48" s="563"/>
      <c r="E48" s="563"/>
      <c r="F48" s="563"/>
      <c r="G48" s="563"/>
      <c r="H48" s="563"/>
    </row>
    <row r="49" spans="1:8" x14ac:dyDescent="0.2">
      <c r="A49" s="563"/>
      <c r="B49" s="563"/>
      <c r="C49" s="563"/>
      <c r="D49" s="563"/>
      <c r="E49" s="563"/>
      <c r="F49" s="563"/>
      <c r="G49" s="563"/>
      <c r="H49" s="563"/>
    </row>
    <row r="50" spans="1:8" x14ac:dyDescent="0.2">
      <c r="A50" s="563"/>
      <c r="B50" s="563"/>
      <c r="C50" s="563"/>
      <c r="D50" s="563"/>
      <c r="E50" s="563"/>
      <c r="F50" s="563"/>
      <c r="G50" s="563"/>
      <c r="H50" s="563"/>
    </row>
    <row r="51" spans="1:8" x14ac:dyDescent="0.2">
      <c r="A51" s="563"/>
      <c r="B51" s="563"/>
      <c r="C51" s="563"/>
      <c r="D51" s="563"/>
      <c r="E51" s="563"/>
      <c r="F51" s="563"/>
      <c r="G51" s="563"/>
      <c r="H51" s="563"/>
    </row>
    <row r="52" spans="1:8" x14ac:dyDescent="0.2">
      <c r="A52" s="563"/>
      <c r="B52" s="563"/>
      <c r="C52" s="563"/>
      <c r="D52" s="563"/>
      <c r="E52" s="563"/>
      <c r="F52" s="563"/>
      <c r="G52" s="563"/>
      <c r="H52" s="563"/>
    </row>
  </sheetData>
  <mergeCells count="1">
    <mergeCell ref="A39:H52"/>
  </mergeCells>
  <phoneticPr fontId="3" type="noConversion"/>
  <pageMargins left="0.75" right="0.75" top="1" bottom="1" header="0.5" footer="0.5"/>
  <pageSetup orientation="portrait"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autoPageBreaks="0"/>
  </sheetPr>
  <dimension ref="A1:N43"/>
  <sheetViews>
    <sheetView zoomScale="130" zoomScaleNormal="130" workbookViewId="0">
      <pane ySplit="8" topLeftCell="A9" activePane="bottomLeft" state="frozen"/>
      <selection activeCell="A4" sqref="A4"/>
      <selection pane="bottomLeft" activeCell="A5" sqref="A5"/>
    </sheetView>
  </sheetViews>
  <sheetFormatPr defaultColWidth="9.140625" defaultRowHeight="11.25" x14ac:dyDescent="0.2"/>
  <cols>
    <col min="1" max="1" width="8" style="4" customWidth="1"/>
    <col min="2" max="2" width="5.42578125" style="4" customWidth="1"/>
    <col min="3" max="3" width="6.42578125" style="4" customWidth="1"/>
    <col min="4" max="4" width="12" style="4" customWidth="1"/>
    <col min="5" max="5" width="9.85546875" style="4" bestFit="1" customWidth="1"/>
    <col min="6" max="6" width="9.5703125" style="4" bestFit="1" customWidth="1"/>
    <col min="7" max="7" width="9.85546875" style="4" customWidth="1"/>
    <col min="8" max="16384" width="9.140625" style="4"/>
  </cols>
  <sheetData>
    <row r="1" spans="1:14" s="353" customFormat="1" ht="18" x14ac:dyDescent="0.25">
      <c r="A1" s="351" t="s">
        <v>138</v>
      </c>
      <c r="B1" s="352"/>
      <c r="C1" s="352"/>
      <c r="D1" s="352"/>
      <c r="E1" s="352"/>
      <c r="F1" s="352"/>
      <c r="G1" s="352"/>
    </row>
    <row r="2" spans="1:14" ht="11.25" hidden="1" customHeight="1" x14ac:dyDescent="0.2">
      <c r="A2" s="4" t="s">
        <v>403</v>
      </c>
      <c r="B2" s="503">
        <v>5.208333333333333E-3</v>
      </c>
    </row>
    <row r="3" spans="1:14" s="213" customFormat="1" ht="11.25" customHeight="1" x14ac:dyDescent="0.2">
      <c r="A3" s="438" t="str">
        <f>IF(A2="","",IF(Disable_Video_Hyperlinks,A2,HYPERLINK(Video_website&amp;A2,A2)))</f>
        <v>UNC_DAYT_EXCEL_2.2.4_LECTURE_FREEZING_PANES_IN_2_DIRECTIONS.mp4</v>
      </c>
    </row>
    <row r="4" spans="1:14" s="213" customFormat="1" ht="11.25" customHeight="1" x14ac:dyDescent="0.2">
      <c r="A4" s="501">
        <f>IF(B2="","",B2)</f>
        <v>5.208333333333333E-3</v>
      </c>
    </row>
    <row r="5" spans="1:14" s="213" customFormat="1" ht="11.25" customHeight="1" x14ac:dyDescent="0.2"/>
    <row r="6" spans="1:14" ht="15.75" x14ac:dyDescent="0.25">
      <c r="A6" s="536" t="s">
        <v>0</v>
      </c>
      <c r="B6" s="545"/>
      <c r="C6" s="545"/>
      <c r="D6" s="545"/>
      <c r="E6" s="545"/>
      <c r="F6" s="545"/>
      <c r="G6" s="546"/>
    </row>
    <row r="7" spans="1:14" s="213" customFormat="1" ht="15.75" x14ac:dyDescent="0.25">
      <c r="A7" s="547"/>
      <c r="B7" s="548"/>
      <c r="C7" s="548"/>
      <c r="D7" s="548"/>
      <c r="E7" s="548"/>
      <c r="F7" s="548"/>
      <c r="G7" s="549"/>
    </row>
    <row r="8" spans="1:14" s="6" customFormat="1" ht="27" customHeight="1" x14ac:dyDescent="0.2">
      <c r="A8" s="215" t="s">
        <v>1</v>
      </c>
      <c r="B8" s="215" t="s">
        <v>2</v>
      </c>
      <c r="C8" s="215" t="s">
        <v>3</v>
      </c>
      <c r="D8" s="215" t="s">
        <v>4</v>
      </c>
      <c r="E8" s="215" t="s">
        <v>5</v>
      </c>
      <c r="F8" s="215" t="s">
        <v>6</v>
      </c>
      <c r="G8" s="215" t="s">
        <v>7</v>
      </c>
    </row>
    <row r="9" spans="1:14" x14ac:dyDescent="0.2">
      <c r="A9" s="365">
        <v>12134</v>
      </c>
      <c r="B9" s="366">
        <v>174</v>
      </c>
      <c r="C9" s="366" t="s">
        <v>8</v>
      </c>
      <c r="D9" s="367">
        <v>39403</v>
      </c>
      <c r="E9" s="366">
        <v>1</v>
      </c>
      <c r="F9" s="368">
        <v>0.82</v>
      </c>
      <c r="G9" s="369">
        <v>2.21</v>
      </c>
    </row>
    <row r="10" spans="1:14" x14ac:dyDescent="0.2">
      <c r="A10" s="223">
        <v>12135</v>
      </c>
      <c r="B10" s="224">
        <v>174</v>
      </c>
      <c r="C10" s="224" t="s">
        <v>8</v>
      </c>
      <c r="D10" s="225">
        <v>39403</v>
      </c>
      <c r="E10" s="224">
        <v>1</v>
      </c>
      <c r="F10" s="226">
        <v>0.49</v>
      </c>
      <c r="G10" s="370">
        <v>1.94</v>
      </c>
    </row>
    <row r="11" spans="1:14" x14ac:dyDescent="0.2">
      <c r="A11" s="223">
        <v>12139</v>
      </c>
      <c r="B11" s="224">
        <v>174</v>
      </c>
      <c r="C11" s="224" t="s">
        <v>8</v>
      </c>
      <c r="D11" s="225">
        <v>39403</v>
      </c>
      <c r="E11" s="224">
        <v>1</v>
      </c>
      <c r="F11" s="226">
        <v>0.52</v>
      </c>
      <c r="G11" s="370">
        <v>2.0299999999999998</v>
      </c>
    </row>
    <row r="12" spans="1:14" x14ac:dyDescent="0.2">
      <c r="A12" s="223">
        <v>12140</v>
      </c>
      <c r="B12" s="224">
        <v>167</v>
      </c>
      <c r="C12" s="224" t="s">
        <v>8</v>
      </c>
      <c r="D12" s="225">
        <v>39403</v>
      </c>
      <c r="E12" s="224">
        <v>1</v>
      </c>
      <c r="F12" s="226">
        <v>0.63</v>
      </c>
      <c r="G12" s="370">
        <v>2.2400000000000002</v>
      </c>
    </row>
    <row r="13" spans="1:14" x14ac:dyDescent="0.2">
      <c r="A13" s="223">
        <v>12142</v>
      </c>
      <c r="B13" s="224">
        <v>167</v>
      </c>
      <c r="C13" s="224" t="s">
        <v>8</v>
      </c>
      <c r="D13" s="225">
        <v>39403</v>
      </c>
      <c r="E13" s="224">
        <v>1</v>
      </c>
      <c r="F13" s="226">
        <v>0.64</v>
      </c>
      <c r="G13" s="370">
        <v>2.2799999999999998</v>
      </c>
    </row>
    <row r="14" spans="1:14" x14ac:dyDescent="0.2">
      <c r="A14" s="223">
        <v>12144</v>
      </c>
      <c r="B14" s="224">
        <v>167</v>
      </c>
      <c r="C14" s="224" t="s">
        <v>8</v>
      </c>
      <c r="D14" s="225">
        <v>39403</v>
      </c>
      <c r="E14" s="224">
        <v>1</v>
      </c>
      <c r="F14" s="226">
        <v>1.28</v>
      </c>
      <c r="G14" s="370">
        <v>2.31</v>
      </c>
    </row>
    <row r="15" spans="1:14" x14ac:dyDescent="0.2">
      <c r="A15" s="223">
        <v>12145</v>
      </c>
      <c r="B15" s="224">
        <v>174</v>
      </c>
      <c r="C15" s="224" t="s">
        <v>8</v>
      </c>
      <c r="D15" s="225">
        <v>39403</v>
      </c>
      <c r="E15" s="224">
        <v>1</v>
      </c>
      <c r="F15" s="226">
        <v>0.45</v>
      </c>
      <c r="G15" s="370">
        <v>2.02</v>
      </c>
    </row>
    <row r="16" spans="1:14" x14ac:dyDescent="0.2">
      <c r="A16" s="223">
        <v>12146</v>
      </c>
      <c r="B16" s="224">
        <v>167</v>
      </c>
      <c r="C16" s="224" t="s">
        <v>8</v>
      </c>
      <c r="D16" s="225">
        <v>39403</v>
      </c>
      <c r="E16" s="224">
        <v>1</v>
      </c>
      <c r="F16" s="226">
        <v>1.1299999999999999</v>
      </c>
      <c r="G16" s="370">
        <v>2.0499999999999998</v>
      </c>
      <c r="I16" s="562" t="s">
        <v>308</v>
      </c>
      <c r="J16" s="562"/>
      <c r="K16" s="562"/>
      <c r="L16" s="562"/>
      <c r="M16" s="562"/>
      <c r="N16" s="562"/>
    </row>
    <row r="17" spans="1:14" x14ac:dyDescent="0.2">
      <c r="A17" s="223">
        <v>12148</v>
      </c>
      <c r="B17" s="224">
        <v>167</v>
      </c>
      <c r="C17" s="224" t="s">
        <v>9</v>
      </c>
      <c r="D17" s="225">
        <v>39404</v>
      </c>
      <c r="E17" s="224">
        <v>1</v>
      </c>
      <c r="F17" s="226">
        <v>0.43</v>
      </c>
      <c r="G17" s="370">
        <v>2.27</v>
      </c>
      <c r="I17" s="562"/>
      <c r="J17" s="562"/>
      <c r="K17" s="562"/>
      <c r="L17" s="562"/>
      <c r="M17" s="562"/>
      <c r="N17" s="562"/>
    </row>
    <row r="18" spans="1:14" x14ac:dyDescent="0.2">
      <c r="A18" s="223">
        <v>12149</v>
      </c>
      <c r="B18" s="224">
        <v>174</v>
      </c>
      <c r="C18" s="224" t="s">
        <v>9</v>
      </c>
      <c r="D18" s="225">
        <v>39404</v>
      </c>
      <c r="E18" s="224">
        <v>1</v>
      </c>
      <c r="F18" s="226">
        <v>0.47</v>
      </c>
      <c r="G18" s="370">
        <v>2.31</v>
      </c>
      <c r="I18" s="562"/>
      <c r="J18" s="562"/>
      <c r="K18" s="562"/>
      <c r="L18" s="562"/>
      <c r="M18" s="562"/>
      <c r="N18" s="562"/>
    </row>
    <row r="19" spans="1:14" x14ac:dyDescent="0.2">
      <c r="A19" s="223">
        <v>12154</v>
      </c>
      <c r="B19" s="224">
        <v>174</v>
      </c>
      <c r="C19" s="224" t="s">
        <v>9</v>
      </c>
      <c r="D19" s="225">
        <v>39404</v>
      </c>
      <c r="E19" s="224">
        <v>1</v>
      </c>
      <c r="F19" s="226">
        <v>0.97</v>
      </c>
      <c r="G19" s="370">
        <v>2.23</v>
      </c>
      <c r="I19" s="562"/>
      <c r="J19" s="562"/>
      <c r="K19" s="562"/>
      <c r="L19" s="562"/>
      <c r="M19" s="562"/>
      <c r="N19" s="562"/>
    </row>
    <row r="20" spans="1:14" x14ac:dyDescent="0.2">
      <c r="A20" s="223">
        <v>12156</v>
      </c>
      <c r="B20" s="224">
        <v>174</v>
      </c>
      <c r="C20" s="224" t="s">
        <v>9</v>
      </c>
      <c r="D20" s="225">
        <v>39404</v>
      </c>
      <c r="E20" s="224">
        <v>1</v>
      </c>
      <c r="F20" s="226">
        <v>0.81</v>
      </c>
      <c r="G20" s="370">
        <v>2.11</v>
      </c>
      <c r="I20" s="562"/>
      <c r="J20" s="562"/>
      <c r="K20" s="562"/>
      <c r="L20" s="562"/>
      <c r="M20" s="562"/>
      <c r="N20" s="562"/>
    </row>
    <row r="21" spans="1:14" x14ac:dyDescent="0.2">
      <c r="A21" s="223">
        <v>12160</v>
      </c>
      <c r="B21" s="224">
        <v>174</v>
      </c>
      <c r="C21" s="224" t="s">
        <v>9</v>
      </c>
      <c r="D21" s="225">
        <v>39405</v>
      </c>
      <c r="E21" s="224">
        <v>1</v>
      </c>
      <c r="F21" s="226">
        <v>0.68</v>
      </c>
      <c r="G21" s="370">
        <v>2.2200000000000002</v>
      </c>
      <c r="I21" s="562"/>
      <c r="J21" s="562"/>
      <c r="K21" s="562"/>
      <c r="L21" s="562"/>
      <c r="M21" s="562"/>
      <c r="N21" s="562"/>
    </row>
    <row r="22" spans="1:14" x14ac:dyDescent="0.2">
      <c r="A22" s="223">
        <v>12161</v>
      </c>
      <c r="B22" s="224">
        <v>174</v>
      </c>
      <c r="C22" s="224" t="s">
        <v>9</v>
      </c>
      <c r="D22" s="225">
        <v>39405</v>
      </c>
      <c r="E22" s="224">
        <v>1</v>
      </c>
      <c r="F22" s="226">
        <v>0.67</v>
      </c>
      <c r="G22" s="370">
        <v>2.08</v>
      </c>
      <c r="I22" s="562"/>
      <c r="J22" s="562"/>
      <c r="K22" s="562"/>
      <c r="L22" s="562"/>
      <c r="M22" s="562"/>
      <c r="N22" s="562"/>
    </row>
    <row r="23" spans="1:14" x14ac:dyDescent="0.2">
      <c r="A23" s="223">
        <v>12162</v>
      </c>
      <c r="B23" s="224">
        <v>181</v>
      </c>
      <c r="C23" s="224" t="s">
        <v>9</v>
      </c>
      <c r="D23" s="225">
        <v>39405</v>
      </c>
      <c r="E23" s="224">
        <v>1</v>
      </c>
      <c r="F23" s="226">
        <v>0.95</v>
      </c>
      <c r="G23" s="370">
        <v>2.0099999999999998</v>
      </c>
      <c r="I23" s="562"/>
      <c r="J23" s="562"/>
      <c r="K23" s="562"/>
      <c r="L23" s="562"/>
      <c r="M23" s="562"/>
      <c r="N23" s="562"/>
    </row>
    <row r="24" spans="1:14" x14ac:dyDescent="0.2">
      <c r="A24" s="223">
        <v>12136</v>
      </c>
      <c r="B24" s="224">
        <v>181</v>
      </c>
      <c r="C24" s="224" t="s">
        <v>10</v>
      </c>
      <c r="D24" s="225">
        <v>39403</v>
      </c>
      <c r="E24" s="224">
        <v>2</v>
      </c>
      <c r="F24" s="226">
        <v>1.32</v>
      </c>
      <c r="G24" s="370">
        <v>2.35</v>
      </c>
      <c r="I24" s="562"/>
      <c r="J24" s="562"/>
      <c r="K24" s="562"/>
      <c r="L24" s="562"/>
      <c r="M24" s="562"/>
      <c r="N24" s="562"/>
    </row>
    <row r="25" spans="1:14" x14ac:dyDescent="0.2">
      <c r="A25" s="223">
        <v>12137</v>
      </c>
      <c r="B25" s="224">
        <v>181</v>
      </c>
      <c r="C25" s="224" t="s">
        <v>10</v>
      </c>
      <c r="D25" s="225">
        <v>39403</v>
      </c>
      <c r="E25" s="224">
        <v>2</v>
      </c>
      <c r="F25" s="226">
        <v>0.75</v>
      </c>
      <c r="G25" s="370">
        <v>1.73</v>
      </c>
      <c r="I25" s="562"/>
      <c r="J25" s="562"/>
      <c r="K25" s="562"/>
      <c r="L25" s="562"/>
      <c r="M25" s="562"/>
      <c r="N25" s="562"/>
    </row>
    <row r="26" spans="1:14" x14ac:dyDescent="0.2">
      <c r="A26" s="223">
        <v>12138</v>
      </c>
      <c r="B26" s="224">
        <v>181</v>
      </c>
      <c r="C26" s="224" t="s">
        <v>10</v>
      </c>
      <c r="D26" s="225">
        <v>39403</v>
      </c>
      <c r="E26" s="224">
        <v>2</v>
      </c>
      <c r="F26" s="226">
        <v>0.92</v>
      </c>
      <c r="G26" s="370">
        <v>2.08</v>
      </c>
      <c r="I26" s="562"/>
      <c r="J26" s="562"/>
      <c r="K26" s="562"/>
      <c r="L26" s="562"/>
      <c r="M26" s="562"/>
      <c r="N26" s="562"/>
    </row>
    <row r="27" spans="1:14" x14ac:dyDescent="0.2">
      <c r="A27" s="223">
        <v>12141</v>
      </c>
      <c r="B27" s="224">
        <v>181</v>
      </c>
      <c r="C27" s="224" t="s">
        <v>10</v>
      </c>
      <c r="D27" s="225">
        <v>39403</v>
      </c>
      <c r="E27" s="224">
        <v>2</v>
      </c>
      <c r="F27" s="226">
        <v>0.46</v>
      </c>
      <c r="G27" s="370">
        <v>2.2599999999999998</v>
      </c>
      <c r="I27" s="562"/>
      <c r="J27" s="562"/>
      <c r="K27" s="562"/>
      <c r="L27" s="562"/>
      <c r="M27" s="562"/>
      <c r="N27" s="562"/>
    </row>
    <row r="28" spans="1:14" x14ac:dyDescent="0.2">
      <c r="A28" s="223">
        <v>12143</v>
      </c>
      <c r="B28" s="224">
        <v>174</v>
      </c>
      <c r="C28" s="224" t="s">
        <v>10</v>
      </c>
      <c r="D28" s="225">
        <v>39403</v>
      </c>
      <c r="E28" s="224">
        <v>2</v>
      </c>
      <c r="F28" s="226">
        <v>1.04</v>
      </c>
      <c r="G28" s="370">
        <v>2.2400000000000002</v>
      </c>
      <c r="I28" s="562"/>
      <c r="J28" s="562"/>
      <c r="K28" s="562"/>
      <c r="L28" s="562"/>
      <c r="M28" s="562"/>
      <c r="N28" s="562"/>
    </row>
    <row r="29" spans="1:14" x14ac:dyDescent="0.2">
      <c r="A29" s="223">
        <v>12147</v>
      </c>
      <c r="B29" s="224">
        <v>181</v>
      </c>
      <c r="C29" s="224" t="s">
        <v>8</v>
      </c>
      <c r="D29" s="225">
        <v>39404</v>
      </c>
      <c r="E29" s="224">
        <v>2</v>
      </c>
      <c r="F29" s="226">
        <v>0.9</v>
      </c>
      <c r="G29" s="370">
        <v>2.0099999999999998</v>
      </c>
      <c r="I29" s="562"/>
      <c r="J29" s="562"/>
      <c r="K29" s="562"/>
      <c r="L29" s="562"/>
      <c r="M29" s="562"/>
      <c r="N29" s="562"/>
    </row>
    <row r="30" spans="1:14" x14ac:dyDescent="0.2">
      <c r="A30" s="223">
        <v>12150</v>
      </c>
      <c r="B30" s="224">
        <v>167</v>
      </c>
      <c r="C30" s="224" t="s">
        <v>8</v>
      </c>
      <c r="D30" s="225">
        <v>39404</v>
      </c>
      <c r="E30" s="224">
        <v>2</v>
      </c>
      <c r="F30" s="226">
        <v>0.97</v>
      </c>
      <c r="G30" s="370">
        <v>2</v>
      </c>
      <c r="I30" s="562"/>
      <c r="J30" s="562"/>
      <c r="K30" s="562"/>
      <c r="L30" s="562"/>
      <c r="M30" s="562"/>
      <c r="N30" s="562"/>
    </row>
    <row r="31" spans="1:14" x14ac:dyDescent="0.2">
      <c r="A31" s="223">
        <v>12151</v>
      </c>
      <c r="B31" s="224">
        <v>181</v>
      </c>
      <c r="C31" s="224" t="s">
        <v>8</v>
      </c>
      <c r="D31" s="225">
        <v>39404</v>
      </c>
      <c r="E31" s="224">
        <v>2</v>
      </c>
      <c r="F31" s="226">
        <v>0.49</v>
      </c>
      <c r="G31" s="370">
        <v>2.08</v>
      </c>
      <c r="I31" s="562"/>
      <c r="J31" s="562"/>
      <c r="K31" s="562"/>
      <c r="L31" s="562"/>
      <c r="M31" s="562"/>
      <c r="N31" s="562"/>
    </row>
    <row r="32" spans="1:14" x14ac:dyDescent="0.2">
      <c r="A32" s="223">
        <v>12152</v>
      </c>
      <c r="B32" s="224">
        <v>181</v>
      </c>
      <c r="C32" s="224" t="s">
        <v>8</v>
      </c>
      <c r="D32" s="225">
        <v>39404</v>
      </c>
      <c r="E32" s="224">
        <v>2</v>
      </c>
      <c r="F32" s="226">
        <v>0.75</v>
      </c>
      <c r="G32" s="370">
        <v>2.17</v>
      </c>
      <c r="I32" s="562"/>
      <c r="J32" s="562"/>
      <c r="K32" s="562"/>
      <c r="L32" s="562"/>
      <c r="M32" s="562"/>
      <c r="N32" s="562"/>
    </row>
    <row r="33" spans="1:14" x14ac:dyDescent="0.2">
      <c r="A33" s="223">
        <v>12153</v>
      </c>
      <c r="B33" s="224">
        <v>167</v>
      </c>
      <c r="C33" s="224" t="s">
        <v>8</v>
      </c>
      <c r="D33" s="225">
        <v>39404</v>
      </c>
      <c r="E33" s="224">
        <v>2</v>
      </c>
      <c r="F33" s="226">
        <v>0.3</v>
      </c>
      <c r="G33" s="370">
        <v>3.22</v>
      </c>
      <c r="I33" s="562"/>
      <c r="J33" s="562"/>
      <c r="K33" s="562"/>
      <c r="L33" s="562"/>
      <c r="M33" s="562"/>
      <c r="N33" s="562"/>
    </row>
    <row r="34" spans="1:14" x14ac:dyDescent="0.2">
      <c r="A34" s="223">
        <v>12155</v>
      </c>
      <c r="B34" s="224">
        <v>181</v>
      </c>
      <c r="C34" s="224" t="s">
        <v>9</v>
      </c>
      <c r="D34" s="225">
        <v>39404</v>
      </c>
      <c r="E34" s="224">
        <v>2</v>
      </c>
      <c r="F34" s="226">
        <v>1.01</v>
      </c>
      <c r="G34" s="370">
        <v>2.2400000000000002</v>
      </c>
      <c r="I34" s="562"/>
      <c r="J34" s="562"/>
      <c r="K34" s="562"/>
      <c r="L34" s="562"/>
      <c r="M34" s="562"/>
      <c r="N34" s="562"/>
    </row>
    <row r="35" spans="1:14" x14ac:dyDescent="0.2">
      <c r="A35" s="223">
        <v>12157</v>
      </c>
      <c r="B35" s="224">
        <v>181</v>
      </c>
      <c r="C35" s="224" t="s">
        <v>9</v>
      </c>
      <c r="D35" s="225">
        <v>39405</v>
      </c>
      <c r="E35" s="224">
        <v>2</v>
      </c>
      <c r="F35" s="226">
        <v>0.84</v>
      </c>
      <c r="G35" s="370">
        <v>2.34</v>
      </c>
      <c r="I35" s="562"/>
      <c r="J35" s="562"/>
      <c r="K35" s="562"/>
      <c r="L35" s="562"/>
      <c r="M35" s="562"/>
      <c r="N35" s="562"/>
    </row>
    <row r="36" spans="1:14" x14ac:dyDescent="0.2">
      <c r="A36" s="223">
        <v>12158</v>
      </c>
      <c r="B36" s="224">
        <v>174</v>
      </c>
      <c r="C36" s="224" t="s">
        <v>9</v>
      </c>
      <c r="D36" s="225">
        <v>39405</v>
      </c>
      <c r="E36" s="224">
        <v>2</v>
      </c>
      <c r="F36" s="226">
        <v>0.68</v>
      </c>
      <c r="G36" s="370">
        <v>2.1</v>
      </c>
    </row>
    <row r="37" spans="1:14" x14ac:dyDescent="0.2">
      <c r="A37" s="233">
        <v>12159</v>
      </c>
      <c r="B37" s="234">
        <v>181</v>
      </c>
      <c r="C37" s="234" t="s">
        <v>8</v>
      </c>
      <c r="D37" s="235">
        <v>39405</v>
      </c>
      <c r="E37" s="234">
        <v>2</v>
      </c>
      <c r="F37" s="236">
        <v>0.57999999999999996</v>
      </c>
      <c r="G37" s="371">
        <v>2.33</v>
      </c>
    </row>
    <row r="38" spans="1:14" x14ac:dyDescent="0.2">
      <c r="A38" s="253"/>
      <c r="B38" s="254"/>
      <c r="C38" s="254"/>
      <c r="D38" s="255"/>
      <c r="E38" s="254"/>
      <c r="F38" s="256"/>
      <c r="G38" s="257"/>
    </row>
    <row r="40" spans="1:14" x14ac:dyDescent="0.2">
      <c r="A40" s="49" t="s">
        <v>11</v>
      </c>
      <c r="B40" s="133"/>
      <c r="C40" s="133"/>
      <c r="D40" s="133"/>
      <c r="E40" s="133"/>
      <c r="F40" s="134">
        <f>AVERAGE(F9:F38)</f>
        <v>0.75689655172413783</v>
      </c>
      <c r="G40" s="135">
        <f>AVERAGE(G9:G38)</f>
        <v>2.1882758620689651</v>
      </c>
    </row>
    <row r="41" spans="1:14" x14ac:dyDescent="0.2">
      <c r="A41" s="38" t="s">
        <v>12</v>
      </c>
      <c r="B41" s="40"/>
      <c r="C41" s="40"/>
      <c r="D41" s="40"/>
      <c r="E41" s="40"/>
      <c r="F41" s="136">
        <f>MEDIAN(F9:F38)</f>
        <v>0.75</v>
      </c>
      <c r="G41" s="137">
        <f>MEDIAN(G9:G38)</f>
        <v>2.21</v>
      </c>
    </row>
    <row r="42" spans="1:14" x14ac:dyDescent="0.2">
      <c r="A42" s="38" t="s">
        <v>13</v>
      </c>
      <c r="B42" s="40"/>
      <c r="C42" s="40"/>
      <c r="D42" s="40"/>
      <c r="E42" s="40"/>
      <c r="F42" s="136">
        <f>MODE(F9:F38)</f>
        <v>0.49</v>
      </c>
      <c r="G42" s="137">
        <f>MODE(G9:G38)</f>
        <v>2.2400000000000002</v>
      </c>
    </row>
    <row r="43" spans="1:14" x14ac:dyDescent="0.2">
      <c r="A43" s="39" t="s">
        <v>14</v>
      </c>
      <c r="B43" s="138"/>
      <c r="C43" s="138"/>
      <c r="D43" s="138"/>
      <c r="E43" s="138"/>
      <c r="F43" s="139">
        <f>STDEV(F9:F38)</f>
        <v>0.26202649059474747</v>
      </c>
      <c r="G43" s="140">
        <f>STDEV(G9:G38)</f>
        <v>0.24548885580638094</v>
      </c>
    </row>
  </sheetData>
  <mergeCells count="1">
    <mergeCell ref="I16:N35"/>
  </mergeCells>
  <phoneticPr fontId="3" type="noConversion"/>
  <pageMargins left="0.75" right="0.75" top="1" bottom="1" header="0.5" footer="0.5"/>
  <pageSetup orientation="portrait"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3D2C-4ADF-4EAF-AF86-26B0C149EE6A}">
  <sheetPr codeName="Sheet25">
    <pageSetUpPr autoPageBreaks="0"/>
  </sheetPr>
  <dimension ref="A1:N43"/>
  <sheetViews>
    <sheetView zoomScale="125" zoomScaleNormal="125" workbookViewId="0">
      <pane xSplit="1" ySplit="8" topLeftCell="B9" activePane="bottomRight" state="frozen"/>
      <selection activeCell="A4" sqref="A4"/>
      <selection pane="topRight" activeCell="A4" sqref="A4"/>
      <selection pane="bottomLeft" activeCell="A4" sqref="A4"/>
      <selection pane="bottomRight" activeCell="A5" sqref="A5"/>
    </sheetView>
  </sheetViews>
  <sheetFormatPr defaultColWidth="9.140625" defaultRowHeight="11.25" x14ac:dyDescent="0.2"/>
  <cols>
    <col min="1" max="1" width="8" style="213" customWidth="1"/>
    <col min="2" max="2" width="5.42578125" style="213" customWidth="1"/>
    <col min="3" max="3" width="6.42578125" style="213" customWidth="1"/>
    <col min="4" max="4" width="12" style="213" customWidth="1"/>
    <col min="5" max="5" width="9.85546875" style="213" bestFit="1" customWidth="1"/>
    <col min="6" max="6" width="9.5703125" style="213" bestFit="1" customWidth="1"/>
    <col min="7" max="7" width="9.85546875" style="213" customWidth="1"/>
    <col min="8" max="16384" width="9.140625" style="213"/>
  </cols>
  <sheetData>
    <row r="1" spans="1:14" s="353" customFormat="1" ht="18" x14ac:dyDescent="0.25">
      <c r="A1" s="351" t="s">
        <v>361</v>
      </c>
      <c r="B1" s="352"/>
      <c r="C1" s="352"/>
      <c r="D1" s="352"/>
      <c r="E1" s="352"/>
      <c r="F1" s="352"/>
      <c r="G1" s="352"/>
    </row>
    <row r="2" spans="1:14" ht="11.25" hidden="1" customHeight="1" x14ac:dyDescent="0.2"/>
    <row r="3" spans="1:14" ht="11.25" customHeight="1" x14ac:dyDescent="0.2">
      <c r="A3" s="438" t="str">
        <f>IF(A2="","",IF(Disable_Video_Hyperlinks,A2,HYPERLINK(Video_website&amp;A2,A2)))</f>
        <v/>
      </c>
    </row>
    <row r="4" spans="1:14" ht="11.25" customHeight="1" x14ac:dyDescent="0.2">
      <c r="A4" s="501" t="str">
        <f>IF(B2="","",B2)</f>
        <v/>
      </c>
    </row>
    <row r="5" spans="1:14" ht="11.25" customHeight="1" x14ac:dyDescent="0.2"/>
    <row r="6" spans="1:14" ht="15.75" x14ac:dyDescent="0.25">
      <c r="A6" s="536" t="s">
        <v>0</v>
      </c>
      <c r="B6" s="545"/>
      <c r="C6" s="545"/>
      <c r="D6" s="545"/>
      <c r="E6" s="545"/>
      <c r="F6" s="545"/>
      <c r="G6" s="546"/>
    </row>
    <row r="7" spans="1:14" ht="15.75" x14ac:dyDescent="0.25">
      <c r="A7" s="547"/>
      <c r="B7" s="548"/>
      <c r="C7" s="548"/>
      <c r="D7" s="548"/>
      <c r="E7" s="548"/>
      <c r="F7" s="548"/>
      <c r="G7" s="549"/>
    </row>
    <row r="8" spans="1:14" s="6" customFormat="1" ht="27" customHeight="1" x14ac:dyDescent="0.2">
      <c r="A8" s="535" t="s">
        <v>1</v>
      </c>
      <c r="B8" s="535" t="s">
        <v>2</v>
      </c>
      <c r="C8" s="535" t="s">
        <v>3</v>
      </c>
      <c r="D8" s="535" t="s">
        <v>4</v>
      </c>
      <c r="E8" s="535" t="s">
        <v>5</v>
      </c>
      <c r="F8" s="535" t="s">
        <v>6</v>
      </c>
      <c r="G8" s="535" t="s">
        <v>7</v>
      </c>
    </row>
    <row r="9" spans="1:14" x14ac:dyDescent="0.2">
      <c r="A9" s="365">
        <v>12134</v>
      </c>
      <c r="B9" s="366">
        <v>174</v>
      </c>
      <c r="C9" s="366" t="s">
        <v>8</v>
      </c>
      <c r="D9" s="367">
        <v>39403</v>
      </c>
      <c r="E9" s="366">
        <v>1</v>
      </c>
      <c r="F9" s="368">
        <v>0.82</v>
      </c>
      <c r="G9" s="369">
        <v>2.21</v>
      </c>
    </row>
    <row r="10" spans="1:14" x14ac:dyDescent="0.2">
      <c r="A10" s="223">
        <v>12135</v>
      </c>
      <c r="B10" s="224">
        <v>174</v>
      </c>
      <c r="C10" s="224" t="s">
        <v>8</v>
      </c>
      <c r="D10" s="225">
        <v>39403</v>
      </c>
      <c r="E10" s="224">
        <v>1</v>
      </c>
      <c r="F10" s="226">
        <v>0.49</v>
      </c>
      <c r="G10" s="370">
        <v>1.94</v>
      </c>
    </row>
    <row r="11" spans="1:14" x14ac:dyDescent="0.2">
      <c r="A11" s="223">
        <v>12139</v>
      </c>
      <c r="B11" s="224">
        <v>174</v>
      </c>
      <c r="C11" s="224" t="s">
        <v>8</v>
      </c>
      <c r="D11" s="225">
        <v>39403</v>
      </c>
      <c r="E11" s="224">
        <v>1</v>
      </c>
      <c r="F11" s="226">
        <v>0.52</v>
      </c>
      <c r="G11" s="370">
        <v>2.0299999999999998</v>
      </c>
    </row>
    <row r="12" spans="1:14" x14ac:dyDescent="0.2">
      <c r="A12" s="223">
        <v>12140</v>
      </c>
      <c r="B12" s="224">
        <v>167</v>
      </c>
      <c r="C12" s="224" t="s">
        <v>8</v>
      </c>
      <c r="D12" s="225">
        <v>39403</v>
      </c>
      <c r="E12" s="224">
        <v>1</v>
      </c>
      <c r="F12" s="226">
        <v>0.63</v>
      </c>
      <c r="G12" s="370">
        <v>2.2400000000000002</v>
      </c>
    </row>
    <row r="13" spans="1:14" x14ac:dyDescent="0.2">
      <c r="A13" s="223">
        <v>12142</v>
      </c>
      <c r="B13" s="224">
        <v>167</v>
      </c>
      <c r="C13" s="224" t="s">
        <v>8</v>
      </c>
      <c r="D13" s="225">
        <v>39403</v>
      </c>
      <c r="E13" s="224">
        <v>1</v>
      </c>
      <c r="F13" s="226">
        <v>0.64</v>
      </c>
      <c r="G13" s="370">
        <v>2.2799999999999998</v>
      </c>
    </row>
    <row r="14" spans="1:14" x14ac:dyDescent="0.2">
      <c r="A14" s="223">
        <v>12144</v>
      </c>
      <c r="B14" s="224">
        <v>167</v>
      </c>
      <c r="C14" s="224" t="s">
        <v>8</v>
      </c>
      <c r="D14" s="225">
        <v>39403</v>
      </c>
      <c r="E14" s="224">
        <v>1</v>
      </c>
      <c r="F14" s="226">
        <v>1.28</v>
      </c>
      <c r="G14" s="370">
        <v>2.31</v>
      </c>
    </row>
    <row r="15" spans="1:14" x14ac:dyDescent="0.2">
      <c r="A15" s="223">
        <v>12145</v>
      </c>
      <c r="B15" s="224">
        <v>174</v>
      </c>
      <c r="C15" s="224" t="s">
        <v>8</v>
      </c>
      <c r="D15" s="225">
        <v>39403</v>
      </c>
      <c r="E15" s="224">
        <v>1</v>
      </c>
      <c r="F15" s="226">
        <v>0.45</v>
      </c>
      <c r="G15" s="370">
        <v>2.02</v>
      </c>
    </row>
    <row r="16" spans="1:14" x14ac:dyDescent="0.2">
      <c r="A16" s="223">
        <v>12146</v>
      </c>
      <c r="B16" s="224">
        <v>167</v>
      </c>
      <c r="C16" s="224" t="s">
        <v>8</v>
      </c>
      <c r="D16" s="225">
        <v>39403</v>
      </c>
      <c r="E16" s="224">
        <v>1</v>
      </c>
      <c r="F16" s="226">
        <v>1.1299999999999999</v>
      </c>
      <c r="G16" s="370">
        <v>2.0499999999999998</v>
      </c>
      <c r="I16" s="562" t="s">
        <v>308</v>
      </c>
      <c r="J16" s="562"/>
      <c r="K16" s="562"/>
      <c r="L16" s="562"/>
      <c r="M16" s="562"/>
      <c r="N16" s="562"/>
    </row>
    <row r="17" spans="1:14" x14ac:dyDescent="0.2">
      <c r="A17" s="223">
        <v>12148</v>
      </c>
      <c r="B17" s="224">
        <v>167</v>
      </c>
      <c r="C17" s="224" t="s">
        <v>9</v>
      </c>
      <c r="D17" s="225">
        <v>39404</v>
      </c>
      <c r="E17" s="224">
        <v>1</v>
      </c>
      <c r="F17" s="226">
        <v>0.43</v>
      </c>
      <c r="G17" s="370">
        <v>2.27</v>
      </c>
      <c r="I17" s="562"/>
      <c r="J17" s="562"/>
      <c r="K17" s="562"/>
      <c r="L17" s="562"/>
      <c r="M17" s="562"/>
      <c r="N17" s="562"/>
    </row>
    <row r="18" spans="1:14" x14ac:dyDescent="0.2">
      <c r="A18" s="223">
        <v>12149</v>
      </c>
      <c r="B18" s="224">
        <v>174</v>
      </c>
      <c r="C18" s="224" t="s">
        <v>9</v>
      </c>
      <c r="D18" s="225">
        <v>39404</v>
      </c>
      <c r="E18" s="224">
        <v>1</v>
      </c>
      <c r="F18" s="226">
        <v>0.47</v>
      </c>
      <c r="G18" s="370">
        <v>2.31</v>
      </c>
      <c r="I18" s="562"/>
      <c r="J18" s="562"/>
      <c r="K18" s="562"/>
      <c r="L18" s="562"/>
      <c r="M18" s="562"/>
      <c r="N18" s="562"/>
    </row>
    <row r="19" spans="1:14" x14ac:dyDescent="0.2">
      <c r="A19" s="223">
        <v>12154</v>
      </c>
      <c r="B19" s="224">
        <v>174</v>
      </c>
      <c r="C19" s="224" t="s">
        <v>9</v>
      </c>
      <c r="D19" s="225">
        <v>39404</v>
      </c>
      <c r="E19" s="224">
        <v>1</v>
      </c>
      <c r="F19" s="226">
        <v>0.97</v>
      </c>
      <c r="G19" s="370">
        <v>2.23</v>
      </c>
      <c r="I19" s="562"/>
      <c r="J19" s="562"/>
      <c r="K19" s="562"/>
      <c r="L19" s="562"/>
      <c r="M19" s="562"/>
      <c r="N19" s="562"/>
    </row>
    <row r="20" spans="1:14" x14ac:dyDescent="0.2">
      <c r="A20" s="223">
        <v>12156</v>
      </c>
      <c r="B20" s="224">
        <v>174</v>
      </c>
      <c r="C20" s="224" t="s">
        <v>9</v>
      </c>
      <c r="D20" s="225">
        <v>39404</v>
      </c>
      <c r="E20" s="224">
        <v>1</v>
      </c>
      <c r="F20" s="226">
        <v>0.81</v>
      </c>
      <c r="G20" s="370">
        <v>2.11</v>
      </c>
      <c r="I20" s="562"/>
      <c r="J20" s="562"/>
      <c r="K20" s="562"/>
      <c r="L20" s="562"/>
      <c r="M20" s="562"/>
      <c r="N20" s="562"/>
    </row>
    <row r="21" spans="1:14" x14ac:dyDescent="0.2">
      <c r="A21" s="223">
        <v>12160</v>
      </c>
      <c r="B21" s="224">
        <v>174</v>
      </c>
      <c r="C21" s="224" t="s">
        <v>9</v>
      </c>
      <c r="D21" s="225">
        <v>39405</v>
      </c>
      <c r="E21" s="224">
        <v>1</v>
      </c>
      <c r="F21" s="226">
        <v>0.68</v>
      </c>
      <c r="G21" s="370">
        <v>2.2200000000000002</v>
      </c>
      <c r="I21" s="562"/>
      <c r="J21" s="562"/>
      <c r="K21" s="562"/>
      <c r="L21" s="562"/>
      <c r="M21" s="562"/>
      <c r="N21" s="562"/>
    </row>
    <row r="22" spans="1:14" x14ac:dyDescent="0.2">
      <c r="A22" s="223">
        <v>12161</v>
      </c>
      <c r="B22" s="224">
        <v>174</v>
      </c>
      <c r="C22" s="224" t="s">
        <v>9</v>
      </c>
      <c r="D22" s="225">
        <v>39405</v>
      </c>
      <c r="E22" s="224">
        <v>1</v>
      </c>
      <c r="F22" s="226">
        <v>0.67</v>
      </c>
      <c r="G22" s="370">
        <v>2.08</v>
      </c>
      <c r="I22" s="562"/>
      <c r="J22" s="562"/>
      <c r="K22" s="562"/>
      <c r="L22" s="562"/>
      <c r="M22" s="562"/>
      <c r="N22" s="562"/>
    </row>
    <row r="23" spans="1:14" x14ac:dyDescent="0.2">
      <c r="A23" s="223">
        <v>12162</v>
      </c>
      <c r="B23" s="224">
        <v>181</v>
      </c>
      <c r="C23" s="224" t="s">
        <v>9</v>
      </c>
      <c r="D23" s="225">
        <v>39405</v>
      </c>
      <c r="E23" s="224">
        <v>1</v>
      </c>
      <c r="F23" s="226">
        <v>0.95</v>
      </c>
      <c r="G23" s="370">
        <v>2.0099999999999998</v>
      </c>
      <c r="I23" s="562"/>
      <c r="J23" s="562"/>
      <c r="K23" s="562"/>
      <c r="L23" s="562"/>
      <c r="M23" s="562"/>
      <c r="N23" s="562"/>
    </row>
    <row r="24" spans="1:14" x14ac:dyDescent="0.2">
      <c r="A24" s="223">
        <v>12136</v>
      </c>
      <c r="B24" s="224">
        <v>181</v>
      </c>
      <c r="C24" s="224" t="s">
        <v>10</v>
      </c>
      <c r="D24" s="225">
        <v>39403</v>
      </c>
      <c r="E24" s="224">
        <v>2</v>
      </c>
      <c r="F24" s="226">
        <v>1.32</v>
      </c>
      <c r="G24" s="370">
        <v>2.35</v>
      </c>
      <c r="I24" s="562"/>
      <c r="J24" s="562"/>
      <c r="K24" s="562"/>
      <c r="L24" s="562"/>
      <c r="M24" s="562"/>
      <c r="N24" s="562"/>
    </row>
    <row r="25" spans="1:14" x14ac:dyDescent="0.2">
      <c r="A25" s="223">
        <v>12137</v>
      </c>
      <c r="B25" s="224">
        <v>181</v>
      </c>
      <c r="C25" s="224" t="s">
        <v>10</v>
      </c>
      <c r="D25" s="225">
        <v>39403</v>
      </c>
      <c r="E25" s="224">
        <v>2</v>
      </c>
      <c r="F25" s="226">
        <v>0.75</v>
      </c>
      <c r="G25" s="370">
        <v>1.73</v>
      </c>
      <c r="I25" s="562"/>
      <c r="J25" s="562"/>
      <c r="K25" s="562"/>
      <c r="L25" s="562"/>
      <c r="M25" s="562"/>
      <c r="N25" s="562"/>
    </row>
    <row r="26" spans="1:14" x14ac:dyDescent="0.2">
      <c r="A26" s="223">
        <v>12138</v>
      </c>
      <c r="B26" s="224">
        <v>181</v>
      </c>
      <c r="C26" s="224" t="s">
        <v>10</v>
      </c>
      <c r="D26" s="225">
        <v>39403</v>
      </c>
      <c r="E26" s="224">
        <v>2</v>
      </c>
      <c r="F26" s="226">
        <v>0.92</v>
      </c>
      <c r="G26" s="370">
        <v>2.08</v>
      </c>
      <c r="I26" s="562"/>
      <c r="J26" s="562"/>
      <c r="K26" s="562"/>
      <c r="L26" s="562"/>
      <c r="M26" s="562"/>
      <c r="N26" s="562"/>
    </row>
    <row r="27" spans="1:14" x14ac:dyDescent="0.2">
      <c r="A27" s="223">
        <v>12141</v>
      </c>
      <c r="B27" s="224">
        <v>181</v>
      </c>
      <c r="C27" s="224" t="s">
        <v>10</v>
      </c>
      <c r="D27" s="225">
        <v>39403</v>
      </c>
      <c r="E27" s="224">
        <v>2</v>
      </c>
      <c r="F27" s="226">
        <v>0.46</v>
      </c>
      <c r="G27" s="370">
        <v>2.2599999999999998</v>
      </c>
      <c r="I27" s="562"/>
      <c r="J27" s="562"/>
      <c r="K27" s="562"/>
      <c r="L27" s="562"/>
      <c r="M27" s="562"/>
      <c r="N27" s="562"/>
    </row>
    <row r="28" spans="1:14" x14ac:dyDescent="0.2">
      <c r="A28" s="223">
        <v>12143</v>
      </c>
      <c r="B28" s="224">
        <v>174</v>
      </c>
      <c r="C28" s="224" t="s">
        <v>10</v>
      </c>
      <c r="D28" s="225">
        <v>39403</v>
      </c>
      <c r="E28" s="224">
        <v>2</v>
      </c>
      <c r="F28" s="226">
        <v>1.04</v>
      </c>
      <c r="G28" s="370">
        <v>2.2400000000000002</v>
      </c>
      <c r="I28" s="562"/>
      <c r="J28" s="562"/>
      <c r="K28" s="562"/>
      <c r="L28" s="562"/>
      <c r="M28" s="562"/>
      <c r="N28" s="562"/>
    </row>
    <row r="29" spans="1:14" x14ac:dyDescent="0.2">
      <c r="A29" s="223">
        <v>12147</v>
      </c>
      <c r="B29" s="224">
        <v>181</v>
      </c>
      <c r="C29" s="224" t="s">
        <v>8</v>
      </c>
      <c r="D29" s="225">
        <v>39404</v>
      </c>
      <c r="E29" s="224">
        <v>2</v>
      </c>
      <c r="F29" s="226">
        <v>0.9</v>
      </c>
      <c r="G29" s="370">
        <v>2.0099999999999998</v>
      </c>
      <c r="I29" s="562"/>
      <c r="J29" s="562"/>
      <c r="K29" s="562"/>
      <c r="L29" s="562"/>
      <c r="M29" s="562"/>
      <c r="N29" s="562"/>
    </row>
    <row r="30" spans="1:14" x14ac:dyDescent="0.2">
      <c r="A30" s="223">
        <v>12150</v>
      </c>
      <c r="B30" s="224">
        <v>167</v>
      </c>
      <c r="C30" s="224" t="s">
        <v>8</v>
      </c>
      <c r="D30" s="225">
        <v>39404</v>
      </c>
      <c r="E30" s="224">
        <v>2</v>
      </c>
      <c r="F30" s="226">
        <v>0.97</v>
      </c>
      <c r="G30" s="370">
        <v>2</v>
      </c>
      <c r="I30" s="562"/>
      <c r="J30" s="562"/>
      <c r="K30" s="562"/>
      <c r="L30" s="562"/>
      <c r="M30" s="562"/>
      <c r="N30" s="562"/>
    </row>
    <row r="31" spans="1:14" x14ac:dyDescent="0.2">
      <c r="A31" s="223">
        <v>12151</v>
      </c>
      <c r="B31" s="224">
        <v>181</v>
      </c>
      <c r="C31" s="224" t="s">
        <v>8</v>
      </c>
      <c r="D31" s="225">
        <v>39404</v>
      </c>
      <c r="E31" s="224">
        <v>2</v>
      </c>
      <c r="F31" s="226">
        <v>0.49</v>
      </c>
      <c r="G31" s="370">
        <v>2.08</v>
      </c>
      <c r="I31" s="562"/>
      <c r="J31" s="562"/>
      <c r="K31" s="562"/>
      <c r="L31" s="562"/>
      <c r="M31" s="562"/>
      <c r="N31" s="562"/>
    </row>
    <row r="32" spans="1:14" x14ac:dyDescent="0.2">
      <c r="A32" s="223">
        <v>12152</v>
      </c>
      <c r="B32" s="224">
        <v>181</v>
      </c>
      <c r="C32" s="224" t="s">
        <v>8</v>
      </c>
      <c r="D32" s="225">
        <v>39404</v>
      </c>
      <c r="E32" s="224">
        <v>2</v>
      </c>
      <c r="F32" s="226">
        <v>0.75</v>
      </c>
      <c r="G32" s="370">
        <v>2.17</v>
      </c>
      <c r="I32" s="562"/>
      <c r="J32" s="562"/>
      <c r="K32" s="562"/>
      <c r="L32" s="562"/>
      <c r="M32" s="562"/>
      <c r="N32" s="562"/>
    </row>
    <row r="33" spans="1:14" x14ac:dyDescent="0.2">
      <c r="A33" s="223">
        <v>12153</v>
      </c>
      <c r="B33" s="224">
        <v>167</v>
      </c>
      <c r="C33" s="224" t="s">
        <v>8</v>
      </c>
      <c r="D33" s="225">
        <v>39404</v>
      </c>
      <c r="E33" s="224">
        <v>2</v>
      </c>
      <c r="F33" s="226">
        <v>0.3</v>
      </c>
      <c r="G33" s="370">
        <v>3.22</v>
      </c>
      <c r="I33" s="562"/>
      <c r="J33" s="562"/>
      <c r="K33" s="562"/>
      <c r="L33" s="562"/>
      <c r="M33" s="562"/>
      <c r="N33" s="562"/>
    </row>
    <row r="34" spans="1:14" x14ac:dyDescent="0.2">
      <c r="A34" s="223">
        <v>12155</v>
      </c>
      <c r="B34" s="224">
        <v>181</v>
      </c>
      <c r="C34" s="224" t="s">
        <v>9</v>
      </c>
      <c r="D34" s="225">
        <v>39404</v>
      </c>
      <c r="E34" s="224">
        <v>2</v>
      </c>
      <c r="F34" s="226">
        <v>1.01</v>
      </c>
      <c r="G34" s="370">
        <v>2.2400000000000002</v>
      </c>
      <c r="I34" s="562"/>
      <c r="J34" s="562"/>
      <c r="K34" s="562"/>
      <c r="L34" s="562"/>
      <c r="M34" s="562"/>
      <c r="N34" s="562"/>
    </row>
    <row r="35" spans="1:14" x14ac:dyDescent="0.2">
      <c r="A35" s="223">
        <v>12157</v>
      </c>
      <c r="B35" s="224">
        <v>181</v>
      </c>
      <c r="C35" s="224" t="s">
        <v>9</v>
      </c>
      <c r="D35" s="225">
        <v>39405</v>
      </c>
      <c r="E35" s="224">
        <v>2</v>
      </c>
      <c r="F35" s="226">
        <v>0.84</v>
      </c>
      <c r="G35" s="370">
        <v>2.34</v>
      </c>
      <c r="I35" s="562"/>
      <c r="J35" s="562"/>
      <c r="K35" s="562"/>
      <c r="L35" s="562"/>
      <c r="M35" s="562"/>
      <c r="N35" s="562"/>
    </row>
    <row r="36" spans="1:14" x14ac:dyDescent="0.2">
      <c r="A36" s="223">
        <v>12158</v>
      </c>
      <c r="B36" s="224">
        <v>174</v>
      </c>
      <c r="C36" s="224" t="s">
        <v>9</v>
      </c>
      <c r="D36" s="225">
        <v>39405</v>
      </c>
      <c r="E36" s="224">
        <v>2</v>
      </c>
      <c r="F36" s="226">
        <v>0.68</v>
      </c>
      <c r="G36" s="370">
        <v>2.1</v>
      </c>
    </row>
    <row r="37" spans="1:14" x14ac:dyDescent="0.2">
      <c r="A37" s="233">
        <v>12159</v>
      </c>
      <c r="B37" s="234">
        <v>181</v>
      </c>
      <c r="C37" s="234" t="s">
        <v>8</v>
      </c>
      <c r="D37" s="235">
        <v>39405</v>
      </c>
      <c r="E37" s="234">
        <v>2</v>
      </c>
      <c r="F37" s="236">
        <v>0.57999999999999996</v>
      </c>
      <c r="G37" s="371">
        <v>2.33</v>
      </c>
    </row>
    <row r="38" spans="1:14" x14ac:dyDescent="0.2">
      <c r="A38" s="253"/>
      <c r="B38" s="254"/>
      <c r="C38" s="254"/>
      <c r="D38" s="255"/>
      <c r="E38" s="254"/>
      <c r="F38" s="256"/>
      <c r="G38" s="257"/>
    </row>
    <row r="40" spans="1:14" x14ac:dyDescent="0.2">
      <c r="A40" s="49" t="s">
        <v>11</v>
      </c>
      <c r="B40" s="133"/>
      <c r="C40" s="133"/>
      <c r="D40" s="133"/>
      <c r="E40" s="133"/>
      <c r="F40" s="134">
        <f>AVERAGE(F9:F38)</f>
        <v>0.75689655172413783</v>
      </c>
      <c r="G40" s="135">
        <f>AVERAGE(G9:G38)</f>
        <v>2.1882758620689651</v>
      </c>
    </row>
    <row r="41" spans="1:14" x14ac:dyDescent="0.2">
      <c r="A41" s="38" t="s">
        <v>12</v>
      </c>
      <c r="B41" s="40"/>
      <c r="C41" s="40"/>
      <c r="D41" s="40"/>
      <c r="E41" s="40"/>
      <c r="F41" s="136">
        <f>MEDIAN(F9:F38)</f>
        <v>0.75</v>
      </c>
      <c r="G41" s="137">
        <f>MEDIAN(G9:G38)</f>
        <v>2.21</v>
      </c>
    </row>
    <row r="42" spans="1:14" x14ac:dyDescent="0.2">
      <c r="A42" s="38" t="s">
        <v>13</v>
      </c>
      <c r="B42" s="40"/>
      <c r="C42" s="40"/>
      <c r="D42" s="40"/>
      <c r="E42" s="40"/>
      <c r="F42" s="136">
        <f>MODE(F9:F38)</f>
        <v>0.49</v>
      </c>
      <c r="G42" s="137">
        <f>MODE(G9:G38)</f>
        <v>2.2400000000000002</v>
      </c>
    </row>
    <row r="43" spans="1:14" x14ac:dyDescent="0.2">
      <c r="A43" s="39" t="s">
        <v>14</v>
      </c>
      <c r="B43" s="138"/>
      <c r="C43" s="138"/>
      <c r="D43" s="138"/>
      <c r="E43" s="138"/>
      <c r="F43" s="139">
        <f>STDEV(F9:F38)</f>
        <v>0.26202649059474747</v>
      </c>
      <c r="G43" s="140">
        <f>STDEV(G9:G38)</f>
        <v>0.24548885580638094</v>
      </c>
    </row>
  </sheetData>
  <mergeCells count="1">
    <mergeCell ref="I16:N35"/>
  </mergeCells>
  <pageMargins left="0.75" right="0.75" top="1" bottom="1" header="0.5" footer="0.5"/>
  <pageSetup orientation="portrait"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autoPageBreaks="0"/>
  </sheetPr>
  <dimension ref="A1:N43"/>
  <sheetViews>
    <sheetView zoomScale="130" zoomScaleNormal="130" workbookViewId="0">
      <pane ySplit="3825" topLeftCell="A19"/>
      <selection activeCell="A5" sqref="A5"/>
      <selection pane="bottomLeft" activeCell="A4" sqref="A4"/>
    </sheetView>
  </sheetViews>
  <sheetFormatPr defaultColWidth="9.140625" defaultRowHeight="11.25" x14ac:dyDescent="0.2"/>
  <cols>
    <col min="1" max="1" width="8" style="4" customWidth="1"/>
    <col min="2" max="2" width="5.42578125" style="4" customWidth="1"/>
    <col min="3" max="3" width="6.42578125" style="4" customWidth="1"/>
    <col min="4" max="4" width="12" style="4" customWidth="1"/>
    <col min="5" max="5" width="9.85546875" style="4" bestFit="1" customWidth="1"/>
    <col min="6" max="6" width="9.5703125" style="4" bestFit="1" customWidth="1"/>
    <col min="7" max="7" width="9.85546875" style="4" customWidth="1"/>
    <col min="8" max="16384" width="9.140625" style="4"/>
  </cols>
  <sheetData>
    <row r="1" spans="1:14" ht="18" x14ac:dyDescent="0.25">
      <c r="A1" s="351" t="s">
        <v>139</v>
      </c>
      <c r="B1" s="3"/>
      <c r="C1" s="3"/>
      <c r="D1" s="3"/>
      <c r="E1" s="3"/>
      <c r="F1" s="3"/>
      <c r="G1" s="3"/>
      <c r="H1" s="3"/>
      <c r="I1" s="3"/>
      <c r="J1" s="3"/>
      <c r="K1" s="3"/>
      <c r="L1" s="3"/>
    </row>
    <row r="2" spans="1:14" ht="11.25" hidden="1" customHeight="1" x14ac:dyDescent="0.2">
      <c r="A2" s="4" t="s">
        <v>404</v>
      </c>
      <c r="B2" s="503">
        <v>3.37962962962963E-3</v>
      </c>
    </row>
    <row r="3" spans="1:14" s="213" customFormat="1" ht="11.25" customHeight="1" x14ac:dyDescent="0.2">
      <c r="A3" s="438" t="str">
        <f>IF(A2="","",IF(Disable_Video_Hyperlinks,A2,HYPERLINK(Video_website&amp;A2,A2)))</f>
        <v>UNC_DAYT_EXCEL_2.2.5_LECTURE_SPLITTING_WINDOWS_&amp;_NEW_WINDOW.mp4</v>
      </c>
    </row>
    <row r="4" spans="1:14" s="213" customFormat="1" ht="11.25" customHeight="1" x14ac:dyDescent="0.2">
      <c r="A4" s="501">
        <f>IF(B2="","",B2)</f>
        <v>3.37962962962963E-3</v>
      </c>
    </row>
    <row r="5" spans="1:14" s="213" customFormat="1" ht="11.25" customHeight="1" x14ac:dyDescent="0.2"/>
    <row r="6" spans="1:14" ht="15.75" x14ac:dyDescent="0.25">
      <c r="A6" s="536" t="s">
        <v>0</v>
      </c>
      <c r="B6" s="545"/>
      <c r="C6" s="545"/>
      <c r="D6" s="545"/>
      <c r="E6" s="545"/>
      <c r="F6" s="545"/>
      <c r="G6" s="546"/>
      <c r="I6" s="564" t="s">
        <v>362</v>
      </c>
      <c r="J6" s="564"/>
      <c r="K6" s="564"/>
      <c r="L6" s="564"/>
      <c r="M6" s="564"/>
      <c r="N6" s="564"/>
    </row>
    <row r="7" spans="1:14" s="213" customFormat="1" ht="15.75" x14ac:dyDescent="0.25">
      <c r="A7" s="547"/>
      <c r="B7" s="548"/>
      <c r="C7" s="548"/>
      <c r="D7" s="548"/>
      <c r="E7" s="548"/>
      <c r="F7" s="548"/>
      <c r="G7" s="549"/>
      <c r="I7" s="565"/>
      <c r="J7" s="565"/>
      <c r="K7" s="565"/>
      <c r="L7" s="565"/>
      <c r="M7" s="565"/>
      <c r="N7" s="565"/>
    </row>
    <row r="8" spans="1:14" s="6" customFormat="1" ht="27" customHeight="1" x14ac:dyDescent="0.2">
      <c r="A8" s="530" t="s">
        <v>1</v>
      </c>
      <c r="B8" s="530" t="s">
        <v>2</v>
      </c>
      <c r="C8" s="530" t="s">
        <v>3</v>
      </c>
      <c r="D8" s="530" t="s">
        <v>4</v>
      </c>
      <c r="E8" s="530" t="s">
        <v>5</v>
      </c>
      <c r="F8" s="530" t="s">
        <v>6</v>
      </c>
      <c r="G8" s="530" t="s">
        <v>7</v>
      </c>
      <c r="I8" s="565"/>
      <c r="J8" s="565"/>
      <c r="K8" s="565"/>
      <c r="L8" s="565"/>
      <c r="M8" s="565"/>
      <c r="N8" s="565"/>
    </row>
    <row r="9" spans="1:14" ht="12.75" x14ac:dyDescent="0.2">
      <c r="A9" s="372">
        <v>12134</v>
      </c>
      <c r="B9" s="373">
        <v>174</v>
      </c>
      <c r="C9" s="373" t="s">
        <v>8</v>
      </c>
      <c r="D9" s="374">
        <v>39403</v>
      </c>
      <c r="E9" s="373">
        <v>1</v>
      </c>
      <c r="F9" s="375">
        <v>0.82</v>
      </c>
      <c r="G9" s="376">
        <v>2.21</v>
      </c>
      <c r="I9" s="565"/>
      <c r="J9" s="565"/>
      <c r="K9" s="565"/>
      <c r="L9" s="565"/>
      <c r="M9" s="565"/>
      <c r="N9" s="565"/>
    </row>
    <row r="10" spans="1:14" ht="12.75" x14ac:dyDescent="0.2">
      <c r="A10" s="377">
        <v>12135</v>
      </c>
      <c r="B10" s="378">
        <v>174</v>
      </c>
      <c r="C10" s="378" t="s">
        <v>8</v>
      </c>
      <c r="D10" s="379">
        <v>39403</v>
      </c>
      <c r="E10" s="378">
        <v>1</v>
      </c>
      <c r="F10" s="380">
        <v>0.49</v>
      </c>
      <c r="G10" s="381">
        <v>1.94</v>
      </c>
      <c r="I10" s="565"/>
      <c r="J10" s="565"/>
      <c r="K10" s="565"/>
      <c r="L10" s="565"/>
      <c r="M10" s="565"/>
      <c r="N10" s="565"/>
    </row>
    <row r="11" spans="1:14" ht="12.75" x14ac:dyDescent="0.2">
      <c r="A11" s="377">
        <v>12139</v>
      </c>
      <c r="B11" s="378">
        <v>174</v>
      </c>
      <c r="C11" s="378" t="s">
        <v>8</v>
      </c>
      <c r="D11" s="379">
        <v>39403</v>
      </c>
      <c r="E11" s="378">
        <v>1</v>
      </c>
      <c r="F11" s="380">
        <v>0.52</v>
      </c>
      <c r="G11" s="381">
        <v>2.0299999999999998</v>
      </c>
      <c r="I11" s="565"/>
      <c r="J11" s="565"/>
      <c r="K11" s="565"/>
      <c r="L11" s="565"/>
      <c r="M11" s="565"/>
      <c r="N11" s="565"/>
    </row>
    <row r="12" spans="1:14" ht="12.75" x14ac:dyDescent="0.2">
      <c r="A12" s="377">
        <v>12140</v>
      </c>
      <c r="B12" s="378">
        <v>167</v>
      </c>
      <c r="C12" s="378" t="s">
        <v>8</v>
      </c>
      <c r="D12" s="379">
        <v>39403</v>
      </c>
      <c r="E12" s="378">
        <v>1</v>
      </c>
      <c r="F12" s="380">
        <v>0.63</v>
      </c>
      <c r="G12" s="381">
        <v>2.2400000000000002</v>
      </c>
      <c r="I12" s="565"/>
      <c r="J12" s="565"/>
      <c r="K12" s="565"/>
      <c r="L12" s="565"/>
      <c r="M12" s="565"/>
      <c r="N12" s="565"/>
    </row>
    <row r="13" spans="1:14" ht="12.75" x14ac:dyDescent="0.2">
      <c r="A13" s="377">
        <v>12142</v>
      </c>
      <c r="B13" s="378">
        <v>167</v>
      </c>
      <c r="C13" s="378" t="s">
        <v>8</v>
      </c>
      <c r="D13" s="379">
        <v>39403</v>
      </c>
      <c r="E13" s="378">
        <v>1</v>
      </c>
      <c r="F13" s="380">
        <v>0.64</v>
      </c>
      <c r="G13" s="381">
        <v>2.2799999999999998</v>
      </c>
      <c r="I13" s="565"/>
      <c r="J13" s="565"/>
      <c r="K13" s="565"/>
      <c r="L13" s="565"/>
      <c r="M13" s="565"/>
      <c r="N13" s="565"/>
    </row>
    <row r="14" spans="1:14" ht="12.75" x14ac:dyDescent="0.2">
      <c r="A14" s="377">
        <v>12144</v>
      </c>
      <c r="B14" s="378">
        <v>167</v>
      </c>
      <c r="C14" s="378" t="s">
        <v>8</v>
      </c>
      <c r="D14" s="379">
        <v>39403</v>
      </c>
      <c r="E14" s="378">
        <v>1</v>
      </c>
      <c r="F14" s="380">
        <v>1.28</v>
      </c>
      <c r="G14" s="381">
        <v>2.31</v>
      </c>
      <c r="I14" s="565"/>
      <c r="J14" s="565"/>
      <c r="K14" s="565"/>
      <c r="L14" s="565"/>
      <c r="M14" s="565"/>
      <c r="N14" s="565"/>
    </row>
    <row r="15" spans="1:14" ht="12.75" x14ac:dyDescent="0.2">
      <c r="A15" s="377">
        <v>12145</v>
      </c>
      <c r="B15" s="378">
        <v>174</v>
      </c>
      <c r="C15" s="378" t="s">
        <v>8</v>
      </c>
      <c r="D15" s="379">
        <v>39403</v>
      </c>
      <c r="E15" s="378">
        <v>1</v>
      </c>
      <c r="F15" s="380">
        <v>0.45</v>
      </c>
      <c r="G15" s="381">
        <v>2.02</v>
      </c>
      <c r="I15" s="565"/>
      <c r="J15" s="565"/>
      <c r="K15" s="565"/>
      <c r="L15" s="565"/>
      <c r="M15" s="565"/>
      <c r="N15" s="565"/>
    </row>
    <row r="16" spans="1:14" ht="12.75" x14ac:dyDescent="0.2">
      <c r="A16" s="377">
        <v>12146</v>
      </c>
      <c r="B16" s="378">
        <v>167</v>
      </c>
      <c r="C16" s="378" t="s">
        <v>8</v>
      </c>
      <c r="D16" s="379">
        <v>39403</v>
      </c>
      <c r="E16" s="378">
        <v>1</v>
      </c>
      <c r="F16" s="380">
        <v>1.1299999999999999</v>
      </c>
      <c r="G16" s="381">
        <v>2.0499999999999998</v>
      </c>
      <c r="I16" s="565"/>
      <c r="J16" s="565"/>
      <c r="K16" s="565"/>
      <c r="L16" s="565"/>
      <c r="M16" s="565"/>
      <c r="N16" s="565"/>
    </row>
    <row r="17" spans="1:14" ht="12.75" x14ac:dyDescent="0.2">
      <c r="A17" s="377">
        <v>12148</v>
      </c>
      <c r="B17" s="378">
        <v>167</v>
      </c>
      <c r="C17" s="378" t="s">
        <v>9</v>
      </c>
      <c r="D17" s="379">
        <v>39404</v>
      </c>
      <c r="E17" s="378">
        <v>1</v>
      </c>
      <c r="F17" s="380">
        <v>0.43</v>
      </c>
      <c r="G17" s="381">
        <v>2.27</v>
      </c>
      <c r="I17" s="565"/>
      <c r="J17" s="565"/>
      <c r="K17" s="565"/>
      <c r="L17" s="565"/>
      <c r="M17" s="565"/>
      <c r="N17" s="565"/>
    </row>
    <row r="18" spans="1:14" ht="12.75" x14ac:dyDescent="0.2">
      <c r="A18" s="377">
        <v>12149</v>
      </c>
      <c r="B18" s="378">
        <v>174</v>
      </c>
      <c r="C18" s="378" t="s">
        <v>9</v>
      </c>
      <c r="D18" s="379">
        <v>39404</v>
      </c>
      <c r="E18" s="378">
        <v>1</v>
      </c>
      <c r="F18" s="380">
        <v>0.47</v>
      </c>
      <c r="G18" s="381">
        <v>2.31</v>
      </c>
    </row>
    <row r="19" spans="1:14" ht="12.75" x14ac:dyDescent="0.2">
      <c r="A19" s="377">
        <v>12154</v>
      </c>
      <c r="B19" s="378">
        <v>174</v>
      </c>
      <c r="C19" s="378" t="s">
        <v>9</v>
      </c>
      <c r="D19" s="379">
        <v>39404</v>
      </c>
      <c r="E19" s="378">
        <v>1</v>
      </c>
      <c r="F19" s="380">
        <v>0.97</v>
      </c>
      <c r="G19" s="381">
        <v>2.23</v>
      </c>
    </row>
    <row r="20" spans="1:14" ht="12.75" x14ac:dyDescent="0.2">
      <c r="A20" s="377">
        <v>12156</v>
      </c>
      <c r="B20" s="378">
        <v>174</v>
      </c>
      <c r="C20" s="378" t="s">
        <v>9</v>
      </c>
      <c r="D20" s="379">
        <v>39404</v>
      </c>
      <c r="E20" s="378">
        <v>1</v>
      </c>
      <c r="F20" s="380">
        <v>0.81</v>
      </c>
      <c r="G20" s="381">
        <v>2.11</v>
      </c>
    </row>
    <row r="21" spans="1:14" ht="12.75" x14ac:dyDescent="0.2">
      <c r="A21" s="377">
        <v>12160</v>
      </c>
      <c r="B21" s="378">
        <v>174</v>
      </c>
      <c r="C21" s="378" t="s">
        <v>9</v>
      </c>
      <c r="D21" s="379">
        <v>39405</v>
      </c>
      <c r="E21" s="378">
        <v>1</v>
      </c>
      <c r="F21" s="380">
        <v>0.68</v>
      </c>
      <c r="G21" s="381">
        <v>2.2200000000000002</v>
      </c>
    </row>
    <row r="22" spans="1:14" ht="12.75" x14ac:dyDescent="0.2">
      <c r="A22" s="377">
        <v>12161</v>
      </c>
      <c r="B22" s="378">
        <v>174</v>
      </c>
      <c r="C22" s="378" t="s">
        <v>9</v>
      </c>
      <c r="D22" s="379">
        <v>39405</v>
      </c>
      <c r="E22" s="378">
        <v>1</v>
      </c>
      <c r="F22" s="380">
        <v>0.67</v>
      </c>
      <c r="G22" s="381">
        <v>2.08</v>
      </c>
    </row>
    <row r="23" spans="1:14" ht="12.75" x14ac:dyDescent="0.2">
      <c r="A23" s="377">
        <v>12162</v>
      </c>
      <c r="B23" s="378">
        <v>181</v>
      </c>
      <c r="C23" s="378" t="s">
        <v>9</v>
      </c>
      <c r="D23" s="379">
        <v>39405</v>
      </c>
      <c r="E23" s="378">
        <v>1</v>
      </c>
      <c r="F23" s="380">
        <v>0.95</v>
      </c>
      <c r="G23" s="381">
        <v>2.0099999999999998</v>
      </c>
    </row>
    <row r="24" spans="1:14" ht="12.75" x14ac:dyDescent="0.2">
      <c r="A24" s="377">
        <v>12136</v>
      </c>
      <c r="B24" s="378">
        <v>181</v>
      </c>
      <c r="C24" s="378" t="s">
        <v>10</v>
      </c>
      <c r="D24" s="379">
        <v>39403</v>
      </c>
      <c r="E24" s="378">
        <v>2</v>
      </c>
      <c r="F24" s="380">
        <v>1.32</v>
      </c>
      <c r="G24" s="381">
        <v>2.35</v>
      </c>
      <c r="I24" s="561" t="s">
        <v>363</v>
      </c>
      <c r="J24" s="561"/>
      <c r="K24" s="561"/>
      <c r="L24" s="561"/>
      <c r="M24" s="561"/>
      <c r="N24" s="561"/>
    </row>
    <row r="25" spans="1:14" ht="12.75" x14ac:dyDescent="0.2">
      <c r="A25" s="377">
        <v>12137</v>
      </c>
      <c r="B25" s="378">
        <v>181</v>
      </c>
      <c r="C25" s="378" t="s">
        <v>10</v>
      </c>
      <c r="D25" s="379">
        <v>39403</v>
      </c>
      <c r="E25" s="378">
        <v>2</v>
      </c>
      <c r="F25" s="380">
        <v>0.75</v>
      </c>
      <c r="G25" s="381">
        <v>1.73</v>
      </c>
      <c r="I25" s="561"/>
      <c r="J25" s="561"/>
      <c r="K25" s="561"/>
      <c r="L25" s="561"/>
      <c r="M25" s="561"/>
      <c r="N25" s="561"/>
    </row>
    <row r="26" spans="1:14" ht="12.75" x14ac:dyDescent="0.2">
      <c r="A26" s="377">
        <v>12138</v>
      </c>
      <c r="B26" s="378">
        <v>181</v>
      </c>
      <c r="C26" s="378" t="s">
        <v>10</v>
      </c>
      <c r="D26" s="379">
        <v>39403</v>
      </c>
      <c r="E26" s="378">
        <v>2</v>
      </c>
      <c r="F26" s="380">
        <v>0.92</v>
      </c>
      <c r="G26" s="381">
        <v>2.08</v>
      </c>
      <c r="I26" s="561"/>
      <c r="J26" s="561"/>
      <c r="K26" s="561"/>
      <c r="L26" s="561"/>
      <c r="M26" s="561"/>
      <c r="N26" s="561"/>
    </row>
    <row r="27" spans="1:14" ht="12.75" x14ac:dyDescent="0.2">
      <c r="A27" s="377">
        <v>12141</v>
      </c>
      <c r="B27" s="378">
        <v>181</v>
      </c>
      <c r="C27" s="378" t="s">
        <v>10</v>
      </c>
      <c r="D27" s="379">
        <v>39403</v>
      </c>
      <c r="E27" s="378">
        <v>2</v>
      </c>
      <c r="F27" s="380">
        <v>0.46</v>
      </c>
      <c r="G27" s="381">
        <v>2.2599999999999998</v>
      </c>
      <c r="I27" s="561"/>
      <c r="J27" s="561"/>
      <c r="K27" s="561"/>
      <c r="L27" s="561"/>
      <c r="M27" s="561"/>
      <c r="N27" s="561"/>
    </row>
    <row r="28" spans="1:14" ht="12.75" x14ac:dyDescent="0.2">
      <c r="A28" s="377">
        <v>12143</v>
      </c>
      <c r="B28" s="378">
        <v>174</v>
      </c>
      <c r="C28" s="378" t="s">
        <v>10</v>
      </c>
      <c r="D28" s="379">
        <v>39403</v>
      </c>
      <c r="E28" s="378">
        <v>2</v>
      </c>
      <c r="F28" s="380">
        <v>1.04</v>
      </c>
      <c r="G28" s="381">
        <v>2.2400000000000002</v>
      </c>
      <c r="I28" s="561"/>
      <c r="J28" s="561"/>
      <c r="K28" s="561"/>
      <c r="L28" s="561"/>
      <c r="M28" s="561"/>
      <c r="N28" s="561"/>
    </row>
    <row r="29" spans="1:14" ht="12.75" x14ac:dyDescent="0.2">
      <c r="A29" s="377">
        <v>12147</v>
      </c>
      <c r="B29" s="378">
        <v>181</v>
      </c>
      <c r="C29" s="378" t="s">
        <v>8</v>
      </c>
      <c r="D29" s="379">
        <v>39404</v>
      </c>
      <c r="E29" s="378">
        <v>2</v>
      </c>
      <c r="F29" s="380">
        <v>0.9</v>
      </c>
      <c r="G29" s="381">
        <v>2.0099999999999998</v>
      </c>
      <c r="I29" s="561"/>
      <c r="J29" s="561"/>
      <c r="K29" s="561"/>
      <c r="L29" s="561"/>
      <c r="M29" s="561"/>
      <c r="N29" s="561"/>
    </row>
    <row r="30" spans="1:14" ht="12.75" x14ac:dyDescent="0.2">
      <c r="A30" s="377">
        <v>12150</v>
      </c>
      <c r="B30" s="378">
        <v>167</v>
      </c>
      <c r="C30" s="378" t="s">
        <v>8</v>
      </c>
      <c r="D30" s="379">
        <v>39404</v>
      </c>
      <c r="E30" s="378">
        <v>2</v>
      </c>
      <c r="F30" s="380">
        <v>0.97</v>
      </c>
      <c r="G30" s="381">
        <v>2</v>
      </c>
      <c r="I30" s="561"/>
      <c r="J30" s="561"/>
      <c r="K30" s="561"/>
      <c r="L30" s="561"/>
      <c r="M30" s="561"/>
      <c r="N30" s="561"/>
    </row>
    <row r="31" spans="1:14" ht="12.75" x14ac:dyDescent="0.2">
      <c r="A31" s="377">
        <v>12151</v>
      </c>
      <c r="B31" s="378">
        <v>181</v>
      </c>
      <c r="C31" s="378" t="s">
        <v>8</v>
      </c>
      <c r="D31" s="379">
        <v>39404</v>
      </c>
      <c r="E31" s="378">
        <v>2</v>
      </c>
      <c r="F31" s="380">
        <v>0.49</v>
      </c>
      <c r="G31" s="381">
        <v>2.08</v>
      </c>
      <c r="I31" s="561"/>
      <c r="J31" s="561"/>
      <c r="K31" s="561"/>
      <c r="L31" s="561"/>
      <c r="M31" s="561"/>
      <c r="N31" s="561"/>
    </row>
    <row r="32" spans="1:14" ht="12.75" x14ac:dyDescent="0.2">
      <c r="A32" s="377">
        <v>12152</v>
      </c>
      <c r="B32" s="378">
        <v>181</v>
      </c>
      <c r="C32" s="378" t="s">
        <v>8</v>
      </c>
      <c r="D32" s="379">
        <v>39404</v>
      </c>
      <c r="E32" s="378">
        <v>2</v>
      </c>
      <c r="F32" s="380">
        <v>0.75</v>
      </c>
      <c r="G32" s="381">
        <v>2.17</v>
      </c>
      <c r="I32" s="561"/>
      <c r="J32" s="561"/>
      <c r="K32" s="561"/>
      <c r="L32" s="561"/>
      <c r="M32" s="561"/>
      <c r="N32" s="561"/>
    </row>
    <row r="33" spans="1:14" ht="12.75" x14ac:dyDescent="0.2">
      <c r="A33" s="377">
        <v>12153</v>
      </c>
      <c r="B33" s="378">
        <v>167</v>
      </c>
      <c r="C33" s="378" t="s">
        <v>8</v>
      </c>
      <c r="D33" s="379">
        <v>39404</v>
      </c>
      <c r="E33" s="378">
        <v>2</v>
      </c>
      <c r="F33" s="380">
        <v>0.3</v>
      </c>
      <c r="G33" s="381">
        <v>3.22</v>
      </c>
      <c r="I33" s="561"/>
      <c r="J33" s="561"/>
      <c r="K33" s="561"/>
      <c r="L33" s="561"/>
      <c r="M33" s="561"/>
      <c r="N33" s="561"/>
    </row>
    <row r="34" spans="1:14" ht="12.75" x14ac:dyDescent="0.2">
      <c r="A34" s="377">
        <v>12155</v>
      </c>
      <c r="B34" s="378">
        <v>181</v>
      </c>
      <c r="C34" s="378" t="s">
        <v>9</v>
      </c>
      <c r="D34" s="379">
        <v>39404</v>
      </c>
      <c r="E34" s="378">
        <v>2</v>
      </c>
      <c r="F34" s="380">
        <v>1.01</v>
      </c>
      <c r="G34" s="381">
        <v>2.2400000000000002</v>
      </c>
      <c r="I34" s="561"/>
      <c r="J34" s="561"/>
      <c r="K34" s="561"/>
      <c r="L34" s="561"/>
      <c r="M34" s="561"/>
      <c r="N34" s="561"/>
    </row>
    <row r="35" spans="1:14" ht="12.75" x14ac:dyDescent="0.2">
      <c r="A35" s="377">
        <v>12157</v>
      </c>
      <c r="B35" s="378">
        <v>181</v>
      </c>
      <c r="C35" s="378" t="s">
        <v>9</v>
      </c>
      <c r="D35" s="379">
        <v>39405</v>
      </c>
      <c r="E35" s="378">
        <v>2</v>
      </c>
      <c r="F35" s="380">
        <v>0.84</v>
      </c>
      <c r="G35" s="381">
        <v>2.34</v>
      </c>
    </row>
    <row r="36" spans="1:14" ht="12.75" x14ac:dyDescent="0.2">
      <c r="A36" s="377">
        <v>12158</v>
      </c>
      <c r="B36" s="378">
        <v>174</v>
      </c>
      <c r="C36" s="378" t="s">
        <v>9</v>
      </c>
      <c r="D36" s="379">
        <v>39405</v>
      </c>
      <c r="E36" s="378">
        <v>2</v>
      </c>
      <c r="F36" s="380">
        <v>0.68</v>
      </c>
      <c r="G36" s="381">
        <v>2.1</v>
      </c>
      <c r="I36" s="564" t="s">
        <v>364</v>
      </c>
      <c r="J36" s="564"/>
      <c r="K36" s="564"/>
      <c r="L36" s="564"/>
      <c r="M36" s="564"/>
      <c r="N36" s="564"/>
    </row>
    <row r="37" spans="1:14" ht="12.75" x14ac:dyDescent="0.2">
      <c r="A37" s="382">
        <v>12159</v>
      </c>
      <c r="B37" s="383">
        <v>181</v>
      </c>
      <c r="C37" s="383" t="s">
        <v>8</v>
      </c>
      <c r="D37" s="384">
        <v>39405</v>
      </c>
      <c r="E37" s="383">
        <v>2</v>
      </c>
      <c r="F37" s="385">
        <v>0.57999999999999996</v>
      </c>
      <c r="G37" s="386">
        <v>2.33</v>
      </c>
      <c r="I37" s="565"/>
      <c r="J37" s="565"/>
      <c r="K37" s="565"/>
      <c r="L37" s="565"/>
      <c r="M37" s="565"/>
      <c r="N37" s="565"/>
    </row>
    <row r="38" spans="1:14" ht="12.75" x14ac:dyDescent="0.2">
      <c r="A38" s="248"/>
      <c r="B38" s="249"/>
      <c r="C38" s="249"/>
      <c r="D38" s="250"/>
      <c r="E38" s="249"/>
      <c r="F38" s="251"/>
      <c r="G38" s="252"/>
      <c r="I38" s="565"/>
      <c r="J38" s="565"/>
      <c r="K38" s="565"/>
      <c r="L38" s="565"/>
      <c r="M38" s="565"/>
      <c r="N38" s="565"/>
    </row>
    <row r="39" spans="1:14" ht="12.75" x14ac:dyDescent="0.2">
      <c r="A39" s="16"/>
      <c r="B39" s="16"/>
      <c r="C39" s="16"/>
      <c r="D39" s="16"/>
      <c r="E39" s="16"/>
      <c r="F39" s="16"/>
      <c r="G39" s="16"/>
      <c r="I39" s="565"/>
      <c r="J39" s="565"/>
      <c r="K39" s="565"/>
      <c r="L39" s="565"/>
      <c r="M39" s="565"/>
      <c r="N39" s="565"/>
    </row>
    <row r="40" spans="1:14" ht="12.75" x14ac:dyDescent="0.2">
      <c r="A40" s="12" t="s">
        <v>11</v>
      </c>
      <c r="B40" s="17"/>
      <c r="C40" s="17"/>
      <c r="D40" s="17"/>
      <c r="E40" s="17"/>
      <c r="F40" s="18">
        <f>AVERAGE(F9:F38)</f>
        <v>0.75689655172413783</v>
      </c>
      <c r="G40" s="19">
        <f>AVERAGE(G9:G38)</f>
        <v>2.1882758620689651</v>
      </c>
      <c r="I40" s="565"/>
      <c r="J40" s="565"/>
      <c r="K40" s="565"/>
      <c r="L40" s="565"/>
      <c r="M40" s="565"/>
      <c r="N40" s="565"/>
    </row>
    <row r="41" spans="1:14" ht="12.75" x14ac:dyDescent="0.2">
      <c r="A41" s="7" t="s">
        <v>12</v>
      </c>
      <c r="B41" s="20"/>
      <c r="C41" s="20"/>
      <c r="D41" s="20"/>
      <c r="E41" s="20"/>
      <c r="F41" s="21">
        <f>MEDIAN(F9:F38)</f>
        <v>0.75</v>
      </c>
      <c r="G41" s="22">
        <f>MEDIAN(G9:G38)</f>
        <v>2.21</v>
      </c>
      <c r="I41" s="565"/>
      <c r="J41" s="565"/>
      <c r="K41" s="565"/>
      <c r="L41" s="565"/>
      <c r="M41" s="565"/>
      <c r="N41" s="565"/>
    </row>
    <row r="42" spans="1:14" ht="12.75" x14ac:dyDescent="0.2">
      <c r="A42" s="7" t="s">
        <v>13</v>
      </c>
      <c r="B42" s="20"/>
      <c r="C42" s="20"/>
      <c r="D42" s="20"/>
      <c r="E42" s="20"/>
      <c r="F42" s="21">
        <f>MODE(F9:F38)</f>
        <v>0.49</v>
      </c>
      <c r="G42" s="22">
        <f>MODE(G9:G38)</f>
        <v>2.2400000000000002</v>
      </c>
      <c r="I42" s="565"/>
      <c r="J42" s="565"/>
      <c r="K42" s="565"/>
      <c r="L42" s="565"/>
      <c r="M42" s="565"/>
      <c r="N42" s="565"/>
    </row>
    <row r="43" spans="1:14" ht="12.75" x14ac:dyDescent="0.2">
      <c r="A43" s="11" t="s">
        <v>14</v>
      </c>
      <c r="B43" s="23"/>
      <c r="C43" s="23"/>
      <c r="D43" s="23"/>
      <c r="E43" s="23"/>
      <c r="F43" s="24">
        <f>STDEV(F9:F38)</f>
        <v>0.26202649059474747</v>
      </c>
      <c r="G43" s="25">
        <f>STDEV(G9:G38)</f>
        <v>0.24548885580638094</v>
      </c>
      <c r="I43" s="565"/>
      <c r="J43" s="565"/>
      <c r="K43" s="565"/>
      <c r="L43" s="565"/>
      <c r="M43" s="565"/>
      <c r="N43" s="565"/>
    </row>
  </sheetData>
  <mergeCells count="3">
    <mergeCell ref="I24:N34"/>
    <mergeCell ref="I6:N17"/>
    <mergeCell ref="I36:N43"/>
  </mergeCells>
  <phoneticPr fontId="3" type="noConversion"/>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autoPageBreaks="0"/>
  </sheetPr>
  <dimension ref="A1:J36"/>
  <sheetViews>
    <sheetView workbookViewId="0"/>
  </sheetViews>
  <sheetFormatPr defaultColWidth="9.140625" defaultRowHeight="11.25" x14ac:dyDescent="0.2"/>
  <cols>
    <col min="1" max="1" width="8" style="4" customWidth="1"/>
    <col min="2" max="2" width="5.42578125" style="4" customWidth="1"/>
    <col min="3" max="3" width="6.42578125" style="4" customWidth="1"/>
    <col min="4" max="4" width="12" style="4" customWidth="1"/>
    <col min="5" max="5" width="9.85546875" style="4" bestFit="1" customWidth="1"/>
    <col min="6" max="6" width="9.5703125" style="4" bestFit="1" customWidth="1"/>
    <col min="7" max="8" width="9.85546875" style="4" customWidth="1"/>
    <col min="9" max="16384" width="9.140625" style="4"/>
  </cols>
  <sheetData>
    <row r="1" spans="1:10" ht="20.25" customHeight="1" x14ac:dyDescent="0.25">
      <c r="A1" s="97" t="s">
        <v>0</v>
      </c>
      <c r="B1" s="98"/>
      <c r="C1" s="98"/>
      <c r="D1" s="98"/>
      <c r="E1" s="98"/>
      <c r="F1" s="98"/>
      <c r="G1" s="99"/>
      <c r="H1" s="100"/>
      <c r="I1" s="92"/>
      <c r="J1" s="92"/>
    </row>
    <row r="2" spans="1:10" s="6" customFormat="1" ht="27" customHeight="1" x14ac:dyDescent="0.2">
      <c r="A2" s="5" t="s">
        <v>1</v>
      </c>
      <c r="B2" s="5" t="s">
        <v>2</v>
      </c>
      <c r="C2" s="5" t="s">
        <v>3</v>
      </c>
      <c r="D2" s="5" t="s">
        <v>4</v>
      </c>
      <c r="E2" s="5" t="s">
        <v>5</v>
      </c>
      <c r="F2" s="5" t="s">
        <v>6</v>
      </c>
      <c r="G2" s="5" t="s">
        <v>7</v>
      </c>
      <c r="H2" s="95" t="s">
        <v>20</v>
      </c>
      <c r="I2" s="95" t="s">
        <v>24</v>
      </c>
      <c r="J2" s="95" t="s">
        <v>25</v>
      </c>
    </row>
    <row r="3" spans="1:10" ht="12.75" x14ac:dyDescent="0.2">
      <c r="A3" s="12">
        <v>12134</v>
      </c>
      <c r="B3" s="13">
        <v>174</v>
      </c>
      <c r="C3" s="13" t="s">
        <v>8</v>
      </c>
      <c r="D3" s="14">
        <v>39403</v>
      </c>
      <c r="E3" s="13">
        <v>1</v>
      </c>
      <c r="F3" s="15">
        <v>0.82</v>
      </c>
      <c r="G3" s="93">
        <v>2.21</v>
      </c>
      <c r="H3" s="96">
        <v>54.5</v>
      </c>
      <c r="I3" s="20">
        <f>RANK(F3,F$3:F$32,1)</f>
        <v>18</v>
      </c>
      <c r="J3" s="20">
        <f>RANK(G3,G$3:G$32)</f>
        <v>15</v>
      </c>
    </row>
    <row r="4" spans="1:10" ht="12.75" x14ac:dyDescent="0.2">
      <c r="A4" s="7">
        <v>12135</v>
      </c>
      <c r="B4" s="8">
        <v>174</v>
      </c>
      <c r="C4" s="8" t="s">
        <v>8</v>
      </c>
      <c r="D4" s="9">
        <v>39403</v>
      </c>
      <c r="E4" s="8">
        <v>1</v>
      </c>
      <c r="F4" s="10">
        <v>0.49</v>
      </c>
      <c r="G4" s="94">
        <v>1.94</v>
      </c>
      <c r="H4" s="10">
        <v>54.5</v>
      </c>
      <c r="I4" s="20">
        <f t="shared" ref="I4:I31" si="0">RANK(F4,F$3:F$32,1)</f>
        <v>6</v>
      </c>
      <c r="J4" s="20">
        <f t="shared" ref="J4:J31" si="1">RANK(G4,G$3:G$32)</f>
        <v>28</v>
      </c>
    </row>
    <row r="5" spans="1:10" ht="12.75" x14ac:dyDescent="0.2">
      <c r="A5" s="7">
        <v>12139</v>
      </c>
      <c r="B5" s="8">
        <v>174</v>
      </c>
      <c r="C5" s="8" t="s">
        <v>8</v>
      </c>
      <c r="D5" s="9">
        <v>39403</v>
      </c>
      <c r="E5" s="8">
        <v>1</v>
      </c>
      <c r="F5" s="10">
        <v>0.52</v>
      </c>
      <c r="G5" s="94">
        <v>2.0299999999999998</v>
      </c>
      <c r="H5" s="10">
        <v>54.5</v>
      </c>
      <c r="I5" s="20">
        <f t="shared" si="0"/>
        <v>8</v>
      </c>
      <c r="J5" s="20">
        <f t="shared" si="1"/>
        <v>23</v>
      </c>
    </row>
    <row r="6" spans="1:10" ht="12.75" x14ac:dyDescent="0.2">
      <c r="A6" s="7">
        <v>12140</v>
      </c>
      <c r="B6" s="8">
        <v>167</v>
      </c>
      <c r="C6" s="8" t="s">
        <v>8</v>
      </c>
      <c r="D6" s="9">
        <v>39403</v>
      </c>
      <c r="E6" s="8">
        <v>1</v>
      </c>
      <c r="F6" s="10">
        <v>0.63</v>
      </c>
      <c r="G6" s="94">
        <v>2.2400000000000002</v>
      </c>
      <c r="H6" s="10">
        <v>45.5</v>
      </c>
      <c r="I6" s="20">
        <f t="shared" si="0"/>
        <v>10</v>
      </c>
      <c r="J6" s="20">
        <f t="shared" si="1"/>
        <v>10</v>
      </c>
    </row>
    <row r="7" spans="1:10" ht="12.75" x14ac:dyDescent="0.2">
      <c r="A7" s="7">
        <v>12142</v>
      </c>
      <c r="B7" s="8">
        <v>167</v>
      </c>
      <c r="C7" s="8" t="s">
        <v>8</v>
      </c>
      <c r="D7" s="9">
        <v>39403</v>
      </c>
      <c r="E7" s="8">
        <v>1</v>
      </c>
      <c r="F7" s="10">
        <v>0.64</v>
      </c>
      <c r="G7" s="94">
        <v>2.2799999999999998</v>
      </c>
      <c r="H7" s="10">
        <v>45.5</v>
      </c>
      <c r="I7" s="20">
        <f t="shared" si="0"/>
        <v>11</v>
      </c>
      <c r="J7" s="20">
        <f t="shared" si="1"/>
        <v>7</v>
      </c>
    </row>
    <row r="8" spans="1:10" ht="12.75" x14ac:dyDescent="0.2">
      <c r="A8" s="7">
        <v>12144</v>
      </c>
      <c r="B8" s="8">
        <v>167</v>
      </c>
      <c r="C8" s="8" t="s">
        <v>8</v>
      </c>
      <c r="D8" s="9">
        <v>39403</v>
      </c>
      <c r="E8" s="8">
        <v>1</v>
      </c>
      <c r="F8" s="10">
        <v>1.28</v>
      </c>
      <c r="G8" s="94">
        <v>2.31</v>
      </c>
      <c r="H8" s="10">
        <v>45.5</v>
      </c>
      <c r="I8" s="20">
        <f t="shared" si="0"/>
        <v>28</v>
      </c>
      <c r="J8" s="20">
        <f t="shared" si="1"/>
        <v>5</v>
      </c>
    </row>
    <row r="9" spans="1:10" ht="12.75" x14ac:dyDescent="0.2">
      <c r="A9" s="7">
        <v>12145</v>
      </c>
      <c r="B9" s="8">
        <v>174</v>
      </c>
      <c r="C9" s="8" t="s">
        <v>8</v>
      </c>
      <c r="D9" s="9">
        <v>39403</v>
      </c>
      <c r="E9" s="8">
        <v>1</v>
      </c>
      <c r="F9" s="10">
        <v>0.45</v>
      </c>
      <c r="G9" s="94">
        <v>2.02</v>
      </c>
      <c r="H9" s="10">
        <v>54.5</v>
      </c>
      <c r="I9" s="20">
        <f t="shared" si="0"/>
        <v>3</v>
      </c>
      <c r="J9" s="20">
        <f t="shared" si="1"/>
        <v>24</v>
      </c>
    </row>
    <row r="10" spans="1:10" ht="12.75" x14ac:dyDescent="0.2">
      <c r="A10" s="7">
        <v>12146</v>
      </c>
      <c r="B10" s="8">
        <v>167</v>
      </c>
      <c r="C10" s="8" t="s">
        <v>8</v>
      </c>
      <c r="D10" s="9">
        <v>39403</v>
      </c>
      <c r="E10" s="8">
        <v>1</v>
      </c>
      <c r="F10" s="10">
        <v>1.1299999999999999</v>
      </c>
      <c r="G10" s="94">
        <v>2.0499999999999998</v>
      </c>
      <c r="H10" s="10">
        <v>45.5</v>
      </c>
      <c r="I10" s="20">
        <f t="shared" si="0"/>
        <v>27</v>
      </c>
      <c r="J10" s="20">
        <f t="shared" si="1"/>
        <v>22</v>
      </c>
    </row>
    <row r="11" spans="1:10" ht="12.75" x14ac:dyDescent="0.2">
      <c r="A11" s="7">
        <v>12148</v>
      </c>
      <c r="B11" s="8">
        <v>167</v>
      </c>
      <c r="C11" s="8" t="s">
        <v>9</v>
      </c>
      <c r="D11" s="9">
        <v>39404</v>
      </c>
      <c r="E11" s="8">
        <v>1</v>
      </c>
      <c r="F11" s="10">
        <v>0.43</v>
      </c>
      <c r="G11" s="94">
        <v>2.27</v>
      </c>
      <c r="H11" s="10">
        <v>55.5</v>
      </c>
      <c r="I11" s="20">
        <f t="shared" si="0"/>
        <v>2</v>
      </c>
      <c r="J11" s="20">
        <f t="shared" si="1"/>
        <v>8</v>
      </c>
    </row>
    <row r="12" spans="1:10" ht="12.75" x14ac:dyDescent="0.2">
      <c r="A12" s="7">
        <v>12149</v>
      </c>
      <c r="B12" s="8">
        <v>174</v>
      </c>
      <c r="C12" s="8" t="s">
        <v>9</v>
      </c>
      <c r="D12" s="9">
        <v>39404</v>
      </c>
      <c r="E12" s="8">
        <v>1</v>
      </c>
      <c r="F12" s="10">
        <v>0.47</v>
      </c>
      <c r="G12" s="94">
        <v>2.31</v>
      </c>
      <c r="H12" s="10">
        <v>64.5</v>
      </c>
      <c r="I12" s="20">
        <f t="shared" si="0"/>
        <v>5</v>
      </c>
      <c r="J12" s="20">
        <f t="shared" si="1"/>
        <v>5</v>
      </c>
    </row>
    <row r="13" spans="1:10" ht="12.75" x14ac:dyDescent="0.2">
      <c r="A13" s="7">
        <v>12154</v>
      </c>
      <c r="B13" s="8">
        <v>174</v>
      </c>
      <c r="C13" s="8" t="s">
        <v>9</v>
      </c>
      <c r="D13" s="9">
        <v>39404</v>
      </c>
      <c r="E13" s="8">
        <v>1</v>
      </c>
      <c r="F13" s="10">
        <v>0.97</v>
      </c>
      <c r="G13" s="94">
        <v>2.23</v>
      </c>
      <c r="H13" s="10">
        <v>64.5</v>
      </c>
      <c r="I13" s="20">
        <f t="shared" si="0"/>
        <v>23</v>
      </c>
      <c r="J13" s="20">
        <f t="shared" si="1"/>
        <v>13</v>
      </c>
    </row>
    <row r="14" spans="1:10" ht="12.75" x14ac:dyDescent="0.2">
      <c r="A14" s="7">
        <v>12156</v>
      </c>
      <c r="B14" s="8">
        <v>174</v>
      </c>
      <c r="C14" s="8" t="s">
        <v>9</v>
      </c>
      <c r="D14" s="9">
        <v>39404</v>
      </c>
      <c r="E14" s="8">
        <v>1</v>
      </c>
      <c r="F14" s="10">
        <v>0.81</v>
      </c>
      <c r="G14" s="94">
        <v>2.11</v>
      </c>
      <c r="H14" s="10">
        <v>64.5</v>
      </c>
      <c r="I14" s="20">
        <f t="shared" si="0"/>
        <v>17</v>
      </c>
      <c r="J14" s="20">
        <f t="shared" si="1"/>
        <v>17</v>
      </c>
    </row>
    <row r="15" spans="1:10" ht="12.75" x14ac:dyDescent="0.2">
      <c r="A15" s="7">
        <v>12160</v>
      </c>
      <c r="B15" s="8">
        <v>174</v>
      </c>
      <c r="C15" s="8" t="s">
        <v>9</v>
      </c>
      <c r="D15" s="9">
        <v>39405</v>
      </c>
      <c r="E15" s="8">
        <v>1</v>
      </c>
      <c r="F15" s="10">
        <v>0.68</v>
      </c>
      <c r="G15" s="94">
        <v>2.2200000000000002</v>
      </c>
      <c r="H15" s="10">
        <v>64.5</v>
      </c>
      <c r="I15" s="20">
        <f t="shared" si="0"/>
        <v>13</v>
      </c>
      <c r="J15" s="20">
        <f t="shared" si="1"/>
        <v>14</v>
      </c>
    </row>
    <row r="16" spans="1:10" ht="12.75" x14ac:dyDescent="0.2">
      <c r="A16" s="7">
        <v>12161</v>
      </c>
      <c r="B16" s="8">
        <v>174</v>
      </c>
      <c r="C16" s="8" t="s">
        <v>9</v>
      </c>
      <c r="D16" s="9">
        <v>39405</v>
      </c>
      <c r="E16" s="8">
        <v>1</v>
      </c>
      <c r="F16" s="10">
        <v>0.67</v>
      </c>
      <c r="G16" s="94">
        <v>2.08</v>
      </c>
      <c r="H16" s="10">
        <v>64.5</v>
      </c>
      <c r="I16" s="20">
        <f t="shared" si="0"/>
        <v>12</v>
      </c>
      <c r="J16" s="20">
        <f t="shared" si="1"/>
        <v>19</v>
      </c>
    </row>
    <row r="17" spans="1:10" ht="12.75" x14ac:dyDescent="0.2">
      <c r="A17" s="7">
        <v>12162</v>
      </c>
      <c r="B17" s="8">
        <v>181</v>
      </c>
      <c r="C17" s="8" t="s">
        <v>9</v>
      </c>
      <c r="D17" s="9">
        <v>39405</v>
      </c>
      <c r="E17" s="8">
        <v>1</v>
      </c>
      <c r="F17" s="10">
        <v>0.95</v>
      </c>
      <c r="G17" s="94">
        <v>2.0099999999999998</v>
      </c>
      <c r="H17" s="10">
        <v>70.5</v>
      </c>
      <c r="I17" s="20">
        <f t="shared" si="0"/>
        <v>22</v>
      </c>
      <c r="J17" s="20">
        <f t="shared" si="1"/>
        <v>25</v>
      </c>
    </row>
    <row r="18" spans="1:10" ht="12.75" x14ac:dyDescent="0.2">
      <c r="A18" s="7">
        <v>12136</v>
      </c>
      <c r="B18" s="8">
        <v>181</v>
      </c>
      <c r="C18" s="8" t="s">
        <v>10</v>
      </c>
      <c r="D18" s="9">
        <v>39403</v>
      </c>
      <c r="E18" s="8">
        <v>2</v>
      </c>
      <c r="F18" s="10">
        <v>1.32</v>
      </c>
      <c r="G18" s="94">
        <v>2.35</v>
      </c>
      <c r="H18" s="10">
        <v>82.5</v>
      </c>
      <c r="I18" s="20">
        <f t="shared" si="0"/>
        <v>29</v>
      </c>
      <c r="J18" s="20">
        <f t="shared" si="1"/>
        <v>2</v>
      </c>
    </row>
    <row r="19" spans="1:10" ht="12.75" x14ac:dyDescent="0.2">
      <c r="A19" s="7">
        <v>12137</v>
      </c>
      <c r="B19" s="8">
        <v>181</v>
      </c>
      <c r="C19" s="8" t="s">
        <v>10</v>
      </c>
      <c r="D19" s="9">
        <v>39403</v>
      </c>
      <c r="E19" s="8">
        <v>2</v>
      </c>
      <c r="F19" s="10">
        <v>0.75</v>
      </c>
      <c r="G19" s="94">
        <v>1.73</v>
      </c>
      <c r="H19" s="10">
        <v>82.5</v>
      </c>
      <c r="I19" s="20">
        <f t="shared" si="0"/>
        <v>15</v>
      </c>
      <c r="J19" s="20">
        <f t="shared" si="1"/>
        <v>29</v>
      </c>
    </row>
    <row r="20" spans="1:10" ht="12.75" x14ac:dyDescent="0.2">
      <c r="A20" s="7">
        <v>12138</v>
      </c>
      <c r="B20" s="8">
        <v>181</v>
      </c>
      <c r="C20" s="8" t="s">
        <v>10</v>
      </c>
      <c r="D20" s="9">
        <v>39403</v>
      </c>
      <c r="E20" s="8">
        <v>2</v>
      </c>
      <c r="F20" s="10">
        <v>0.92</v>
      </c>
      <c r="G20" s="94">
        <v>2.08</v>
      </c>
      <c r="H20" s="10">
        <v>82.5</v>
      </c>
      <c r="I20" s="20">
        <f t="shared" si="0"/>
        <v>21</v>
      </c>
      <c r="J20" s="20">
        <f t="shared" si="1"/>
        <v>19</v>
      </c>
    </row>
    <row r="21" spans="1:10" ht="12.75" x14ac:dyDescent="0.2">
      <c r="A21" s="7">
        <v>12141</v>
      </c>
      <c r="B21" s="8">
        <v>181</v>
      </c>
      <c r="C21" s="8" t="s">
        <v>10</v>
      </c>
      <c r="D21" s="9">
        <v>39403</v>
      </c>
      <c r="E21" s="8">
        <v>2</v>
      </c>
      <c r="F21" s="10">
        <v>0.46</v>
      </c>
      <c r="G21" s="94">
        <v>2.2599999999999998</v>
      </c>
      <c r="H21" s="10">
        <v>82.5</v>
      </c>
      <c r="I21" s="20">
        <f t="shared" si="0"/>
        <v>4</v>
      </c>
      <c r="J21" s="20">
        <f t="shared" si="1"/>
        <v>9</v>
      </c>
    </row>
    <row r="22" spans="1:10" ht="12.75" x14ac:dyDescent="0.2">
      <c r="A22" s="7">
        <v>12143</v>
      </c>
      <c r="B22" s="8">
        <v>174</v>
      </c>
      <c r="C22" s="8" t="s">
        <v>10</v>
      </c>
      <c r="D22" s="9">
        <v>39403</v>
      </c>
      <c r="E22" s="8">
        <v>2</v>
      </c>
      <c r="F22" s="10">
        <v>1.04</v>
      </c>
      <c r="G22" s="94">
        <v>2.2400000000000002</v>
      </c>
      <c r="H22" s="10">
        <v>76.5</v>
      </c>
      <c r="I22" s="20">
        <f t="shared" si="0"/>
        <v>26</v>
      </c>
      <c r="J22" s="20">
        <f t="shared" si="1"/>
        <v>10</v>
      </c>
    </row>
    <row r="23" spans="1:10" ht="12.75" x14ac:dyDescent="0.2">
      <c r="A23" s="7">
        <v>12147</v>
      </c>
      <c r="B23" s="8">
        <v>181</v>
      </c>
      <c r="C23" s="8" t="s">
        <v>8</v>
      </c>
      <c r="D23" s="9">
        <v>39404</v>
      </c>
      <c r="E23" s="8">
        <v>2</v>
      </c>
      <c r="F23" s="10">
        <v>0.9</v>
      </c>
      <c r="G23" s="94">
        <v>2.0099999999999998</v>
      </c>
      <c r="H23" s="10">
        <v>60.5</v>
      </c>
      <c r="I23" s="20">
        <f t="shared" si="0"/>
        <v>20</v>
      </c>
      <c r="J23" s="20">
        <f t="shared" si="1"/>
        <v>25</v>
      </c>
    </row>
    <row r="24" spans="1:10" ht="12.75" x14ac:dyDescent="0.2">
      <c r="A24" s="7">
        <v>12150</v>
      </c>
      <c r="B24" s="8">
        <v>167</v>
      </c>
      <c r="C24" s="8" t="s">
        <v>8</v>
      </c>
      <c r="D24" s="9">
        <v>39404</v>
      </c>
      <c r="E24" s="8">
        <v>2</v>
      </c>
      <c r="F24" s="10">
        <v>0.97</v>
      </c>
      <c r="G24" s="94">
        <v>2</v>
      </c>
      <c r="H24" s="10">
        <v>45.5</v>
      </c>
      <c r="I24" s="20">
        <f t="shared" si="0"/>
        <v>23</v>
      </c>
      <c r="J24" s="20">
        <f t="shared" si="1"/>
        <v>27</v>
      </c>
    </row>
    <row r="25" spans="1:10" ht="12.75" x14ac:dyDescent="0.2">
      <c r="A25" s="7">
        <v>12151</v>
      </c>
      <c r="B25" s="8">
        <v>181</v>
      </c>
      <c r="C25" s="8" t="s">
        <v>8</v>
      </c>
      <c r="D25" s="9">
        <v>39404</v>
      </c>
      <c r="E25" s="8">
        <v>2</v>
      </c>
      <c r="F25" s="10">
        <v>0.49</v>
      </c>
      <c r="G25" s="94">
        <v>2.08</v>
      </c>
      <c r="H25" s="10">
        <v>60.5</v>
      </c>
      <c r="I25" s="20">
        <f t="shared" si="0"/>
        <v>6</v>
      </c>
      <c r="J25" s="20">
        <f t="shared" si="1"/>
        <v>19</v>
      </c>
    </row>
    <row r="26" spans="1:10" ht="12.75" x14ac:dyDescent="0.2">
      <c r="A26" s="7">
        <v>12152</v>
      </c>
      <c r="B26" s="8">
        <v>181</v>
      </c>
      <c r="C26" s="8" t="s">
        <v>8</v>
      </c>
      <c r="D26" s="9">
        <v>39404</v>
      </c>
      <c r="E26" s="8">
        <v>2</v>
      </c>
      <c r="F26" s="10">
        <v>0.75</v>
      </c>
      <c r="G26" s="94">
        <v>2.17</v>
      </c>
      <c r="H26" s="10">
        <v>60.5</v>
      </c>
      <c r="I26" s="20">
        <f t="shared" si="0"/>
        <v>15</v>
      </c>
      <c r="J26" s="20">
        <f t="shared" si="1"/>
        <v>16</v>
      </c>
    </row>
    <row r="27" spans="1:10" ht="12.75" x14ac:dyDescent="0.2">
      <c r="A27" s="7">
        <v>12153</v>
      </c>
      <c r="B27" s="8">
        <v>167</v>
      </c>
      <c r="C27" s="8" t="s">
        <v>8</v>
      </c>
      <c r="D27" s="9">
        <v>39404</v>
      </c>
      <c r="E27" s="8">
        <v>2</v>
      </c>
      <c r="F27" s="10">
        <v>0.3</v>
      </c>
      <c r="G27" s="94">
        <v>3.22</v>
      </c>
      <c r="H27" s="10">
        <v>45.5</v>
      </c>
      <c r="I27" s="20">
        <f t="shared" si="0"/>
        <v>1</v>
      </c>
      <c r="J27" s="20">
        <f t="shared" si="1"/>
        <v>1</v>
      </c>
    </row>
    <row r="28" spans="1:10" ht="12.75" x14ac:dyDescent="0.2">
      <c r="A28" s="7">
        <v>12155</v>
      </c>
      <c r="B28" s="8">
        <v>181</v>
      </c>
      <c r="C28" s="8" t="s">
        <v>9</v>
      </c>
      <c r="D28" s="9">
        <v>39404</v>
      </c>
      <c r="E28" s="8">
        <v>2</v>
      </c>
      <c r="F28" s="10">
        <v>1.01</v>
      </c>
      <c r="G28" s="94">
        <v>2.2400000000000002</v>
      </c>
      <c r="H28" s="10">
        <v>70.5</v>
      </c>
      <c r="I28" s="20">
        <f t="shared" si="0"/>
        <v>25</v>
      </c>
      <c r="J28" s="20">
        <f t="shared" si="1"/>
        <v>10</v>
      </c>
    </row>
    <row r="29" spans="1:10" ht="12.75" x14ac:dyDescent="0.2">
      <c r="A29" s="7">
        <v>12157</v>
      </c>
      <c r="B29" s="8">
        <v>181</v>
      </c>
      <c r="C29" s="8" t="s">
        <v>9</v>
      </c>
      <c r="D29" s="9">
        <v>39405</v>
      </c>
      <c r="E29" s="8">
        <v>2</v>
      </c>
      <c r="F29" s="10">
        <v>0.84</v>
      </c>
      <c r="G29" s="94">
        <v>2.34</v>
      </c>
      <c r="H29" s="10">
        <v>70.5</v>
      </c>
      <c r="I29" s="20">
        <f t="shared" si="0"/>
        <v>19</v>
      </c>
      <c r="J29" s="20">
        <f t="shared" si="1"/>
        <v>3</v>
      </c>
    </row>
    <row r="30" spans="1:10" ht="12.75" x14ac:dyDescent="0.2">
      <c r="A30" s="7">
        <v>12158</v>
      </c>
      <c r="B30" s="8">
        <v>174</v>
      </c>
      <c r="C30" s="8" t="s">
        <v>9</v>
      </c>
      <c r="D30" s="9">
        <v>39405</v>
      </c>
      <c r="E30" s="8">
        <v>2</v>
      </c>
      <c r="F30" s="10">
        <v>0.68</v>
      </c>
      <c r="G30" s="94">
        <v>2.1</v>
      </c>
      <c r="H30" s="10">
        <v>64.5</v>
      </c>
      <c r="I30" s="20">
        <f t="shared" si="0"/>
        <v>13</v>
      </c>
      <c r="J30" s="20">
        <f t="shared" si="1"/>
        <v>18</v>
      </c>
    </row>
    <row r="31" spans="1:10" ht="12.75" x14ac:dyDescent="0.2">
      <c r="A31" s="7">
        <v>12159</v>
      </c>
      <c r="B31" s="8">
        <v>181</v>
      </c>
      <c r="C31" s="8" t="s">
        <v>8</v>
      </c>
      <c r="D31" s="9">
        <v>39405</v>
      </c>
      <c r="E31" s="8">
        <v>2</v>
      </c>
      <c r="F31" s="10">
        <v>0.57999999999999996</v>
      </c>
      <c r="G31" s="94">
        <v>2.33</v>
      </c>
      <c r="H31" s="10">
        <v>70.5</v>
      </c>
      <c r="I31" s="20">
        <f t="shared" si="0"/>
        <v>9</v>
      </c>
      <c r="J31" s="20">
        <f t="shared" si="1"/>
        <v>4</v>
      </c>
    </row>
    <row r="32" spans="1:10" ht="12.75" x14ac:dyDescent="0.2">
      <c r="A32" s="85"/>
      <c r="B32" s="86"/>
      <c r="C32" s="86"/>
      <c r="D32" s="87"/>
      <c r="E32" s="86"/>
      <c r="F32" s="88"/>
      <c r="G32" s="88"/>
      <c r="H32" s="88"/>
      <c r="I32" s="88"/>
      <c r="J32" s="88"/>
    </row>
    <row r="33" spans="1:8" ht="12.75" x14ac:dyDescent="0.2">
      <c r="A33" s="12" t="s">
        <v>11</v>
      </c>
      <c r="B33" s="17"/>
      <c r="C33" s="17"/>
      <c r="D33" s="17"/>
      <c r="E33" s="17"/>
      <c r="F33" s="18">
        <f>AVERAGE(F3:F32)</f>
        <v>0.75689655172413783</v>
      </c>
      <c r="G33" s="19">
        <f>AVERAGE(G3:G32)</f>
        <v>2.1882758620689651</v>
      </c>
      <c r="H33" s="21"/>
    </row>
    <row r="34" spans="1:8" ht="12.75" x14ac:dyDescent="0.2">
      <c r="A34" s="7" t="s">
        <v>12</v>
      </c>
      <c r="B34" s="20"/>
      <c r="C34" s="20"/>
      <c r="D34" s="20"/>
      <c r="E34" s="20"/>
      <c r="F34" s="21">
        <f>MEDIAN(F3:F32)</f>
        <v>0.75</v>
      </c>
      <c r="G34" s="22">
        <f>MEDIAN(G3:G32)</f>
        <v>2.21</v>
      </c>
      <c r="H34" s="21"/>
    </row>
    <row r="35" spans="1:8" ht="12.75" x14ac:dyDescent="0.2">
      <c r="A35" s="7" t="s">
        <v>13</v>
      </c>
      <c r="B35" s="20"/>
      <c r="C35" s="20"/>
      <c r="D35" s="20"/>
      <c r="E35" s="20"/>
      <c r="F35" s="21">
        <f>MODE(F3:F32)</f>
        <v>0.49</v>
      </c>
      <c r="G35" s="22">
        <f>MODE(G3:G32)</f>
        <v>2.2400000000000002</v>
      </c>
      <c r="H35" s="21"/>
    </row>
    <row r="36" spans="1:8" ht="12.75" x14ac:dyDescent="0.2">
      <c r="A36" s="11" t="s">
        <v>14</v>
      </c>
      <c r="B36" s="23"/>
      <c r="C36" s="23"/>
      <c r="D36" s="23"/>
      <c r="E36" s="23"/>
      <c r="F36" s="24">
        <f>STDEV(F3:F32)</f>
        <v>0.26202649059474747</v>
      </c>
      <c r="G36" s="25">
        <f>STDEV(G3:G32)</f>
        <v>0.24548885580638094</v>
      </c>
      <c r="H36" s="21"/>
    </row>
  </sheetData>
  <phoneticPr fontId="3"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H23"/>
  <sheetViews>
    <sheetView zoomScale="130" zoomScaleNormal="130" workbookViewId="0">
      <selection activeCell="A4" sqref="A4"/>
    </sheetView>
  </sheetViews>
  <sheetFormatPr defaultRowHeight="12.75" x14ac:dyDescent="0.2"/>
  <sheetData>
    <row r="1" spans="1:8" ht="18" x14ac:dyDescent="0.25">
      <c r="A1" s="351" t="s">
        <v>65</v>
      </c>
      <c r="B1" s="3"/>
      <c r="C1" s="3"/>
      <c r="D1" s="3"/>
      <c r="E1" s="3"/>
      <c r="F1" s="3"/>
      <c r="G1" s="3"/>
      <c r="H1" s="3"/>
    </row>
    <row r="3" spans="1:8" x14ac:dyDescent="0.2">
      <c r="A3" s="438" t="str">
        <f>IF(A2="","",IF(Disable_Video_Hyperlinks,A2,HYPERLINK(Video_website&amp;A2,A2)))</f>
        <v/>
      </c>
    </row>
    <row r="4" spans="1:8" x14ac:dyDescent="0.2">
      <c r="A4" s="501" t="str">
        <f>IF(B2="","",B2)</f>
        <v/>
      </c>
    </row>
    <row r="6" spans="1:8" x14ac:dyDescent="0.2">
      <c r="A6" s="71" t="s">
        <v>47</v>
      </c>
    </row>
    <row r="7" spans="1:8" x14ac:dyDescent="0.2">
      <c r="A7" s="72" t="s">
        <v>48</v>
      </c>
    </row>
    <row r="8" spans="1:8" x14ac:dyDescent="0.2">
      <c r="A8" s="72" t="s">
        <v>49</v>
      </c>
    </row>
    <row r="9" spans="1:8" x14ac:dyDescent="0.2">
      <c r="A9" s="72" t="s">
        <v>50</v>
      </c>
    </row>
    <row r="10" spans="1:8" x14ac:dyDescent="0.2">
      <c r="A10" s="72" t="s">
        <v>51</v>
      </c>
    </row>
    <row r="11" spans="1:8" x14ac:dyDescent="0.2">
      <c r="A11" s="72" t="s">
        <v>52</v>
      </c>
    </row>
    <row r="12" spans="1:8" x14ac:dyDescent="0.2">
      <c r="A12" s="71" t="s">
        <v>53</v>
      </c>
    </row>
    <row r="13" spans="1:8" x14ac:dyDescent="0.2">
      <c r="A13" s="72" t="s">
        <v>54</v>
      </c>
    </row>
    <row r="14" spans="1:8" x14ac:dyDescent="0.2">
      <c r="A14" s="72" t="s">
        <v>55</v>
      </c>
    </row>
    <row r="15" spans="1:8" x14ac:dyDescent="0.2">
      <c r="A15" s="72" t="s">
        <v>56</v>
      </c>
    </row>
    <row r="16" spans="1:8" x14ac:dyDescent="0.2">
      <c r="A16" s="72" t="s">
        <v>57</v>
      </c>
    </row>
    <row r="17" spans="1:1" x14ac:dyDescent="0.2">
      <c r="A17" s="72" t="s">
        <v>58</v>
      </c>
    </row>
    <row r="18" spans="1:1" x14ac:dyDescent="0.2">
      <c r="A18" s="71" t="s">
        <v>59</v>
      </c>
    </row>
    <row r="19" spans="1:1" x14ac:dyDescent="0.2">
      <c r="A19" s="72" t="s">
        <v>60</v>
      </c>
    </row>
    <row r="20" spans="1:1" x14ac:dyDescent="0.2">
      <c r="A20" s="72" t="s">
        <v>61</v>
      </c>
    </row>
    <row r="21" spans="1:1" x14ac:dyDescent="0.2">
      <c r="A21" s="72" t="s">
        <v>62</v>
      </c>
    </row>
    <row r="22" spans="1:1" x14ac:dyDescent="0.2">
      <c r="A22" s="72" t="s">
        <v>63</v>
      </c>
    </row>
    <row r="23" spans="1:1" x14ac:dyDescent="0.2">
      <c r="A23" s="72" t="s">
        <v>64</v>
      </c>
    </row>
  </sheetData>
  <phoneticPr fontId="3" type="noConversion"/>
  <pageMargins left="0.75" right="0.75" top="1" bottom="1" header="0.5" footer="0.5"/>
  <pageSetup orientation="portrait" horizontalDpi="4294967293"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autoPageBreaks="0"/>
  </sheetPr>
  <dimension ref="A1:J12"/>
  <sheetViews>
    <sheetView workbookViewId="0"/>
  </sheetViews>
  <sheetFormatPr defaultColWidth="3.85546875" defaultRowHeight="12.75" x14ac:dyDescent="0.2"/>
  <cols>
    <col min="1" max="1" width="8.42578125" bestFit="1" customWidth="1"/>
    <col min="2" max="2" width="8.7109375" bestFit="1" customWidth="1"/>
    <col min="3" max="3" width="9.7109375" bestFit="1" customWidth="1"/>
    <col min="4" max="4" width="9.140625" customWidth="1"/>
    <col min="5" max="5" width="10.85546875" bestFit="1" customWidth="1"/>
    <col min="6" max="6" width="1.85546875" customWidth="1"/>
    <col min="7" max="7" width="8.7109375" bestFit="1" customWidth="1"/>
    <col min="8" max="8" width="9.7109375" bestFit="1" customWidth="1"/>
    <col min="9" max="9" width="9.140625" customWidth="1"/>
    <col min="10" max="10" width="10.85546875" bestFit="1" customWidth="1"/>
  </cols>
  <sheetData>
    <row r="1" spans="1:10" ht="18" x14ac:dyDescent="0.25">
      <c r="A1" s="2" t="s">
        <v>137</v>
      </c>
      <c r="B1" s="3"/>
      <c r="C1" s="3"/>
      <c r="D1" s="3"/>
      <c r="E1" s="3"/>
      <c r="F1" s="3"/>
      <c r="G1" s="3"/>
      <c r="H1" s="3"/>
      <c r="I1" s="3"/>
      <c r="J1" s="3"/>
    </row>
    <row r="2" spans="1:10" ht="13.5" thickBot="1" x14ac:dyDescent="0.25"/>
    <row r="3" spans="1:10" ht="15" x14ac:dyDescent="0.2">
      <c r="A3" s="566" t="s">
        <v>15</v>
      </c>
      <c r="B3" s="567"/>
      <c r="C3" s="567"/>
      <c r="D3" s="567"/>
      <c r="E3" s="567"/>
      <c r="F3" s="567"/>
      <c r="G3" s="567"/>
      <c r="H3" s="567"/>
      <c r="I3" s="567"/>
      <c r="J3" s="568"/>
    </row>
    <row r="4" spans="1:10" x14ac:dyDescent="0.2">
      <c r="A4" s="26"/>
      <c r="B4" s="258" t="s">
        <v>6</v>
      </c>
      <c r="C4" s="259"/>
      <c r="D4" s="259"/>
      <c r="E4" s="260"/>
      <c r="F4" s="27"/>
      <c r="G4" s="258" t="s">
        <v>7</v>
      </c>
      <c r="H4" s="259"/>
      <c r="I4" s="259"/>
      <c r="J4" s="263"/>
    </row>
    <row r="5" spans="1:10" x14ac:dyDescent="0.2">
      <c r="A5" s="26" t="s">
        <v>16</v>
      </c>
      <c r="B5" s="261" t="s">
        <v>17</v>
      </c>
      <c r="C5" s="262" t="s">
        <v>133</v>
      </c>
      <c r="D5" s="261" t="s">
        <v>18</v>
      </c>
      <c r="E5" s="261" t="s">
        <v>19</v>
      </c>
      <c r="F5" s="27"/>
      <c r="G5" s="261" t="s">
        <v>17</v>
      </c>
      <c r="H5" s="262" t="s">
        <v>133</v>
      </c>
      <c r="I5" s="261" t="s">
        <v>18</v>
      </c>
      <c r="J5" s="264" t="s">
        <v>19</v>
      </c>
    </row>
    <row r="6" spans="1:10" x14ac:dyDescent="0.2">
      <c r="A6" s="26" t="s">
        <v>11</v>
      </c>
      <c r="B6" s="265">
        <v>0.76</v>
      </c>
      <c r="C6" s="28">
        <f>CurrentQCdata!F33</f>
        <v>0.75689655172413783</v>
      </c>
      <c r="D6" s="29">
        <f>C6-B6</f>
        <v>-3.1034482758621751E-3</v>
      </c>
      <c r="E6" s="30">
        <f>(C6-B6)/B6</f>
        <v>-4.0834845735028616E-3</v>
      </c>
      <c r="F6" s="27"/>
      <c r="G6" s="267">
        <v>2.27</v>
      </c>
      <c r="H6" s="28">
        <f>CurrentQCdata!G33</f>
        <v>2.1882758620689651</v>
      </c>
      <c r="I6" s="29">
        <f>H6-G6</f>
        <v>-8.1724137931034946E-2</v>
      </c>
      <c r="J6" s="31">
        <f>(H6-G6)/G6</f>
        <v>-3.6001822877107903E-2</v>
      </c>
    </row>
    <row r="7" spans="1:10" x14ac:dyDescent="0.2">
      <c r="A7" s="26" t="s">
        <v>12</v>
      </c>
      <c r="B7" s="265">
        <v>0.73</v>
      </c>
      <c r="C7" s="28">
        <f>CurrentQCdata!F34</f>
        <v>0.75</v>
      </c>
      <c r="D7" s="29">
        <f>C7-B7</f>
        <v>2.0000000000000018E-2</v>
      </c>
      <c r="E7" s="30">
        <f>(C7-B7)/B7</f>
        <v>2.7397260273972629E-2</v>
      </c>
      <c r="F7" s="27"/>
      <c r="G7" s="265">
        <v>2.2400000000000002</v>
      </c>
      <c r="H7" s="28">
        <f>CurrentQCdata!G34</f>
        <v>2.21</v>
      </c>
      <c r="I7" s="29">
        <f>H7-G7</f>
        <v>-3.0000000000000249E-2</v>
      </c>
      <c r="J7" s="31">
        <f>(H7-G7)/G7</f>
        <v>-1.3392857142857253E-2</v>
      </c>
    </row>
    <row r="8" spans="1:10" x14ac:dyDescent="0.2">
      <c r="A8" s="26" t="s">
        <v>13</v>
      </c>
      <c r="B8" s="265">
        <v>0.53</v>
      </c>
      <c r="C8" s="28">
        <f>CurrentQCdata!F35</f>
        <v>0.49</v>
      </c>
      <c r="D8" s="29">
        <f>C8-B8</f>
        <v>-4.0000000000000036E-2</v>
      </c>
      <c r="E8" s="30">
        <f>(C8-B8)/B8</f>
        <v>-7.5471698113207614E-2</v>
      </c>
      <c r="F8" s="27"/>
      <c r="G8" s="265">
        <v>2.15</v>
      </c>
      <c r="H8" s="28">
        <f>CurrentQCdata!G35</f>
        <v>2.2400000000000002</v>
      </c>
      <c r="I8" s="29">
        <f>H8-G8</f>
        <v>9.0000000000000302E-2</v>
      </c>
      <c r="J8" s="31">
        <f>(H8-G8)/G8</f>
        <v>4.1860465116279215E-2</v>
      </c>
    </row>
    <row r="9" spans="1:10" ht="25.5" customHeight="1" thickBot="1" x14ac:dyDescent="0.25">
      <c r="A9" s="32" t="s">
        <v>14</v>
      </c>
      <c r="B9" s="266">
        <v>0.27</v>
      </c>
      <c r="C9" s="33">
        <f>CurrentQCdata!F36</f>
        <v>0.26202649059474747</v>
      </c>
      <c r="D9" s="34">
        <f>C9-B9</f>
        <v>-7.9735094052525435E-3</v>
      </c>
      <c r="E9" s="35">
        <f>(C9-B9)/B9</f>
        <v>-2.9531516315750159E-2</v>
      </c>
      <c r="F9" s="36"/>
      <c r="G9" s="266">
        <v>0.24</v>
      </c>
      <c r="H9" s="33">
        <f>CurrentQCdata!G36</f>
        <v>0.24548885580638094</v>
      </c>
      <c r="I9" s="34">
        <v>2</v>
      </c>
      <c r="J9" s="37">
        <f>(H9-G9)/G9</f>
        <v>2.2870232526587288E-2</v>
      </c>
    </row>
    <row r="12" spans="1:10" x14ac:dyDescent="0.2">
      <c r="B12" s="16" t="s">
        <v>366</v>
      </c>
    </row>
  </sheetData>
  <mergeCells count="1">
    <mergeCell ref="A3:J3"/>
  </mergeCells>
  <phoneticPr fontId="3" type="noConversion"/>
  <pageMargins left="0.75" right="0.75" top="1" bottom="1" header="0.5" footer="0.5"/>
  <pageSetup orientation="portrait" horizontalDpi="4294967293" r:id="rId1"/>
  <headerFooter alignWithMargins="0"/>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D78FC-0723-44DC-B649-B927246497FC}">
  <sheetPr codeName="Sheet32"/>
  <dimension ref="A1:B4"/>
  <sheetViews>
    <sheetView zoomScale="130" zoomScaleNormal="130" workbookViewId="0">
      <selection activeCell="A3" sqref="A3"/>
    </sheetView>
  </sheetViews>
  <sheetFormatPr defaultRowHeight="12.75" x14ac:dyDescent="0.2"/>
  <sheetData>
    <row r="1" spans="1:2" ht="18" x14ac:dyDescent="0.25">
      <c r="A1" s="351" t="s">
        <v>427</v>
      </c>
    </row>
    <row r="2" spans="1:2" hidden="1" x14ac:dyDescent="0.2">
      <c r="A2" s="16"/>
      <c r="B2" s="504">
        <f>SUM(RANK:Custom_Examples!A4)</f>
        <v>1.8668981481481481E-2</v>
      </c>
    </row>
    <row r="3" spans="1:2" x14ac:dyDescent="0.2">
      <c r="A3" s="509" t="str">
        <f>Video_Lengths_Description</f>
        <v xml:space="preserve">Length of video clips in this segment: </v>
      </c>
    </row>
    <row r="4" spans="1:2" x14ac:dyDescent="0.2">
      <c r="A4" s="501">
        <f>IF(B2="","",B2)</f>
        <v>1.8668981481481481E-2</v>
      </c>
    </row>
  </sheetData>
  <conditionalFormatting sqref="B2">
    <cfRule type="expression" dxfId="0" priority="1">
      <formula>NOT(_xlfn.ISFORMULA(B2))</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autoPageBreaks="0"/>
  </sheetPr>
  <dimension ref="A1:T67"/>
  <sheetViews>
    <sheetView zoomScale="130" zoomScaleNormal="130" workbookViewId="0">
      <selection activeCell="A5" sqref="A5"/>
    </sheetView>
  </sheetViews>
  <sheetFormatPr defaultColWidth="9.140625" defaultRowHeight="11.25" x14ac:dyDescent="0.2"/>
  <cols>
    <col min="1" max="1" width="7.7109375" style="4" customWidth="1"/>
    <col min="2" max="2" width="6.140625" style="4" bestFit="1" customWidth="1"/>
    <col min="3" max="3" width="5.28515625" style="4" customWidth="1"/>
    <col min="4" max="4" width="11.85546875" style="4" customWidth="1"/>
    <col min="5" max="5" width="9.85546875" style="4" bestFit="1" customWidth="1"/>
    <col min="6" max="6" width="9.5703125" style="4" customWidth="1"/>
    <col min="7" max="7" width="8" style="4" bestFit="1" customWidth="1"/>
    <col min="8" max="8" width="8.7109375" style="4" bestFit="1" customWidth="1"/>
    <col min="9" max="9" width="9.5703125" style="4" bestFit="1" customWidth="1"/>
    <col min="10" max="10" width="8" style="4" bestFit="1" customWidth="1"/>
    <col min="11" max="11" width="8" style="213" bestFit="1" customWidth="1"/>
    <col min="12" max="12" width="8.7109375" style="213" customWidth="1"/>
    <col min="13" max="13" width="5" style="4" customWidth="1"/>
    <col min="14" max="14" width="79.85546875" style="4" customWidth="1"/>
    <col min="15" max="19" width="10.28515625" style="4" customWidth="1"/>
    <col min="20" max="16384" width="9.140625" style="4"/>
  </cols>
  <sheetData>
    <row r="1" spans="1:14" ht="18" x14ac:dyDescent="0.25">
      <c r="A1" s="351" t="s">
        <v>136</v>
      </c>
      <c r="B1" s="3"/>
      <c r="C1" s="3"/>
      <c r="D1" s="3"/>
      <c r="E1" s="3"/>
      <c r="F1" s="3"/>
      <c r="G1" s="3"/>
      <c r="H1" s="3"/>
      <c r="I1" s="3"/>
      <c r="J1" s="3"/>
      <c r="K1" s="3"/>
      <c r="L1" s="3"/>
      <c r="M1" s="1"/>
      <c r="N1" s="1"/>
    </row>
    <row r="2" spans="1:14" hidden="1" x14ac:dyDescent="0.2">
      <c r="A2" s="4" t="s">
        <v>405</v>
      </c>
      <c r="B2" s="503">
        <v>4.4212962962962956E-3</v>
      </c>
      <c r="I2" s="40"/>
    </row>
    <row r="3" spans="1:14" s="213" customFormat="1" ht="12.75" x14ac:dyDescent="0.2">
      <c r="A3" s="438" t="str">
        <f>IF(A2="","",IF(Disable_Video_Hyperlinks,A2,HYPERLINK(Video_website&amp;A2,A2)))</f>
        <v>UNC_DAYT_EXCEL_2.3.1_LECTURE_RANK_RANK_EQ_RANK.AVG.mp4</v>
      </c>
      <c r="I3" s="40"/>
    </row>
    <row r="4" spans="1:14" s="213" customFormat="1" ht="12.75" x14ac:dyDescent="0.2">
      <c r="A4" s="501">
        <f>IF(B2="","",B2)</f>
        <v>4.4212962962962956E-3</v>
      </c>
      <c r="I4" s="40"/>
    </row>
    <row r="5" spans="1:14" s="213" customFormat="1" x14ac:dyDescent="0.2">
      <c r="I5" s="40"/>
      <c r="N5" s="569" t="s">
        <v>367</v>
      </c>
    </row>
    <row r="6" spans="1:14" x14ac:dyDescent="0.2">
      <c r="A6" s="550" t="s">
        <v>0</v>
      </c>
      <c r="B6" s="518"/>
      <c r="C6" s="518"/>
      <c r="D6" s="518"/>
      <c r="E6" s="518"/>
      <c r="F6" s="518"/>
      <c r="G6" s="518"/>
      <c r="H6" s="518"/>
      <c r="I6" s="518"/>
      <c r="J6" s="518"/>
      <c r="K6" s="518"/>
      <c r="L6" s="518"/>
      <c r="N6" s="570"/>
    </row>
    <row r="7" spans="1:14" x14ac:dyDescent="0.2">
      <c r="A7" s="269"/>
      <c r="B7" s="270"/>
      <c r="C7" s="270"/>
      <c r="D7" s="270"/>
      <c r="E7" s="270"/>
      <c r="F7" s="270"/>
      <c r="G7" s="270"/>
      <c r="H7" s="270"/>
      <c r="I7" s="270"/>
      <c r="J7" s="270"/>
      <c r="K7" s="270"/>
      <c r="L7" s="270"/>
      <c r="N7" s="570"/>
    </row>
    <row r="8" spans="1:14" ht="33.75" x14ac:dyDescent="0.2">
      <c r="A8" s="215" t="s">
        <v>1</v>
      </c>
      <c r="B8" s="215" t="s">
        <v>2</v>
      </c>
      <c r="C8" s="215" t="s">
        <v>3</v>
      </c>
      <c r="D8" s="215" t="s">
        <v>4</v>
      </c>
      <c r="E8" s="215" t="s">
        <v>5</v>
      </c>
      <c r="F8" s="215" t="s">
        <v>6</v>
      </c>
      <c r="G8" s="215" t="s">
        <v>7</v>
      </c>
      <c r="H8" s="215" t="s">
        <v>20</v>
      </c>
      <c r="I8" s="215" t="s">
        <v>434</v>
      </c>
      <c r="J8" s="215" t="s">
        <v>433</v>
      </c>
      <c r="K8" s="215" t="s">
        <v>432</v>
      </c>
      <c r="L8" s="215" t="s">
        <v>431</v>
      </c>
      <c r="N8" s="570"/>
    </row>
    <row r="9" spans="1:14" ht="11.25" customHeight="1" x14ac:dyDescent="0.2">
      <c r="A9" s="223">
        <v>12134</v>
      </c>
      <c r="B9" s="224">
        <v>174</v>
      </c>
      <c r="C9" s="224" t="s">
        <v>8</v>
      </c>
      <c r="D9" s="225">
        <v>39403</v>
      </c>
      <c r="E9" s="224">
        <v>1</v>
      </c>
      <c r="F9" s="226">
        <v>0.82</v>
      </c>
      <c r="G9" s="226">
        <v>2.21</v>
      </c>
      <c r="H9" s="387">
        <v>54.5</v>
      </c>
      <c r="I9" s="216">
        <f>RANK(F9,F$9:F$38,1)</f>
        <v>18</v>
      </c>
      <c r="J9" s="126">
        <f>RANK(G9,G$9:G$38)</f>
        <v>15</v>
      </c>
      <c r="K9" s="126">
        <f t="shared" ref="K9:K37" si="0">_xlfn.RANK.EQ(G9,G$9:G$38)</f>
        <v>15</v>
      </c>
      <c r="L9" s="217">
        <f>_xlfn.RANK.AVG(G9,G$9:G$38)</f>
        <v>15</v>
      </c>
      <c r="N9" s="570"/>
    </row>
    <row r="10" spans="1:14" ht="11.25" customHeight="1" x14ac:dyDescent="0.2">
      <c r="A10" s="223">
        <v>12135</v>
      </c>
      <c r="B10" s="224">
        <v>174</v>
      </c>
      <c r="C10" s="224" t="s">
        <v>8</v>
      </c>
      <c r="D10" s="225">
        <v>39403</v>
      </c>
      <c r="E10" s="224">
        <v>1</v>
      </c>
      <c r="F10" s="226">
        <v>0.49</v>
      </c>
      <c r="G10" s="226">
        <v>1.94</v>
      </c>
      <c r="H10" s="388">
        <v>54.5</v>
      </c>
      <c r="I10" s="216">
        <f>RANK(F10,F$9:F$38,1)</f>
        <v>6</v>
      </c>
      <c r="J10" s="126">
        <f t="shared" ref="J10:J37" si="1">RANK(G10,G$9:G$38)</f>
        <v>28</v>
      </c>
      <c r="K10" s="126">
        <f t="shared" si="0"/>
        <v>28</v>
      </c>
      <c r="L10" s="217">
        <f t="shared" ref="L10:L37" si="2">_xlfn.RANK.AVG(G10,G$9:G$38)</f>
        <v>28</v>
      </c>
      <c r="N10" s="570"/>
    </row>
    <row r="11" spans="1:14" ht="11.25" customHeight="1" x14ac:dyDescent="0.2">
      <c r="A11" s="223">
        <v>12139</v>
      </c>
      <c r="B11" s="224">
        <v>174</v>
      </c>
      <c r="C11" s="224" t="s">
        <v>8</v>
      </c>
      <c r="D11" s="225">
        <v>39403</v>
      </c>
      <c r="E11" s="224">
        <v>1</v>
      </c>
      <c r="F11" s="226">
        <v>0.52</v>
      </c>
      <c r="G11" s="226">
        <v>2.0299999999999998</v>
      </c>
      <c r="H11" s="388">
        <v>54.5</v>
      </c>
      <c r="I11" s="216">
        <f t="shared" ref="I11:I37" si="3">RANK(F11,F$9:F$38,1)</f>
        <v>8</v>
      </c>
      <c r="J11" s="126">
        <f t="shared" si="1"/>
        <v>23</v>
      </c>
      <c r="K11" s="126">
        <f t="shared" si="0"/>
        <v>23</v>
      </c>
      <c r="L11" s="217">
        <f>_xlfn.RANK.AVG(G11,G$9:G$38)</f>
        <v>23</v>
      </c>
      <c r="N11" s="570"/>
    </row>
    <row r="12" spans="1:14" ht="11.25" customHeight="1" x14ac:dyDescent="0.2">
      <c r="A12" s="223">
        <v>12140</v>
      </c>
      <c r="B12" s="224">
        <v>167</v>
      </c>
      <c r="C12" s="224" t="s">
        <v>8</v>
      </c>
      <c r="D12" s="225">
        <v>39403</v>
      </c>
      <c r="E12" s="224">
        <v>1</v>
      </c>
      <c r="F12" s="226">
        <v>0.63</v>
      </c>
      <c r="G12" s="226">
        <v>2.2400000000000002</v>
      </c>
      <c r="H12" s="388">
        <v>45.5</v>
      </c>
      <c r="I12" s="216">
        <f t="shared" si="3"/>
        <v>10</v>
      </c>
      <c r="J12" s="126">
        <f t="shared" si="1"/>
        <v>10</v>
      </c>
      <c r="K12" s="126">
        <f t="shared" si="0"/>
        <v>10</v>
      </c>
      <c r="L12" s="217">
        <f t="shared" si="2"/>
        <v>11</v>
      </c>
      <c r="N12" s="570"/>
    </row>
    <row r="13" spans="1:14" ht="11.25" customHeight="1" x14ac:dyDescent="0.2">
      <c r="A13" s="223">
        <v>12142</v>
      </c>
      <c r="B13" s="224">
        <v>167</v>
      </c>
      <c r="C13" s="224" t="s">
        <v>8</v>
      </c>
      <c r="D13" s="225">
        <v>39403</v>
      </c>
      <c r="E13" s="224">
        <v>1</v>
      </c>
      <c r="F13" s="226">
        <v>0.64</v>
      </c>
      <c r="G13" s="226">
        <v>2.2799999999999998</v>
      </c>
      <c r="H13" s="388">
        <v>45.5</v>
      </c>
      <c r="I13" s="216">
        <f t="shared" si="3"/>
        <v>11</v>
      </c>
      <c r="J13" s="126">
        <f t="shared" si="1"/>
        <v>7</v>
      </c>
      <c r="K13" s="126">
        <f t="shared" si="0"/>
        <v>7</v>
      </c>
      <c r="L13" s="217">
        <f t="shared" si="2"/>
        <v>7</v>
      </c>
      <c r="N13" s="570"/>
    </row>
    <row r="14" spans="1:14" ht="11.25" customHeight="1" x14ac:dyDescent="0.2">
      <c r="A14" s="223">
        <v>12144</v>
      </c>
      <c r="B14" s="224">
        <v>167</v>
      </c>
      <c r="C14" s="224" t="s">
        <v>8</v>
      </c>
      <c r="D14" s="225">
        <v>39403</v>
      </c>
      <c r="E14" s="224">
        <v>1</v>
      </c>
      <c r="F14" s="226">
        <v>1.28</v>
      </c>
      <c r="G14" s="226">
        <v>2.31</v>
      </c>
      <c r="H14" s="388">
        <v>45.5</v>
      </c>
      <c r="I14" s="216">
        <f t="shared" si="3"/>
        <v>28</v>
      </c>
      <c r="J14" s="519">
        <f t="shared" si="1"/>
        <v>5</v>
      </c>
      <c r="K14" s="519">
        <f t="shared" si="0"/>
        <v>5</v>
      </c>
      <c r="L14" s="310">
        <f t="shared" si="2"/>
        <v>5.5</v>
      </c>
      <c r="N14" s="570"/>
    </row>
    <row r="15" spans="1:14" ht="11.25" customHeight="1" x14ac:dyDescent="0.2">
      <c r="A15" s="223">
        <v>12145</v>
      </c>
      <c r="B15" s="224">
        <v>174</v>
      </c>
      <c r="C15" s="224" t="s">
        <v>8</v>
      </c>
      <c r="D15" s="225">
        <v>39403</v>
      </c>
      <c r="E15" s="224">
        <v>1</v>
      </c>
      <c r="F15" s="226">
        <v>0.45</v>
      </c>
      <c r="G15" s="226">
        <v>2.02</v>
      </c>
      <c r="H15" s="388">
        <v>54.5</v>
      </c>
      <c r="I15" s="216">
        <f t="shared" si="3"/>
        <v>3</v>
      </c>
      <c r="J15" s="126">
        <f t="shared" si="1"/>
        <v>24</v>
      </c>
      <c r="K15" s="126">
        <f t="shared" si="0"/>
        <v>24</v>
      </c>
      <c r="L15" s="217">
        <f t="shared" si="2"/>
        <v>24</v>
      </c>
      <c r="N15" s="570"/>
    </row>
    <row r="16" spans="1:14" ht="11.25" customHeight="1" x14ac:dyDescent="0.2">
      <c r="A16" s="223">
        <v>12146</v>
      </c>
      <c r="B16" s="224">
        <v>167</v>
      </c>
      <c r="C16" s="224" t="s">
        <v>8</v>
      </c>
      <c r="D16" s="225">
        <v>39403</v>
      </c>
      <c r="E16" s="224">
        <v>1</v>
      </c>
      <c r="F16" s="226">
        <v>1.1299999999999999</v>
      </c>
      <c r="G16" s="226">
        <v>2.0499999999999998</v>
      </c>
      <c r="H16" s="388">
        <v>45.5</v>
      </c>
      <c r="I16" s="216">
        <f t="shared" si="3"/>
        <v>27</v>
      </c>
      <c r="J16" s="126">
        <f t="shared" si="1"/>
        <v>22</v>
      </c>
      <c r="K16" s="126">
        <f t="shared" si="0"/>
        <v>22</v>
      </c>
      <c r="L16" s="217">
        <f t="shared" si="2"/>
        <v>22</v>
      </c>
      <c r="N16" s="570"/>
    </row>
    <row r="17" spans="1:20" ht="11.25" customHeight="1" x14ac:dyDescent="0.2">
      <c r="A17" s="223">
        <v>12148</v>
      </c>
      <c r="B17" s="224">
        <v>167</v>
      </c>
      <c r="C17" s="224" t="s">
        <v>9</v>
      </c>
      <c r="D17" s="225">
        <v>39404</v>
      </c>
      <c r="E17" s="224">
        <v>1</v>
      </c>
      <c r="F17" s="226">
        <v>0.43</v>
      </c>
      <c r="G17" s="226">
        <v>2.27</v>
      </c>
      <c r="H17" s="388">
        <v>55.5</v>
      </c>
      <c r="I17" s="216">
        <f t="shared" si="3"/>
        <v>2</v>
      </c>
      <c r="J17" s="126">
        <f t="shared" si="1"/>
        <v>8</v>
      </c>
      <c r="K17" s="126">
        <f t="shared" si="0"/>
        <v>8</v>
      </c>
      <c r="L17" s="217">
        <f t="shared" si="2"/>
        <v>8</v>
      </c>
    </row>
    <row r="18" spans="1:20" ht="11.25" customHeight="1" x14ac:dyDescent="0.2">
      <c r="A18" s="223">
        <v>12149</v>
      </c>
      <c r="B18" s="224">
        <v>174</v>
      </c>
      <c r="C18" s="224" t="s">
        <v>9</v>
      </c>
      <c r="D18" s="225">
        <v>39404</v>
      </c>
      <c r="E18" s="224">
        <v>1</v>
      </c>
      <c r="F18" s="226">
        <v>0.47</v>
      </c>
      <c r="G18" s="226">
        <v>2.31</v>
      </c>
      <c r="H18" s="388">
        <v>64.5</v>
      </c>
      <c r="I18" s="216">
        <f t="shared" si="3"/>
        <v>5</v>
      </c>
      <c r="J18" s="519">
        <f t="shared" si="1"/>
        <v>5</v>
      </c>
      <c r="K18" s="519">
        <f t="shared" si="0"/>
        <v>5</v>
      </c>
      <c r="L18" s="310">
        <f t="shared" si="2"/>
        <v>5.5</v>
      </c>
      <c r="N18" s="571" t="s">
        <v>368</v>
      </c>
    </row>
    <row r="19" spans="1:20" ht="11.25" customHeight="1" x14ac:dyDescent="0.2">
      <c r="A19" s="223">
        <v>12154</v>
      </c>
      <c r="B19" s="224">
        <v>174</v>
      </c>
      <c r="C19" s="224" t="s">
        <v>9</v>
      </c>
      <c r="D19" s="225">
        <v>39404</v>
      </c>
      <c r="E19" s="224">
        <v>1</v>
      </c>
      <c r="F19" s="409">
        <v>0.97</v>
      </c>
      <c r="G19" s="226">
        <v>2.23</v>
      </c>
      <c r="H19" s="388">
        <v>64.5</v>
      </c>
      <c r="I19" s="309">
        <f t="shared" si="3"/>
        <v>23</v>
      </c>
      <c r="J19" s="126">
        <f t="shared" si="1"/>
        <v>13</v>
      </c>
      <c r="K19" s="126">
        <f t="shared" si="0"/>
        <v>13</v>
      </c>
      <c r="L19" s="217">
        <f t="shared" si="2"/>
        <v>13</v>
      </c>
      <c r="N19" s="571"/>
    </row>
    <row r="20" spans="1:20" ht="12.75" customHeight="1" x14ac:dyDescent="0.2">
      <c r="A20" s="223">
        <v>12156</v>
      </c>
      <c r="B20" s="224">
        <v>174</v>
      </c>
      <c r="C20" s="224" t="s">
        <v>9</v>
      </c>
      <c r="D20" s="225">
        <v>39404</v>
      </c>
      <c r="E20" s="224">
        <v>1</v>
      </c>
      <c r="F20" s="226">
        <v>0.81</v>
      </c>
      <c r="G20" s="226">
        <v>2.11</v>
      </c>
      <c r="H20" s="388">
        <v>64.5</v>
      </c>
      <c r="I20" s="216">
        <f t="shared" si="3"/>
        <v>17</v>
      </c>
      <c r="J20" s="126">
        <f t="shared" si="1"/>
        <v>17</v>
      </c>
      <c r="K20" s="126">
        <f t="shared" si="0"/>
        <v>17</v>
      </c>
      <c r="L20" s="217">
        <f t="shared" si="2"/>
        <v>17</v>
      </c>
      <c r="N20" s="571"/>
    </row>
    <row r="21" spans="1:20" ht="11.25" customHeight="1" x14ac:dyDescent="0.2">
      <c r="A21" s="223">
        <v>12160</v>
      </c>
      <c r="B21" s="224">
        <v>174</v>
      </c>
      <c r="C21" s="224" t="s">
        <v>9</v>
      </c>
      <c r="D21" s="225">
        <v>39405</v>
      </c>
      <c r="E21" s="224">
        <v>1</v>
      </c>
      <c r="F21" s="226">
        <v>0.68</v>
      </c>
      <c r="G21" s="226">
        <v>2.2200000000000002</v>
      </c>
      <c r="H21" s="388">
        <v>64.5</v>
      </c>
      <c r="I21" s="216">
        <f t="shared" si="3"/>
        <v>13</v>
      </c>
      <c r="J21" s="126">
        <f t="shared" si="1"/>
        <v>14</v>
      </c>
      <c r="K21" s="126">
        <f t="shared" si="0"/>
        <v>14</v>
      </c>
      <c r="L21" s="217">
        <f t="shared" si="2"/>
        <v>14</v>
      </c>
      <c r="N21" s="571"/>
    </row>
    <row r="22" spans="1:20" ht="11.25" customHeight="1" x14ac:dyDescent="0.2">
      <c r="A22" s="223">
        <v>12161</v>
      </c>
      <c r="B22" s="224">
        <v>174</v>
      </c>
      <c r="C22" s="224" t="s">
        <v>9</v>
      </c>
      <c r="D22" s="225">
        <v>39405</v>
      </c>
      <c r="E22" s="224">
        <v>1</v>
      </c>
      <c r="F22" s="226">
        <v>0.67</v>
      </c>
      <c r="G22" s="226">
        <v>2.08</v>
      </c>
      <c r="H22" s="388">
        <v>64.5</v>
      </c>
      <c r="I22" s="216">
        <f t="shared" si="3"/>
        <v>12</v>
      </c>
      <c r="J22" s="126">
        <f t="shared" si="1"/>
        <v>19</v>
      </c>
      <c r="K22" s="126">
        <f t="shared" si="0"/>
        <v>19</v>
      </c>
      <c r="L22" s="217">
        <f t="shared" si="2"/>
        <v>20</v>
      </c>
      <c r="N22" s="571"/>
    </row>
    <row r="23" spans="1:20" ht="12.75" customHeight="1" x14ac:dyDescent="0.2">
      <c r="A23" s="223">
        <v>12162</v>
      </c>
      <c r="B23" s="224">
        <v>181</v>
      </c>
      <c r="C23" s="224" t="s">
        <v>9</v>
      </c>
      <c r="D23" s="225">
        <v>39405</v>
      </c>
      <c r="E23" s="224">
        <v>1</v>
      </c>
      <c r="F23" s="226">
        <v>0.95</v>
      </c>
      <c r="G23" s="226">
        <v>2.0099999999999998</v>
      </c>
      <c r="H23" s="388">
        <v>70.5</v>
      </c>
      <c r="I23" s="216">
        <f t="shared" si="3"/>
        <v>22</v>
      </c>
      <c r="J23" s="126">
        <f t="shared" si="1"/>
        <v>25</v>
      </c>
      <c r="K23" s="126">
        <f t="shared" si="0"/>
        <v>25</v>
      </c>
      <c r="L23" s="217">
        <f t="shared" si="2"/>
        <v>25.5</v>
      </c>
      <c r="N23" s="571"/>
    </row>
    <row r="24" spans="1:20" ht="12.75" customHeight="1" x14ac:dyDescent="0.2">
      <c r="A24" s="223">
        <v>12136</v>
      </c>
      <c r="B24" s="224">
        <v>181</v>
      </c>
      <c r="C24" s="224" t="s">
        <v>10</v>
      </c>
      <c r="D24" s="225">
        <v>39403</v>
      </c>
      <c r="E24" s="224">
        <v>2</v>
      </c>
      <c r="F24" s="226">
        <v>1.32</v>
      </c>
      <c r="G24" s="226">
        <v>2.35</v>
      </c>
      <c r="H24" s="388">
        <v>82.5</v>
      </c>
      <c r="I24" s="216">
        <f t="shared" si="3"/>
        <v>29</v>
      </c>
      <c r="J24" s="126">
        <f t="shared" si="1"/>
        <v>2</v>
      </c>
      <c r="K24" s="126">
        <f t="shared" si="0"/>
        <v>2</v>
      </c>
      <c r="L24" s="217">
        <f t="shared" si="2"/>
        <v>2</v>
      </c>
      <c r="N24" s="571"/>
      <c r="P24" s="517"/>
      <c r="Q24" s="517"/>
      <c r="R24" s="517"/>
      <c r="S24" s="517"/>
      <c r="T24" s="517"/>
    </row>
    <row r="25" spans="1:20" ht="11.25" customHeight="1" x14ac:dyDescent="0.2">
      <c r="A25" s="223">
        <v>12137</v>
      </c>
      <c r="B25" s="224">
        <v>181</v>
      </c>
      <c r="C25" s="224" t="s">
        <v>10</v>
      </c>
      <c r="D25" s="225">
        <v>39403</v>
      </c>
      <c r="E25" s="224">
        <v>2</v>
      </c>
      <c r="F25" s="226">
        <v>0.75</v>
      </c>
      <c r="G25" s="226">
        <v>1.73</v>
      </c>
      <c r="H25" s="388">
        <v>82.5</v>
      </c>
      <c r="I25" s="216">
        <f t="shared" si="3"/>
        <v>15</v>
      </c>
      <c r="J25" s="126">
        <f t="shared" si="1"/>
        <v>29</v>
      </c>
      <c r="K25" s="126">
        <f t="shared" si="0"/>
        <v>29</v>
      </c>
      <c r="L25" s="217">
        <f t="shared" si="2"/>
        <v>29</v>
      </c>
      <c r="N25" s="571"/>
    </row>
    <row r="26" spans="1:20" ht="11.25" customHeight="1" x14ac:dyDescent="0.2">
      <c r="A26" s="223">
        <v>12138</v>
      </c>
      <c r="B26" s="224">
        <v>181</v>
      </c>
      <c r="C26" s="224" t="s">
        <v>10</v>
      </c>
      <c r="D26" s="225">
        <v>39403</v>
      </c>
      <c r="E26" s="224">
        <v>2</v>
      </c>
      <c r="F26" s="226">
        <v>0.92</v>
      </c>
      <c r="G26" s="226">
        <v>2.08</v>
      </c>
      <c r="H26" s="388">
        <v>82.5</v>
      </c>
      <c r="I26" s="216">
        <f t="shared" si="3"/>
        <v>21</v>
      </c>
      <c r="J26" s="126">
        <f t="shared" si="1"/>
        <v>19</v>
      </c>
      <c r="K26" s="126">
        <f t="shared" si="0"/>
        <v>19</v>
      </c>
      <c r="L26" s="217">
        <f t="shared" si="2"/>
        <v>20</v>
      </c>
      <c r="N26" s="571"/>
    </row>
    <row r="27" spans="1:20" ht="11.25" customHeight="1" x14ac:dyDescent="0.2">
      <c r="A27" s="223">
        <v>12141</v>
      </c>
      <c r="B27" s="224">
        <v>181</v>
      </c>
      <c r="C27" s="224" t="s">
        <v>10</v>
      </c>
      <c r="D27" s="225">
        <v>39403</v>
      </c>
      <c r="E27" s="224">
        <v>2</v>
      </c>
      <c r="F27" s="226">
        <v>0.46</v>
      </c>
      <c r="G27" s="226">
        <v>2.2599999999999998</v>
      </c>
      <c r="H27" s="388">
        <v>82.5</v>
      </c>
      <c r="I27" s="216">
        <f t="shared" si="3"/>
        <v>4</v>
      </c>
      <c r="J27" s="126">
        <f t="shared" si="1"/>
        <v>9</v>
      </c>
      <c r="K27" s="126">
        <f t="shared" si="0"/>
        <v>9</v>
      </c>
      <c r="L27" s="217">
        <f t="shared" si="2"/>
        <v>9</v>
      </c>
      <c r="N27" s="571"/>
    </row>
    <row r="28" spans="1:20" ht="11.25" customHeight="1" x14ac:dyDescent="0.2">
      <c r="A28" s="223">
        <v>12143</v>
      </c>
      <c r="B28" s="224">
        <v>174</v>
      </c>
      <c r="C28" s="224" t="s">
        <v>10</v>
      </c>
      <c r="D28" s="225">
        <v>39403</v>
      </c>
      <c r="E28" s="224">
        <v>2</v>
      </c>
      <c r="F28" s="226">
        <v>1.04</v>
      </c>
      <c r="G28" s="226">
        <v>2.2400000000000002</v>
      </c>
      <c r="H28" s="388">
        <v>76.5</v>
      </c>
      <c r="I28" s="216">
        <f t="shared" si="3"/>
        <v>26</v>
      </c>
      <c r="J28" s="126">
        <f t="shared" si="1"/>
        <v>10</v>
      </c>
      <c r="K28" s="126">
        <f t="shared" si="0"/>
        <v>10</v>
      </c>
      <c r="L28" s="217">
        <f t="shared" si="2"/>
        <v>11</v>
      </c>
      <c r="N28" s="571"/>
    </row>
    <row r="29" spans="1:20" ht="11.25" customHeight="1" x14ac:dyDescent="0.2">
      <c r="A29" s="223">
        <v>12147</v>
      </c>
      <c r="B29" s="224">
        <v>181</v>
      </c>
      <c r="C29" s="224" t="s">
        <v>8</v>
      </c>
      <c r="D29" s="225">
        <v>39404</v>
      </c>
      <c r="E29" s="224">
        <v>2</v>
      </c>
      <c r="F29" s="226">
        <v>0.9</v>
      </c>
      <c r="G29" s="226">
        <v>2.0099999999999998</v>
      </c>
      <c r="H29" s="388">
        <v>60.5</v>
      </c>
      <c r="I29" s="216">
        <f t="shared" si="3"/>
        <v>20</v>
      </c>
      <c r="J29" s="126">
        <f t="shared" si="1"/>
        <v>25</v>
      </c>
      <c r="K29" s="126">
        <f t="shared" si="0"/>
        <v>25</v>
      </c>
      <c r="L29" s="217">
        <f t="shared" si="2"/>
        <v>25.5</v>
      </c>
      <c r="N29" s="571"/>
    </row>
    <row r="30" spans="1:20" ht="11.25" customHeight="1" x14ac:dyDescent="0.2">
      <c r="A30" s="223">
        <v>12150</v>
      </c>
      <c r="B30" s="224">
        <v>167</v>
      </c>
      <c r="C30" s="224" t="s">
        <v>8</v>
      </c>
      <c r="D30" s="225">
        <v>39404</v>
      </c>
      <c r="E30" s="224">
        <v>2</v>
      </c>
      <c r="F30" s="409">
        <v>0.97</v>
      </c>
      <c r="G30" s="226">
        <v>2</v>
      </c>
      <c r="H30" s="388">
        <v>45.5</v>
      </c>
      <c r="I30" s="309">
        <f t="shared" si="3"/>
        <v>23</v>
      </c>
      <c r="J30" s="126">
        <f t="shared" si="1"/>
        <v>27</v>
      </c>
      <c r="K30" s="126">
        <f t="shared" si="0"/>
        <v>27</v>
      </c>
      <c r="L30" s="217">
        <f t="shared" si="2"/>
        <v>27</v>
      </c>
    </row>
    <row r="31" spans="1:20" ht="11.25" customHeight="1" x14ac:dyDescent="0.2">
      <c r="A31" s="223">
        <v>12151</v>
      </c>
      <c r="B31" s="224">
        <v>181</v>
      </c>
      <c r="C31" s="224" t="s">
        <v>8</v>
      </c>
      <c r="D31" s="225">
        <v>39404</v>
      </c>
      <c r="E31" s="224">
        <v>2</v>
      </c>
      <c r="F31" s="226">
        <v>0.49</v>
      </c>
      <c r="G31" s="226">
        <v>2.08</v>
      </c>
      <c r="H31" s="388">
        <v>60.5</v>
      </c>
      <c r="I31" s="216">
        <f t="shared" si="3"/>
        <v>6</v>
      </c>
      <c r="J31" s="126">
        <f t="shared" si="1"/>
        <v>19</v>
      </c>
      <c r="K31" s="126">
        <f t="shared" si="0"/>
        <v>19</v>
      </c>
      <c r="L31" s="217">
        <f t="shared" si="2"/>
        <v>20</v>
      </c>
      <c r="N31" s="571" t="s">
        <v>430</v>
      </c>
    </row>
    <row r="32" spans="1:20" ht="11.25" customHeight="1" x14ac:dyDescent="0.2">
      <c r="A32" s="223">
        <v>12152</v>
      </c>
      <c r="B32" s="224">
        <v>181</v>
      </c>
      <c r="C32" s="224" t="s">
        <v>8</v>
      </c>
      <c r="D32" s="225">
        <v>39404</v>
      </c>
      <c r="E32" s="224">
        <v>2</v>
      </c>
      <c r="F32" s="226">
        <v>0.75</v>
      </c>
      <c r="G32" s="226">
        <v>2.17</v>
      </c>
      <c r="H32" s="388">
        <v>60.5</v>
      </c>
      <c r="I32" s="216">
        <f t="shared" si="3"/>
        <v>15</v>
      </c>
      <c r="J32" s="126">
        <f t="shared" si="1"/>
        <v>16</v>
      </c>
      <c r="K32" s="126">
        <f t="shared" si="0"/>
        <v>16</v>
      </c>
      <c r="L32" s="217">
        <f t="shared" si="2"/>
        <v>16</v>
      </c>
      <c r="N32" s="571"/>
    </row>
    <row r="33" spans="1:20" ht="11.25" customHeight="1" x14ac:dyDescent="0.2">
      <c r="A33" s="223">
        <v>12153</v>
      </c>
      <c r="B33" s="224">
        <v>167</v>
      </c>
      <c r="C33" s="224" t="s">
        <v>8</v>
      </c>
      <c r="D33" s="225">
        <v>39404</v>
      </c>
      <c r="E33" s="224">
        <v>2</v>
      </c>
      <c r="F33" s="226">
        <v>0.3</v>
      </c>
      <c r="G33" s="226">
        <v>3.22</v>
      </c>
      <c r="H33" s="388">
        <v>45.5</v>
      </c>
      <c r="I33" s="216">
        <f t="shared" si="3"/>
        <v>1</v>
      </c>
      <c r="J33" s="126">
        <f t="shared" si="1"/>
        <v>1</v>
      </c>
      <c r="K33" s="126">
        <f t="shared" si="0"/>
        <v>1</v>
      </c>
      <c r="L33" s="217">
        <f t="shared" si="2"/>
        <v>1</v>
      </c>
      <c r="N33" s="571"/>
    </row>
    <row r="34" spans="1:20" ht="11.25" customHeight="1" x14ac:dyDescent="0.2">
      <c r="A34" s="223">
        <v>12155</v>
      </c>
      <c r="B34" s="224">
        <v>181</v>
      </c>
      <c r="C34" s="224" t="s">
        <v>9</v>
      </c>
      <c r="D34" s="225">
        <v>39404</v>
      </c>
      <c r="E34" s="224">
        <v>2</v>
      </c>
      <c r="F34" s="226">
        <v>1.01</v>
      </c>
      <c r="G34" s="226">
        <v>2.2400000000000002</v>
      </c>
      <c r="H34" s="388">
        <v>70.5</v>
      </c>
      <c r="I34" s="216">
        <f t="shared" si="3"/>
        <v>25</v>
      </c>
      <c r="J34" s="126">
        <f t="shared" si="1"/>
        <v>10</v>
      </c>
      <c r="K34" s="126">
        <f t="shared" si="0"/>
        <v>10</v>
      </c>
      <c r="L34" s="217">
        <f t="shared" si="2"/>
        <v>11</v>
      </c>
      <c r="N34" s="571"/>
    </row>
    <row r="35" spans="1:20" ht="11.25" customHeight="1" x14ac:dyDescent="0.2">
      <c r="A35" s="223">
        <v>12157</v>
      </c>
      <c r="B35" s="224">
        <v>181</v>
      </c>
      <c r="C35" s="224" t="s">
        <v>9</v>
      </c>
      <c r="D35" s="225">
        <v>39405</v>
      </c>
      <c r="E35" s="224">
        <v>2</v>
      </c>
      <c r="F35" s="226">
        <v>0.84</v>
      </c>
      <c r="G35" s="226">
        <v>2.34</v>
      </c>
      <c r="H35" s="388">
        <v>70.5</v>
      </c>
      <c r="I35" s="216">
        <f t="shared" si="3"/>
        <v>19</v>
      </c>
      <c r="J35" s="126">
        <f t="shared" si="1"/>
        <v>3</v>
      </c>
      <c r="K35" s="126">
        <f t="shared" si="0"/>
        <v>3</v>
      </c>
      <c r="L35" s="217">
        <f t="shared" si="2"/>
        <v>3</v>
      </c>
      <c r="N35" s="571"/>
    </row>
    <row r="36" spans="1:20" ht="11.25" customHeight="1" x14ac:dyDescent="0.2">
      <c r="A36" s="223">
        <v>12158</v>
      </c>
      <c r="B36" s="224">
        <v>174</v>
      </c>
      <c r="C36" s="224" t="s">
        <v>9</v>
      </c>
      <c r="D36" s="225">
        <v>39405</v>
      </c>
      <c r="E36" s="224">
        <v>2</v>
      </c>
      <c r="F36" s="226">
        <v>0.68</v>
      </c>
      <c r="G36" s="226">
        <v>2.1</v>
      </c>
      <c r="H36" s="388">
        <v>64.5</v>
      </c>
      <c r="I36" s="216">
        <f t="shared" si="3"/>
        <v>13</v>
      </c>
      <c r="J36" s="126">
        <f t="shared" si="1"/>
        <v>18</v>
      </c>
      <c r="K36" s="126">
        <f t="shared" si="0"/>
        <v>18</v>
      </c>
      <c r="L36" s="217">
        <f t="shared" si="2"/>
        <v>18</v>
      </c>
      <c r="N36" s="571"/>
    </row>
    <row r="37" spans="1:20" ht="11.25" customHeight="1" x14ac:dyDescent="0.2">
      <c r="A37" s="233">
        <v>12159</v>
      </c>
      <c r="B37" s="234">
        <v>181</v>
      </c>
      <c r="C37" s="234" t="s">
        <v>8</v>
      </c>
      <c r="D37" s="235">
        <v>39405</v>
      </c>
      <c r="E37" s="234">
        <v>2</v>
      </c>
      <c r="F37" s="236">
        <v>0.57999999999999996</v>
      </c>
      <c r="G37" s="236">
        <v>2.33</v>
      </c>
      <c r="H37" s="389">
        <v>70.5</v>
      </c>
      <c r="I37" s="218">
        <f t="shared" si="3"/>
        <v>9</v>
      </c>
      <c r="J37" s="355">
        <f t="shared" si="1"/>
        <v>4</v>
      </c>
      <c r="K37" s="355">
        <f t="shared" si="0"/>
        <v>4</v>
      </c>
      <c r="L37" s="219">
        <f t="shared" si="2"/>
        <v>4</v>
      </c>
      <c r="N37" s="571"/>
    </row>
    <row r="38" spans="1:20" ht="11.25" customHeight="1" x14ac:dyDescent="0.2">
      <c r="A38" s="253"/>
      <c r="B38" s="254"/>
      <c r="C38" s="254"/>
      <c r="D38" s="255"/>
      <c r="E38" s="254"/>
      <c r="F38" s="256"/>
      <c r="G38" s="256"/>
      <c r="H38" s="272"/>
      <c r="I38" s="253"/>
      <c r="J38" s="273"/>
      <c r="K38" s="356"/>
      <c r="L38" s="273"/>
      <c r="N38" s="571"/>
    </row>
    <row r="39" spans="1:20" ht="11.25" customHeight="1" x14ac:dyDescent="0.2">
      <c r="A39" s="40"/>
      <c r="B39" s="40"/>
      <c r="C39" s="41"/>
      <c r="D39" s="40"/>
      <c r="E39" s="41"/>
      <c r="F39" s="41"/>
      <c r="G39" s="41"/>
      <c r="H39" s="42"/>
      <c r="N39" s="571"/>
    </row>
    <row r="40" spans="1:20" ht="11.25" customHeight="1" x14ac:dyDescent="0.2">
      <c r="A40" s="131" t="s">
        <v>26</v>
      </c>
      <c r="B40" s="51"/>
      <c r="C40" s="51"/>
      <c r="D40" s="51"/>
      <c r="E40" s="51"/>
      <c r="F40" s="51">
        <f>COUNTIF(F9:F38,"&gt;1.23")</f>
        <v>2</v>
      </c>
      <c r="G40" s="51">
        <f>COUNTIF(G9:G38,"&lt;2")</f>
        <v>2</v>
      </c>
      <c r="H40" s="132">
        <f>SUMIF(F9:F38,"&gt;1.23",H9:H38)+SUMIF(G9:G38,"&lt;2",H9:H38)</f>
        <v>265</v>
      </c>
      <c r="N40" s="571"/>
    </row>
    <row r="41" spans="1:20" ht="11.25" customHeight="1" x14ac:dyDescent="0.2">
      <c r="N41" s="571"/>
      <c r="P41" s="516"/>
      <c r="Q41" s="516"/>
      <c r="R41" s="516"/>
      <c r="S41" s="516"/>
      <c r="T41" s="161"/>
    </row>
    <row r="42" spans="1:20" ht="11.25" customHeight="1" x14ac:dyDescent="0.2">
      <c r="N42" s="571"/>
      <c r="P42" s="516"/>
      <c r="Q42" s="516"/>
      <c r="R42" s="516"/>
      <c r="S42" s="516"/>
      <c r="T42" s="161"/>
    </row>
    <row r="43" spans="1:20" ht="11.25" customHeight="1" x14ac:dyDescent="0.2"/>
    <row r="44" spans="1:20" ht="11.25" customHeight="1" x14ac:dyDescent="0.2"/>
    <row r="45" spans="1:20" ht="11.25" customHeight="1" x14ac:dyDescent="0.2"/>
    <row r="46" spans="1:20" ht="11.25" customHeight="1" x14ac:dyDescent="0.2">
      <c r="N46" s="516"/>
    </row>
    <row r="47" spans="1:20" ht="11.25" customHeight="1" x14ac:dyDescent="0.2">
      <c r="N47" s="517"/>
    </row>
    <row r="48" spans="1:20" ht="11.25" customHeight="1" x14ac:dyDescent="0.2">
      <c r="N48" s="517"/>
    </row>
    <row r="49" spans="14:14" ht="11.25" customHeight="1" x14ac:dyDescent="0.2">
      <c r="N49" s="517"/>
    </row>
    <row r="50" spans="14:14" ht="11.25" customHeight="1" x14ac:dyDescent="0.2">
      <c r="N50" s="517"/>
    </row>
    <row r="51" spans="14:14" ht="11.25" customHeight="1" x14ac:dyDescent="0.2">
      <c r="N51" s="517"/>
    </row>
    <row r="52" spans="14:14" ht="11.25" customHeight="1" x14ac:dyDescent="0.2">
      <c r="N52" s="517"/>
    </row>
    <row r="54" spans="14:14" ht="11.25" customHeight="1" x14ac:dyDescent="0.2"/>
    <row r="55" spans="14:14" ht="11.25" customHeight="1" x14ac:dyDescent="0.2"/>
    <row r="56" spans="14:14" ht="11.25" customHeight="1" x14ac:dyDescent="0.2"/>
    <row r="57" spans="14:14" ht="11.25" customHeight="1" x14ac:dyDescent="0.2"/>
    <row r="58" spans="14:14" ht="11.25" customHeight="1" x14ac:dyDescent="0.2"/>
    <row r="59" spans="14:14" ht="11.25" customHeight="1" x14ac:dyDescent="0.2"/>
    <row r="60" spans="14:14" ht="11.25" customHeight="1" x14ac:dyDescent="0.2"/>
    <row r="61" spans="14:14" ht="11.25" customHeight="1" x14ac:dyDescent="0.2"/>
    <row r="62" spans="14:14" ht="11.25" customHeight="1" x14ac:dyDescent="0.2"/>
    <row r="63" spans="14:14" ht="11.25" customHeight="1" x14ac:dyDescent="0.2"/>
    <row r="64" spans="14:14" ht="11.25" customHeight="1" x14ac:dyDescent="0.2"/>
    <row r="65" spans="14:14" ht="11.25" customHeight="1" x14ac:dyDescent="0.2">
      <c r="N65" s="516"/>
    </row>
    <row r="66" spans="14:14" ht="11.25" customHeight="1" x14ac:dyDescent="0.2">
      <c r="N66" s="516"/>
    </row>
    <row r="67" spans="14:14" ht="11.25" customHeight="1" x14ac:dyDescent="0.2">
      <c r="N67" s="516"/>
    </row>
  </sheetData>
  <mergeCells count="3">
    <mergeCell ref="N5:N16"/>
    <mergeCell ref="N31:N42"/>
    <mergeCell ref="N18:N29"/>
  </mergeCells>
  <phoneticPr fontId="3" type="noConversion"/>
  <pageMargins left="0.75" right="0.75" top="1" bottom="1" header="0.5" footer="0.5"/>
  <pageSetup orientation="portrait" horizontalDpi="4294967293" r:id="rId1"/>
  <headerFooter alignWithMargins="0"/>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autoPageBreaks="0"/>
  </sheetPr>
  <dimension ref="A1:F14"/>
  <sheetViews>
    <sheetView zoomScale="130" zoomScaleNormal="130" workbookViewId="0">
      <selection activeCell="A5" sqref="A5"/>
    </sheetView>
  </sheetViews>
  <sheetFormatPr defaultRowHeight="12.75" x14ac:dyDescent="0.2"/>
  <cols>
    <col min="2" max="5" width="9.85546875" customWidth="1"/>
  </cols>
  <sheetData>
    <row r="1" spans="1:6" ht="18" x14ac:dyDescent="0.25">
      <c r="A1" s="351" t="s">
        <v>135</v>
      </c>
      <c r="B1" s="3"/>
      <c r="C1" s="3"/>
      <c r="D1" s="3"/>
      <c r="E1" s="3"/>
      <c r="F1" s="3"/>
    </row>
    <row r="2" spans="1:6" hidden="1" x14ac:dyDescent="0.2">
      <c r="A2" s="16" t="s">
        <v>406</v>
      </c>
      <c r="B2" s="505">
        <v>3.0439814814814821E-3</v>
      </c>
    </row>
    <row r="3" spans="1:6" x14ac:dyDescent="0.2">
      <c r="A3" s="438" t="str">
        <f>IF(A2="","",IF(Disable_Video_Hyperlinks,A2,HYPERLINK(Video_website&amp;A2,A2)))</f>
        <v>UNC_DAYT_EXCEL_2.3.2_LECTURE_LARGE_SMALL_RANDBETWEEN_RAND.mp4</v>
      </c>
    </row>
    <row r="4" spans="1:6" x14ac:dyDescent="0.2">
      <c r="A4" s="501">
        <f>IF(B2="","",B2)</f>
        <v>3.0439814814814821E-3</v>
      </c>
    </row>
    <row r="6" spans="1:6" ht="13.5" thickBot="1" x14ac:dyDescent="0.25">
      <c r="A6" s="274" t="s">
        <v>21</v>
      </c>
      <c r="B6" s="274"/>
      <c r="C6" s="274"/>
      <c r="D6" s="274"/>
      <c r="E6" s="274"/>
    </row>
    <row r="7" spans="1:6" ht="13.5" thickBot="1" x14ac:dyDescent="0.25">
      <c r="A7" s="43"/>
      <c r="B7" s="572" t="s">
        <v>22</v>
      </c>
      <c r="C7" s="573"/>
      <c r="D7" s="574" t="s">
        <v>23</v>
      </c>
      <c r="E7" s="575"/>
    </row>
    <row r="8" spans="1:6" s="486" customFormat="1" ht="23.25" thickBot="1" x14ac:dyDescent="0.25">
      <c r="A8" s="485"/>
      <c r="B8" s="275" t="s">
        <v>6</v>
      </c>
      <c r="C8" s="276" t="s">
        <v>7</v>
      </c>
      <c r="D8" s="277" t="s">
        <v>6</v>
      </c>
      <c r="E8" s="276" t="s">
        <v>7</v>
      </c>
    </row>
    <row r="9" spans="1:6" x14ac:dyDescent="0.2">
      <c r="A9" s="278">
        <v>1</v>
      </c>
      <c r="B9" s="89">
        <f>LARGE(CurrentQCdata!F$5:F$34,$A9)</f>
        <v>1.32</v>
      </c>
      <c r="C9" s="89">
        <f>LARGE(CurrentQCdata!G$5:G$34,$A9)</f>
        <v>3.22</v>
      </c>
      <c r="D9" s="45">
        <f>SMALL(CurrentQCdata!F$5:F$34,$A9)</f>
        <v>0.3</v>
      </c>
      <c r="E9" s="91">
        <f>SMALL(CurrentQCdata!G$5:G$34,$A9)</f>
        <v>1.73</v>
      </c>
    </row>
    <row r="10" spans="1:6" x14ac:dyDescent="0.2">
      <c r="A10" s="278">
        <v>2</v>
      </c>
      <c r="B10" s="89">
        <f>LARGE(CurrentQCdata!F$5:F$34,$A10)</f>
        <v>1.28</v>
      </c>
      <c r="C10" s="89">
        <f>LARGE(CurrentQCdata!G$5:G$34,$A10)</f>
        <v>2.35</v>
      </c>
      <c r="D10" s="45">
        <f>SMALL(CurrentQCdata!F$5:F$34,$A10)</f>
        <v>0.43</v>
      </c>
      <c r="E10" s="46">
        <f>SMALL(CurrentQCdata!G$5:G$34,$A10)</f>
        <v>2</v>
      </c>
    </row>
    <row r="11" spans="1:6" x14ac:dyDescent="0.2">
      <c r="A11" s="278">
        <v>3</v>
      </c>
      <c r="B11" s="89">
        <f>LARGE(CurrentQCdata!F$5:F$34,$A11)</f>
        <v>1.1299999999999999</v>
      </c>
      <c r="C11" s="89">
        <f>LARGE(CurrentQCdata!G$5:G$34,$A11)</f>
        <v>2.34</v>
      </c>
      <c r="D11" s="45">
        <f>SMALL(CurrentQCdata!F$5:F$34,$A11)</f>
        <v>0.45</v>
      </c>
      <c r="E11" s="46">
        <f>SMALL(CurrentQCdata!G$5:G$34,$A11)</f>
        <v>2.0099999999999998</v>
      </c>
    </row>
    <row r="12" spans="1:6" x14ac:dyDescent="0.2">
      <c r="A12" s="278">
        <v>4</v>
      </c>
      <c r="B12" s="89">
        <f>LARGE(CurrentQCdata!F$5:F$34,$A12)</f>
        <v>1.04</v>
      </c>
      <c r="C12" s="89">
        <f>LARGE(CurrentQCdata!G$5:G$34,$A12)</f>
        <v>2.33</v>
      </c>
      <c r="D12" s="45">
        <f>SMALL(CurrentQCdata!F$5:F$34,$A12)</f>
        <v>0.46</v>
      </c>
      <c r="E12" s="46">
        <f>SMALL(CurrentQCdata!G$5:G$34,$A12)</f>
        <v>2.0099999999999998</v>
      </c>
    </row>
    <row r="13" spans="1:6" ht="13.5" thickBot="1" x14ac:dyDescent="0.25">
      <c r="A13" s="279">
        <v>5</v>
      </c>
      <c r="B13" s="89">
        <f>LARGE(CurrentQCdata!F$5:F$34,$A13)</f>
        <v>1.01</v>
      </c>
      <c r="C13" s="90">
        <f>LARGE(CurrentQCdata!G$5:G$34,$A13)</f>
        <v>2.31</v>
      </c>
      <c r="D13" s="45">
        <f>SMALL(CurrentQCdata!F$5:F$34,$A13)</f>
        <v>0.47</v>
      </c>
      <c r="E13" s="48">
        <f>SMALL(CurrentQCdata!G$5:G$34,$A13)</f>
        <v>2.02</v>
      </c>
    </row>
    <row r="14" spans="1:6" x14ac:dyDescent="0.2">
      <c r="A14" s="65"/>
      <c r="B14" s="65"/>
      <c r="C14" s="65"/>
      <c r="D14" s="65"/>
      <c r="E14" s="65"/>
    </row>
  </sheetData>
  <mergeCells count="2">
    <mergeCell ref="B7:C7"/>
    <mergeCell ref="D7:E7"/>
  </mergeCells>
  <phoneticPr fontId="3" type="noConversion"/>
  <pageMargins left="0.75" right="0.75" top="1" bottom="1" header="0.5" footer="0.5"/>
  <pageSetup orientation="portrait" horizontalDpi="4294967293" r:id="rId1"/>
  <headerFooter alignWithMargins="0"/>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pageSetUpPr autoPageBreaks="0"/>
  </sheetPr>
  <dimension ref="A1:J108"/>
  <sheetViews>
    <sheetView zoomScale="130" zoomScaleNormal="130" workbookViewId="0">
      <pane ySplit="8" topLeftCell="A9" activePane="bottomLeft" state="frozen"/>
      <selection activeCell="A4" sqref="A4"/>
      <selection pane="bottomLeft" activeCell="A5" sqref="A5"/>
    </sheetView>
  </sheetViews>
  <sheetFormatPr defaultRowHeight="12.75" x14ac:dyDescent="0.2"/>
  <cols>
    <col min="1" max="1" width="10.42578125" style="66" bestFit="1" customWidth="1"/>
    <col min="2" max="2" width="8.140625" style="66" bestFit="1" customWidth="1"/>
    <col min="3" max="3" width="9.85546875" style="66" customWidth="1"/>
    <col min="4" max="4" width="10.5703125" style="66" bestFit="1" customWidth="1"/>
    <col min="5" max="5" width="8.28515625" customWidth="1"/>
    <col min="6" max="6" width="5.7109375" customWidth="1"/>
    <col min="7" max="7" width="5.42578125" customWidth="1"/>
    <col min="8" max="8" width="15.7109375" customWidth="1"/>
  </cols>
  <sheetData>
    <row r="1" spans="1:10" ht="18" x14ac:dyDescent="0.25">
      <c r="A1" s="453" t="s">
        <v>239</v>
      </c>
      <c r="B1" s="130"/>
      <c r="C1" s="130"/>
      <c r="D1" s="130"/>
      <c r="E1" s="122"/>
      <c r="F1" s="122"/>
      <c r="G1" s="122"/>
      <c r="H1" s="122"/>
    </row>
    <row r="2" spans="1:10" hidden="1" x14ac:dyDescent="0.2">
      <c r="A2" s="66" t="s">
        <v>406</v>
      </c>
    </row>
    <row r="3" spans="1:10" x14ac:dyDescent="0.2">
      <c r="A3" s="438" t="str">
        <f>IF(A2="","",IF(Disable_Video_Hyperlinks,A2,HYPERLINK(Video_website&amp;A2,A2)))</f>
        <v>UNC_DAYT_EXCEL_2.3.2_LECTURE_LARGE_SMALL_RANDBETWEEN_RAND.mp4</v>
      </c>
    </row>
    <row r="4" spans="1:10" x14ac:dyDescent="0.2">
      <c r="A4" s="501" t="str">
        <f>IF(B2="","",B2)</f>
        <v/>
      </c>
    </row>
    <row r="5" spans="1:10" ht="13.5" thickBot="1" x14ac:dyDescent="0.25"/>
    <row r="6" spans="1:10" ht="13.5" thickBot="1" x14ac:dyDescent="0.25">
      <c r="A6" s="576" t="s">
        <v>41</v>
      </c>
      <c r="B6" s="576"/>
      <c r="C6" s="576"/>
      <c r="D6" s="576"/>
      <c r="F6" s="362" t="s">
        <v>42</v>
      </c>
      <c r="G6" s="363"/>
      <c r="H6" s="364"/>
    </row>
    <row r="7" spans="1:10" ht="13.5" thickBot="1" x14ac:dyDescent="0.25">
      <c r="A7" s="508"/>
      <c r="B7" s="508"/>
      <c r="C7" s="508"/>
      <c r="D7" s="508"/>
      <c r="F7" s="527"/>
      <c r="G7" s="528"/>
      <c r="H7" s="529"/>
    </row>
    <row r="8" spans="1:10" ht="25.5" x14ac:dyDescent="0.2">
      <c r="A8" s="484" t="s">
        <v>3</v>
      </c>
      <c r="B8" s="483" t="s">
        <v>43</v>
      </c>
      <c r="C8" s="483" t="s">
        <v>44</v>
      </c>
      <c r="D8" s="483" t="s">
        <v>45</v>
      </c>
      <c r="F8" s="43"/>
      <c r="G8" s="65"/>
      <c r="H8" s="482" t="s">
        <v>46</v>
      </c>
      <c r="I8" s="66"/>
      <c r="J8" s="66"/>
    </row>
    <row r="9" spans="1:10" x14ac:dyDescent="0.2">
      <c r="A9" s="84">
        <f ca="1">RANDBETWEEN(1,3)</f>
        <v>1</v>
      </c>
      <c r="B9" s="66">
        <f ca="1">RAND()*175 +25</f>
        <v>170.87136989796744</v>
      </c>
      <c r="C9" s="66">
        <f ca="1">0.03+RAND()*0.02</f>
        <v>3.2293627285038609E-2</v>
      </c>
      <c r="D9" s="337">
        <f ca="1">ROUND(B9*C9,2)</f>
        <v>5.52</v>
      </c>
      <c r="F9" s="44"/>
      <c r="G9" s="66"/>
      <c r="H9" s="169">
        <f>0.04*(25+200)/2*100</f>
        <v>450</v>
      </c>
      <c r="I9" s="66"/>
      <c r="J9" s="66"/>
    </row>
    <row r="10" spans="1:10" x14ac:dyDescent="0.2">
      <c r="A10" s="84">
        <f t="shared" ref="A10:A73" ca="1" si="0">RANDBETWEEN(1,3)</f>
        <v>3</v>
      </c>
      <c r="B10" s="66">
        <f t="shared" ref="B10:B73" ca="1" si="1">RAND()*175 +25</f>
        <v>113.2425155975327</v>
      </c>
      <c r="C10" s="66">
        <f t="shared" ref="C10:C73" ca="1" si="2">0.03+RAND()*0.02</f>
        <v>3.042955152498451E-2</v>
      </c>
      <c r="D10" s="89">
        <f t="shared" ref="D10:D73" ca="1" si="3">ROUND(B10*C10,2)</f>
        <v>3.45</v>
      </c>
      <c r="F10" s="580"/>
      <c r="G10" s="581"/>
      <c r="H10" s="481" t="s">
        <v>423</v>
      </c>
      <c r="I10" s="66"/>
      <c r="J10" s="66"/>
    </row>
    <row r="11" spans="1:10" x14ac:dyDescent="0.2">
      <c r="A11" s="84">
        <f t="shared" ca="1" si="0"/>
        <v>1</v>
      </c>
      <c r="B11" s="66">
        <f t="shared" ca="1" si="1"/>
        <v>67.693590236371151</v>
      </c>
      <c r="C11" s="66">
        <f t="shared" ca="1" si="2"/>
        <v>3.8975583694234969E-2</v>
      </c>
      <c r="D11" s="89">
        <f t="shared" ca="1" si="3"/>
        <v>2.64</v>
      </c>
      <c r="F11" s="577" t="s">
        <v>3</v>
      </c>
      <c r="G11" s="578"/>
      <c r="H11" s="481" t="s">
        <v>424</v>
      </c>
      <c r="I11" s="66"/>
      <c r="J11" s="66"/>
    </row>
    <row r="12" spans="1:10" x14ac:dyDescent="0.2">
      <c r="A12" s="84">
        <f t="shared" ca="1" si="0"/>
        <v>1</v>
      </c>
      <c r="B12" s="66">
        <f t="shared" ca="1" si="1"/>
        <v>114.63407453774896</v>
      </c>
      <c r="C12" s="66">
        <f t="shared" ca="1" si="2"/>
        <v>3.9229409959987013E-2</v>
      </c>
      <c r="D12" s="89">
        <f t="shared" ca="1" si="3"/>
        <v>4.5</v>
      </c>
      <c r="F12" s="338">
        <v>1</v>
      </c>
      <c r="G12" s="339" t="s">
        <v>8</v>
      </c>
      <c r="H12" s="67">
        <f ca="1">SUMIF(A$9:A$108,F12,D$9:D$108)</f>
        <v>163.09000000000006</v>
      </c>
      <c r="I12" s="66"/>
      <c r="J12" s="66"/>
    </row>
    <row r="13" spans="1:10" x14ac:dyDescent="0.2">
      <c r="A13" s="84">
        <f t="shared" ca="1" si="0"/>
        <v>3</v>
      </c>
      <c r="B13" s="66">
        <f t="shared" ca="1" si="1"/>
        <v>75.804299985799986</v>
      </c>
      <c r="C13" s="66">
        <f t="shared" ca="1" si="2"/>
        <v>4.4814948518990441E-2</v>
      </c>
      <c r="D13" s="89">
        <f t="shared" ca="1" si="3"/>
        <v>3.4</v>
      </c>
      <c r="F13" s="338">
        <v>2</v>
      </c>
      <c r="G13" s="339" t="s">
        <v>9</v>
      </c>
      <c r="H13" s="360">
        <f ca="1">SUMIF(A$9:A$108,F13,D$9:D$108)</f>
        <v>142.84999999999994</v>
      </c>
      <c r="I13" s="66"/>
      <c r="J13" s="66"/>
    </row>
    <row r="14" spans="1:10" ht="13.5" thickBot="1" x14ac:dyDescent="0.25">
      <c r="A14" s="84">
        <f t="shared" ca="1" si="0"/>
        <v>1</v>
      </c>
      <c r="B14" s="66">
        <f t="shared" ca="1" si="1"/>
        <v>76.551832926650519</v>
      </c>
      <c r="C14" s="66">
        <f t="shared" ca="1" si="2"/>
        <v>3.4658049861004389E-2</v>
      </c>
      <c r="D14" s="89">
        <f t="shared" ca="1" si="3"/>
        <v>2.65</v>
      </c>
      <c r="F14" s="338">
        <v>3</v>
      </c>
      <c r="G14" s="339" t="s">
        <v>10</v>
      </c>
      <c r="H14" s="360">
        <f ca="1">SUMIF(A$9:A$108,F14,D$9:D$108)</f>
        <v>154.12</v>
      </c>
      <c r="I14" s="66"/>
      <c r="J14" s="66"/>
    </row>
    <row r="15" spans="1:10" ht="13.5" thickBot="1" x14ac:dyDescent="0.25">
      <c r="A15" s="84">
        <f t="shared" ca="1" si="0"/>
        <v>1</v>
      </c>
      <c r="B15" s="66">
        <f t="shared" ca="1" si="1"/>
        <v>176.96380379813337</v>
      </c>
      <c r="C15" s="66">
        <f t="shared" ca="1" si="2"/>
        <v>4.1983359591239514E-2</v>
      </c>
      <c r="D15" s="89">
        <f t="shared" ca="1" si="3"/>
        <v>7.43</v>
      </c>
      <c r="F15" s="47"/>
      <c r="G15" s="361" t="s">
        <v>374</v>
      </c>
      <c r="H15" s="359">
        <f ca="1">SUM(H12:H14)</f>
        <v>460.06</v>
      </c>
      <c r="I15" s="66"/>
      <c r="J15" s="66"/>
    </row>
    <row r="16" spans="1:10" x14ac:dyDescent="0.2">
      <c r="A16" s="84">
        <f t="shared" ca="1" si="0"/>
        <v>1</v>
      </c>
      <c r="B16" s="66">
        <f t="shared" ca="1" si="1"/>
        <v>79.009723021655631</v>
      </c>
      <c r="C16" s="66">
        <f t="shared" ca="1" si="2"/>
        <v>3.7744228601813354E-2</v>
      </c>
      <c r="D16" s="89">
        <f t="shared" ca="1" si="3"/>
        <v>2.98</v>
      </c>
      <c r="I16" s="69"/>
      <c r="J16" s="66"/>
    </row>
    <row r="17" spans="1:10" x14ac:dyDescent="0.2">
      <c r="A17" s="84">
        <f t="shared" ca="1" si="0"/>
        <v>3</v>
      </c>
      <c r="B17" s="66">
        <f t="shared" ca="1" si="1"/>
        <v>173.0248246338511</v>
      </c>
      <c r="C17" s="66">
        <f t="shared" ca="1" si="2"/>
        <v>3.4015911476098407E-2</v>
      </c>
      <c r="D17" s="89">
        <f t="shared" ca="1" si="3"/>
        <v>5.89</v>
      </c>
      <c r="I17" s="66"/>
      <c r="J17" s="66"/>
    </row>
    <row r="18" spans="1:10" x14ac:dyDescent="0.2">
      <c r="A18" s="84">
        <f t="shared" ca="1" si="0"/>
        <v>3</v>
      </c>
      <c r="B18" s="66">
        <f t="shared" ca="1" si="1"/>
        <v>36.261987179231383</v>
      </c>
      <c r="C18" s="66">
        <f t="shared" ca="1" si="2"/>
        <v>4.3802513199655384E-2</v>
      </c>
      <c r="D18" s="89">
        <f t="shared" ca="1" si="3"/>
        <v>1.59</v>
      </c>
      <c r="H18" s="70"/>
      <c r="I18" s="66"/>
      <c r="J18" s="66"/>
    </row>
    <row r="19" spans="1:10" x14ac:dyDescent="0.2">
      <c r="A19" s="84">
        <f t="shared" ca="1" si="0"/>
        <v>1</v>
      </c>
      <c r="B19" s="66">
        <f t="shared" ca="1" si="1"/>
        <v>100.69667874961671</v>
      </c>
      <c r="C19" s="66">
        <f t="shared" ca="1" si="2"/>
        <v>3.6120203283918066E-2</v>
      </c>
      <c r="D19" s="89">
        <f t="shared" ca="1" si="3"/>
        <v>3.64</v>
      </c>
      <c r="I19" s="66"/>
      <c r="J19" s="66"/>
    </row>
    <row r="20" spans="1:10" x14ac:dyDescent="0.2">
      <c r="A20" s="84">
        <f t="shared" ca="1" si="0"/>
        <v>1</v>
      </c>
      <c r="B20" s="66">
        <f t="shared" ca="1" si="1"/>
        <v>152.77546437053974</v>
      </c>
      <c r="C20" s="66">
        <f t="shared" ca="1" si="2"/>
        <v>4.8383727233685933E-2</v>
      </c>
      <c r="D20" s="89">
        <f t="shared" ca="1" si="3"/>
        <v>7.39</v>
      </c>
      <c r="I20" s="66"/>
      <c r="J20" s="66"/>
    </row>
    <row r="21" spans="1:10" x14ac:dyDescent="0.2">
      <c r="A21" s="84">
        <f t="shared" ca="1" si="0"/>
        <v>3</v>
      </c>
      <c r="B21" s="66">
        <f t="shared" ca="1" si="1"/>
        <v>187.79402063104195</v>
      </c>
      <c r="C21" s="66">
        <f t="shared" ca="1" si="2"/>
        <v>4.7529319469166692E-2</v>
      </c>
      <c r="D21" s="89">
        <f t="shared" ca="1" si="3"/>
        <v>8.93</v>
      </c>
      <c r="I21" s="66"/>
      <c r="J21" s="66"/>
    </row>
    <row r="22" spans="1:10" x14ac:dyDescent="0.2">
      <c r="A22" s="84">
        <f t="shared" ca="1" si="0"/>
        <v>1</v>
      </c>
      <c r="B22" s="66">
        <f t="shared" ca="1" si="1"/>
        <v>85.781568505705991</v>
      </c>
      <c r="C22" s="66">
        <f t="shared" ca="1" si="2"/>
        <v>4.0672916583009519E-2</v>
      </c>
      <c r="D22" s="89">
        <f t="shared" ca="1" si="3"/>
        <v>3.49</v>
      </c>
      <c r="I22" s="66"/>
      <c r="J22" s="66"/>
    </row>
    <row r="23" spans="1:10" x14ac:dyDescent="0.2">
      <c r="A23" s="84">
        <f t="shared" ca="1" si="0"/>
        <v>1</v>
      </c>
      <c r="B23" s="66">
        <f t="shared" ca="1" si="1"/>
        <v>199.08527841138215</v>
      </c>
      <c r="C23" s="66">
        <f t="shared" ca="1" si="2"/>
        <v>3.719467533133098E-2</v>
      </c>
      <c r="D23" s="89">
        <f t="shared" ca="1" si="3"/>
        <v>7.4</v>
      </c>
    </row>
    <row r="24" spans="1:10" x14ac:dyDescent="0.2">
      <c r="A24" s="84">
        <f t="shared" ca="1" si="0"/>
        <v>2</v>
      </c>
      <c r="B24" s="66">
        <f t="shared" ca="1" si="1"/>
        <v>33.046401816044323</v>
      </c>
      <c r="C24" s="66">
        <f t="shared" ca="1" si="2"/>
        <v>3.5130060890969227E-2</v>
      </c>
      <c r="D24" s="89">
        <f t="shared" ca="1" si="3"/>
        <v>1.1599999999999999</v>
      </c>
    </row>
    <row r="25" spans="1:10" x14ac:dyDescent="0.2">
      <c r="A25" s="84">
        <f t="shared" ca="1" si="0"/>
        <v>1</v>
      </c>
      <c r="B25" s="66">
        <f t="shared" ca="1" si="1"/>
        <v>116.13469639373395</v>
      </c>
      <c r="C25" s="66">
        <f t="shared" ca="1" si="2"/>
        <v>3.2732566259211532E-2</v>
      </c>
      <c r="D25" s="89">
        <f t="shared" ca="1" si="3"/>
        <v>3.8</v>
      </c>
    </row>
    <row r="26" spans="1:10" x14ac:dyDescent="0.2">
      <c r="A26" s="84">
        <f t="shared" ca="1" si="0"/>
        <v>1</v>
      </c>
      <c r="B26" s="66">
        <f t="shared" ca="1" si="1"/>
        <v>132.88187509330035</v>
      </c>
      <c r="C26" s="66">
        <f t="shared" ca="1" si="2"/>
        <v>4.1679240403351601E-2</v>
      </c>
      <c r="D26" s="89">
        <f t="shared" ca="1" si="3"/>
        <v>5.54</v>
      </c>
    </row>
    <row r="27" spans="1:10" x14ac:dyDescent="0.2">
      <c r="A27" s="84">
        <f t="shared" ca="1" si="0"/>
        <v>2</v>
      </c>
      <c r="B27" s="66">
        <f t="shared" ca="1" si="1"/>
        <v>133.95034331164766</v>
      </c>
      <c r="C27" s="66">
        <f t="shared" ca="1" si="2"/>
        <v>4.0880728555213353E-2</v>
      </c>
      <c r="D27" s="89">
        <f t="shared" ca="1" si="3"/>
        <v>5.48</v>
      </c>
    </row>
    <row r="28" spans="1:10" x14ac:dyDescent="0.2">
      <c r="A28" s="84">
        <f t="shared" ca="1" si="0"/>
        <v>2</v>
      </c>
      <c r="B28" s="66">
        <f t="shared" ca="1" si="1"/>
        <v>61.134849684931623</v>
      </c>
      <c r="C28" s="66">
        <f t="shared" ca="1" si="2"/>
        <v>3.6715658493717732E-2</v>
      </c>
      <c r="D28" s="89">
        <f t="shared" ca="1" si="3"/>
        <v>2.2400000000000002</v>
      </c>
    </row>
    <row r="29" spans="1:10" x14ac:dyDescent="0.2">
      <c r="A29" s="84">
        <f t="shared" ca="1" si="0"/>
        <v>2</v>
      </c>
      <c r="B29" s="66">
        <f t="shared" ca="1" si="1"/>
        <v>38.822099761380514</v>
      </c>
      <c r="C29" s="66">
        <f t="shared" ca="1" si="2"/>
        <v>3.5038334845786737E-2</v>
      </c>
      <c r="D29" s="89">
        <f t="shared" ca="1" si="3"/>
        <v>1.36</v>
      </c>
    </row>
    <row r="30" spans="1:10" x14ac:dyDescent="0.2">
      <c r="A30" s="84">
        <f t="shared" ca="1" si="0"/>
        <v>2</v>
      </c>
      <c r="B30" s="66">
        <f t="shared" ca="1" si="1"/>
        <v>125.4536652012072</v>
      </c>
      <c r="C30" s="66">
        <f t="shared" ca="1" si="2"/>
        <v>3.8340159595415119E-2</v>
      </c>
      <c r="D30" s="89">
        <f t="shared" ca="1" si="3"/>
        <v>4.8099999999999996</v>
      </c>
    </row>
    <row r="31" spans="1:10" x14ac:dyDescent="0.2">
      <c r="A31" s="84">
        <f t="shared" ca="1" si="0"/>
        <v>3</v>
      </c>
      <c r="B31" s="66">
        <f t="shared" ca="1" si="1"/>
        <v>164.23384236061347</v>
      </c>
      <c r="C31" s="66">
        <f t="shared" ca="1" si="2"/>
        <v>4.5598566275374675E-2</v>
      </c>
      <c r="D31" s="89">
        <f t="shared" ca="1" si="3"/>
        <v>7.49</v>
      </c>
    </row>
    <row r="32" spans="1:10" x14ac:dyDescent="0.2">
      <c r="A32" s="84">
        <f t="shared" ca="1" si="0"/>
        <v>3</v>
      </c>
      <c r="B32" s="66">
        <f t="shared" ca="1" si="1"/>
        <v>175.84161327298474</v>
      </c>
      <c r="C32" s="66">
        <f t="shared" ca="1" si="2"/>
        <v>3.3817049169982752E-2</v>
      </c>
      <c r="D32" s="89">
        <f t="shared" ca="1" si="3"/>
        <v>5.95</v>
      </c>
    </row>
    <row r="33" spans="1:4" x14ac:dyDescent="0.2">
      <c r="A33" s="84">
        <f t="shared" ca="1" si="0"/>
        <v>1</v>
      </c>
      <c r="B33" s="66">
        <f t="shared" ca="1" si="1"/>
        <v>37.800851310676208</v>
      </c>
      <c r="C33" s="66">
        <f t="shared" ca="1" si="2"/>
        <v>3.4785824437564082E-2</v>
      </c>
      <c r="D33" s="89">
        <f t="shared" ca="1" si="3"/>
        <v>1.31</v>
      </c>
    </row>
    <row r="34" spans="1:4" x14ac:dyDescent="0.2">
      <c r="A34" s="84">
        <f t="shared" ca="1" si="0"/>
        <v>1</v>
      </c>
      <c r="B34" s="66">
        <f t="shared" ca="1" si="1"/>
        <v>108.29656949090939</v>
      </c>
      <c r="C34" s="66">
        <f t="shared" ca="1" si="2"/>
        <v>3.8459876481662034E-2</v>
      </c>
      <c r="D34" s="89">
        <f t="shared" ca="1" si="3"/>
        <v>4.17</v>
      </c>
    </row>
    <row r="35" spans="1:4" x14ac:dyDescent="0.2">
      <c r="A35" s="84">
        <f t="shared" ca="1" si="0"/>
        <v>3</v>
      </c>
      <c r="B35" s="66">
        <f t="shared" ca="1" si="1"/>
        <v>35.770701514115984</v>
      </c>
      <c r="C35" s="66">
        <f t="shared" ca="1" si="2"/>
        <v>3.2963838111879161E-2</v>
      </c>
      <c r="D35" s="89">
        <f t="shared" ca="1" si="3"/>
        <v>1.18</v>
      </c>
    </row>
    <row r="36" spans="1:4" x14ac:dyDescent="0.2">
      <c r="A36" s="84">
        <f t="shared" ca="1" si="0"/>
        <v>2</v>
      </c>
      <c r="B36" s="66">
        <f t="shared" ca="1" si="1"/>
        <v>94.27563751754019</v>
      </c>
      <c r="C36" s="66">
        <f t="shared" ca="1" si="2"/>
        <v>4.6875088912274876E-2</v>
      </c>
      <c r="D36" s="89">
        <f t="shared" ca="1" si="3"/>
        <v>4.42</v>
      </c>
    </row>
    <row r="37" spans="1:4" x14ac:dyDescent="0.2">
      <c r="A37" s="84">
        <f t="shared" ca="1" si="0"/>
        <v>2</v>
      </c>
      <c r="B37" s="66">
        <f t="shared" ca="1" si="1"/>
        <v>197.283401733468</v>
      </c>
      <c r="C37" s="66">
        <f t="shared" ca="1" si="2"/>
        <v>3.6298930163866226E-2</v>
      </c>
      <c r="D37" s="89">
        <f t="shared" ca="1" si="3"/>
        <v>7.16</v>
      </c>
    </row>
    <row r="38" spans="1:4" x14ac:dyDescent="0.2">
      <c r="A38" s="84">
        <f t="shared" ca="1" si="0"/>
        <v>3</v>
      </c>
      <c r="B38" s="66">
        <f t="shared" ca="1" si="1"/>
        <v>79.22247060737871</v>
      </c>
      <c r="C38" s="66">
        <f t="shared" ca="1" si="2"/>
        <v>3.9098347835006896E-2</v>
      </c>
      <c r="D38" s="89">
        <f t="shared" ca="1" si="3"/>
        <v>3.1</v>
      </c>
    </row>
    <row r="39" spans="1:4" x14ac:dyDescent="0.2">
      <c r="A39" s="84">
        <f t="shared" ca="1" si="0"/>
        <v>1</v>
      </c>
      <c r="B39" s="66">
        <f t="shared" ca="1" si="1"/>
        <v>129.73266059995325</v>
      </c>
      <c r="C39" s="66">
        <f t="shared" ca="1" si="2"/>
        <v>3.4793955222845972E-2</v>
      </c>
      <c r="D39" s="89">
        <f t="shared" ca="1" si="3"/>
        <v>4.51</v>
      </c>
    </row>
    <row r="40" spans="1:4" x14ac:dyDescent="0.2">
      <c r="A40" s="84">
        <f t="shared" ca="1" si="0"/>
        <v>2</v>
      </c>
      <c r="B40" s="66">
        <f t="shared" ca="1" si="1"/>
        <v>147.97526964129418</v>
      </c>
      <c r="C40" s="66">
        <f t="shared" ca="1" si="2"/>
        <v>3.6264128055103047E-2</v>
      </c>
      <c r="D40" s="89">
        <f t="shared" ca="1" si="3"/>
        <v>5.37</v>
      </c>
    </row>
    <row r="41" spans="1:4" x14ac:dyDescent="0.2">
      <c r="A41" s="84">
        <f t="shared" ca="1" si="0"/>
        <v>3</v>
      </c>
      <c r="B41" s="66">
        <f t="shared" ca="1" si="1"/>
        <v>55.801669811845343</v>
      </c>
      <c r="C41" s="66">
        <f t="shared" ca="1" si="2"/>
        <v>3.6536223499258148E-2</v>
      </c>
      <c r="D41" s="89">
        <f t="shared" ca="1" si="3"/>
        <v>2.04</v>
      </c>
    </row>
    <row r="42" spans="1:4" x14ac:dyDescent="0.2">
      <c r="A42" s="84">
        <f t="shared" ca="1" si="0"/>
        <v>1</v>
      </c>
      <c r="B42" s="66">
        <f t="shared" ca="1" si="1"/>
        <v>179.90980726286003</v>
      </c>
      <c r="C42" s="66">
        <f t="shared" ca="1" si="2"/>
        <v>3.623435204967089E-2</v>
      </c>
      <c r="D42" s="89">
        <f t="shared" ca="1" si="3"/>
        <v>6.52</v>
      </c>
    </row>
    <row r="43" spans="1:4" x14ac:dyDescent="0.2">
      <c r="A43" s="84">
        <f t="shared" ca="1" si="0"/>
        <v>1</v>
      </c>
      <c r="B43" s="66">
        <f t="shared" ca="1" si="1"/>
        <v>72.514994898085121</v>
      </c>
      <c r="C43" s="66">
        <f t="shared" ca="1" si="2"/>
        <v>3.8735222313666821E-2</v>
      </c>
      <c r="D43" s="89">
        <f t="shared" ca="1" si="3"/>
        <v>2.81</v>
      </c>
    </row>
    <row r="44" spans="1:4" x14ac:dyDescent="0.2">
      <c r="A44" s="84">
        <f t="shared" ca="1" si="0"/>
        <v>3</v>
      </c>
      <c r="B44" s="66">
        <f t="shared" ca="1" si="1"/>
        <v>118.27484743887673</v>
      </c>
      <c r="C44" s="66">
        <f t="shared" ca="1" si="2"/>
        <v>4.3547422637467026E-2</v>
      </c>
      <c r="D44" s="89">
        <f t="shared" ca="1" si="3"/>
        <v>5.15</v>
      </c>
    </row>
    <row r="45" spans="1:4" x14ac:dyDescent="0.2">
      <c r="A45" s="84">
        <f t="shared" ca="1" si="0"/>
        <v>3</v>
      </c>
      <c r="B45" s="66">
        <f t="shared" ca="1" si="1"/>
        <v>82.097118166065002</v>
      </c>
      <c r="C45" s="66">
        <f t="shared" ca="1" si="2"/>
        <v>4.7721324122280251E-2</v>
      </c>
      <c r="D45" s="89">
        <f t="shared" ca="1" si="3"/>
        <v>3.92</v>
      </c>
    </row>
    <row r="46" spans="1:4" x14ac:dyDescent="0.2">
      <c r="A46" s="84">
        <f t="shared" ca="1" si="0"/>
        <v>2</v>
      </c>
      <c r="B46" s="66">
        <f t="shared" ca="1" si="1"/>
        <v>164.60471467295653</v>
      </c>
      <c r="C46" s="66">
        <f t="shared" ca="1" si="2"/>
        <v>4.0447864837438501E-2</v>
      </c>
      <c r="D46" s="89">
        <f t="shared" ca="1" si="3"/>
        <v>6.66</v>
      </c>
    </row>
    <row r="47" spans="1:4" x14ac:dyDescent="0.2">
      <c r="A47" s="84">
        <f t="shared" ca="1" si="0"/>
        <v>2</v>
      </c>
      <c r="B47" s="66">
        <f t="shared" ca="1" si="1"/>
        <v>87.154004826285899</v>
      </c>
      <c r="C47" s="66">
        <f t="shared" ca="1" si="2"/>
        <v>4.9958479456205407E-2</v>
      </c>
      <c r="D47" s="89">
        <f t="shared" ca="1" si="3"/>
        <v>4.3499999999999996</v>
      </c>
    </row>
    <row r="48" spans="1:4" x14ac:dyDescent="0.2">
      <c r="A48" s="84">
        <f t="shared" ca="1" si="0"/>
        <v>2</v>
      </c>
      <c r="B48" s="66">
        <f t="shared" ca="1" si="1"/>
        <v>82.833984153612377</v>
      </c>
      <c r="C48" s="66">
        <f t="shared" ca="1" si="2"/>
        <v>4.7319176870059813E-2</v>
      </c>
      <c r="D48" s="89">
        <f t="shared" ca="1" si="3"/>
        <v>3.92</v>
      </c>
    </row>
    <row r="49" spans="1:4" x14ac:dyDescent="0.2">
      <c r="A49" s="84">
        <f t="shared" ca="1" si="0"/>
        <v>2</v>
      </c>
      <c r="B49" s="66">
        <f t="shared" ca="1" si="1"/>
        <v>180.61111641382848</v>
      </c>
      <c r="C49" s="66">
        <f t="shared" ca="1" si="2"/>
        <v>3.3238554020387077E-2</v>
      </c>
      <c r="D49" s="89">
        <f t="shared" ca="1" si="3"/>
        <v>6</v>
      </c>
    </row>
    <row r="50" spans="1:4" x14ac:dyDescent="0.2">
      <c r="A50" s="84">
        <f t="shared" ca="1" si="0"/>
        <v>1</v>
      </c>
      <c r="B50" s="66">
        <f t="shared" ca="1" si="1"/>
        <v>33.999899009021988</v>
      </c>
      <c r="C50" s="66">
        <f t="shared" ca="1" si="2"/>
        <v>4.4711973990311488E-2</v>
      </c>
      <c r="D50" s="89">
        <f t="shared" ca="1" si="3"/>
        <v>1.52</v>
      </c>
    </row>
    <row r="51" spans="1:4" x14ac:dyDescent="0.2">
      <c r="A51" s="84">
        <f t="shared" ca="1" si="0"/>
        <v>1</v>
      </c>
      <c r="B51" s="66">
        <f t="shared" ca="1" si="1"/>
        <v>41.511063442823414</v>
      </c>
      <c r="C51" s="66">
        <f t="shared" ca="1" si="2"/>
        <v>4.1149825530756523E-2</v>
      </c>
      <c r="D51" s="89">
        <f t="shared" ca="1" si="3"/>
        <v>1.71</v>
      </c>
    </row>
    <row r="52" spans="1:4" x14ac:dyDescent="0.2">
      <c r="A52" s="84">
        <f t="shared" ca="1" si="0"/>
        <v>2</v>
      </c>
      <c r="B52" s="66">
        <f t="shared" ca="1" si="1"/>
        <v>151.91810930043437</v>
      </c>
      <c r="C52" s="66">
        <f t="shared" ca="1" si="2"/>
        <v>4.2350834319117743E-2</v>
      </c>
      <c r="D52" s="89">
        <f t="shared" ca="1" si="3"/>
        <v>6.43</v>
      </c>
    </row>
    <row r="53" spans="1:4" x14ac:dyDescent="0.2">
      <c r="A53" s="84">
        <f t="shared" ca="1" si="0"/>
        <v>1</v>
      </c>
      <c r="B53" s="66">
        <f t="shared" ca="1" si="1"/>
        <v>82.867602643472978</v>
      </c>
      <c r="C53" s="66">
        <f t="shared" ca="1" si="2"/>
        <v>4.5773276458488124E-2</v>
      </c>
      <c r="D53" s="89">
        <f t="shared" ca="1" si="3"/>
        <v>3.79</v>
      </c>
    </row>
    <row r="54" spans="1:4" x14ac:dyDescent="0.2">
      <c r="A54" s="84">
        <f t="shared" ca="1" si="0"/>
        <v>3</v>
      </c>
      <c r="B54" s="66">
        <f t="shared" ca="1" si="1"/>
        <v>98.082881345799862</v>
      </c>
      <c r="C54" s="66">
        <f t="shared" ca="1" si="2"/>
        <v>3.7454893769905032E-2</v>
      </c>
      <c r="D54" s="89">
        <f t="shared" ca="1" si="3"/>
        <v>3.67</v>
      </c>
    </row>
    <row r="55" spans="1:4" x14ac:dyDescent="0.2">
      <c r="A55" s="84">
        <f t="shared" ca="1" si="0"/>
        <v>2</v>
      </c>
      <c r="B55" s="66">
        <f t="shared" ca="1" si="1"/>
        <v>30.072850821434887</v>
      </c>
      <c r="C55" s="66">
        <f t="shared" ca="1" si="2"/>
        <v>3.9704487566415467E-2</v>
      </c>
      <c r="D55" s="89">
        <f t="shared" ca="1" si="3"/>
        <v>1.19</v>
      </c>
    </row>
    <row r="56" spans="1:4" x14ac:dyDescent="0.2">
      <c r="A56" s="84">
        <f t="shared" ca="1" si="0"/>
        <v>3</v>
      </c>
      <c r="B56" s="66">
        <f t="shared" ca="1" si="1"/>
        <v>149.8388247429146</v>
      </c>
      <c r="C56" s="66">
        <f t="shared" ca="1" si="2"/>
        <v>4.190573455310978E-2</v>
      </c>
      <c r="D56" s="89">
        <f t="shared" ca="1" si="3"/>
        <v>6.28</v>
      </c>
    </row>
    <row r="57" spans="1:4" x14ac:dyDescent="0.2">
      <c r="A57" s="84">
        <f t="shared" ca="1" si="0"/>
        <v>1</v>
      </c>
      <c r="B57" s="66">
        <f t="shared" ca="1" si="1"/>
        <v>109.39191274719072</v>
      </c>
      <c r="C57" s="66">
        <f t="shared" ca="1" si="2"/>
        <v>3.0977709075030342E-2</v>
      </c>
      <c r="D57" s="89">
        <f t="shared" ca="1" si="3"/>
        <v>3.39</v>
      </c>
    </row>
    <row r="58" spans="1:4" x14ac:dyDescent="0.2">
      <c r="A58" s="84">
        <f t="shared" ca="1" si="0"/>
        <v>2</v>
      </c>
      <c r="B58" s="66">
        <f t="shared" ca="1" si="1"/>
        <v>62.81369755318714</v>
      </c>
      <c r="C58" s="66">
        <f t="shared" ca="1" si="2"/>
        <v>4.0504098180211112E-2</v>
      </c>
      <c r="D58" s="89">
        <f t="shared" ca="1" si="3"/>
        <v>2.54</v>
      </c>
    </row>
    <row r="59" spans="1:4" x14ac:dyDescent="0.2">
      <c r="A59" s="84">
        <f t="shared" ca="1" si="0"/>
        <v>3</v>
      </c>
      <c r="B59" s="66">
        <f t="shared" ca="1" si="1"/>
        <v>129.91689954737129</v>
      </c>
      <c r="C59" s="66">
        <f t="shared" ca="1" si="2"/>
        <v>4.6932167103293218E-2</v>
      </c>
      <c r="D59" s="89">
        <f t="shared" ca="1" si="3"/>
        <v>6.1</v>
      </c>
    </row>
    <row r="60" spans="1:4" x14ac:dyDescent="0.2">
      <c r="A60" s="84">
        <f t="shared" ca="1" si="0"/>
        <v>3</v>
      </c>
      <c r="B60" s="66">
        <f t="shared" ca="1" si="1"/>
        <v>129.29638884667995</v>
      </c>
      <c r="C60" s="66">
        <f t="shared" ca="1" si="2"/>
        <v>4.3019655381609984E-2</v>
      </c>
      <c r="D60" s="89">
        <f t="shared" ca="1" si="3"/>
        <v>5.56</v>
      </c>
    </row>
    <row r="61" spans="1:4" x14ac:dyDescent="0.2">
      <c r="A61" s="84">
        <f t="shared" ca="1" si="0"/>
        <v>3</v>
      </c>
      <c r="B61" s="66">
        <f t="shared" ca="1" si="1"/>
        <v>51.049157694261481</v>
      </c>
      <c r="C61" s="66">
        <f t="shared" ca="1" si="2"/>
        <v>4.0383466148786309E-2</v>
      </c>
      <c r="D61" s="89">
        <f t="shared" ca="1" si="3"/>
        <v>2.06</v>
      </c>
    </row>
    <row r="62" spans="1:4" x14ac:dyDescent="0.2">
      <c r="A62" s="84">
        <f t="shared" ca="1" si="0"/>
        <v>2</v>
      </c>
      <c r="B62" s="66">
        <f t="shared" ca="1" si="1"/>
        <v>65.437148412782022</v>
      </c>
      <c r="C62" s="66">
        <f t="shared" ca="1" si="2"/>
        <v>3.9546127196800812E-2</v>
      </c>
      <c r="D62" s="89">
        <f t="shared" ca="1" si="3"/>
        <v>2.59</v>
      </c>
    </row>
    <row r="63" spans="1:4" x14ac:dyDescent="0.2">
      <c r="A63" s="84">
        <f t="shared" ca="1" si="0"/>
        <v>2</v>
      </c>
      <c r="B63" s="66">
        <f t="shared" ca="1" si="1"/>
        <v>112.00847499433819</v>
      </c>
      <c r="C63" s="66">
        <f t="shared" ca="1" si="2"/>
        <v>4.1110553882793319E-2</v>
      </c>
      <c r="D63" s="89">
        <f t="shared" ca="1" si="3"/>
        <v>4.5999999999999996</v>
      </c>
    </row>
    <row r="64" spans="1:4" x14ac:dyDescent="0.2">
      <c r="A64" s="84">
        <f t="shared" ca="1" si="0"/>
        <v>2</v>
      </c>
      <c r="B64" s="66">
        <f t="shared" ca="1" si="1"/>
        <v>152.69405424656995</v>
      </c>
      <c r="C64" s="66">
        <f t="shared" ca="1" si="2"/>
        <v>4.8627951016815135E-2</v>
      </c>
      <c r="D64" s="89">
        <f t="shared" ca="1" si="3"/>
        <v>7.43</v>
      </c>
    </row>
    <row r="65" spans="1:4" x14ac:dyDescent="0.2">
      <c r="A65" s="84">
        <f t="shared" ca="1" si="0"/>
        <v>2</v>
      </c>
      <c r="B65" s="66">
        <f t="shared" ca="1" si="1"/>
        <v>58.649755014642544</v>
      </c>
      <c r="C65" s="66">
        <f t="shared" ca="1" si="2"/>
        <v>3.7673590449413395E-2</v>
      </c>
      <c r="D65" s="89">
        <f t="shared" ca="1" si="3"/>
        <v>2.21</v>
      </c>
    </row>
    <row r="66" spans="1:4" x14ac:dyDescent="0.2">
      <c r="A66" s="84">
        <f t="shared" ca="1" si="0"/>
        <v>1</v>
      </c>
      <c r="B66" s="66">
        <f t="shared" ca="1" si="1"/>
        <v>181.70523818454996</v>
      </c>
      <c r="C66" s="66">
        <f t="shared" ca="1" si="2"/>
        <v>4.5794159626044231E-2</v>
      </c>
      <c r="D66" s="89">
        <f t="shared" ca="1" si="3"/>
        <v>8.32</v>
      </c>
    </row>
    <row r="67" spans="1:4" x14ac:dyDescent="0.2">
      <c r="A67" s="84">
        <f t="shared" ca="1" si="0"/>
        <v>3</v>
      </c>
      <c r="B67" s="66">
        <f t="shared" ca="1" si="1"/>
        <v>66.930287267255125</v>
      </c>
      <c r="C67" s="66">
        <f t="shared" ca="1" si="2"/>
        <v>3.1568145925919569E-2</v>
      </c>
      <c r="D67" s="89">
        <f t="shared" ca="1" si="3"/>
        <v>2.11</v>
      </c>
    </row>
    <row r="68" spans="1:4" x14ac:dyDescent="0.2">
      <c r="A68" s="84">
        <f t="shared" ca="1" si="0"/>
        <v>3</v>
      </c>
      <c r="B68" s="66">
        <f t="shared" ca="1" si="1"/>
        <v>199.08286315554057</v>
      </c>
      <c r="C68" s="66">
        <f t="shared" ca="1" si="2"/>
        <v>3.9432063959501502E-2</v>
      </c>
      <c r="D68" s="89">
        <f t="shared" ca="1" si="3"/>
        <v>7.85</v>
      </c>
    </row>
    <row r="69" spans="1:4" x14ac:dyDescent="0.2">
      <c r="A69" s="84">
        <f t="shared" ca="1" si="0"/>
        <v>2</v>
      </c>
      <c r="B69" s="66">
        <f t="shared" ca="1" si="1"/>
        <v>193.56295594397398</v>
      </c>
      <c r="C69" s="66">
        <f t="shared" ca="1" si="2"/>
        <v>3.9270467087337786E-2</v>
      </c>
      <c r="D69" s="89">
        <f t="shared" ca="1" si="3"/>
        <v>7.6</v>
      </c>
    </row>
    <row r="70" spans="1:4" x14ac:dyDescent="0.2">
      <c r="A70" s="84">
        <f t="shared" ca="1" si="0"/>
        <v>3</v>
      </c>
      <c r="B70" s="66">
        <f t="shared" ca="1" si="1"/>
        <v>58.858190708220718</v>
      </c>
      <c r="C70" s="66">
        <f t="shared" ca="1" si="2"/>
        <v>3.8010861981017038E-2</v>
      </c>
      <c r="D70" s="89">
        <f t="shared" ca="1" si="3"/>
        <v>2.2400000000000002</v>
      </c>
    </row>
    <row r="71" spans="1:4" x14ac:dyDescent="0.2">
      <c r="A71" s="84">
        <f t="shared" ca="1" si="0"/>
        <v>1</v>
      </c>
      <c r="B71" s="66">
        <f t="shared" ca="1" si="1"/>
        <v>55.902735596846711</v>
      </c>
      <c r="C71" s="66">
        <f t="shared" ca="1" si="2"/>
        <v>3.430545038258434E-2</v>
      </c>
      <c r="D71" s="89">
        <f t="shared" ca="1" si="3"/>
        <v>1.92</v>
      </c>
    </row>
    <row r="72" spans="1:4" x14ac:dyDescent="0.2">
      <c r="A72" s="84">
        <f t="shared" ca="1" si="0"/>
        <v>1</v>
      </c>
      <c r="B72" s="66">
        <f t="shared" ca="1" si="1"/>
        <v>112.36767643763191</v>
      </c>
      <c r="C72" s="66">
        <f t="shared" ca="1" si="2"/>
        <v>4.29197327214575E-2</v>
      </c>
      <c r="D72" s="89">
        <f t="shared" ca="1" si="3"/>
        <v>4.82</v>
      </c>
    </row>
    <row r="73" spans="1:4" x14ac:dyDescent="0.2">
      <c r="A73" s="84">
        <f t="shared" ca="1" si="0"/>
        <v>2</v>
      </c>
      <c r="B73" s="66">
        <f t="shared" ca="1" si="1"/>
        <v>30.327707178143882</v>
      </c>
      <c r="C73" s="66">
        <f t="shared" ca="1" si="2"/>
        <v>3.6432953140077988E-2</v>
      </c>
      <c r="D73" s="89">
        <f t="shared" ca="1" si="3"/>
        <v>1.1000000000000001</v>
      </c>
    </row>
    <row r="74" spans="1:4" x14ac:dyDescent="0.2">
      <c r="A74" s="84">
        <f t="shared" ref="A74:A108" ca="1" si="4">RANDBETWEEN(1,3)</f>
        <v>3</v>
      </c>
      <c r="B74" s="66">
        <f t="shared" ref="B74:B108" ca="1" si="5">RAND()*175 +25</f>
        <v>141.93014413641279</v>
      </c>
      <c r="C74" s="66">
        <f t="shared" ref="C74:C108" ca="1" si="6">0.03+RAND()*0.02</f>
        <v>4.2275114433350483E-2</v>
      </c>
      <c r="D74" s="89">
        <f t="shared" ref="D74:D108" ca="1" si="7">ROUND(B74*C74,2)</f>
        <v>6</v>
      </c>
    </row>
    <row r="75" spans="1:4" x14ac:dyDescent="0.2">
      <c r="A75" s="84">
        <f t="shared" ca="1" si="4"/>
        <v>2</v>
      </c>
      <c r="B75" s="66">
        <f t="shared" ca="1" si="5"/>
        <v>108.85260780178879</v>
      </c>
      <c r="C75" s="66">
        <f t="shared" ca="1" si="6"/>
        <v>4.0173417273888151E-2</v>
      </c>
      <c r="D75" s="89">
        <f t="shared" ca="1" si="7"/>
        <v>4.37</v>
      </c>
    </row>
    <row r="76" spans="1:4" x14ac:dyDescent="0.2">
      <c r="A76" s="84">
        <f t="shared" ca="1" si="4"/>
        <v>1</v>
      </c>
      <c r="B76" s="66">
        <f t="shared" ca="1" si="5"/>
        <v>111.38569996438791</v>
      </c>
      <c r="C76" s="66">
        <f t="shared" ca="1" si="6"/>
        <v>4.5446856582910138E-2</v>
      </c>
      <c r="D76" s="89">
        <f t="shared" ca="1" si="7"/>
        <v>5.0599999999999996</v>
      </c>
    </row>
    <row r="77" spans="1:4" x14ac:dyDescent="0.2">
      <c r="A77" s="84">
        <f t="shared" ca="1" si="4"/>
        <v>3</v>
      </c>
      <c r="B77" s="66">
        <f t="shared" ca="1" si="5"/>
        <v>163.07170320493498</v>
      </c>
      <c r="C77" s="66">
        <f t="shared" ca="1" si="6"/>
        <v>4.3477680527250706E-2</v>
      </c>
      <c r="D77" s="89">
        <f t="shared" ca="1" si="7"/>
        <v>7.09</v>
      </c>
    </row>
    <row r="78" spans="1:4" x14ac:dyDescent="0.2">
      <c r="A78" s="84">
        <f t="shared" ca="1" si="4"/>
        <v>1</v>
      </c>
      <c r="B78" s="66">
        <f t="shared" ca="1" si="5"/>
        <v>73.154170535640816</v>
      </c>
      <c r="C78" s="66">
        <f t="shared" ca="1" si="6"/>
        <v>3.7727171606353742E-2</v>
      </c>
      <c r="D78" s="89">
        <f t="shared" ca="1" si="7"/>
        <v>2.76</v>
      </c>
    </row>
    <row r="79" spans="1:4" x14ac:dyDescent="0.2">
      <c r="A79" s="84">
        <f t="shared" ca="1" si="4"/>
        <v>2</v>
      </c>
      <c r="B79" s="66">
        <f t="shared" ca="1" si="5"/>
        <v>135.76659705896958</v>
      </c>
      <c r="C79" s="66">
        <f t="shared" ca="1" si="6"/>
        <v>3.6113038168558743E-2</v>
      </c>
      <c r="D79" s="89">
        <f t="shared" ca="1" si="7"/>
        <v>4.9000000000000004</v>
      </c>
    </row>
    <row r="80" spans="1:4" x14ac:dyDescent="0.2">
      <c r="A80" s="84">
        <f t="shared" ca="1" si="4"/>
        <v>1</v>
      </c>
      <c r="B80" s="66">
        <f t="shared" ca="1" si="5"/>
        <v>123.27243574057522</v>
      </c>
      <c r="C80" s="66">
        <f t="shared" ca="1" si="6"/>
        <v>4.7507039669924075E-2</v>
      </c>
      <c r="D80" s="89">
        <f t="shared" ca="1" si="7"/>
        <v>5.86</v>
      </c>
    </row>
    <row r="81" spans="1:10" x14ac:dyDescent="0.2">
      <c r="A81" s="84">
        <f t="shared" ca="1" si="4"/>
        <v>2</v>
      </c>
      <c r="B81" s="66">
        <f t="shared" ca="1" si="5"/>
        <v>148.74991281482488</v>
      </c>
      <c r="C81" s="66">
        <f t="shared" ca="1" si="6"/>
        <v>4.7717399527392894E-2</v>
      </c>
      <c r="D81" s="89">
        <f t="shared" ca="1" si="7"/>
        <v>7.1</v>
      </c>
    </row>
    <row r="82" spans="1:10" x14ac:dyDescent="0.2">
      <c r="A82" s="84">
        <f t="shared" ca="1" si="4"/>
        <v>2</v>
      </c>
      <c r="B82" s="66">
        <f t="shared" ca="1" si="5"/>
        <v>27.216039061236707</v>
      </c>
      <c r="C82" s="66">
        <f t="shared" ca="1" si="6"/>
        <v>4.7791357616479249E-2</v>
      </c>
      <c r="D82" s="89">
        <f t="shared" ca="1" si="7"/>
        <v>1.3</v>
      </c>
    </row>
    <row r="83" spans="1:10" x14ac:dyDescent="0.2">
      <c r="A83" s="84">
        <f t="shared" ca="1" si="4"/>
        <v>1</v>
      </c>
      <c r="B83" s="66">
        <f t="shared" ca="1" si="5"/>
        <v>137.91847672343755</v>
      </c>
      <c r="C83" s="66">
        <f t="shared" ca="1" si="6"/>
        <v>3.5773488098960277E-2</v>
      </c>
      <c r="D83" s="89">
        <f t="shared" ca="1" si="7"/>
        <v>4.93</v>
      </c>
    </row>
    <row r="84" spans="1:10" x14ac:dyDescent="0.2">
      <c r="A84" s="84">
        <f t="shared" ca="1" si="4"/>
        <v>2</v>
      </c>
      <c r="B84" s="66">
        <f t="shared" ca="1" si="5"/>
        <v>26.451903525531112</v>
      </c>
      <c r="C84" s="66">
        <f t="shared" ca="1" si="6"/>
        <v>3.855655007431253E-2</v>
      </c>
      <c r="D84" s="89">
        <f t="shared" ca="1" si="7"/>
        <v>1.02</v>
      </c>
    </row>
    <row r="85" spans="1:10" x14ac:dyDescent="0.2">
      <c r="A85" s="84">
        <f t="shared" ca="1" si="4"/>
        <v>3</v>
      </c>
      <c r="B85" s="66">
        <f t="shared" ca="1" si="5"/>
        <v>152.95674879442015</v>
      </c>
      <c r="C85" s="66">
        <f t="shared" ca="1" si="6"/>
        <v>4.7295568621248049E-2</v>
      </c>
      <c r="D85" s="89">
        <f t="shared" ca="1" si="7"/>
        <v>7.23</v>
      </c>
    </row>
    <row r="86" spans="1:10" x14ac:dyDescent="0.2">
      <c r="A86" s="84">
        <f t="shared" ca="1" si="4"/>
        <v>2</v>
      </c>
      <c r="B86" s="66">
        <f t="shared" ca="1" si="5"/>
        <v>72.663406573685251</v>
      </c>
      <c r="C86" s="66">
        <f t="shared" ca="1" si="6"/>
        <v>4.6903284069769235E-2</v>
      </c>
      <c r="D86" s="89">
        <f t="shared" ca="1" si="7"/>
        <v>3.41</v>
      </c>
    </row>
    <row r="87" spans="1:10" x14ac:dyDescent="0.2">
      <c r="A87" s="84">
        <f t="shared" ca="1" si="4"/>
        <v>1</v>
      </c>
      <c r="B87" s="66">
        <f t="shared" ca="1" si="5"/>
        <v>143.02150919187136</v>
      </c>
      <c r="C87" s="66">
        <f t="shared" ca="1" si="6"/>
        <v>4.8783665525458597E-2</v>
      </c>
      <c r="D87" s="89">
        <f t="shared" ca="1" si="7"/>
        <v>6.98</v>
      </c>
    </row>
    <row r="88" spans="1:10" x14ac:dyDescent="0.2">
      <c r="A88" s="84">
        <f t="shared" ca="1" si="4"/>
        <v>3</v>
      </c>
      <c r="B88" s="66">
        <f t="shared" ca="1" si="5"/>
        <v>94.971042826412386</v>
      </c>
      <c r="C88" s="66">
        <f t="shared" ca="1" si="6"/>
        <v>4.0826723323431312E-2</v>
      </c>
      <c r="D88" s="89">
        <f t="shared" ca="1" si="7"/>
        <v>3.88</v>
      </c>
    </row>
    <row r="89" spans="1:10" x14ac:dyDescent="0.2">
      <c r="A89" s="84">
        <f t="shared" ca="1" si="4"/>
        <v>1</v>
      </c>
      <c r="B89" s="66">
        <f t="shared" ca="1" si="5"/>
        <v>114.32640202316375</v>
      </c>
      <c r="C89" s="66">
        <f t="shared" ca="1" si="6"/>
        <v>4.9097517135729379E-2</v>
      </c>
      <c r="D89" s="89">
        <f t="shared" ca="1" si="7"/>
        <v>5.61</v>
      </c>
    </row>
    <row r="90" spans="1:10" x14ac:dyDescent="0.2">
      <c r="A90" s="84">
        <f t="shared" ca="1" si="4"/>
        <v>2</v>
      </c>
      <c r="B90" s="66">
        <f t="shared" ca="1" si="5"/>
        <v>117.52801898316818</v>
      </c>
      <c r="C90" s="66">
        <f t="shared" ca="1" si="6"/>
        <v>4.8316198022277823E-2</v>
      </c>
      <c r="D90" s="89">
        <f t="shared" ca="1" si="7"/>
        <v>5.68</v>
      </c>
    </row>
    <row r="91" spans="1:10" x14ac:dyDescent="0.2">
      <c r="A91" s="84">
        <f t="shared" ca="1" si="4"/>
        <v>2</v>
      </c>
      <c r="B91" s="66">
        <f t="shared" ca="1" si="5"/>
        <v>38.172801152225816</v>
      </c>
      <c r="C91" s="66">
        <f t="shared" ca="1" si="6"/>
        <v>3.0346459030001518E-2</v>
      </c>
      <c r="D91" s="89">
        <f t="shared" ca="1" si="7"/>
        <v>1.1599999999999999</v>
      </c>
    </row>
    <row r="92" spans="1:10" x14ac:dyDescent="0.2">
      <c r="A92" s="84">
        <f t="shared" ca="1" si="4"/>
        <v>3</v>
      </c>
      <c r="B92" s="66">
        <f t="shared" ca="1" si="5"/>
        <v>68.959078324567514</v>
      </c>
      <c r="C92" s="66">
        <f t="shared" ca="1" si="6"/>
        <v>3.8813730161150542E-2</v>
      </c>
      <c r="D92" s="89">
        <f t="shared" ca="1" si="7"/>
        <v>2.68</v>
      </c>
    </row>
    <row r="93" spans="1:10" x14ac:dyDescent="0.2">
      <c r="A93" s="84">
        <f t="shared" ca="1" si="4"/>
        <v>3</v>
      </c>
      <c r="B93" s="66">
        <f t="shared" ca="1" si="5"/>
        <v>154.94183146784701</v>
      </c>
      <c r="C93" s="66">
        <f t="shared" ca="1" si="6"/>
        <v>3.1930003681503651E-2</v>
      </c>
      <c r="D93" s="89">
        <f t="shared" ca="1" si="7"/>
        <v>4.95</v>
      </c>
    </row>
    <row r="94" spans="1:10" x14ac:dyDescent="0.2">
      <c r="A94" s="84">
        <f t="shared" ca="1" si="4"/>
        <v>3</v>
      </c>
      <c r="B94" s="66">
        <f t="shared" ca="1" si="5"/>
        <v>171.48171749247297</v>
      </c>
      <c r="C94" s="66">
        <f t="shared" ca="1" si="6"/>
        <v>4.5558340555552468E-2</v>
      </c>
      <c r="D94" s="89">
        <f t="shared" ca="1" si="7"/>
        <v>7.81</v>
      </c>
      <c r="F94" s="561" t="s">
        <v>314</v>
      </c>
      <c r="G94" s="579"/>
      <c r="H94" s="579"/>
      <c r="J94" s="53"/>
    </row>
    <row r="95" spans="1:10" x14ac:dyDescent="0.2">
      <c r="A95" s="84">
        <f t="shared" ca="1" si="4"/>
        <v>2</v>
      </c>
      <c r="B95" s="66">
        <f t="shared" ca="1" si="5"/>
        <v>182.81039241965732</v>
      </c>
      <c r="C95" s="66">
        <f t="shared" ca="1" si="6"/>
        <v>4.5652913898019419E-2</v>
      </c>
      <c r="D95" s="89">
        <f t="shared" ca="1" si="7"/>
        <v>8.35</v>
      </c>
      <c r="F95" s="579"/>
      <c r="G95" s="579"/>
      <c r="H95" s="579"/>
    </row>
    <row r="96" spans="1:10" x14ac:dyDescent="0.2">
      <c r="A96" s="84">
        <f t="shared" ca="1" si="4"/>
        <v>1</v>
      </c>
      <c r="B96" s="66">
        <f t="shared" ca="1" si="5"/>
        <v>192.10400563494113</v>
      </c>
      <c r="C96" s="66">
        <f t="shared" ca="1" si="6"/>
        <v>3.2431566442615758E-2</v>
      </c>
      <c r="D96" s="89">
        <f t="shared" ca="1" si="7"/>
        <v>6.23</v>
      </c>
      <c r="F96" s="579"/>
      <c r="G96" s="579"/>
      <c r="H96" s="579"/>
    </row>
    <row r="97" spans="1:8" x14ac:dyDescent="0.2">
      <c r="A97" s="84">
        <f t="shared" ca="1" si="4"/>
        <v>3</v>
      </c>
      <c r="B97" s="66">
        <f t="shared" ca="1" si="5"/>
        <v>103.26100868380766</v>
      </c>
      <c r="C97" s="66">
        <f t="shared" ca="1" si="6"/>
        <v>4.6066434845693061E-2</v>
      </c>
      <c r="D97" s="89">
        <f t="shared" ca="1" si="7"/>
        <v>4.76</v>
      </c>
      <c r="F97" s="579"/>
      <c r="G97" s="579"/>
      <c r="H97" s="579"/>
    </row>
    <row r="98" spans="1:8" x14ac:dyDescent="0.2">
      <c r="A98" s="84">
        <f t="shared" ca="1" si="4"/>
        <v>1</v>
      </c>
      <c r="B98" s="66">
        <f t="shared" ca="1" si="5"/>
        <v>121.84193509920428</v>
      </c>
      <c r="C98" s="66">
        <f t="shared" ca="1" si="6"/>
        <v>4.9162932896595783E-2</v>
      </c>
      <c r="D98" s="89">
        <f t="shared" ca="1" si="7"/>
        <v>5.99</v>
      </c>
      <c r="F98" s="579"/>
      <c r="G98" s="579"/>
      <c r="H98" s="579"/>
    </row>
    <row r="99" spans="1:8" x14ac:dyDescent="0.2">
      <c r="A99" s="84">
        <f t="shared" ca="1" si="4"/>
        <v>1</v>
      </c>
      <c r="B99" s="66">
        <f t="shared" ca="1" si="5"/>
        <v>192.34948172284439</v>
      </c>
      <c r="C99" s="66">
        <f t="shared" ca="1" si="6"/>
        <v>4.3138790293001952E-2</v>
      </c>
      <c r="D99" s="89">
        <f t="shared" ca="1" si="7"/>
        <v>8.3000000000000007</v>
      </c>
      <c r="F99" s="579"/>
      <c r="G99" s="579"/>
      <c r="H99" s="579"/>
    </row>
    <row r="100" spans="1:8" x14ac:dyDescent="0.2">
      <c r="A100" s="84">
        <f t="shared" ca="1" si="4"/>
        <v>3</v>
      </c>
      <c r="B100" s="66">
        <f t="shared" ca="1" si="5"/>
        <v>78.996410512915617</v>
      </c>
      <c r="C100" s="66">
        <f t="shared" ca="1" si="6"/>
        <v>4.5450524377970383E-2</v>
      </c>
      <c r="D100" s="89">
        <f t="shared" ca="1" si="7"/>
        <v>3.59</v>
      </c>
      <c r="F100" s="579"/>
      <c r="G100" s="579"/>
      <c r="H100" s="579"/>
    </row>
    <row r="101" spans="1:8" x14ac:dyDescent="0.2">
      <c r="A101" s="84">
        <f t="shared" ca="1" si="4"/>
        <v>2</v>
      </c>
      <c r="B101" s="66">
        <f t="shared" ca="1" si="5"/>
        <v>148.39522211706384</v>
      </c>
      <c r="C101" s="66">
        <f t="shared" ca="1" si="6"/>
        <v>3.2891787925871864E-2</v>
      </c>
      <c r="D101" s="89">
        <f t="shared" ca="1" si="7"/>
        <v>4.88</v>
      </c>
      <c r="F101" s="579"/>
      <c r="G101" s="579"/>
      <c r="H101" s="579"/>
    </row>
    <row r="102" spans="1:8" x14ac:dyDescent="0.2">
      <c r="A102" s="84">
        <f t="shared" ca="1" si="4"/>
        <v>1</v>
      </c>
      <c r="B102" s="66">
        <f t="shared" ca="1" si="5"/>
        <v>146.45033208705615</v>
      </c>
      <c r="C102" s="66">
        <f t="shared" ca="1" si="6"/>
        <v>3.0674991031640508E-2</v>
      </c>
      <c r="D102" s="89">
        <f t="shared" ca="1" si="7"/>
        <v>4.49</v>
      </c>
      <c r="F102" s="579"/>
      <c r="G102" s="579"/>
      <c r="H102" s="579"/>
    </row>
    <row r="103" spans="1:8" x14ac:dyDescent="0.2">
      <c r="A103" s="84">
        <f t="shared" ca="1" si="4"/>
        <v>1</v>
      </c>
      <c r="B103" s="66">
        <f t="shared" ca="1" si="5"/>
        <v>108.23435497207906</v>
      </c>
      <c r="C103" s="66">
        <f t="shared" ca="1" si="6"/>
        <v>4.7238354373105279E-2</v>
      </c>
      <c r="D103" s="89">
        <f t="shared" ca="1" si="7"/>
        <v>5.1100000000000003</v>
      </c>
      <c r="F103" s="579"/>
      <c r="G103" s="579"/>
      <c r="H103" s="579"/>
    </row>
    <row r="104" spans="1:8" x14ac:dyDescent="0.2">
      <c r="A104" s="84">
        <f t="shared" ca="1" si="4"/>
        <v>2</v>
      </c>
      <c r="B104" s="66">
        <f t="shared" ca="1" si="5"/>
        <v>98.949329989656917</v>
      </c>
      <c r="C104" s="66">
        <f t="shared" ca="1" si="6"/>
        <v>4.620261056223967E-2</v>
      </c>
      <c r="D104" s="89">
        <f t="shared" ca="1" si="7"/>
        <v>4.57</v>
      </c>
      <c r="F104" s="579"/>
      <c r="G104" s="579"/>
      <c r="H104" s="579"/>
    </row>
    <row r="105" spans="1:8" x14ac:dyDescent="0.2">
      <c r="A105" s="84">
        <f t="shared" ca="1" si="4"/>
        <v>3</v>
      </c>
      <c r="B105" s="66">
        <f t="shared" ca="1" si="5"/>
        <v>160.70058501763859</v>
      </c>
      <c r="C105" s="66">
        <f t="shared" ca="1" si="6"/>
        <v>3.348367507745946E-2</v>
      </c>
      <c r="D105" s="89">
        <f t="shared" ca="1" si="7"/>
        <v>5.38</v>
      </c>
      <c r="F105" s="579"/>
      <c r="G105" s="579"/>
      <c r="H105" s="579"/>
    </row>
    <row r="106" spans="1:8" x14ac:dyDescent="0.2">
      <c r="A106" s="84">
        <f t="shared" ca="1" si="4"/>
        <v>2</v>
      </c>
      <c r="B106" s="66">
        <f t="shared" ca="1" si="5"/>
        <v>187.0973641974104</v>
      </c>
      <c r="C106" s="66">
        <f t="shared" ca="1" si="6"/>
        <v>4.0015223506989793E-2</v>
      </c>
      <c r="D106" s="89">
        <f t="shared" ca="1" si="7"/>
        <v>7.49</v>
      </c>
      <c r="F106" s="579"/>
      <c r="G106" s="579"/>
      <c r="H106" s="579"/>
    </row>
    <row r="107" spans="1:8" x14ac:dyDescent="0.2">
      <c r="A107" s="84">
        <f t="shared" ca="1" si="4"/>
        <v>3</v>
      </c>
      <c r="B107" s="66">
        <f t="shared" ca="1" si="5"/>
        <v>132.60984831493158</v>
      </c>
      <c r="C107" s="66">
        <f t="shared" ca="1" si="6"/>
        <v>4.6734271787572328E-2</v>
      </c>
      <c r="D107" s="89">
        <f t="shared" ca="1" si="7"/>
        <v>6.2</v>
      </c>
      <c r="F107" s="579"/>
      <c r="G107" s="579"/>
      <c r="H107" s="579"/>
    </row>
    <row r="108" spans="1:8" x14ac:dyDescent="0.2">
      <c r="A108" s="84">
        <f t="shared" ca="1" si="4"/>
        <v>3</v>
      </c>
      <c r="B108" s="66">
        <f t="shared" ca="1" si="5"/>
        <v>143.50233345476477</v>
      </c>
      <c r="C108" s="66">
        <f t="shared" ca="1" si="6"/>
        <v>4.5906996299960243E-2</v>
      </c>
      <c r="D108" s="89">
        <f t="shared" ca="1" si="7"/>
        <v>6.59</v>
      </c>
    </row>
  </sheetData>
  <mergeCells count="4">
    <mergeCell ref="A6:D6"/>
    <mergeCell ref="F11:G11"/>
    <mergeCell ref="F94:H107"/>
    <mergeCell ref="F10:G10"/>
  </mergeCells>
  <phoneticPr fontId="3" type="noConversion"/>
  <pageMargins left="0.75" right="0.75" top="1" bottom="1" header="0.5" footer="0.5"/>
  <pageSetup orientation="portrait" horizontalDpi="4294967293" r:id="rId1"/>
  <headerFooter alignWithMargins="0"/>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CAE9E-91CB-48DF-A36A-98CB3C37B025}">
  <sheetPr codeName="Sheet29"/>
  <dimension ref="A1:E23"/>
  <sheetViews>
    <sheetView zoomScale="130" zoomScaleNormal="130" workbookViewId="0">
      <selection activeCell="A5" sqref="A5"/>
    </sheetView>
  </sheetViews>
  <sheetFormatPr defaultRowHeight="12.75" x14ac:dyDescent="0.2"/>
  <cols>
    <col min="1" max="1" width="20" style="421" bestFit="1" customWidth="1"/>
    <col min="2" max="4" width="9.140625" style="421"/>
    <col min="5" max="5" width="11.85546875" style="421" customWidth="1"/>
    <col min="6" max="16384" width="9.140625" style="421"/>
  </cols>
  <sheetData>
    <row r="1" spans="1:5" ht="18" x14ac:dyDescent="0.25">
      <c r="A1" s="452" t="s">
        <v>396</v>
      </c>
    </row>
    <row r="2" spans="1:5" hidden="1" x14ac:dyDescent="0.2">
      <c r="A2" s="421" t="s">
        <v>407</v>
      </c>
      <c r="B2" s="506">
        <v>2.1643518518518518E-3</v>
      </c>
    </row>
    <row r="3" spans="1:5" x14ac:dyDescent="0.2">
      <c r="A3" s="438" t="str">
        <f>IF(A2="","",IF(Disable_Video_Hyperlinks,A2,HYPERLINK(Video_website&amp;A2,A2)))</f>
        <v>UNC_DAYT_EXCEL_2.3.3_LECTURE_MAKING_COUNT_&amp;_COUNTA_FLEXIBLE.mp4</v>
      </c>
    </row>
    <row r="4" spans="1:5" x14ac:dyDescent="0.2">
      <c r="A4" s="501">
        <f>IF(B2="","",B2)</f>
        <v>2.1643518518518518E-3</v>
      </c>
    </row>
    <row r="6" spans="1:5" ht="15.75" x14ac:dyDescent="0.25">
      <c r="A6" s="551" t="s">
        <v>395</v>
      </c>
      <c r="B6" s="435"/>
      <c r="C6" s="435"/>
      <c r="D6" s="435"/>
      <c r="E6" s="435"/>
    </row>
    <row r="7" spans="1:5" ht="15.75" x14ac:dyDescent="0.25">
      <c r="A7" s="435"/>
      <c r="B7" s="435"/>
      <c r="C7" s="435"/>
      <c r="D7" s="435"/>
      <c r="E7" s="435"/>
    </row>
    <row r="8" spans="1:5" ht="25.5" x14ac:dyDescent="0.2">
      <c r="A8" s="434" t="s">
        <v>394</v>
      </c>
      <c r="B8" s="433" t="s">
        <v>393</v>
      </c>
      <c r="C8" s="433" t="s">
        <v>392</v>
      </c>
      <c r="D8" s="433" t="s">
        <v>391</v>
      </c>
      <c r="E8" s="433" t="s">
        <v>390</v>
      </c>
    </row>
    <row r="9" spans="1:5" x14ac:dyDescent="0.2">
      <c r="A9" s="421" t="s">
        <v>389</v>
      </c>
      <c r="B9" s="488">
        <v>24.427799999999998</v>
      </c>
      <c r="C9" s="422">
        <f>2*B9</f>
        <v>48.855599999999995</v>
      </c>
      <c r="D9" s="422">
        <f>B9*1.25</f>
        <v>30.534749999999995</v>
      </c>
      <c r="E9" s="422">
        <f t="shared" ref="E9:E16" si="0">AVERAGE(B9:D9)</f>
        <v>34.606050000000003</v>
      </c>
    </row>
    <row r="10" spans="1:5" x14ac:dyDescent="0.2">
      <c r="A10" s="421" t="s">
        <v>388</v>
      </c>
      <c r="B10" s="487">
        <v>2.2349999999999999</v>
      </c>
      <c r="C10" s="430">
        <f>B10</f>
        <v>2.2349999999999999</v>
      </c>
      <c r="D10" s="430">
        <f>C10</f>
        <v>2.2349999999999999</v>
      </c>
      <c r="E10" s="430">
        <f t="shared" si="0"/>
        <v>2.2349999999999999</v>
      </c>
    </row>
    <row r="11" spans="1:5" ht="25.5" x14ac:dyDescent="0.2">
      <c r="A11" s="431" t="s">
        <v>387</v>
      </c>
      <c r="B11" s="487">
        <v>11.64</v>
      </c>
      <c r="C11" s="487">
        <v>1.57</v>
      </c>
      <c r="D11" s="430">
        <f>B11</f>
        <v>11.64</v>
      </c>
      <c r="E11" s="430">
        <f t="shared" si="0"/>
        <v>8.2833333333333332</v>
      </c>
    </row>
    <row r="12" spans="1:5" x14ac:dyDescent="0.2">
      <c r="A12" s="431" t="s">
        <v>386</v>
      </c>
      <c r="B12" s="487">
        <v>1.4804999999999999</v>
      </c>
      <c r="C12" s="430">
        <f>B12</f>
        <v>1.4804999999999999</v>
      </c>
      <c r="D12" s="430">
        <f>2*B12</f>
        <v>2.9609999999999999</v>
      </c>
      <c r="E12" s="430">
        <f t="shared" si="0"/>
        <v>1.974</v>
      </c>
    </row>
    <row r="13" spans="1:5" x14ac:dyDescent="0.2">
      <c r="A13" s="431" t="s">
        <v>385</v>
      </c>
      <c r="B13" s="432"/>
      <c r="C13" s="487">
        <v>1.27</v>
      </c>
      <c r="D13" s="430"/>
      <c r="E13" s="430">
        <f t="shared" si="0"/>
        <v>1.27</v>
      </c>
    </row>
    <row r="14" spans="1:5" x14ac:dyDescent="0.2">
      <c r="A14" s="431" t="s">
        <v>384</v>
      </c>
      <c r="B14" s="432"/>
      <c r="C14" s="487">
        <v>3.29</v>
      </c>
      <c r="D14" s="430"/>
      <c r="E14" s="430">
        <f t="shared" si="0"/>
        <v>3.29</v>
      </c>
    </row>
    <row r="15" spans="1:5" x14ac:dyDescent="0.2">
      <c r="A15" s="431" t="s">
        <v>383</v>
      </c>
      <c r="B15" s="432"/>
      <c r="C15" s="487">
        <v>5</v>
      </c>
      <c r="D15" s="487">
        <v>6.5</v>
      </c>
      <c r="E15" s="430">
        <f t="shared" si="0"/>
        <v>5.75</v>
      </c>
    </row>
    <row r="16" spans="1:5" x14ac:dyDescent="0.2">
      <c r="A16" s="431" t="s">
        <v>382</v>
      </c>
      <c r="B16" s="487">
        <v>10.370833333333334</v>
      </c>
      <c r="C16" s="430">
        <f>B16</f>
        <v>10.370833333333334</v>
      </c>
      <c r="D16" s="430">
        <f>B16</f>
        <v>10.370833333333334</v>
      </c>
      <c r="E16" s="430">
        <f t="shared" si="0"/>
        <v>10.370833333333334</v>
      </c>
    </row>
    <row r="17" spans="1:5" x14ac:dyDescent="0.2">
      <c r="A17" s="429"/>
      <c r="B17" s="428"/>
      <c r="C17" s="427"/>
      <c r="D17" s="427"/>
      <c r="E17" s="427"/>
    </row>
    <row r="18" spans="1:5" x14ac:dyDescent="0.2">
      <c r="A18" s="426">
        <f>COUNTA(A8:A17)-1</f>
        <v>8</v>
      </c>
      <c r="B18" s="426">
        <f>COUNT(B8:B17)</f>
        <v>5</v>
      </c>
      <c r="C18" s="426">
        <f>COUNT(C8:C17)</f>
        <v>8</v>
      </c>
      <c r="D18" s="426">
        <f>COUNT(D8:D17)</f>
        <v>6</v>
      </c>
      <c r="E18" s="426" t="s">
        <v>381</v>
      </c>
    </row>
    <row r="19" spans="1:5" x14ac:dyDescent="0.2">
      <c r="A19" s="424" t="s">
        <v>380</v>
      </c>
      <c r="B19" s="423">
        <f>SUM(B$8:B$17)</f>
        <v>50.154133333333334</v>
      </c>
      <c r="C19" s="423">
        <f>SUM(C$8:C$17)</f>
        <v>74.071933333333334</v>
      </c>
      <c r="D19" s="423">
        <f>SUM(D$8:D$17)</f>
        <v>64.241583333333324</v>
      </c>
      <c r="E19" s="425">
        <f>AVERAGE($B19:$D19)</f>
        <v>62.82255</v>
      </c>
    </row>
    <row r="20" spans="1:5" x14ac:dyDescent="0.2">
      <c r="A20" s="424" t="s">
        <v>379</v>
      </c>
      <c r="B20" s="423">
        <f>AVERAGE(B8:B17)</f>
        <v>10.030826666666666</v>
      </c>
      <c r="C20" s="423">
        <f>AVERAGE(C8:C17)</f>
        <v>9.2589916666666667</v>
      </c>
      <c r="D20" s="423">
        <f>AVERAGE(D8:D17)</f>
        <v>10.706930555555553</v>
      </c>
      <c r="E20" s="423">
        <f>AVERAGE(B20:D20)</f>
        <v>9.9989162962962954</v>
      </c>
    </row>
    <row r="22" spans="1:5" x14ac:dyDescent="0.2">
      <c r="A22" s="421" t="s">
        <v>378</v>
      </c>
      <c r="C22" s="422">
        <f>MIN(B8:D17)</f>
        <v>1.27</v>
      </c>
    </row>
    <row r="23" spans="1:5" x14ac:dyDescent="0.2">
      <c r="A23" s="421" t="s">
        <v>377</v>
      </c>
      <c r="C23" s="422">
        <f>MAX(B8:D17)</f>
        <v>48.855599999999995</v>
      </c>
    </row>
  </sheetData>
  <pageMargins left="0.75" right="0.75" top="1" bottom="1"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autoPageBreaks="0"/>
  </sheetPr>
  <dimension ref="A1:T44"/>
  <sheetViews>
    <sheetView zoomScale="130" zoomScaleNormal="130" workbookViewId="0">
      <selection activeCell="A6" sqref="A6"/>
    </sheetView>
  </sheetViews>
  <sheetFormatPr defaultColWidth="9.140625" defaultRowHeight="12.75" x14ac:dyDescent="0.2"/>
  <cols>
    <col min="1" max="1" width="7.42578125" style="102" customWidth="1"/>
    <col min="2" max="2" width="7.140625" style="102" bestFit="1" customWidth="1"/>
    <col min="3" max="3" width="5.28515625" style="102" bestFit="1" customWidth="1"/>
    <col min="4" max="4" width="12.42578125" style="102" customWidth="1"/>
    <col min="5" max="5" width="9.85546875" style="102" bestFit="1" customWidth="1"/>
    <col min="6" max="6" width="9.5703125" style="102" customWidth="1"/>
    <col min="7" max="7" width="8.28515625" style="102" customWidth="1"/>
    <col min="8" max="8" width="8.5703125" style="102" bestFit="1" customWidth="1"/>
    <col min="9" max="9" width="8.5703125" style="102" customWidth="1"/>
    <col min="10" max="17" width="9.140625" style="102"/>
    <col min="18" max="18" width="10.7109375" style="102" customWidth="1"/>
    <col min="19" max="16384" width="9.140625" style="102"/>
  </cols>
  <sheetData>
    <row r="1" spans="1:18" ht="18" x14ac:dyDescent="0.25">
      <c r="A1" s="351" t="s">
        <v>134</v>
      </c>
      <c r="B1" s="107"/>
      <c r="C1" s="107"/>
      <c r="D1" s="107"/>
      <c r="E1" s="107"/>
      <c r="F1" s="107"/>
      <c r="G1" s="107"/>
      <c r="H1" s="107"/>
      <c r="I1" s="107"/>
      <c r="J1" s="107"/>
      <c r="K1" s="107"/>
      <c r="L1" s="107"/>
      <c r="M1" s="107"/>
    </row>
    <row r="2" spans="1:18" hidden="1" x14ac:dyDescent="0.2">
      <c r="A2" s="16" t="s">
        <v>408</v>
      </c>
      <c r="B2" s="507">
        <v>5.9606481481481489E-3</v>
      </c>
      <c r="H2" s="101"/>
    </row>
    <row r="3" spans="1:18" x14ac:dyDescent="0.2">
      <c r="A3" s="438" t="str">
        <f>IF(A2="","",IF(Disable_Video_Hyperlinks,A2,HYPERLINK(Video_website&amp;A2,A2)))</f>
        <v>UNC_DAYT_EXCEL_2.3.4_LECTURE_COUNTIF_&amp;_CRITERIA_WILDCARDS.mp4</v>
      </c>
      <c r="H3" s="101"/>
    </row>
    <row r="4" spans="1:18" x14ac:dyDescent="0.2">
      <c r="A4" s="501">
        <f>IF(B2="","",B2)</f>
        <v>5.9606481481481489E-3</v>
      </c>
      <c r="H4" s="101"/>
    </row>
    <row r="5" spans="1:18" x14ac:dyDescent="0.2">
      <c r="H5" s="101"/>
    </row>
    <row r="6" spans="1:18" s="106" customFormat="1" ht="15.75" x14ac:dyDescent="0.25">
      <c r="A6" s="552" t="s">
        <v>0</v>
      </c>
      <c r="B6" s="520"/>
      <c r="C6" s="520"/>
      <c r="D6" s="520"/>
      <c r="E6" s="520"/>
      <c r="F6" s="520"/>
      <c r="G6" s="520"/>
      <c r="H6" s="282"/>
      <c r="I6" s="283"/>
      <c r="L6" s="102"/>
      <c r="M6" s="102"/>
      <c r="N6" s="102"/>
    </row>
    <row r="7" spans="1:18" s="106" customFormat="1" ht="15.75" x14ac:dyDescent="0.25">
      <c r="A7" s="280"/>
      <c r="B7" s="281"/>
      <c r="C7" s="281"/>
      <c r="D7" s="281"/>
      <c r="E7" s="281"/>
      <c r="F7" s="281"/>
      <c r="G7" s="281"/>
      <c r="H7" s="281"/>
      <c r="I7" s="281"/>
      <c r="K7" s="110" t="s">
        <v>200</v>
      </c>
      <c r="L7" s="102"/>
      <c r="M7" s="102"/>
      <c r="N7" s="102"/>
    </row>
    <row r="8" spans="1:18" s="106" customFormat="1" ht="25.5" x14ac:dyDescent="0.2">
      <c r="A8" s="284" t="s">
        <v>1</v>
      </c>
      <c r="B8" s="284" t="s">
        <v>2</v>
      </c>
      <c r="C8" s="284" t="s">
        <v>3</v>
      </c>
      <c r="D8" s="284" t="s">
        <v>4</v>
      </c>
      <c r="E8" s="284" t="s">
        <v>5</v>
      </c>
      <c r="F8" s="284" t="s">
        <v>6</v>
      </c>
      <c r="G8" s="284" t="s">
        <v>7</v>
      </c>
      <c r="H8" s="284" t="s">
        <v>149</v>
      </c>
      <c r="I8" s="284" t="s">
        <v>150</v>
      </c>
      <c r="K8" s="287" t="s">
        <v>183</v>
      </c>
      <c r="L8" s="288" t="s">
        <v>125</v>
      </c>
      <c r="M8" s="289"/>
      <c r="N8" s="289"/>
    </row>
    <row r="9" spans="1:18" s="106" customFormat="1" x14ac:dyDescent="0.2">
      <c r="A9" s="390">
        <v>12134</v>
      </c>
      <c r="B9" s="373">
        <v>174</v>
      </c>
      <c r="C9" s="373" t="s">
        <v>8</v>
      </c>
      <c r="D9" s="374">
        <v>39403</v>
      </c>
      <c r="E9" s="373">
        <v>1</v>
      </c>
      <c r="F9" s="375">
        <v>0.82</v>
      </c>
      <c r="G9" s="375">
        <v>2.21</v>
      </c>
      <c r="H9" s="373" t="s">
        <v>154</v>
      </c>
      <c r="I9" s="391" t="b">
        <v>1</v>
      </c>
      <c r="K9" s="83" t="s">
        <v>181</v>
      </c>
      <c r="L9" s="114" t="s">
        <v>184</v>
      </c>
      <c r="M9" s="66"/>
      <c r="N9" s="111"/>
    </row>
    <row r="10" spans="1:18" s="106" customFormat="1" x14ac:dyDescent="0.2">
      <c r="A10" s="392">
        <v>12135</v>
      </c>
      <c r="B10" s="378">
        <v>174</v>
      </c>
      <c r="C10" s="378" t="s">
        <v>147</v>
      </c>
      <c r="D10" s="379">
        <v>39403</v>
      </c>
      <c r="E10" s="378">
        <v>1</v>
      </c>
      <c r="F10" s="380">
        <v>0.49</v>
      </c>
      <c r="G10" s="380">
        <v>1.94</v>
      </c>
      <c r="H10" s="378" t="s">
        <v>155</v>
      </c>
      <c r="I10" s="393" t="b">
        <v>0</v>
      </c>
      <c r="K10" s="83" t="s">
        <v>182</v>
      </c>
      <c r="L10" s="114" t="s">
        <v>185</v>
      </c>
      <c r="M10" s="66"/>
      <c r="N10" s="111"/>
    </row>
    <row r="11" spans="1:18" s="106" customFormat="1" x14ac:dyDescent="0.2">
      <c r="A11" s="392">
        <v>12139</v>
      </c>
      <c r="B11" s="378">
        <v>174</v>
      </c>
      <c r="C11" s="378" t="s">
        <v>8</v>
      </c>
      <c r="D11" s="379">
        <v>39403</v>
      </c>
      <c r="E11" s="378">
        <v>1</v>
      </c>
      <c r="F11" s="380">
        <v>0.52</v>
      </c>
      <c r="G11" s="380">
        <v>2.0299999999999998</v>
      </c>
      <c r="H11" s="378" t="s">
        <v>156</v>
      </c>
      <c r="I11" s="393" t="b">
        <v>1</v>
      </c>
      <c r="K11" s="83" t="s">
        <v>178</v>
      </c>
      <c r="L11" s="114" t="s">
        <v>186</v>
      </c>
      <c r="M11" s="66"/>
      <c r="N11" s="111"/>
    </row>
    <row r="12" spans="1:18" s="106" customFormat="1" x14ac:dyDescent="0.2">
      <c r="A12" s="392">
        <v>12140</v>
      </c>
      <c r="B12" s="378">
        <v>167</v>
      </c>
      <c r="C12" s="378" t="s">
        <v>8</v>
      </c>
      <c r="D12" s="379">
        <v>39403</v>
      </c>
      <c r="E12" s="378">
        <v>1</v>
      </c>
      <c r="F12" s="380">
        <v>0.63</v>
      </c>
      <c r="G12" s="380">
        <v>2.2400000000000002</v>
      </c>
      <c r="H12" s="378" t="s">
        <v>156</v>
      </c>
      <c r="I12" s="393" t="b">
        <v>1</v>
      </c>
      <c r="K12" s="83" t="s">
        <v>177</v>
      </c>
      <c r="L12" s="114" t="s">
        <v>187</v>
      </c>
      <c r="M12" s="66"/>
      <c r="N12" s="111"/>
    </row>
    <row r="13" spans="1:18" s="106" customFormat="1" x14ac:dyDescent="0.2">
      <c r="A13" s="392">
        <v>12142</v>
      </c>
      <c r="B13" s="378">
        <v>167</v>
      </c>
      <c r="C13" s="378" t="s">
        <v>8</v>
      </c>
      <c r="D13" s="379">
        <v>39403</v>
      </c>
      <c r="E13" s="378">
        <v>1</v>
      </c>
      <c r="F13" s="380">
        <v>0.64</v>
      </c>
      <c r="G13" s="380">
        <v>2.2799999999999998</v>
      </c>
      <c r="H13" s="378" t="s">
        <v>157</v>
      </c>
      <c r="I13" s="393" t="b">
        <v>1</v>
      </c>
      <c r="K13" s="83" t="s">
        <v>180</v>
      </c>
      <c r="L13" s="114" t="s">
        <v>188</v>
      </c>
      <c r="M13" s="66"/>
      <c r="N13" s="111"/>
    </row>
    <row r="14" spans="1:18" s="106" customFormat="1" ht="13.5" thickBot="1" x14ac:dyDescent="0.25">
      <c r="A14" s="392">
        <v>12144</v>
      </c>
      <c r="B14" s="378">
        <v>167</v>
      </c>
      <c r="C14" s="378" t="s">
        <v>8</v>
      </c>
      <c r="D14" s="379">
        <v>39403</v>
      </c>
      <c r="E14" s="378">
        <v>1</v>
      </c>
      <c r="F14" s="380">
        <v>1.28</v>
      </c>
      <c r="G14" s="380">
        <v>2.31</v>
      </c>
      <c r="H14" s="378" t="s">
        <v>158</v>
      </c>
      <c r="I14" s="393" t="b">
        <v>1</v>
      </c>
      <c r="K14" s="112" t="s">
        <v>179</v>
      </c>
      <c r="L14" s="115" t="s">
        <v>189</v>
      </c>
      <c r="M14" s="68"/>
      <c r="N14" s="113"/>
    </row>
    <row r="15" spans="1:18" s="106" customFormat="1" x14ac:dyDescent="0.2">
      <c r="A15" s="392">
        <v>12145</v>
      </c>
      <c r="B15" s="378">
        <v>174</v>
      </c>
      <c r="C15" s="378" t="s">
        <v>8</v>
      </c>
      <c r="D15" s="379">
        <v>39403</v>
      </c>
      <c r="E15" s="378">
        <v>1</v>
      </c>
      <c r="F15" s="380">
        <v>0.45</v>
      </c>
      <c r="G15" s="380">
        <v>2.02</v>
      </c>
      <c r="H15" s="378" t="s">
        <v>154</v>
      </c>
      <c r="I15" s="393" t="b">
        <v>1</v>
      </c>
      <c r="O15" s="102"/>
    </row>
    <row r="16" spans="1:18" s="106" customFormat="1" x14ac:dyDescent="0.2">
      <c r="A16" s="392">
        <v>12146</v>
      </c>
      <c r="B16" s="378">
        <v>167</v>
      </c>
      <c r="C16" s="378" t="s">
        <v>148</v>
      </c>
      <c r="D16" s="379">
        <v>39403</v>
      </c>
      <c r="E16" s="378">
        <v>1</v>
      </c>
      <c r="F16" s="380">
        <v>1.1299999999999999</v>
      </c>
      <c r="G16" s="380">
        <v>2.0499999999999998</v>
      </c>
      <c r="H16" s="378" t="s">
        <v>159</v>
      </c>
      <c r="I16" s="393" t="b">
        <v>1</v>
      </c>
      <c r="K16" s="110" t="s">
        <v>201</v>
      </c>
      <c r="L16" s="102"/>
      <c r="M16" s="102"/>
      <c r="N16" s="102"/>
      <c r="O16" s="102"/>
      <c r="P16" s="102"/>
      <c r="Q16" s="102"/>
      <c r="R16" s="102"/>
    </row>
    <row r="17" spans="1:20" s="106" customFormat="1" ht="13.5" thickBot="1" x14ac:dyDescent="0.25">
      <c r="A17" s="392">
        <v>12148</v>
      </c>
      <c r="B17" s="378">
        <v>167</v>
      </c>
      <c r="C17" s="378" t="s">
        <v>9</v>
      </c>
      <c r="D17" s="379">
        <v>39404</v>
      </c>
      <c r="E17" s="378">
        <v>1</v>
      </c>
      <c r="F17" s="380">
        <v>0.43</v>
      </c>
      <c r="G17" s="380">
        <v>2.27</v>
      </c>
      <c r="H17" s="378" t="s">
        <v>160</v>
      </c>
      <c r="I17" s="393" t="b">
        <v>1</v>
      </c>
      <c r="K17" s="290" t="s">
        <v>175</v>
      </c>
      <c r="L17" s="290" t="s">
        <v>166</v>
      </c>
      <c r="M17" s="290" t="s">
        <v>199</v>
      </c>
      <c r="N17" s="289" t="s">
        <v>125</v>
      </c>
      <c r="O17" s="289"/>
      <c r="P17" s="289"/>
      <c r="Q17" s="290"/>
      <c r="R17" s="289"/>
    </row>
    <row r="18" spans="1:20" s="106" customFormat="1" x14ac:dyDescent="0.2">
      <c r="A18" s="392">
        <v>12149</v>
      </c>
      <c r="B18" s="378">
        <v>174</v>
      </c>
      <c r="C18" s="378" t="s">
        <v>9</v>
      </c>
      <c r="D18" s="379">
        <v>39404</v>
      </c>
      <c r="E18" s="378">
        <v>1</v>
      </c>
      <c r="F18" s="380">
        <v>0.47</v>
      </c>
      <c r="G18" s="380">
        <v>2.31</v>
      </c>
      <c r="H18" s="378" t="s">
        <v>160</v>
      </c>
      <c r="I18" s="393" t="b">
        <v>1</v>
      </c>
      <c r="K18" s="82" t="s">
        <v>190</v>
      </c>
      <c r="L18" s="400" t="s">
        <v>192</v>
      </c>
      <c r="M18" s="116">
        <f>COUNTIF(H$9:H$20,L18)</f>
        <v>4</v>
      </c>
      <c r="N18" s="65" t="s">
        <v>197</v>
      </c>
      <c r="O18" s="65"/>
      <c r="P18" s="116"/>
      <c r="Q18" s="65"/>
      <c r="R18" s="117"/>
    </row>
    <row r="19" spans="1:20" s="106" customFormat="1" x14ac:dyDescent="0.2">
      <c r="A19" s="392">
        <v>12154</v>
      </c>
      <c r="B19" s="378">
        <v>174</v>
      </c>
      <c r="C19" s="378" t="s">
        <v>9</v>
      </c>
      <c r="D19" s="379">
        <v>39404</v>
      </c>
      <c r="E19" s="378">
        <v>1</v>
      </c>
      <c r="F19" s="380">
        <v>0.97</v>
      </c>
      <c r="G19" s="380">
        <v>2.23</v>
      </c>
      <c r="H19" s="378" t="s">
        <v>155</v>
      </c>
      <c r="I19" s="393" t="b">
        <v>0</v>
      </c>
      <c r="K19" s="83" t="s">
        <v>190</v>
      </c>
      <c r="L19" s="401" t="s">
        <v>193</v>
      </c>
      <c r="M19" s="84">
        <f>COUNTIF(H$9:H$20,L19)</f>
        <v>7</v>
      </c>
      <c r="N19" s="66" t="s">
        <v>196</v>
      </c>
      <c r="O19" s="66"/>
      <c r="P19" s="84"/>
      <c r="Q19" s="66"/>
      <c r="R19" s="118"/>
    </row>
    <row r="20" spans="1:20" s="106" customFormat="1" x14ac:dyDescent="0.2">
      <c r="A20" s="394"/>
      <c r="B20" s="395"/>
      <c r="C20" s="395"/>
      <c r="D20" s="396"/>
      <c r="E20" s="395"/>
      <c r="F20" s="397"/>
      <c r="G20" s="397"/>
      <c r="H20" s="398"/>
      <c r="I20" s="399"/>
      <c r="K20" s="83" t="s">
        <v>191</v>
      </c>
      <c r="L20" s="401" t="s">
        <v>165</v>
      </c>
      <c r="M20" s="84">
        <f>COUNTIF(H$9:H$20,L20)</f>
        <v>3</v>
      </c>
      <c r="N20" s="210" t="s">
        <v>195</v>
      </c>
      <c r="O20" s="207"/>
      <c r="P20" s="207"/>
      <c r="Q20" s="207"/>
      <c r="R20" s="208"/>
    </row>
    <row r="21" spans="1:20" ht="12.75" customHeight="1" thickBot="1" x14ac:dyDescent="0.25">
      <c r="G21" s="108"/>
      <c r="H21" s="109"/>
      <c r="I21" s="109"/>
      <c r="K21" s="211" t="s">
        <v>191</v>
      </c>
      <c r="L21" s="402" t="s">
        <v>194</v>
      </c>
      <c r="M21" s="212">
        <f>COUNTIF(H$9:H$20,L21)</f>
        <v>8</v>
      </c>
      <c r="N21" s="582" t="s">
        <v>198</v>
      </c>
      <c r="O21" s="582"/>
      <c r="P21" s="582"/>
      <c r="Q21" s="582"/>
      <c r="R21" s="583"/>
    </row>
    <row r="22" spans="1:20" ht="25.5" customHeight="1" x14ac:dyDescent="0.2">
      <c r="G22" s="285" t="s">
        <v>166</v>
      </c>
      <c r="H22" s="285" t="s">
        <v>288</v>
      </c>
      <c r="I22" s="286" t="s">
        <v>168</v>
      </c>
      <c r="K22" s="561" t="s">
        <v>310</v>
      </c>
      <c r="L22" s="561"/>
      <c r="M22" s="561"/>
      <c r="N22" s="561"/>
      <c r="O22" s="561"/>
      <c r="P22" s="561"/>
      <c r="Q22" s="561"/>
      <c r="R22" s="561"/>
    </row>
    <row r="23" spans="1:20" x14ac:dyDescent="0.2">
      <c r="A23" s="102" t="s">
        <v>151</v>
      </c>
      <c r="G23" s="403" t="s">
        <v>8</v>
      </c>
      <c r="H23" s="292">
        <f>COUNTIF($C$9:$C$20,G23)</f>
        <v>7</v>
      </c>
      <c r="I23" s="293">
        <f>COUNTIF($C$9:$C$20,"A")</f>
        <v>7</v>
      </c>
    </row>
    <row r="24" spans="1:20" x14ac:dyDescent="0.2">
      <c r="A24" s="102" t="s">
        <v>161</v>
      </c>
      <c r="G24" s="403">
        <v>167</v>
      </c>
      <c r="H24" s="294">
        <f>COUNTIF($B$9:$B$20,G24)</f>
        <v>5</v>
      </c>
      <c r="I24" s="295">
        <f>COUNTIF($B$9:$B$20,167)</f>
        <v>5</v>
      </c>
      <c r="K24" s="291"/>
      <c r="L24" s="290" t="s">
        <v>166</v>
      </c>
      <c r="M24" s="290" t="s">
        <v>199</v>
      </c>
      <c r="N24" s="291" t="s">
        <v>267</v>
      </c>
      <c r="O24" s="289" t="s">
        <v>125</v>
      </c>
      <c r="P24" s="289"/>
      <c r="Q24" s="290"/>
      <c r="R24" s="289"/>
    </row>
    <row r="25" spans="1:20" x14ac:dyDescent="0.2">
      <c r="A25" s="102" t="s">
        <v>162</v>
      </c>
      <c r="G25" s="403" t="b">
        <v>1</v>
      </c>
      <c r="H25" s="294">
        <f>COUNTIF($I$9:$I$20,G25)</f>
        <v>9</v>
      </c>
      <c r="I25" s="295">
        <f>COUNTIF($I$9:$I$20,TRUE)</f>
        <v>9</v>
      </c>
      <c r="K25" s="171" t="s">
        <v>262</v>
      </c>
      <c r="L25" s="405" t="s">
        <v>192</v>
      </c>
      <c r="M25" s="84">
        <f>COUNTIF(H$9:H$20,L25)</f>
        <v>4</v>
      </c>
      <c r="N25" s="170" t="s">
        <v>265</v>
      </c>
      <c r="O25" s="16" t="s">
        <v>263</v>
      </c>
    </row>
    <row r="26" spans="1:20" x14ac:dyDescent="0.2">
      <c r="A26" s="16" t="s">
        <v>287</v>
      </c>
      <c r="G26" s="403">
        <v>167</v>
      </c>
      <c r="H26" s="294">
        <f>COUNTIF($B$9:$B$20,G26)</f>
        <v>5</v>
      </c>
      <c r="I26" s="295">
        <f>COUNTIF($B$9:$B$20,G26)</f>
        <v>5</v>
      </c>
      <c r="K26" s="171" t="s">
        <v>1</v>
      </c>
      <c r="L26" s="405" t="s">
        <v>261</v>
      </c>
      <c r="M26" s="84">
        <f>COUNTIF(A$9:A$20,L26)</f>
        <v>0</v>
      </c>
      <c r="N26" s="170" t="s">
        <v>265</v>
      </c>
      <c r="O26" s="16" t="s">
        <v>268</v>
      </c>
    </row>
    <row r="27" spans="1:20" x14ac:dyDescent="0.2">
      <c r="A27" s="102" t="s">
        <v>152</v>
      </c>
      <c r="G27" s="403" t="s">
        <v>163</v>
      </c>
      <c r="H27" s="294">
        <f>COUNTIF($F$9:$F$20,G27)</f>
        <v>2</v>
      </c>
      <c r="I27" s="295">
        <f>COUNTIF($F$9:$F$20,"&gt;1")</f>
        <v>2</v>
      </c>
      <c r="K27" s="171" t="s">
        <v>2</v>
      </c>
      <c r="L27" s="405" t="s">
        <v>261</v>
      </c>
      <c r="M27" s="84">
        <f>COUNTIF(B$9:B$20,L27)</f>
        <v>0</v>
      </c>
      <c r="N27" s="170" t="s">
        <v>266</v>
      </c>
      <c r="O27" s="16" t="s">
        <v>264</v>
      </c>
    </row>
    <row r="28" spans="1:20" x14ac:dyDescent="0.2">
      <c r="A28" s="16" t="s">
        <v>412</v>
      </c>
      <c r="G28" s="403">
        <v>1</v>
      </c>
      <c r="H28" s="294">
        <f>COUNTIF($F$9:$F$20,"&gt;"&amp;G28)</f>
        <v>2</v>
      </c>
      <c r="I28" s="295">
        <f>COUNTIF($F$9:$F$20,"&gt;1")</f>
        <v>2</v>
      </c>
    </row>
    <row r="29" spans="1:20" ht="12.75" customHeight="1" x14ac:dyDescent="0.2">
      <c r="A29" s="102" t="s">
        <v>153</v>
      </c>
      <c r="G29" s="403" t="s">
        <v>164</v>
      </c>
      <c r="H29" s="294">
        <f>COUNTIF($H$9:$H$20,G29)</f>
        <v>6</v>
      </c>
      <c r="I29" s="295">
        <f>COUNTIF($H$9:$H$20,"a*")</f>
        <v>6</v>
      </c>
      <c r="K29" s="585" t="s">
        <v>411</v>
      </c>
      <c r="L29" s="586"/>
      <c r="M29" s="586"/>
      <c r="N29" s="586"/>
      <c r="O29" s="586"/>
      <c r="P29" s="586"/>
      <c r="Q29" s="586"/>
      <c r="R29" s="586"/>
      <c r="S29" s="586"/>
      <c r="T29" s="586"/>
    </row>
    <row r="30" spans="1:20" x14ac:dyDescent="0.2">
      <c r="A30" s="102" t="s">
        <v>167</v>
      </c>
      <c r="G30" s="403" t="s">
        <v>165</v>
      </c>
      <c r="H30" s="294">
        <f>COUNTIF($H$9:$H$20,G30)</f>
        <v>3</v>
      </c>
      <c r="I30" s="295">
        <f>COUNTIF($H$9:$H$20,"?313")</f>
        <v>3</v>
      </c>
      <c r="K30" s="585"/>
      <c r="L30" s="586"/>
      <c r="M30" s="586"/>
      <c r="N30" s="586"/>
      <c r="O30" s="586"/>
      <c r="P30" s="586"/>
      <c r="Q30" s="586"/>
      <c r="R30" s="586"/>
      <c r="S30" s="586"/>
      <c r="T30" s="586"/>
    </row>
    <row r="31" spans="1:20" x14ac:dyDescent="0.2">
      <c r="K31" s="585"/>
      <c r="L31" s="586"/>
      <c r="M31" s="586"/>
      <c r="N31" s="586"/>
      <c r="O31" s="586"/>
      <c r="P31" s="586"/>
      <c r="Q31" s="586"/>
      <c r="R31" s="586"/>
      <c r="S31" s="586"/>
      <c r="T31" s="586"/>
    </row>
    <row r="32" spans="1:20" x14ac:dyDescent="0.2">
      <c r="A32" s="561" t="s">
        <v>309</v>
      </c>
      <c r="B32" s="584"/>
      <c r="C32" s="584"/>
      <c r="D32" s="584"/>
      <c r="E32" s="584"/>
      <c r="F32" s="584"/>
      <c r="G32" s="584"/>
      <c r="H32" s="584"/>
      <c r="I32" s="584"/>
      <c r="K32" s="585"/>
      <c r="L32" s="586"/>
      <c r="M32" s="586"/>
      <c r="N32" s="586"/>
      <c r="O32" s="586"/>
      <c r="P32" s="586"/>
      <c r="Q32" s="586"/>
      <c r="R32" s="586"/>
      <c r="S32" s="586"/>
      <c r="T32" s="586"/>
    </row>
    <row r="33" spans="1:20" x14ac:dyDescent="0.2">
      <c r="A33" s="584"/>
      <c r="B33" s="584"/>
      <c r="C33" s="584"/>
      <c r="D33" s="584"/>
      <c r="E33" s="584"/>
      <c r="F33" s="584"/>
      <c r="G33" s="584"/>
      <c r="H33" s="584"/>
      <c r="I33" s="584"/>
      <c r="K33" s="585"/>
      <c r="L33" s="586"/>
      <c r="M33" s="586"/>
      <c r="N33" s="586"/>
      <c r="O33" s="586"/>
      <c r="P33" s="586"/>
      <c r="Q33" s="586"/>
      <c r="R33" s="586"/>
      <c r="S33" s="586"/>
      <c r="T33" s="586"/>
    </row>
    <row r="34" spans="1:20" x14ac:dyDescent="0.2">
      <c r="A34" s="584"/>
      <c r="B34" s="584"/>
      <c r="C34" s="584"/>
      <c r="D34" s="584"/>
      <c r="E34" s="584"/>
      <c r="F34" s="584"/>
      <c r="G34" s="584"/>
      <c r="H34" s="584"/>
      <c r="I34" s="584"/>
      <c r="K34" s="585"/>
      <c r="L34" s="586"/>
      <c r="M34" s="586"/>
      <c r="N34" s="586"/>
      <c r="O34" s="586"/>
      <c r="P34" s="586"/>
      <c r="Q34" s="586"/>
      <c r="R34" s="586"/>
      <c r="S34" s="586"/>
      <c r="T34" s="586"/>
    </row>
    <row r="35" spans="1:20" x14ac:dyDescent="0.2">
      <c r="A35" s="584"/>
      <c r="B35" s="584"/>
      <c r="C35" s="584"/>
      <c r="D35" s="584"/>
      <c r="E35" s="584"/>
      <c r="F35" s="584"/>
      <c r="G35" s="584"/>
      <c r="H35" s="584"/>
      <c r="I35" s="584"/>
      <c r="K35" s="585"/>
      <c r="L35" s="586"/>
      <c r="M35" s="586"/>
      <c r="N35" s="586"/>
      <c r="O35" s="586"/>
      <c r="P35" s="586"/>
      <c r="Q35" s="586"/>
      <c r="R35" s="586"/>
      <c r="S35" s="586"/>
      <c r="T35" s="586"/>
    </row>
    <row r="36" spans="1:20" x14ac:dyDescent="0.2">
      <c r="A36" s="584"/>
      <c r="B36" s="584"/>
      <c r="C36" s="584"/>
      <c r="D36" s="584"/>
      <c r="E36" s="584"/>
      <c r="F36" s="584"/>
      <c r="G36" s="584"/>
      <c r="H36" s="584"/>
      <c r="I36" s="584"/>
      <c r="K36" s="585"/>
      <c r="L36" s="586"/>
      <c r="M36" s="586"/>
      <c r="N36" s="586"/>
      <c r="O36" s="586"/>
      <c r="P36" s="586"/>
      <c r="Q36" s="586"/>
      <c r="R36" s="586"/>
      <c r="S36" s="586"/>
      <c r="T36" s="586"/>
    </row>
    <row r="37" spans="1:20" x14ac:dyDescent="0.2">
      <c r="A37" s="584"/>
      <c r="B37" s="584"/>
      <c r="C37" s="584"/>
      <c r="D37" s="584"/>
      <c r="E37" s="584"/>
      <c r="F37" s="584"/>
      <c r="G37" s="584"/>
      <c r="H37" s="584"/>
      <c r="I37" s="584"/>
      <c r="K37" s="585"/>
      <c r="L37" s="586"/>
      <c r="M37" s="586"/>
      <c r="N37" s="586"/>
      <c r="O37" s="586"/>
      <c r="P37" s="586"/>
      <c r="Q37" s="586"/>
      <c r="R37" s="586"/>
      <c r="S37" s="586"/>
      <c r="T37" s="586"/>
    </row>
    <row r="38" spans="1:20" x14ac:dyDescent="0.2">
      <c r="K38" s="521"/>
      <c r="L38" s="522"/>
      <c r="M38" s="522"/>
      <c r="N38" s="522"/>
      <c r="O38" s="522"/>
      <c r="P38" s="522"/>
      <c r="Q38" s="522"/>
      <c r="R38" s="522"/>
      <c r="S38" s="522"/>
      <c r="T38" s="522"/>
    </row>
    <row r="40" spans="1:20" x14ac:dyDescent="0.2">
      <c r="E40" s="404"/>
      <c r="F40" s="403"/>
      <c r="G40" s="294"/>
      <c r="H40" s="294"/>
      <c r="I40" s="294"/>
      <c r="N40"/>
      <c r="O40"/>
      <c r="P40"/>
      <c r="Q40"/>
    </row>
    <row r="41" spans="1:20" x14ac:dyDescent="0.2">
      <c r="N41"/>
      <c r="O41"/>
      <c r="P41"/>
      <c r="Q41"/>
    </row>
    <row r="42" spans="1:20" ht="12.75" customHeight="1" x14ac:dyDescent="0.2">
      <c r="N42"/>
      <c r="O42"/>
      <c r="P42"/>
      <c r="Q42"/>
    </row>
    <row r="44" spans="1:20" ht="12.75" customHeight="1" x14ac:dyDescent="0.2"/>
  </sheetData>
  <mergeCells count="4">
    <mergeCell ref="N21:R21"/>
    <mergeCell ref="A32:I37"/>
    <mergeCell ref="K22:R22"/>
    <mergeCell ref="K29:T37"/>
  </mergeCells>
  <phoneticPr fontId="3" type="noConversion"/>
  <pageMargins left="0.75" right="0.75" top="1" bottom="1" header="0.5" footer="0.5"/>
  <pageSetup orientation="portrait" horizontalDpi="4294967293" r:id="rId1"/>
  <headerFooter alignWithMargins="0"/>
  <ignoredErrors>
    <ignoredError sqref="H25" formula="1"/>
  </ignoredErrors>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10922-18E0-489F-A810-2533A9F2E819}">
  <sheetPr codeName="Sheet31">
    <pageSetUpPr autoPageBreaks="0"/>
  </sheetPr>
  <dimension ref="A1:S45"/>
  <sheetViews>
    <sheetView zoomScale="130" zoomScaleNormal="130" workbookViewId="0">
      <selection activeCell="A6" sqref="A6"/>
    </sheetView>
  </sheetViews>
  <sheetFormatPr defaultColWidth="9.140625" defaultRowHeight="12.75" x14ac:dyDescent="0.2"/>
  <cols>
    <col min="1" max="1" width="7.42578125" style="102" customWidth="1"/>
    <col min="2" max="2" width="7.140625" style="102" bestFit="1" customWidth="1"/>
    <col min="3" max="3" width="5.28515625" style="102" bestFit="1" customWidth="1"/>
    <col min="4" max="4" width="12.42578125" style="102" customWidth="1"/>
    <col min="5" max="5" width="9.85546875" style="102" bestFit="1" customWidth="1"/>
    <col min="6" max="6" width="9.5703125" style="102" customWidth="1"/>
    <col min="7" max="7" width="8.28515625" style="102" customWidth="1"/>
    <col min="8" max="8" width="9.7109375" style="102" customWidth="1"/>
    <col min="9" max="9" width="8.85546875" style="102" customWidth="1"/>
    <col min="10" max="13" width="9.140625" style="102"/>
    <col min="14" max="15" width="10.140625" style="102" bestFit="1" customWidth="1"/>
    <col min="16" max="17" width="9.140625" style="102"/>
    <col min="18" max="18" width="10.7109375" style="102" customWidth="1"/>
    <col min="19" max="16384" width="9.140625" style="102"/>
  </cols>
  <sheetData>
    <row r="1" spans="1:18" ht="18" x14ac:dyDescent="0.25">
      <c r="A1" s="351" t="s">
        <v>134</v>
      </c>
      <c r="B1" s="107"/>
      <c r="C1" s="107"/>
      <c r="D1" s="107"/>
      <c r="E1" s="107"/>
      <c r="F1" s="107"/>
      <c r="G1" s="107"/>
      <c r="H1" s="107"/>
      <c r="I1" s="107"/>
      <c r="J1" s="107"/>
      <c r="K1" s="107"/>
      <c r="L1" s="107"/>
      <c r="M1" s="107"/>
      <c r="N1" s="107"/>
      <c r="O1" s="107"/>
      <c r="P1" s="107"/>
      <c r="Q1" s="107"/>
      <c r="R1" s="107"/>
    </row>
    <row r="2" spans="1:18" hidden="1" x14ac:dyDescent="0.2">
      <c r="A2" s="16" t="s">
        <v>409</v>
      </c>
      <c r="B2" s="507">
        <v>3.0787037037037037E-3</v>
      </c>
      <c r="H2" s="101"/>
    </row>
    <row r="3" spans="1:18" x14ac:dyDescent="0.2">
      <c r="A3" s="438" t="str">
        <f>IF(A2="","",IF(Disable_Video_Hyperlinks,A2,HYPERLINK(Video_website&amp;A2,A2)))</f>
        <v>UNC_DAYT_EXCEL_2.3.5_LECTURE_COUNTIFS_SUMIF_SUMIFS.mp4</v>
      </c>
      <c r="H3" s="101"/>
    </row>
    <row r="4" spans="1:18" x14ac:dyDescent="0.2">
      <c r="A4" s="501">
        <f>IF(B2="","",B2)</f>
        <v>3.0787037037037037E-3</v>
      </c>
      <c r="H4" s="101"/>
    </row>
    <row r="5" spans="1:18" x14ac:dyDescent="0.2">
      <c r="H5" s="101"/>
    </row>
    <row r="6" spans="1:18" s="106" customFormat="1" ht="15.75" x14ac:dyDescent="0.25">
      <c r="A6" s="552" t="s">
        <v>0</v>
      </c>
      <c r="B6" s="520"/>
      <c r="C6" s="520"/>
      <c r="D6" s="520"/>
      <c r="E6" s="520"/>
      <c r="F6" s="520"/>
      <c r="G6" s="520"/>
      <c r="H6" s="282"/>
      <c r="I6" s="283"/>
    </row>
    <row r="7" spans="1:18" s="106" customFormat="1" ht="15.75" x14ac:dyDescent="0.25">
      <c r="A7" s="280"/>
      <c r="B7" s="281"/>
      <c r="C7" s="281"/>
      <c r="D7" s="281"/>
      <c r="E7" s="281"/>
      <c r="F7" s="281"/>
      <c r="G7" s="281"/>
      <c r="H7" s="281"/>
      <c r="I7" s="281"/>
    </row>
    <row r="8" spans="1:18" s="106" customFormat="1" ht="25.5" x14ac:dyDescent="0.2">
      <c r="A8" s="284" t="s">
        <v>1</v>
      </c>
      <c r="B8" s="284" t="s">
        <v>2</v>
      </c>
      <c r="C8" s="284" t="s">
        <v>3</v>
      </c>
      <c r="D8" s="284" t="s">
        <v>4</v>
      </c>
      <c r="E8" s="284" t="s">
        <v>5</v>
      </c>
      <c r="F8" s="284" t="s">
        <v>6</v>
      </c>
      <c r="G8" s="284" t="s">
        <v>7</v>
      </c>
      <c r="H8" s="284" t="s">
        <v>149</v>
      </c>
      <c r="I8" s="284" t="s">
        <v>150</v>
      </c>
      <c r="K8"/>
      <c r="L8"/>
      <c r="M8"/>
      <c r="N8" s="440"/>
      <c r="O8" s="440"/>
      <c r="P8"/>
      <c r="Q8"/>
      <c r="R8"/>
    </row>
    <row r="9" spans="1:18" s="106" customFormat="1" x14ac:dyDescent="0.2">
      <c r="A9" s="390">
        <v>12134</v>
      </c>
      <c r="B9" s="373">
        <v>174</v>
      </c>
      <c r="C9" s="373" t="s">
        <v>8</v>
      </c>
      <c r="D9" s="374">
        <v>39403</v>
      </c>
      <c r="E9" s="373">
        <v>1</v>
      </c>
      <c r="F9" s="375">
        <v>0.82</v>
      </c>
      <c r="G9" s="375">
        <v>2.21</v>
      </c>
      <c r="H9" s="373" t="s">
        <v>154</v>
      </c>
      <c r="I9" s="391" t="b">
        <v>1</v>
      </c>
      <c r="K9"/>
      <c r="L9"/>
      <c r="M9"/>
      <c r="N9"/>
      <c r="O9"/>
      <c r="P9"/>
      <c r="Q9"/>
      <c r="R9"/>
    </row>
    <row r="10" spans="1:18" s="106" customFormat="1" x14ac:dyDescent="0.2">
      <c r="A10" s="392">
        <v>12135</v>
      </c>
      <c r="B10" s="378">
        <v>174</v>
      </c>
      <c r="C10" s="378" t="s">
        <v>147</v>
      </c>
      <c r="D10" s="379">
        <v>39403</v>
      </c>
      <c r="E10" s="378">
        <v>1</v>
      </c>
      <c r="F10" s="380">
        <v>0.49</v>
      </c>
      <c r="G10" s="380">
        <v>1.94</v>
      </c>
      <c r="H10" s="378" t="s">
        <v>155</v>
      </c>
      <c r="I10" s="393" t="b">
        <v>0</v>
      </c>
      <c r="K10"/>
      <c r="L10"/>
      <c r="M10"/>
      <c r="N10"/>
      <c r="O10"/>
      <c r="P10"/>
      <c r="Q10"/>
      <c r="R10"/>
    </row>
    <row r="11" spans="1:18" s="106" customFormat="1" x14ac:dyDescent="0.2">
      <c r="A11" s="392">
        <v>12139</v>
      </c>
      <c r="B11" s="378">
        <v>174</v>
      </c>
      <c r="C11" s="378" t="s">
        <v>8</v>
      </c>
      <c r="D11" s="379">
        <v>39403</v>
      </c>
      <c r="E11" s="378">
        <v>1</v>
      </c>
      <c r="F11" s="380">
        <v>0.52</v>
      </c>
      <c r="G11" s="380">
        <v>2.0299999999999998</v>
      </c>
      <c r="H11" s="378" t="s">
        <v>156</v>
      </c>
      <c r="I11" s="393" t="b">
        <v>1</v>
      </c>
      <c r="K11"/>
      <c r="L11"/>
      <c r="M11"/>
      <c r="N11"/>
      <c r="O11"/>
      <c r="P11"/>
      <c r="Q11"/>
      <c r="R11"/>
    </row>
    <row r="12" spans="1:18" s="106" customFormat="1" x14ac:dyDescent="0.2">
      <c r="A12" s="392">
        <v>12140</v>
      </c>
      <c r="B12" s="378">
        <v>167</v>
      </c>
      <c r="C12" s="378" t="s">
        <v>8</v>
      </c>
      <c r="D12" s="379">
        <v>39403</v>
      </c>
      <c r="E12" s="378">
        <v>1</v>
      </c>
      <c r="F12" s="380">
        <v>0.63</v>
      </c>
      <c r="G12" s="380">
        <v>2.2400000000000002</v>
      </c>
      <c r="H12" s="378" t="s">
        <v>156</v>
      </c>
      <c r="I12" s="393" t="b">
        <v>1</v>
      </c>
      <c r="K12"/>
      <c r="L12"/>
      <c r="M12"/>
      <c r="N12"/>
      <c r="O12"/>
      <c r="P12"/>
      <c r="Q12"/>
      <c r="R12"/>
    </row>
    <row r="13" spans="1:18" s="106" customFormat="1" x14ac:dyDescent="0.2">
      <c r="A13" s="392">
        <v>12142</v>
      </c>
      <c r="B13" s="378">
        <v>167</v>
      </c>
      <c r="C13" s="378" t="s">
        <v>8</v>
      </c>
      <c r="D13" s="379">
        <v>39403</v>
      </c>
      <c r="E13" s="378">
        <v>1</v>
      </c>
      <c r="F13" s="380">
        <v>0.64</v>
      </c>
      <c r="G13" s="380">
        <v>2.2799999999999998</v>
      </c>
      <c r="H13" s="378" t="s">
        <v>157</v>
      </c>
      <c r="I13" s="393" t="b">
        <v>1</v>
      </c>
      <c r="K13"/>
      <c r="L13"/>
      <c r="M13"/>
      <c r="N13"/>
      <c r="O13"/>
      <c r="P13"/>
      <c r="Q13"/>
      <c r="R13"/>
    </row>
    <row r="14" spans="1:18" s="106" customFormat="1" x14ac:dyDescent="0.2">
      <c r="A14" s="392">
        <v>12144</v>
      </c>
      <c r="B14" s="378">
        <v>167</v>
      </c>
      <c r="C14" s="378" t="s">
        <v>8</v>
      </c>
      <c r="D14" s="379">
        <v>39403</v>
      </c>
      <c r="E14" s="378">
        <v>1</v>
      </c>
      <c r="F14" s="380">
        <v>1.28</v>
      </c>
      <c r="G14" s="380">
        <v>2.31</v>
      </c>
      <c r="H14" s="378" t="s">
        <v>158</v>
      </c>
      <c r="I14" s="393" t="b">
        <v>1</v>
      </c>
      <c r="K14"/>
      <c r="L14"/>
      <c r="M14"/>
      <c r="N14"/>
      <c r="O14"/>
      <c r="P14"/>
      <c r="Q14"/>
      <c r="R14"/>
    </row>
    <row r="15" spans="1:18" s="106" customFormat="1" x14ac:dyDescent="0.2">
      <c r="A15" s="392">
        <v>12145</v>
      </c>
      <c r="B15" s="378">
        <v>174</v>
      </c>
      <c r="C15" s="378" t="s">
        <v>8</v>
      </c>
      <c r="D15" s="379">
        <v>39403</v>
      </c>
      <c r="E15" s="378">
        <v>1</v>
      </c>
      <c r="F15" s="380">
        <v>0.45</v>
      </c>
      <c r="G15" s="380">
        <v>2.02</v>
      </c>
      <c r="H15" s="378" t="s">
        <v>154</v>
      </c>
      <c r="I15" s="393" t="b">
        <v>1</v>
      </c>
      <c r="K15"/>
      <c r="L15"/>
      <c r="M15"/>
      <c r="N15"/>
      <c r="O15"/>
      <c r="P15"/>
      <c r="Q15"/>
      <c r="R15"/>
    </row>
    <row r="16" spans="1:18" s="106" customFormat="1" x14ac:dyDescent="0.2">
      <c r="A16" s="392">
        <v>12146</v>
      </c>
      <c r="B16" s="378">
        <v>167</v>
      </c>
      <c r="C16" s="378" t="s">
        <v>148</v>
      </c>
      <c r="D16" s="379">
        <v>39403</v>
      </c>
      <c r="E16" s="378">
        <v>1</v>
      </c>
      <c r="F16" s="380">
        <v>1.1299999999999999</v>
      </c>
      <c r="G16" s="380">
        <v>2.0499999999999998</v>
      </c>
      <c r="H16" s="378" t="s">
        <v>159</v>
      </c>
      <c r="I16" s="393" t="b">
        <v>1</v>
      </c>
      <c r="K16"/>
      <c r="L16"/>
      <c r="M16"/>
      <c r="N16"/>
      <c r="O16"/>
      <c r="P16"/>
      <c r="Q16"/>
      <c r="R16"/>
    </row>
    <row r="17" spans="1:19" s="106" customFormat="1" x14ac:dyDescent="0.2">
      <c r="A17" s="392">
        <v>12148</v>
      </c>
      <c r="B17" s="378">
        <v>167</v>
      </c>
      <c r="C17" s="378" t="s">
        <v>9</v>
      </c>
      <c r="D17" s="379">
        <v>39404</v>
      </c>
      <c r="E17" s="378">
        <v>1</v>
      </c>
      <c r="F17" s="380">
        <v>0.43</v>
      </c>
      <c r="G17" s="380">
        <v>2.27</v>
      </c>
      <c r="H17" s="378" t="s">
        <v>160</v>
      </c>
      <c r="I17" s="393" t="b">
        <v>1</v>
      </c>
      <c r="K17"/>
      <c r="L17"/>
      <c r="M17"/>
      <c r="N17"/>
      <c r="O17"/>
      <c r="P17"/>
      <c r="Q17"/>
      <c r="R17"/>
    </row>
    <row r="18" spans="1:19" s="106" customFormat="1" x14ac:dyDescent="0.2">
      <c r="A18" s="392">
        <v>12149</v>
      </c>
      <c r="B18" s="378">
        <v>174</v>
      </c>
      <c r="C18" s="378" t="s">
        <v>9</v>
      </c>
      <c r="D18" s="379">
        <v>39404</v>
      </c>
      <c r="E18" s="378">
        <v>1</v>
      </c>
      <c r="F18" s="380">
        <v>0.47</v>
      </c>
      <c r="G18" s="380">
        <v>2.31</v>
      </c>
      <c r="H18" s="378" t="s">
        <v>160</v>
      </c>
      <c r="I18" s="393" t="b">
        <v>1</v>
      </c>
      <c r="K18"/>
      <c r="L18"/>
      <c r="M18"/>
      <c r="N18"/>
      <c r="O18"/>
      <c r="P18"/>
      <c r="Q18"/>
      <c r="R18"/>
    </row>
    <row r="19" spans="1:19" s="106" customFormat="1" x14ac:dyDescent="0.2">
      <c r="A19" s="392">
        <v>12154</v>
      </c>
      <c r="B19" s="378">
        <v>174</v>
      </c>
      <c r="C19" s="378" t="s">
        <v>9</v>
      </c>
      <c r="D19" s="379">
        <v>39404</v>
      </c>
      <c r="E19" s="378">
        <v>1</v>
      </c>
      <c r="F19" s="380">
        <v>0.97</v>
      </c>
      <c r="G19" s="380">
        <v>2.23</v>
      </c>
      <c r="H19" s="378" t="s">
        <v>155</v>
      </c>
      <c r="I19" s="393" t="b">
        <v>0</v>
      </c>
      <c r="K19"/>
      <c r="L19"/>
      <c r="M19"/>
      <c r="N19"/>
      <c r="O19"/>
      <c r="P19"/>
      <c r="Q19"/>
      <c r="R19"/>
    </row>
    <row r="20" spans="1:19" s="106" customFormat="1" x14ac:dyDescent="0.2">
      <c r="A20" s="172"/>
      <c r="B20" s="164"/>
      <c r="C20" s="164"/>
      <c r="D20" s="165"/>
      <c r="E20" s="164"/>
      <c r="F20" s="166"/>
      <c r="G20" s="166"/>
      <c r="H20" s="167"/>
      <c r="I20" s="168"/>
      <c r="K20"/>
      <c r="L20"/>
      <c r="M20"/>
      <c r="N20"/>
      <c r="O20"/>
      <c r="P20"/>
      <c r="Q20"/>
      <c r="R20"/>
    </row>
    <row r="21" spans="1:19" ht="12.75" customHeight="1" x14ac:dyDescent="0.2">
      <c r="G21" s="108"/>
      <c r="H21" s="109"/>
      <c r="I21" s="109"/>
      <c r="K21"/>
      <c r="L21"/>
      <c r="M21"/>
      <c r="N21"/>
      <c r="O21"/>
      <c r="P21"/>
      <c r="Q21"/>
      <c r="R21"/>
    </row>
    <row r="22" spans="1:19" ht="25.5" customHeight="1" x14ac:dyDescent="0.2">
      <c r="G22" s="285" t="s">
        <v>166</v>
      </c>
      <c r="H22" s="285" t="s">
        <v>370</v>
      </c>
      <c r="I22" s="286" t="s">
        <v>371</v>
      </c>
      <c r="K22"/>
      <c r="L22"/>
      <c r="M22"/>
      <c r="N22"/>
      <c r="O22"/>
      <c r="P22"/>
      <c r="Q22"/>
      <c r="R22"/>
    </row>
    <row r="23" spans="1:19" x14ac:dyDescent="0.2">
      <c r="A23" s="102" t="s">
        <v>151</v>
      </c>
      <c r="F23" s="406"/>
      <c r="G23" s="403" t="s">
        <v>8</v>
      </c>
      <c r="H23" s="292">
        <f>COUNTIFS($C$9:$C$20,G23)</f>
        <v>7</v>
      </c>
      <c r="I23" s="293">
        <f>COUNTIF($C$9:$C$20,"A")</f>
        <v>7</v>
      </c>
      <c r="K23"/>
      <c r="L23"/>
      <c r="M23"/>
      <c r="N23"/>
      <c r="O23"/>
      <c r="P23"/>
      <c r="Q23"/>
      <c r="R23"/>
    </row>
    <row r="24" spans="1:19" x14ac:dyDescent="0.2">
      <c r="A24" s="102" t="s">
        <v>161</v>
      </c>
      <c r="F24" s="406"/>
      <c r="G24" s="403">
        <v>167</v>
      </c>
      <c r="H24" s="294">
        <f>COUNTIFS($B$9:$B$20,G24)</f>
        <v>5</v>
      </c>
      <c r="I24" s="295">
        <f>COUNTIF($B$9:$B$20,167)</f>
        <v>5</v>
      </c>
      <c r="K24" s="561" t="s">
        <v>372</v>
      </c>
      <c r="L24" s="584"/>
      <c r="M24" s="584"/>
      <c r="N24" s="584"/>
      <c r="O24" s="584"/>
      <c r="P24" s="584"/>
      <c r="Q24" s="584"/>
      <c r="R24" s="584"/>
      <c r="S24" s="584"/>
    </row>
    <row r="25" spans="1:19" x14ac:dyDescent="0.2">
      <c r="A25" s="102" t="s">
        <v>162</v>
      </c>
      <c r="F25" s="406"/>
      <c r="G25" s="403" t="b">
        <v>1</v>
      </c>
      <c r="H25" s="294">
        <f>COUNTIFS($I$9:$I$20,G25)</f>
        <v>9</v>
      </c>
      <c r="I25" s="295">
        <f>COUNTIF($I$9:$I$20,TRUE)</f>
        <v>9</v>
      </c>
      <c r="K25" s="584"/>
      <c r="L25" s="584"/>
      <c r="M25" s="584"/>
      <c r="N25" s="584"/>
      <c r="O25" s="584"/>
      <c r="P25" s="584"/>
      <c r="Q25" s="584"/>
      <c r="R25" s="584"/>
      <c r="S25" s="584"/>
    </row>
    <row r="26" spans="1:19" x14ac:dyDescent="0.2">
      <c r="A26" s="16" t="s">
        <v>287</v>
      </c>
      <c r="F26" s="406"/>
      <c r="G26" s="403">
        <v>167</v>
      </c>
      <c r="H26" s="294">
        <f>COUNTIFS($B$9:$B$20,G26)</f>
        <v>5</v>
      </c>
      <c r="I26" s="295">
        <f>COUNTIF($B$9:$B$20,G26)</f>
        <v>5</v>
      </c>
      <c r="K26" s="584"/>
      <c r="L26" s="584"/>
      <c r="M26" s="584"/>
      <c r="N26" s="584"/>
      <c r="O26" s="584"/>
      <c r="P26" s="584"/>
      <c r="Q26" s="584"/>
      <c r="R26" s="584"/>
      <c r="S26" s="584"/>
    </row>
    <row r="27" spans="1:19" x14ac:dyDescent="0.2">
      <c r="A27" s="102" t="s">
        <v>152</v>
      </c>
      <c r="F27" s="406"/>
      <c r="G27" s="403" t="s">
        <v>163</v>
      </c>
      <c r="H27" s="294">
        <f>COUNTIFS($F$9:$F$20,G27)</f>
        <v>2</v>
      </c>
      <c r="I27" s="295">
        <f>COUNTIF($F$9:$F$20,"&gt;1")</f>
        <v>2</v>
      </c>
      <c r="K27" s="584"/>
      <c r="L27" s="584"/>
      <c r="M27" s="584"/>
      <c r="N27" s="584"/>
      <c r="O27" s="584"/>
      <c r="P27" s="584"/>
      <c r="Q27" s="584"/>
      <c r="R27" s="584"/>
      <c r="S27" s="584"/>
    </row>
    <row r="28" spans="1:19" x14ac:dyDescent="0.2">
      <c r="A28" s="16" t="s">
        <v>412</v>
      </c>
      <c r="F28" s="406"/>
      <c r="G28" s="403">
        <v>1</v>
      </c>
      <c r="H28" s="294">
        <f>COUNTIFS($F$9:$F$20,"&gt;"&amp;G28)</f>
        <v>2</v>
      </c>
      <c r="I28" s="295">
        <f>COUNTIF($F$9:$F$20,"&gt;1")</f>
        <v>2</v>
      </c>
      <c r="K28" s="584"/>
      <c r="L28" s="584"/>
      <c r="M28" s="584"/>
      <c r="N28" s="584"/>
      <c r="O28" s="584"/>
      <c r="P28" s="584"/>
      <c r="Q28" s="584"/>
      <c r="R28" s="584"/>
      <c r="S28" s="584"/>
    </row>
    <row r="29" spans="1:19" x14ac:dyDescent="0.2">
      <c r="A29" s="16" t="s">
        <v>153</v>
      </c>
      <c r="F29" s="406"/>
      <c r="G29" s="403" t="s">
        <v>164</v>
      </c>
      <c r="H29" s="294">
        <f>COUNTIF($H$9:$H$20,G29)</f>
        <v>6</v>
      </c>
      <c r="I29" s="295">
        <f>COUNTIF($H$9:$H$20,"a*")</f>
        <v>6</v>
      </c>
      <c r="K29" s="584"/>
      <c r="L29" s="584"/>
      <c r="M29" s="584"/>
      <c r="N29" s="584"/>
      <c r="O29" s="584"/>
      <c r="P29" s="584"/>
      <c r="Q29" s="584"/>
      <c r="R29" s="584"/>
      <c r="S29" s="584"/>
    </row>
    <row r="30" spans="1:19" x14ac:dyDescent="0.2">
      <c r="A30" s="102" t="s">
        <v>167</v>
      </c>
      <c r="F30" s="406"/>
      <c r="G30" s="403" t="s">
        <v>165</v>
      </c>
      <c r="H30" s="294">
        <f>COUNTIFS($H$9:$H$20,G30)</f>
        <v>3</v>
      </c>
      <c r="I30" s="295">
        <f>COUNTIF($H$9:$H$20,"?313")</f>
        <v>3</v>
      </c>
      <c r="K30"/>
      <c r="L30"/>
      <c r="M30"/>
      <c r="N30"/>
      <c r="O30"/>
      <c r="P30"/>
      <c r="Q30"/>
      <c r="R30"/>
    </row>
    <row r="31" spans="1:19" x14ac:dyDescent="0.2">
      <c r="A31" s="16" t="s">
        <v>369</v>
      </c>
      <c r="F31" s="407" t="s">
        <v>8</v>
      </c>
      <c r="G31" s="403" t="s">
        <v>164</v>
      </c>
      <c r="H31" s="294">
        <f>COUNTIFS($C$9:$C$20,F31,$H$9:$H$20,G31)</f>
        <v>5</v>
      </c>
      <c r="I31" s="295">
        <f>COUNTIFS($C$9:$C$20,"A",$H$9:$H$20,"a*")</f>
        <v>5</v>
      </c>
      <c r="K31"/>
      <c r="L31"/>
      <c r="M31"/>
      <c r="N31"/>
      <c r="O31"/>
      <c r="P31"/>
      <c r="Q31"/>
      <c r="R31"/>
    </row>
    <row r="32" spans="1:19" x14ac:dyDescent="0.2">
      <c r="G32" s="296"/>
      <c r="H32" s="294"/>
      <c r="I32" s="295"/>
      <c r="K32"/>
      <c r="L32"/>
      <c r="M32"/>
      <c r="N32"/>
      <c r="O32"/>
      <c r="P32"/>
      <c r="Q32"/>
      <c r="R32"/>
    </row>
    <row r="33" spans="5:18" x14ac:dyDescent="0.2">
      <c r="K33"/>
      <c r="L33"/>
      <c r="M33"/>
      <c r="N33"/>
      <c r="O33"/>
      <c r="P33"/>
      <c r="Q33"/>
      <c r="R33"/>
    </row>
    <row r="34" spans="5:18" x14ac:dyDescent="0.2">
      <c r="K34"/>
      <c r="L34"/>
      <c r="M34"/>
      <c r="N34"/>
      <c r="O34"/>
      <c r="P34"/>
      <c r="Q34"/>
      <c r="R34"/>
    </row>
    <row r="35" spans="5:18" x14ac:dyDescent="0.2">
      <c r="K35"/>
      <c r="L35"/>
      <c r="M35"/>
      <c r="N35"/>
      <c r="O35"/>
      <c r="P35"/>
      <c r="Q35"/>
      <c r="R35"/>
    </row>
    <row r="36" spans="5:18" x14ac:dyDescent="0.2">
      <c r="K36"/>
      <c r="L36"/>
      <c r="M36"/>
      <c r="N36"/>
      <c r="O36"/>
      <c r="P36"/>
      <c r="Q36"/>
      <c r="R36"/>
    </row>
    <row r="37" spans="5:18" x14ac:dyDescent="0.2">
      <c r="K37"/>
      <c r="L37"/>
      <c r="M37"/>
      <c r="N37"/>
      <c r="O37"/>
      <c r="P37"/>
      <c r="Q37"/>
      <c r="R37"/>
    </row>
    <row r="38" spans="5:18" x14ac:dyDescent="0.2">
      <c r="K38"/>
      <c r="L38"/>
      <c r="M38"/>
      <c r="N38"/>
      <c r="O38"/>
      <c r="P38"/>
      <c r="Q38"/>
      <c r="R38"/>
    </row>
    <row r="39" spans="5:18" x14ac:dyDescent="0.2">
      <c r="K39"/>
      <c r="L39"/>
      <c r="M39"/>
      <c r="N39"/>
      <c r="O39"/>
      <c r="P39"/>
      <c r="Q39"/>
      <c r="R39"/>
    </row>
    <row r="40" spans="5:18" x14ac:dyDescent="0.2">
      <c r="K40"/>
      <c r="L40"/>
      <c r="M40"/>
      <c r="N40"/>
      <c r="O40"/>
      <c r="P40"/>
      <c r="Q40"/>
      <c r="R40"/>
    </row>
    <row r="41" spans="5:18" x14ac:dyDescent="0.2">
      <c r="N41"/>
      <c r="O41"/>
      <c r="P41"/>
      <c r="Q41"/>
    </row>
    <row r="42" spans="5:18" x14ac:dyDescent="0.2">
      <c r="E42" s="404"/>
      <c r="F42" s="403"/>
      <c r="G42" s="294"/>
      <c r="H42" s="294"/>
      <c r="I42" s="294"/>
      <c r="N42"/>
      <c r="O42"/>
      <c r="P42"/>
      <c r="Q42"/>
    </row>
    <row r="43" spans="5:18" ht="12.75" customHeight="1" x14ac:dyDescent="0.2">
      <c r="N43"/>
      <c r="O43"/>
      <c r="P43"/>
      <c r="Q43"/>
    </row>
    <row r="45" spans="5:18" ht="12.75" customHeight="1" x14ac:dyDescent="0.2"/>
  </sheetData>
  <mergeCells count="1">
    <mergeCell ref="K24:S29"/>
  </mergeCells>
  <pageMargins left="0.75" right="0.75" top="1" bottom="1" header="0.5" footer="0.5"/>
  <pageSetup orientation="portrait" horizontalDpi="4294967293" r:id="rId1"/>
  <headerFooter alignWithMargins="0"/>
  <ignoredErrors>
    <ignoredError sqref="H25" formula="1"/>
  </ignoredErrors>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autoPageBreaks="0"/>
  </sheetPr>
  <dimension ref="A1:Q41"/>
  <sheetViews>
    <sheetView zoomScale="125" zoomScaleNormal="125" workbookViewId="0">
      <pane ySplit="8" topLeftCell="A9" activePane="bottomLeft" state="frozen"/>
      <selection activeCell="A4" sqref="A4"/>
      <selection pane="bottomLeft" activeCell="A6" sqref="A6"/>
    </sheetView>
  </sheetViews>
  <sheetFormatPr defaultColWidth="9.140625" defaultRowHeight="11.25" x14ac:dyDescent="0.2"/>
  <cols>
    <col min="1" max="1" width="6" style="4" customWidth="1"/>
    <col min="2" max="2" width="4.140625" style="4" bestFit="1" customWidth="1"/>
    <col min="3" max="3" width="4.42578125" style="4" bestFit="1" customWidth="1"/>
    <col min="4" max="4" width="10.85546875" style="4" customWidth="1"/>
    <col min="5" max="5" width="8.28515625" style="4" customWidth="1"/>
    <col min="6" max="6" width="8.5703125" style="4" customWidth="1"/>
    <col min="7" max="7" width="7.85546875" style="4" customWidth="1"/>
    <col min="8" max="8" width="10.140625" style="4" bestFit="1" customWidth="1"/>
    <col min="9" max="9" width="9.28515625" style="4" bestFit="1" customWidth="1"/>
    <col min="10" max="10" width="7.85546875" style="4" customWidth="1"/>
    <col min="11" max="11" width="4.85546875" style="4" customWidth="1"/>
    <col min="12" max="12" width="23.5703125" style="4" bestFit="1" customWidth="1"/>
    <col min="13" max="13" width="9.140625" style="4"/>
    <col min="14" max="14" width="9.42578125" style="4" customWidth="1"/>
    <col min="15" max="16384" width="9.140625" style="4"/>
  </cols>
  <sheetData>
    <row r="1" spans="1:17" ht="18" x14ac:dyDescent="0.25">
      <c r="A1" s="451" t="s">
        <v>169</v>
      </c>
      <c r="B1" s="122"/>
      <c r="C1" s="122"/>
      <c r="D1" s="122"/>
      <c r="E1" s="122"/>
      <c r="F1" s="122"/>
      <c r="G1" s="122"/>
      <c r="H1" s="122"/>
      <c r="I1" s="122"/>
      <c r="J1" s="122"/>
      <c r="K1" s="122"/>
      <c r="L1" s="122"/>
      <c r="M1" s="1"/>
      <c r="N1" s="1"/>
      <c r="O1" s="1"/>
    </row>
    <row r="2" spans="1:17" hidden="1" x14ac:dyDescent="0.2">
      <c r="I2" s="40"/>
    </row>
    <row r="3" spans="1:17" s="213" customFormat="1" ht="12.75" x14ac:dyDescent="0.2">
      <c r="A3" s="438" t="str">
        <f>IF(A2="","",IF(Disable_Video_Hyperlinks,A2,HYPERLINK(Video_website&amp;A2,A2)))</f>
        <v/>
      </c>
      <c r="I3" s="40"/>
    </row>
    <row r="4" spans="1:17" s="213" customFormat="1" ht="12.75" x14ac:dyDescent="0.2">
      <c r="A4" s="501" t="str">
        <f>IF(B2="","",B2)</f>
        <v/>
      </c>
      <c r="I4" s="40"/>
    </row>
    <row r="5" spans="1:17" s="213" customFormat="1" x14ac:dyDescent="0.2">
      <c r="I5" s="40"/>
    </row>
    <row r="6" spans="1:17" ht="15.75" x14ac:dyDescent="0.25">
      <c r="A6" s="552" t="s">
        <v>0</v>
      </c>
      <c r="B6" s="520"/>
      <c r="C6" s="520"/>
      <c r="D6" s="520"/>
      <c r="E6" s="520"/>
      <c r="F6" s="520"/>
      <c r="G6" s="520"/>
      <c r="H6" s="282"/>
      <c r="I6" s="283"/>
      <c r="J6" s="271"/>
    </row>
    <row r="7" spans="1:17" s="213" customFormat="1" ht="15.75" x14ac:dyDescent="0.25">
      <c r="A7" s="280"/>
      <c r="B7" s="281"/>
      <c r="C7" s="281"/>
      <c r="D7" s="281"/>
      <c r="E7" s="281"/>
      <c r="F7" s="281"/>
      <c r="G7" s="281"/>
      <c r="H7" s="281"/>
      <c r="I7" s="281"/>
      <c r="J7" s="271"/>
    </row>
    <row r="8" spans="1:17" ht="33.75" x14ac:dyDescent="0.2">
      <c r="A8" s="215" t="s">
        <v>1</v>
      </c>
      <c r="B8" s="215" t="s">
        <v>2</v>
      </c>
      <c r="C8" s="215" t="s">
        <v>3</v>
      </c>
      <c r="D8" s="215" t="s">
        <v>4</v>
      </c>
      <c r="E8" s="215" t="s">
        <v>5</v>
      </c>
      <c r="F8" s="215" t="s">
        <v>6</v>
      </c>
      <c r="G8" s="215" t="s">
        <v>7</v>
      </c>
      <c r="H8" s="215" t="s">
        <v>20</v>
      </c>
      <c r="I8" s="215" t="s">
        <v>24</v>
      </c>
      <c r="J8" s="215" t="s">
        <v>25</v>
      </c>
    </row>
    <row r="9" spans="1:17" ht="11.25" customHeight="1" x14ac:dyDescent="0.2">
      <c r="A9" s="436" t="s">
        <v>176</v>
      </c>
      <c r="B9" s="224">
        <v>174</v>
      </c>
      <c r="C9" s="224" t="s">
        <v>8</v>
      </c>
      <c r="D9" s="225">
        <v>39403</v>
      </c>
      <c r="E9" s="224">
        <v>1</v>
      </c>
      <c r="F9" s="226">
        <v>0.82</v>
      </c>
      <c r="G9" s="226">
        <v>2.21</v>
      </c>
      <c r="H9" s="408">
        <v>54.5</v>
      </c>
      <c r="I9" s="247">
        <f t="shared" ref="I9:I37" si="0">RANK(F9,F$9:F$37,1)</f>
        <v>16</v>
      </c>
      <c r="J9" s="268">
        <f t="shared" ref="J9:J37" si="1">RANK(G9,G$9:G$37)</f>
        <v>13</v>
      </c>
      <c r="L9" s="587" t="s">
        <v>413</v>
      </c>
      <c r="M9" s="587"/>
      <c r="N9" s="587"/>
      <c r="O9" s="587"/>
      <c r="P9" s="587"/>
      <c r="Q9" s="587"/>
    </row>
    <row r="10" spans="1:17" x14ac:dyDescent="0.2">
      <c r="A10" s="436" t="s">
        <v>207</v>
      </c>
      <c r="B10" s="224">
        <v>174</v>
      </c>
      <c r="C10" s="224" t="s">
        <v>8</v>
      </c>
      <c r="D10" s="225">
        <v>39403</v>
      </c>
      <c r="E10" s="224">
        <v>1</v>
      </c>
      <c r="F10" s="409"/>
      <c r="G10" s="226">
        <v>1.94</v>
      </c>
      <c r="H10" s="388">
        <v>54.5</v>
      </c>
      <c r="I10" s="308"/>
      <c r="J10" s="217">
        <f t="shared" si="1"/>
        <v>26</v>
      </c>
      <c r="L10" s="587"/>
      <c r="M10" s="587"/>
      <c r="N10" s="587"/>
      <c r="O10" s="587"/>
      <c r="P10" s="587"/>
      <c r="Q10" s="587"/>
    </row>
    <row r="11" spans="1:17" x14ac:dyDescent="0.2">
      <c r="A11" s="436" t="s">
        <v>316</v>
      </c>
      <c r="B11" s="224">
        <v>174</v>
      </c>
      <c r="C11" s="224" t="s">
        <v>8</v>
      </c>
      <c r="D11" s="225">
        <v>39403</v>
      </c>
      <c r="E11" s="224">
        <v>1</v>
      </c>
      <c r="F11" s="226">
        <v>0.52</v>
      </c>
      <c r="G11" s="226">
        <v>2.0299999999999998</v>
      </c>
      <c r="H11" s="388">
        <v>54.5</v>
      </c>
      <c r="I11" s="216">
        <f t="shared" si="0"/>
        <v>7</v>
      </c>
      <c r="J11" s="217">
        <f t="shared" si="1"/>
        <v>21</v>
      </c>
      <c r="L11" s="587"/>
      <c r="M11" s="587"/>
      <c r="N11" s="587"/>
      <c r="O11" s="587"/>
      <c r="P11" s="587"/>
      <c r="Q11" s="587"/>
    </row>
    <row r="12" spans="1:17" x14ac:dyDescent="0.2">
      <c r="A12" s="436" t="s">
        <v>317</v>
      </c>
      <c r="B12" s="224">
        <v>167</v>
      </c>
      <c r="C12" s="224" t="s">
        <v>8</v>
      </c>
      <c r="D12" s="225">
        <v>39403</v>
      </c>
      <c r="E12" s="224">
        <v>1</v>
      </c>
      <c r="F12" s="226">
        <v>0.63</v>
      </c>
      <c r="G12" s="226">
        <v>2.2400000000000002</v>
      </c>
      <c r="H12" s="388">
        <v>45.5</v>
      </c>
      <c r="I12" s="216">
        <f t="shared" si="0"/>
        <v>9</v>
      </c>
      <c r="J12" s="217">
        <f t="shared" si="1"/>
        <v>8</v>
      </c>
      <c r="L12" s="587"/>
      <c r="M12" s="587"/>
      <c r="N12" s="587"/>
      <c r="O12" s="587"/>
      <c r="P12" s="587"/>
      <c r="Q12" s="587"/>
    </row>
    <row r="13" spans="1:17" x14ac:dyDescent="0.2">
      <c r="A13" s="436" t="s">
        <v>318</v>
      </c>
      <c r="B13" s="224">
        <v>167</v>
      </c>
      <c r="C13" s="224" t="s">
        <v>8</v>
      </c>
      <c r="D13" s="225">
        <v>39403</v>
      </c>
      <c r="E13" s="224">
        <v>1</v>
      </c>
      <c r="F13" s="226">
        <v>0.64</v>
      </c>
      <c r="G13" s="226">
        <v>2.2799999999999998</v>
      </c>
      <c r="H13" s="388">
        <v>45.5</v>
      </c>
      <c r="I13" s="216">
        <f t="shared" si="0"/>
        <v>10</v>
      </c>
      <c r="J13" s="217">
        <f t="shared" si="1"/>
        <v>5</v>
      </c>
      <c r="L13" s="587"/>
      <c r="M13" s="587"/>
      <c r="N13" s="587"/>
      <c r="O13" s="587"/>
      <c r="P13" s="587"/>
      <c r="Q13" s="587"/>
    </row>
    <row r="14" spans="1:17" x14ac:dyDescent="0.2">
      <c r="A14" s="436" t="s">
        <v>319</v>
      </c>
      <c r="B14" s="224">
        <v>167</v>
      </c>
      <c r="C14" s="224" t="s">
        <v>8</v>
      </c>
      <c r="D14" s="225">
        <v>39403</v>
      </c>
      <c r="E14" s="224">
        <v>1</v>
      </c>
      <c r="F14" s="226">
        <v>1.28</v>
      </c>
      <c r="G14" s="409"/>
      <c r="H14" s="388">
        <v>45.5</v>
      </c>
      <c r="I14" s="216">
        <f t="shared" si="0"/>
        <v>26</v>
      </c>
      <c r="J14" s="310"/>
      <c r="L14" s="587"/>
      <c r="M14" s="587"/>
      <c r="N14" s="587"/>
      <c r="O14" s="587"/>
      <c r="P14" s="587"/>
      <c r="Q14" s="587"/>
    </row>
    <row r="15" spans="1:17" x14ac:dyDescent="0.2">
      <c r="A15" s="436" t="s">
        <v>320</v>
      </c>
      <c r="B15" s="224">
        <v>174</v>
      </c>
      <c r="C15" s="224" t="s">
        <v>8</v>
      </c>
      <c r="D15" s="225">
        <v>39403</v>
      </c>
      <c r="E15" s="224">
        <v>1</v>
      </c>
      <c r="F15" s="226">
        <v>0.45</v>
      </c>
      <c r="G15" s="226">
        <v>2.02</v>
      </c>
      <c r="H15" s="388">
        <v>54.5</v>
      </c>
      <c r="I15" s="216">
        <f t="shared" si="0"/>
        <v>3</v>
      </c>
      <c r="J15" s="217">
        <f t="shared" si="1"/>
        <v>22</v>
      </c>
      <c r="L15" s="587"/>
      <c r="M15" s="587"/>
      <c r="N15" s="587"/>
      <c r="O15" s="587"/>
      <c r="P15" s="587"/>
      <c r="Q15" s="587"/>
    </row>
    <row r="16" spans="1:17" x14ac:dyDescent="0.2">
      <c r="A16" s="436" t="s">
        <v>321</v>
      </c>
      <c r="B16" s="224">
        <v>167</v>
      </c>
      <c r="C16" s="224" t="s">
        <v>8</v>
      </c>
      <c r="D16" s="225">
        <v>39403</v>
      </c>
      <c r="E16" s="224">
        <v>1</v>
      </c>
      <c r="F16" s="226">
        <v>1.1299999999999999</v>
      </c>
      <c r="G16" s="226">
        <v>2.0499999999999998</v>
      </c>
      <c r="H16" s="388">
        <v>45.5</v>
      </c>
      <c r="I16" s="216">
        <f t="shared" si="0"/>
        <v>25</v>
      </c>
      <c r="J16" s="217">
        <f t="shared" si="1"/>
        <v>20</v>
      </c>
      <c r="L16" s="587"/>
      <c r="M16" s="587"/>
      <c r="N16" s="587"/>
      <c r="O16" s="587"/>
      <c r="P16" s="587"/>
      <c r="Q16" s="587"/>
    </row>
    <row r="17" spans="1:17" x14ac:dyDescent="0.2">
      <c r="A17" s="436" t="s">
        <v>322</v>
      </c>
      <c r="B17" s="224">
        <v>167</v>
      </c>
      <c r="C17" s="224" t="s">
        <v>9</v>
      </c>
      <c r="D17" s="225">
        <v>39404</v>
      </c>
      <c r="E17" s="224">
        <v>1</v>
      </c>
      <c r="F17" s="226">
        <v>0.43</v>
      </c>
      <c r="G17" s="226">
        <v>2.27</v>
      </c>
      <c r="H17" s="388">
        <v>55.5</v>
      </c>
      <c r="I17" s="216">
        <f t="shared" si="0"/>
        <v>2</v>
      </c>
      <c r="J17" s="217">
        <f t="shared" si="1"/>
        <v>6</v>
      </c>
      <c r="L17" s="587"/>
      <c r="M17" s="587"/>
      <c r="N17" s="587"/>
      <c r="O17" s="587"/>
      <c r="P17" s="587"/>
      <c r="Q17" s="587"/>
    </row>
    <row r="18" spans="1:17" x14ac:dyDescent="0.2">
      <c r="A18" s="436" t="s">
        <v>323</v>
      </c>
      <c r="B18" s="224">
        <v>174</v>
      </c>
      <c r="C18" s="224" t="s">
        <v>9</v>
      </c>
      <c r="D18" s="225">
        <v>39404</v>
      </c>
      <c r="E18" s="224">
        <v>1</v>
      </c>
      <c r="F18" s="226">
        <v>0.47</v>
      </c>
      <c r="G18" s="226">
        <v>2.31</v>
      </c>
      <c r="H18" s="388">
        <v>64.5</v>
      </c>
      <c r="I18" s="216">
        <f t="shared" si="0"/>
        <v>5</v>
      </c>
      <c r="J18" s="217">
        <f t="shared" si="1"/>
        <v>4</v>
      </c>
      <c r="L18" s="587"/>
      <c r="M18" s="587"/>
      <c r="N18" s="587"/>
      <c r="O18" s="587"/>
      <c r="P18" s="587"/>
      <c r="Q18" s="587"/>
    </row>
    <row r="19" spans="1:17" x14ac:dyDescent="0.2">
      <c r="A19" s="436" t="s">
        <v>324</v>
      </c>
      <c r="B19" s="224">
        <v>174</v>
      </c>
      <c r="C19" s="224" t="s">
        <v>9</v>
      </c>
      <c r="D19" s="225">
        <v>39404</v>
      </c>
      <c r="E19" s="224">
        <v>1</v>
      </c>
      <c r="F19" s="226">
        <v>0.97</v>
      </c>
      <c r="G19" s="226">
        <v>2.23</v>
      </c>
      <c r="H19" s="388">
        <v>64.5</v>
      </c>
      <c r="I19" s="216">
        <f t="shared" si="0"/>
        <v>21</v>
      </c>
      <c r="J19" s="217">
        <f t="shared" si="1"/>
        <v>11</v>
      </c>
      <c r="L19" s="587"/>
      <c r="M19" s="587"/>
      <c r="N19" s="587"/>
      <c r="O19" s="587"/>
      <c r="P19" s="587"/>
      <c r="Q19" s="587"/>
    </row>
    <row r="20" spans="1:17" x14ac:dyDescent="0.2">
      <c r="A20" s="436" t="s">
        <v>325</v>
      </c>
      <c r="B20" s="224">
        <v>174</v>
      </c>
      <c r="C20" s="224" t="s">
        <v>9</v>
      </c>
      <c r="D20" s="225">
        <v>39404</v>
      </c>
      <c r="E20" s="224">
        <v>1</v>
      </c>
      <c r="F20" s="226">
        <v>0.81</v>
      </c>
      <c r="G20" s="226">
        <v>2.11</v>
      </c>
      <c r="H20" s="388">
        <v>64.5</v>
      </c>
      <c r="I20" s="216">
        <f t="shared" si="0"/>
        <v>15</v>
      </c>
      <c r="J20" s="217">
        <f t="shared" si="1"/>
        <v>15</v>
      </c>
      <c r="L20" s="449"/>
      <c r="M20" s="449"/>
      <c r="N20" s="449"/>
      <c r="O20" s="449"/>
      <c r="P20" s="449"/>
    </row>
    <row r="21" spans="1:17" x14ac:dyDescent="0.2">
      <c r="A21" s="436" t="s">
        <v>326</v>
      </c>
      <c r="B21" s="224">
        <v>174</v>
      </c>
      <c r="C21" s="224" t="s">
        <v>9</v>
      </c>
      <c r="D21" s="225">
        <v>39405</v>
      </c>
      <c r="E21" s="224">
        <v>1</v>
      </c>
      <c r="F21" s="226">
        <v>0.68</v>
      </c>
      <c r="G21" s="226">
        <v>2.2200000000000002</v>
      </c>
      <c r="H21" s="388">
        <v>64.5</v>
      </c>
      <c r="I21" s="216">
        <f t="shared" si="0"/>
        <v>12</v>
      </c>
      <c r="J21" s="217">
        <f t="shared" si="1"/>
        <v>12</v>
      </c>
    </row>
    <row r="22" spans="1:17" x14ac:dyDescent="0.2">
      <c r="A22" s="436" t="s">
        <v>327</v>
      </c>
      <c r="B22" s="224">
        <v>174</v>
      </c>
      <c r="C22" s="224" t="s">
        <v>9</v>
      </c>
      <c r="D22" s="225">
        <v>39405</v>
      </c>
      <c r="E22" s="224">
        <v>1</v>
      </c>
      <c r="F22" s="226">
        <v>0.67</v>
      </c>
      <c r="G22" s="226">
        <v>2.08</v>
      </c>
      <c r="H22" s="388">
        <v>64.5</v>
      </c>
      <c r="I22" s="216">
        <f t="shared" si="0"/>
        <v>11</v>
      </c>
      <c r="J22" s="217">
        <f t="shared" si="1"/>
        <v>17</v>
      </c>
    </row>
    <row r="23" spans="1:17" x14ac:dyDescent="0.2">
      <c r="A23" s="436" t="s">
        <v>328</v>
      </c>
      <c r="B23" s="224">
        <v>181</v>
      </c>
      <c r="C23" s="224" t="s">
        <v>9</v>
      </c>
      <c r="D23" s="225">
        <v>39405</v>
      </c>
      <c r="E23" s="224">
        <v>1</v>
      </c>
      <c r="F23" s="226">
        <v>0.95</v>
      </c>
      <c r="G23" s="226">
        <v>2.0099999999999998</v>
      </c>
      <c r="H23" s="388">
        <v>70.5</v>
      </c>
      <c r="I23" s="216">
        <f t="shared" si="0"/>
        <v>20</v>
      </c>
      <c r="J23" s="217">
        <f t="shared" si="1"/>
        <v>23</v>
      </c>
      <c r="L23" s="419" t="s">
        <v>78</v>
      </c>
    </row>
    <row r="24" spans="1:17" ht="12.75" x14ac:dyDescent="0.25">
      <c r="A24" s="436" t="s">
        <v>329</v>
      </c>
      <c r="B24" s="224">
        <v>181</v>
      </c>
      <c r="C24" s="224" t="s">
        <v>10</v>
      </c>
      <c r="D24" s="225">
        <v>39403</v>
      </c>
      <c r="E24" s="224">
        <v>2</v>
      </c>
      <c r="F24" s="226">
        <v>1.32</v>
      </c>
      <c r="G24" s="409"/>
      <c r="H24" s="388">
        <v>82.5</v>
      </c>
      <c r="I24" s="216">
        <f t="shared" si="0"/>
        <v>27</v>
      </c>
      <c r="J24" s="310"/>
      <c r="L24" s="298" t="s">
        <v>170</v>
      </c>
      <c r="M24" s="298" t="s">
        <v>166</v>
      </c>
      <c r="N24" s="299" t="s">
        <v>241</v>
      </c>
      <c r="O24" s="300" t="s">
        <v>240</v>
      </c>
    </row>
    <row r="25" spans="1:17" x14ac:dyDescent="0.2">
      <c r="A25" s="436" t="s">
        <v>330</v>
      </c>
      <c r="B25" s="224">
        <v>181</v>
      </c>
      <c r="C25" s="224" t="s">
        <v>10</v>
      </c>
      <c r="D25" s="225">
        <v>39403</v>
      </c>
      <c r="E25" s="224">
        <v>2</v>
      </c>
      <c r="F25" s="409"/>
      <c r="G25" s="226">
        <v>1.73</v>
      </c>
      <c r="H25" s="388">
        <v>82.5</v>
      </c>
      <c r="I25" s="309"/>
      <c r="J25" s="217">
        <f t="shared" si="1"/>
        <v>27</v>
      </c>
      <c r="L25" s="4" t="s">
        <v>171</v>
      </c>
      <c r="M25" s="413">
        <v>174</v>
      </c>
      <c r="N25" s="301">
        <f>SUMIF($B$9:$B$37,M25,$H$9:$H$37)</f>
        <v>681.5</v>
      </c>
      <c r="O25" s="301">
        <f>SUMIF($B$9:$B$37,174,$H$9:$H$37)</f>
        <v>681.5</v>
      </c>
    </row>
    <row r="26" spans="1:17" x14ac:dyDescent="0.2">
      <c r="A26" s="436" t="s">
        <v>331</v>
      </c>
      <c r="B26" s="224">
        <v>181</v>
      </c>
      <c r="C26" s="224" t="s">
        <v>10</v>
      </c>
      <c r="D26" s="225">
        <v>39403</v>
      </c>
      <c r="E26" s="224">
        <v>2</v>
      </c>
      <c r="F26" s="226">
        <v>0.92</v>
      </c>
      <c r="G26" s="226">
        <v>2.08</v>
      </c>
      <c r="H26" s="388">
        <v>82.5</v>
      </c>
      <c r="I26" s="216">
        <f t="shared" si="0"/>
        <v>19</v>
      </c>
      <c r="J26" s="217">
        <f t="shared" si="1"/>
        <v>17</v>
      </c>
      <c r="L26" s="4" t="s">
        <v>172</v>
      </c>
      <c r="M26" s="413" t="s">
        <v>10</v>
      </c>
      <c r="N26" s="302">
        <f>SUMIF($C$9:$C$37,M26,$H$9:$H$37)</f>
        <v>406.5</v>
      </c>
      <c r="O26" s="302">
        <f>SUMIF($C$9:$C$37,"R",$H$9:$H$37)</f>
        <v>406.5</v>
      </c>
    </row>
    <row r="27" spans="1:17" x14ac:dyDescent="0.2">
      <c r="A27" s="436" t="s">
        <v>332</v>
      </c>
      <c r="B27" s="224">
        <v>181</v>
      </c>
      <c r="C27" s="224" t="s">
        <v>10</v>
      </c>
      <c r="D27" s="225">
        <v>39403</v>
      </c>
      <c r="E27" s="224">
        <v>2</v>
      </c>
      <c r="F27" s="226">
        <v>0.46</v>
      </c>
      <c r="G27" s="226">
        <v>2.2599999999999998</v>
      </c>
      <c r="H27" s="388">
        <v>82.5</v>
      </c>
      <c r="I27" s="216">
        <f t="shared" si="0"/>
        <v>4</v>
      </c>
      <c r="J27" s="217">
        <f t="shared" si="1"/>
        <v>7</v>
      </c>
      <c r="L27" s="4" t="s">
        <v>173</v>
      </c>
      <c r="M27" s="413" t="s">
        <v>9</v>
      </c>
      <c r="N27" s="302">
        <f>SUMIF($C$9:$C$37,M27,$H$9:$H$37)</f>
        <v>654</v>
      </c>
      <c r="O27" s="302">
        <f>SUMIF($C$9:$C$37,M27,$H$9:$H$37)</f>
        <v>654</v>
      </c>
    </row>
    <row r="28" spans="1:17" x14ac:dyDescent="0.2">
      <c r="A28" s="436" t="s">
        <v>333</v>
      </c>
      <c r="B28" s="224">
        <v>174</v>
      </c>
      <c r="C28" s="224" t="s">
        <v>10</v>
      </c>
      <c r="D28" s="225">
        <v>39403</v>
      </c>
      <c r="E28" s="224">
        <v>2</v>
      </c>
      <c r="F28" s="226">
        <v>1.04</v>
      </c>
      <c r="G28" s="226">
        <v>2.2400000000000002</v>
      </c>
      <c r="H28" s="388">
        <v>76.5</v>
      </c>
      <c r="I28" s="216">
        <f t="shared" si="0"/>
        <v>24</v>
      </c>
      <c r="J28" s="217">
        <f t="shared" si="1"/>
        <v>8</v>
      </c>
      <c r="L28" s="4" t="s">
        <v>174</v>
      </c>
      <c r="M28" s="413" t="s">
        <v>202</v>
      </c>
      <c r="N28" s="302">
        <f>SUMIF($H$9:$H$37,M28)</f>
        <v>1257</v>
      </c>
      <c r="O28" s="302">
        <f>SUMIF($H$9:$H$37,"&gt;60")</f>
        <v>1257</v>
      </c>
      <c r="Q28" s="177" t="s">
        <v>397</v>
      </c>
    </row>
    <row r="29" spans="1:17" x14ac:dyDescent="0.2">
      <c r="A29" s="436" t="s">
        <v>334</v>
      </c>
      <c r="B29" s="224">
        <v>181</v>
      </c>
      <c r="C29" s="224" t="s">
        <v>8</v>
      </c>
      <c r="D29" s="225">
        <v>39404</v>
      </c>
      <c r="E29" s="224">
        <v>2</v>
      </c>
      <c r="F29" s="226">
        <v>0.9</v>
      </c>
      <c r="G29" s="226">
        <v>2.0099999999999998</v>
      </c>
      <c r="H29" s="388">
        <v>60.5</v>
      </c>
      <c r="I29" s="216">
        <f t="shared" si="0"/>
        <v>18</v>
      </c>
      <c r="J29" s="217">
        <f t="shared" si="1"/>
        <v>23</v>
      </c>
      <c r="L29" s="4" t="s">
        <v>175</v>
      </c>
      <c r="M29" s="413" t="s">
        <v>345</v>
      </c>
      <c r="N29" s="302">
        <f>SUMIF($A$9:$A$37,M29,$H$9:$H$37)</f>
        <v>617</v>
      </c>
      <c r="O29" s="302">
        <f>SUMIF($A$9:$A$37,"1215?",$H$9:$H$37)</f>
        <v>617</v>
      </c>
      <c r="Q29" s="4">
        <f>COUNTIF($A$9:$A$37,M29)</f>
        <v>10</v>
      </c>
    </row>
    <row r="30" spans="1:17" x14ac:dyDescent="0.2">
      <c r="A30" s="436" t="s">
        <v>335</v>
      </c>
      <c r="B30" s="224">
        <v>167</v>
      </c>
      <c r="C30" s="224" t="s">
        <v>8</v>
      </c>
      <c r="D30" s="225">
        <v>39404</v>
      </c>
      <c r="E30" s="224">
        <v>2</v>
      </c>
      <c r="F30" s="226">
        <v>0.97</v>
      </c>
      <c r="G30" s="226">
        <v>2</v>
      </c>
      <c r="H30" s="388">
        <v>45.5</v>
      </c>
      <c r="I30" s="216">
        <f t="shared" si="0"/>
        <v>21</v>
      </c>
      <c r="J30" s="217">
        <f t="shared" si="1"/>
        <v>25</v>
      </c>
    </row>
    <row r="31" spans="1:17" x14ac:dyDescent="0.2">
      <c r="A31" s="436" t="s">
        <v>336</v>
      </c>
      <c r="B31" s="224">
        <v>181</v>
      </c>
      <c r="C31" s="224" t="s">
        <v>8</v>
      </c>
      <c r="D31" s="225">
        <v>39404</v>
      </c>
      <c r="E31" s="224">
        <v>2</v>
      </c>
      <c r="F31" s="226">
        <v>0.49</v>
      </c>
      <c r="G31" s="226">
        <v>2.08</v>
      </c>
      <c r="H31" s="388">
        <v>60.5</v>
      </c>
      <c r="I31" s="216">
        <f t="shared" si="0"/>
        <v>6</v>
      </c>
      <c r="J31" s="217">
        <f t="shared" si="1"/>
        <v>17</v>
      </c>
      <c r="L31" s="419" t="s">
        <v>348</v>
      </c>
    </row>
    <row r="32" spans="1:17" ht="12.75" x14ac:dyDescent="0.25">
      <c r="A32" s="436" t="s">
        <v>337</v>
      </c>
      <c r="B32" s="224">
        <v>181</v>
      </c>
      <c r="C32" s="224" t="s">
        <v>8</v>
      </c>
      <c r="D32" s="225">
        <v>39404</v>
      </c>
      <c r="E32" s="224">
        <v>2</v>
      </c>
      <c r="F32" s="226">
        <v>0.75</v>
      </c>
      <c r="G32" s="226">
        <v>2.17</v>
      </c>
      <c r="H32" s="388">
        <v>60.5</v>
      </c>
      <c r="I32" s="216">
        <f t="shared" si="0"/>
        <v>14</v>
      </c>
      <c r="J32" s="217">
        <f t="shared" si="1"/>
        <v>14</v>
      </c>
      <c r="L32" s="298" t="s">
        <v>170</v>
      </c>
      <c r="M32" s="298" t="s">
        <v>166</v>
      </c>
      <c r="N32" s="299" t="s">
        <v>241</v>
      </c>
      <c r="O32" s="300" t="s">
        <v>240</v>
      </c>
    </row>
    <row r="33" spans="1:15" x14ac:dyDescent="0.2">
      <c r="A33" s="436" t="s">
        <v>338</v>
      </c>
      <c r="B33" s="224">
        <v>167</v>
      </c>
      <c r="C33" s="224" t="s">
        <v>8</v>
      </c>
      <c r="D33" s="225">
        <v>39404</v>
      </c>
      <c r="E33" s="224">
        <v>2</v>
      </c>
      <c r="F33" s="226">
        <v>0.3</v>
      </c>
      <c r="G33" s="226">
        <v>3.22</v>
      </c>
      <c r="H33" s="388">
        <v>45.5</v>
      </c>
      <c r="I33" s="216">
        <f t="shared" si="0"/>
        <v>1</v>
      </c>
      <c r="J33" s="217">
        <f t="shared" si="1"/>
        <v>1</v>
      </c>
      <c r="L33" s="213" t="s">
        <v>171</v>
      </c>
      <c r="M33" s="413">
        <v>174</v>
      </c>
      <c r="N33" s="301">
        <f>SUMIFS($H$9:$H$37,$B$9:$B$37,M33)</f>
        <v>681.5</v>
      </c>
      <c r="O33" s="301">
        <f>SUMIFS($H$9:$H$37,$B$9:$B$37,174)</f>
        <v>681.5</v>
      </c>
    </row>
    <row r="34" spans="1:15" x14ac:dyDescent="0.2">
      <c r="A34" s="436" t="s">
        <v>339</v>
      </c>
      <c r="B34" s="224">
        <v>181</v>
      </c>
      <c r="C34" s="224" t="s">
        <v>9</v>
      </c>
      <c r="D34" s="225">
        <v>39404</v>
      </c>
      <c r="E34" s="224">
        <v>2</v>
      </c>
      <c r="F34" s="226">
        <v>1.01</v>
      </c>
      <c r="G34" s="226">
        <v>2.2400000000000002</v>
      </c>
      <c r="H34" s="388">
        <v>70.5</v>
      </c>
      <c r="I34" s="216">
        <f t="shared" si="0"/>
        <v>23</v>
      </c>
      <c r="J34" s="217">
        <f t="shared" si="1"/>
        <v>8</v>
      </c>
      <c r="L34" s="213" t="s">
        <v>172</v>
      </c>
      <c r="M34" s="413" t="s">
        <v>10</v>
      </c>
      <c r="N34" s="302">
        <f>SUMIFS($H$9:$H$37,$C$9:$C$37,M34)</f>
        <v>406.5</v>
      </c>
      <c r="O34" s="302">
        <f>SUMIFS($H$9:$H$37,$C$9:$C$37,"R")</f>
        <v>406.5</v>
      </c>
    </row>
    <row r="35" spans="1:15" x14ac:dyDescent="0.2">
      <c r="A35" s="436" t="s">
        <v>340</v>
      </c>
      <c r="B35" s="224">
        <v>181</v>
      </c>
      <c r="C35" s="224" t="s">
        <v>9</v>
      </c>
      <c r="D35" s="225">
        <v>39405</v>
      </c>
      <c r="E35" s="224">
        <v>2</v>
      </c>
      <c r="F35" s="226">
        <v>0.84</v>
      </c>
      <c r="G35" s="226">
        <v>2.34</v>
      </c>
      <c r="H35" s="388">
        <v>70.5</v>
      </c>
      <c r="I35" s="216">
        <f t="shared" si="0"/>
        <v>17</v>
      </c>
      <c r="J35" s="217">
        <f t="shared" si="1"/>
        <v>2</v>
      </c>
      <c r="L35" s="213" t="s">
        <v>173</v>
      </c>
      <c r="M35" s="413" t="s">
        <v>9</v>
      </c>
      <c r="N35" s="302">
        <f>SUMIFS($H$9:$H$37,$C$9:$C$37,M35)</f>
        <v>654</v>
      </c>
      <c r="O35" s="302">
        <f>SUMIFS($H$9:$H$37,$C$9:$C$37,"E")</f>
        <v>654</v>
      </c>
    </row>
    <row r="36" spans="1:15" x14ac:dyDescent="0.2">
      <c r="A36" s="436" t="s">
        <v>341</v>
      </c>
      <c r="B36" s="224">
        <v>174</v>
      </c>
      <c r="C36" s="224" t="s">
        <v>9</v>
      </c>
      <c r="D36" s="225">
        <v>39405</v>
      </c>
      <c r="E36" s="224">
        <v>2</v>
      </c>
      <c r="F36" s="226">
        <v>0.68</v>
      </c>
      <c r="G36" s="226">
        <v>2.1</v>
      </c>
      <c r="H36" s="388">
        <v>64.5</v>
      </c>
      <c r="I36" s="216">
        <f t="shared" si="0"/>
        <v>12</v>
      </c>
      <c r="J36" s="217">
        <f t="shared" si="1"/>
        <v>16</v>
      </c>
      <c r="L36" s="213" t="s">
        <v>174</v>
      </c>
      <c r="M36" s="413" t="s">
        <v>202</v>
      </c>
      <c r="N36" s="302">
        <f>SUMIF($H$9:$H$37,M36)</f>
        <v>1257</v>
      </c>
      <c r="O36" s="302">
        <f>SUMIF($H$9:$H$37,"&gt;60")</f>
        <v>1257</v>
      </c>
    </row>
    <row r="37" spans="1:15" x14ac:dyDescent="0.2">
      <c r="A37" s="437" t="s">
        <v>342</v>
      </c>
      <c r="B37" s="234">
        <v>181</v>
      </c>
      <c r="C37" s="234" t="s">
        <v>8</v>
      </c>
      <c r="D37" s="235">
        <v>39405</v>
      </c>
      <c r="E37" s="234">
        <v>2</v>
      </c>
      <c r="F37" s="236">
        <v>0.57999999999999996</v>
      </c>
      <c r="G37" s="236">
        <v>2.33</v>
      </c>
      <c r="H37" s="389">
        <v>70.5</v>
      </c>
      <c r="I37" s="218">
        <f t="shared" si="0"/>
        <v>8</v>
      </c>
      <c r="J37" s="219">
        <f t="shared" si="1"/>
        <v>3</v>
      </c>
      <c r="L37" s="213" t="s">
        <v>175</v>
      </c>
      <c r="M37" s="413" t="s">
        <v>345</v>
      </c>
      <c r="N37" s="302">
        <f>SUMIFS($H$9:$H$37,$A$9:$A$37,M37)</f>
        <v>617</v>
      </c>
      <c r="O37" s="302">
        <f>SUMIFS($H$9:$H$37,$A$9:$A$37,"1215?")</f>
        <v>617</v>
      </c>
    </row>
    <row r="38" spans="1:15" x14ac:dyDescent="0.2">
      <c r="A38" s="410"/>
      <c r="B38" s="410"/>
      <c r="C38" s="411"/>
      <c r="D38" s="410"/>
      <c r="E38" s="411"/>
      <c r="F38" s="411"/>
      <c r="G38" s="411"/>
      <c r="H38" s="412"/>
      <c r="I38" s="307"/>
      <c r="J38" s="307"/>
    </row>
    <row r="39" spans="1:15" ht="12.75" x14ac:dyDescent="0.2">
      <c r="A39" s="40"/>
      <c r="B39" s="40"/>
      <c r="C39" s="41"/>
      <c r="D39" s="40"/>
      <c r="E39" s="41"/>
      <c r="F39" s="119"/>
      <c r="G39" s="119"/>
      <c r="H39" s="42"/>
      <c r="L39" s="4" t="s">
        <v>375</v>
      </c>
    </row>
    <row r="40" spans="1:15" ht="12.75" x14ac:dyDescent="0.2">
      <c r="A40" s="50" t="s">
        <v>204</v>
      </c>
      <c r="B40" s="51"/>
      <c r="C40" s="120"/>
      <c r="D40" s="51"/>
      <c r="E40" s="120"/>
      <c r="F40" s="414" t="s">
        <v>205</v>
      </c>
      <c r="G40" s="414" t="s">
        <v>206</v>
      </c>
      <c r="H40" s="121"/>
    </row>
    <row r="41" spans="1:15" ht="12.75" x14ac:dyDescent="0.2">
      <c r="A41" s="50" t="s">
        <v>26</v>
      </c>
      <c r="B41" s="51"/>
      <c r="C41" s="52"/>
      <c r="D41" s="52"/>
      <c r="E41" s="52"/>
      <c r="F41" s="303">
        <f>COUNTIF(F9:F38,F40)</f>
        <v>2</v>
      </c>
      <c r="G41" s="303">
        <f>COUNTIF(G9:G38,G40)</f>
        <v>2</v>
      </c>
      <c r="H41" s="304">
        <f>SUMIF(F9:F38,F40,H9:H38)+SUMIF(G9:G38,G40,H9:H38)</f>
        <v>265</v>
      </c>
    </row>
  </sheetData>
  <mergeCells count="1">
    <mergeCell ref="L9:Q19"/>
  </mergeCells>
  <phoneticPr fontId="3" type="noConversion"/>
  <pageMargins left="0.75" right="0.75" top="1" bottom="1" header="0.5" footer="0.5"/>
  <pageSetup orientation="portrait" horizontalDpi="4294967293" r:id="rId1"/>
  <headerFooter alignWithMargins="0"/>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3B3F3-5FC7-4C4B-BC0D-C07E08512ED5}">
  <sheetPr codeName="Sheet30">
    <pageSetUpPr autoPageBreaks="0"/>
  </sheetPr>
  <dimension ref="A1:V50"/>
  <sheetViews>
    <sheetView zoomScale="130" zoomScaleNormal="115" workbookViewId="0">
      <pane xSplit="3" ySplit="8" topLeftCell="D9" activePane="bottomRight" state="frozen"/>
      <selection pane="topRight" activeCell="D1" sqref="D1"/>
      <selection pane="bottomLeft" activeCell="A9" sqref="A9"/>
      <selection pane="bottomRight" activeCell="A5" sqref="A5"/>
    </sheetView>
  </sheetViews>
  <sheetFormatPr defaultColWidth="9.140625" defaultRowHeight="11.25" x14ac:dyDescent="0.2"/>
  <cols>
    <col min="1" max="1" width="7.28515625" style="213" customWidth="1"/>
    <col min="2" max="2" width="7.85546875" style="213" customWidth="1"/>
    <col min="3" max="3" width="7.7109375" style="213" bestFit="1" customWidth="1"/>
    <col min="4" max="4" width="9" style="213" bestFit="1" customWidth="1"/>
    <col min="5" max="5" width="8.5703125" style="213" customWidth="1"/>
    <col min="6" max="6" width="10.85546875" style="213" customWidth="1"/>
    <col min="7" max="7" width="9.85546875" style="213" customWidth="1"/>
    <col min="8" max="8" width="8.5703125" style="213" customWidth="1"/>
    <col min="9" max="9" width="7.85546875" style="213" customWidth="1"/>
    <col min="10" max="10" width="10.140625" style="213" bestFit="1" customWidth="1"/>
    <col min="11" max="12" width="9.28515625" style="213" bestFit="1" customWidth="1"/>
    <col min="13" max="13" width="7" style="213" customWidth="1"/>
    <col min="14" max="14" width="9.140625" style="213"/>
    <col min="15" max="15" width="15.28515625" style="213" bestFit="1" customWidth="1"/>
    <col min="16" max="16384" width="9.140625" style="213"/>
  </cols>
  <sheetData>
    <row r="1" spans="1:22" ht="18" x14ac:dyDescent="0.25">
      <c r="A1" s="451" t="s">
        <v>169</v>
      </c>
      <c r="B1" s="122"/>
      <c r="C1" s="122"/>
      <c r="D1" s="122"/>
      <c r="E1" s="122"/>
      <c r="F1" s="122"/>
      <c r="G1" s="122"/>
      <c r="H1" s="122"/>
      <c r="I1" s="122"/>
      <c r="J1" s="122"/>
      <c r="K1" s="122"/>
      <c r="L1" s="122"/>
      <c r="M1" s="122"/>
    </row>
    <row r="2" spans="1:22" hidden="1" x14ac:dyDescent="0.2">
      <c r="K2" s="40"/>
    </row>
    <row r="3" spans="1:22" ht="12.75" x14ac:dyDescent="0.2">
      <c r="A3" s="438" t="str">
        <f>IF(A2="","",IF(Disable_Video_Hyperlinks,A2,HYPERLINK(Video_website&amp;A2,A2)))</f>
        <v/>
      </c>
      <c r="K3" s="40"/>
    </row>
    <row r="4" spans="1:22" ht="12.75" x14ac:dyDescent="0.2">
      <c r="A4" s="501" t="str">
        <f>IF(B2="","",B2)</f>
        <v/>
      </c>
      <c r="K4" s="40"/>
    </row>
    <row r="5" spans="1:22" x14ac:dyDescent="0.2">
      <c r="K5" s="40"/>
    </row>
    <row r="6" spans="1:22" ht="15.75" x14ac:dyDescent="0.25">
      <c r="A6" s="552" t="s">
        <v>0</v>
      </c>
      <c r="B6" s="524"/>
      <c r="C6" s="524"/>
      <c r="D6" s="524"/>
      <c r="E6" s="524"/>
      <c r="F6" s="524"/>
      <c r="G6" s="524"/>
      <c r="H6" s="524"/>
      <c r="I6" s="524"/>
      <c r="J6" s="518"/>
      <c r="K6" s="525"/>
      <c r="L6" s="518"/>
    </row>
    <row r="7" spans="1:22" ht="15.75" x14ac:dyDescent="0.25">
      <c r="A7" s="297"/>
      <c r="B7" s="297"/>
      <c r="C7" s="297"/>
      <c r="D7" s="297"/>
      <c r="E7" s="297"/>
      <c r="F7" s="297"/>
      <c r="G7" s="297"/>
      <c r="H7" s="297"/>
      <c r="I7" s="297"/>
      <c r="J7" s="270"/>
      <c r="K7" s="526"/>
      <c r="L7" s="270"/>
    </row>
    <row r="8" spans="1:22" ht="33.75" x14ac:dyDescent="0.2">
      <c r="A8" s="215" t="s">
        <v>1</v>
      </c>
      <c r="B8" s="215" t="s">
        <v>1</v>
      </c>
      <c r="C8" s="215" t="s">
        <v>1</v>
      </c>
      <c r="D8" s="215" t="s">
        <v>2</v>
      </c>
      <c r="E8" s="215" t="s">
        <v>3</v>
      </c>
      <c r="F8" s="215" t="s">
        <v>4</v>
      </c>
      <c r="G8" s="215" t="s">
        <v>5</v>
      </c>
      <c r="H8" s="215" t="s">
        <v>6</v>
      </c>
      <c r="I8" s="215" t="s">
        <v>7</v>
      </c>
      <c r="J8" s="215" t="s">
        <v>20</v>
      </c>
      <c r="K8" s="215" t="s">
        <v>24</v>
      </c>
      <c r="L8" s="215" t="s">
        <v>25</v>
      </c>
    </row>
    <row r="9" spans="1:22" x14ac:dyDescent="0.2">
      <c r="A9" s="441">
        <v>12134</v>
      </c>
      <c r="B9" s="441" t="s">
        <v>176</v>
      </c>
      <c r="C9" s="441" t="s">
        <v>176</v>
      </c>
      <c r="D9" s="224">
        <v>174</v>
      </c>
      <c r="E9" s="224" t="s">
        <v>8</v>
      </c>
      <c r="F9" s="225">
        <v>39403</v>
      </c>
      <c r="G9" s="224">
        <v>1</v>
      </c>
      <c r="H9" s="226">
        <v>0.82</v>
      </c>
      <c r="I9" s="226">
        <v>2.21</v>
      </c>
      <c r="J9" s="408">
        <v>54.5</v>
      </c>
      <c r="K9" s="247">
        <f t="shared" ref="K9:K37" si="0">RANK(H9,H$9:H$37,1)</f>
        <v>16</v>
      </c>
      <c r="L9" s="268">
        <f t="shared" ref="L9:L37" si="1">RANK(I9,I$9:I$37)</f>
        <v>13</v>
      </c>
      <c r="N9" s="298" t="s">
        <v>166</v>
      </c>
      <c r="O9" s="413" t="s">
        <v>203</v>
      </c>
      <c r="P9" s="413" t="s">
        <v>203</v>
      </c>
      <c r="Q9" s="413" t="s">
        <v>203</v>
      </c>
      <c r="R9" s="413">
        <v>174</v>
      </c>
      <c r="S9" s="413" t="s">
        <v>10</v>
      </c>
      <c r="U9" s="413" t="s">
        <v>202</v>
      </c>
    </row>
    <row r="10" spans="1:22" ht="12.75" x14ac:dyDescent="0.25">
      <c r="A10" s="441">
        <v>12135</v>
      </c>
      <c r="B10" s="441" t="s">
        <v>207</v>
      </c>
      <c r="C10" s="441" t="s">
        <v>207</v>
      </c>
      <c r="D10" s="224">
        <v>174</v>
      </c>
      <c r="E10" s="224" t="s">
        <v>8</v>
      </c>
      <c r="F10" s="225">
        <v>39403</v>
      </c>
      <c r="G10" s="224">
        <v>1</v>
      </c>
      <c r="H10" s="308"/>
      <c r="I10" s="226">
        <v>1.94</v>
      </c>
      <c r="J10" s="388">
        <v>54.5</v>
      </c>
      <c r="K10" s="308"/>
      <c r="L10" s="217">
        <f t="shared" si="1"/>
        <v>26</v>
      </c>
      <c r="N10" s="299" t="s">
        <v>344</v>
      </c>
      <c r="O10" s="301">
        <f>SUMIF(A$9:A$37,O9,$J$9:$J$37)</f>
        <v>0</v>
      </c>
      <c r="P10" s="301">
        <f>SUMIF(B$9:B$37,P9,$J$9:$J$37)</f>
        <v>109</v>
      </c>
      <c r="Q10" s="301">
        <f>SUMIF(C$9:C$37,Q9,$J$9:$J$37)</f>
        <v>1803.5</v>
      </c>
      <c r="R10" s="301">
        <f>SUMIF(D$9:D$37,R9,$J$9:$J$37)</f>
        <v>681.5</v>
      </c>
      <c r="S10" s="301">
        <f>SUMIF(E$9:E$37,S9,$J$9:$J$37)</f>
        <v>406.5</v>
      </c>
      <c r="T10" s="301"/>
      <c r="U10" s="301">
        <f>SUMIF($J$9:$J$37,U9)</f>
        <v>1257</v>
      </c>
    </row>
    <row r="11" spans="1:22" ht="12.75" x14ac:dyDescent="0.25">
      <c r="A11" s="441">
        <v>12139</v>
      </c>
      <c r="B11" s="441">
        <v>12139</v>
      </c>
      <c r="C11" s="441" t="s">
        <v>316</v>
      </c>
      <c r="D11" s="224">
        <v>174</v>
      </c>
      <c r="E11" s="224" t="s">
        <v>8</v>
      </c>
      <c r="F11" s="225">
        <v>39403</v>
      </c>
      <c r="G11" s="224">
        <v>1</v>
      </c>
      <c r="H11" s="226">
        <v>0.52</v>
      </c>
      <c r="I11" s="226">
        <v>2.0299999999999998</v>
      </c>
      <c r="J11" s="388">
        <v>54.5</v>
      </c>
      <c r="K11" s="216">
        <f t="shared" si="0"/>
        <v>7</v>
      </c>
      <c r="L11" s="217">
        <f t="shared" si="1"/>
        <v>21</v>
      </c>
      <c r="N11" s="340" t="s">
        <v>343</v>
      </c>
      <c r="O11" s="301">
        <f>SUMIF(A$9:A$37,"12???",$J$9:$J$37)</f>
        <v>0</v>
      </c>
      <c r="P11" s="301">
        <f>SUMIF(B$9:B$37,"12???",$J$9:$J$37)</f>
        <v>109</v>
      </c>
      <c r="Q11" s="301">
        <f>SUMIF(C$9:C$37,"12???",$J$9:$J$37)</f>
        <v>1803.5</v>
      </c>
      <c r="R11" s="301">
        <f>SUMIF(D9:D37,174,J9:J37)</f>
        <v>681.5</v>
      </c>
      <c r="S11" s="301">
        <f>SUMIF(E9:E37,"R",J9:J37)</f>
        <v>406.5</v>
      </c>
      <c r="T11" s="301"/>
      <c r="U11" s="301">
        <f>SUMIF($J$9:$J$37,"&gt;60")</f>
        <v>1257</v>
      </c>
    </row>
    <row r="12" spans="1:22" x14ac:dyDescent="0.2">
      <c r="A12" s="441">
        <v>12140</v>
      </c>
      <c r="B12" s="441">
        <v>12140</v>
      </c>
      <c r="C12" s="441" t="s">
        <v>317</v>
      </c>
      <c r="D12" s="224">
        <v>167</v>
      </c>
      <c r="E12" s="224" t="s">
        <v>8</v>
      </c>
      <c r="F12" s="225">
        <v>39403</v>
      </c>
      <c r="G12" s="224">
        <v>1</v>
      </c>
      <c r="H12" s="226">
        <v>0.63</v>
      </c>
      <c r="I12" s="226">
        <v>2.2400000000000002</v>
      </c>
      <c r="J12" s="388">
        <v>45.5</v>
      </c>
      <c r="K12" s="216">
        <f t="shared" si="0"/>
        <v>9</v>
      </c>
      <c r="L12" s="217">
        <f t="shared" si="1"/>
        <v>8</v>
      </c>
      <c r="R12" s="301"/>
    </row>
    <row r="13" spans="1:22" x14ac:dyDescent="0.2">
      <c r="A13" s="441">
        <v>12142</v>
      </c>
      <c r="B13" s="441">
        <v>12142</v>
      </c>
      <c r="C13" s="441" t="s">
        <v>318</v>
      </c>
      <c r="D13" s="224">
        <v>167</v>
      </c>
      <c r="E13" s="224" t="s">
        <v>8</v>
      </c>
      <c r="F13" s="225">
        <v>39403</v>
      </c>
      <c r="G13" s="224">
        <v>1</v>
      </c>
      <c r="H13" s="226">
        <v>0.64</v>
      </c>
      <c r="I13" s="226">
        <v>2.2799999999999998</v>
      </c>
      <c r="J13" s="388">
        <v>45.5</v>
      </c>
      <c r="K13" s="216">
        <f t="shared" si="0"/>
        <v>10</v>
      </c>
      <c r="L13" s="217">
        <f t="shared" si="1"/>
        <v>5</v>
      </c>
    </row>
    <row r="14" spans="1:22" ht="12.75" x14ac:dyDescent="0.2">
      <c r="A14" s="441">
        <v>12144</v>
      </c>
      <c r="B14" s="441">
        <v>12144</v>
      </c>
      <c r="C14" s="441" t="s">
        <v>319</v>
      </c>
      <c r="D14" s="224">
        <v>167</v>
      </c>
      <c r="E14" s="224" t="s">
        <v>8</v>
      </c>
      <c r="F14" s="225">
        <v>39403</v>
      </c>
      <c r="G14" s="224">
        <v>1</v>
      </c>
      <c r="H14" s="226">
        <v>1.28</v>
      </c>
      <c r="I14" s="409"/>
      <c r="J14" s="388">
        <v>45.5</v>
      </c>
      <c r="K14" s="216">
        <f t="shared" si="0"/>
        <v>26</v>
      </c>
      <c r="L14" s="310"/>
      <c r="N14" s="298" t="s">
        <v>166</v>
      </c>
      <c r="O14" s="413" t="s">
        <v>345</v>
      </c>
      <c r="P14" s="413" t="s">
        <v>345</v>
      </c>
      <c r="Q14" s="413" t="s">
        <v>345</v>
      </c>
      <c r="R14" s="406"/>
      <c r="S14" s="413" t="s">
        <v>351</v>
      </c>
      <c r="T14" s="413" t="s">
        <v>352</v>
      </c>
      <c r="V14"/>
    </row>
    <row r="15" spans="1:22" ht="13.5" x14ac:dyDescent="0.25">
      <c r="A15" s="441">
        <v>12145</v>
      </c>
      <c r="B15" s="441">
        <v>12145</v>
      </c>
      <c r="C15" s="441" t="s">
        <v>320</v>
      </c>
      <c r="D15" s="224">
        <v>174</v>
      </c>
      <c r="E15" s="224" t="s">
        <v>8</v>
      </c>
      <c r="F15" s="225">
        <v>39403</v>
      </c>
      <c r="G15" s="224">
        <v>1</v>
      </c>
      <c r="H15" s="226">
        <v>0.45</v>
      </c>
      <c r="I15" s="226">
        <v>2.02</v>
      </c>
      <c r="J15" s="388">
        <v>54.5</v>
      </c>
      <c r="K15" s="216">
        <f t="shared" si="0"/>
        <v>3</v>
      </c>
      <c r="L15" s="217">
        <f t="shared" si="1"/>
        <v>22</v>
      </c>
      <c r="N15" s="299" t="s">
        <v>344</v>
      </c>
      <c r="O15" s="301">
        <f>SUMIF(A$9:A$37,O14,$J$9:$J$37)</f>
        <v>0</v>
      </c>
      <c r="P15" s="301">
        <f>SUMIF(B$9:B$37,P14,$J$9:$J$37)</f>
        <v>0</v>
      </c>
      <c r="Q15" s="301">
        <f>SUMIF(C$9:C$37,Q14,$J$9:$J$37)</f>
        <v>617</v>
      </c>
      <c r="R15"/>
      <c r="S15" s="301">
        <f>SUMIF(E$9:E$37,S14,$J$9:$J$37)</f>
        <v>1060.5</v>
      </c>
      <c r="T15" s="301">
        <f>SUMIF(E$9:E$37,T14,$J$9:$J$37)</f>
        <v>1060.5</v>
      </c>
      <c r="V15"/>
    </row>
    <row r="16" spans="1:22" x14ac:dyDescent="0.2">
      <c r="A16" s="441">
        <v>12146</v>
      </c>
      <c r="B16" s="441">
        <v>12146</v>
      </c>
      <c r="C16" s="441" t="s">
        <v>321</v>
      </c>
      <c r="D16" s="224">
        <v>167</v>
      </c>
      <c r="E16" s="224" t="s">
        <v>8</v>
      </c>
      <c r="F16" s="225">
        <v>39403</v>
      </c>
      <c r="G16" s="224">
        <v>1</v>
      </c>
      <c r="H16" s="226">
        <v>1.1299999999999999</v>
      </c>
      <c r="I16" s="226">
        <v>2.0499999999999998</v>
      </c>
      <c r="J16" s="388">
        <v>45.5</v>
      </c>
      <c r="K16" s="216">
        <f t="shared" si="0"/>
        <v>25</v>
      </c>
      <c r="L16" s="217">
        <f t="shared" si="1"/>
        <v>20</v>
      </c>
      <c r="S16" s="301"/>
    </row>
    <row r="17" spans="1:19" x14ac:dyDescent="0.2">
      <c r="A17" s="441">
        <v>12148</v>
      </c>
      <c r="B17" s="441">
        <v>12148</v>
      </c>
      <c r="C17" s="441" t="s">
        <v>322</v>
      </c>
      <c r="D17" s="224">
        <v>167</v>
      </c>
      <c r="E17" s="224" t="s">
        <v>9</v>
      </c>
      <c r="F17" s="225">
        <v>39404</v>
      </c>
      <c r="G17" s="224">
        <v>1</v>
      </c>
      <c r="H17" s="226">
        <v>0.43</v>
      </c>
      <c r="I17" s="226">
        <v>2.27</v>
      </c>
      <c r="J17" s="388">
        <v>55.5</v>
      </c>
      <c r="K17" s="216">
        <f t="shared" si="0"/>
        <v>2</v>
      </c>
      <c r="L17" s="217">
        <f t="shared" si="1"/>
        <v>6</v>
      </c>
      <c r="P17" s="301"/>
      <c r="Q17" s="301"/>
      <c r="S17" s="301"/>
    </row>
    <row r="18" spans="1:19" x14ac:dyDescent="0.2">
      <c r="A18" s="441">
        <v>12149</v>
      </c>
      <c r="B18" s="441">
        <v>12149</v>
      </c>
      <c r="C18" s="441" t="s">
        <v>323</v>
      </c>
      <c r="D18" s="224">
        <v>174</v>
      </c>
      <c r="E18" s="224" t="s">
        <v>9</v>
      </c>
      <c r="F18" s="225">
        <v>39404</v>
      </c>
      <c r="G18" s="224">
        <v>1</v>
      </c>
      <c r="H18" s="226">
        <v>0.47</v>
      </c>
      <c r="I18" s="226">
        <v>2.31</v>
      </c>
      <c r="J18" s="388">
        <v>64.5</v>
      </c>
      <c r="K18" s="216">
        <f t="shared" si="0"/>
        <v>5</v>
      </c>
      <c r="L18" s="217">
        <f t="shared" si="1"/>
        <v>4</v>
      </c>
      <c r="N18" s="298" t="s">
        <v>346</v>
      </c>
      <c r="R18" s="305"/>
      <c r="S18" s="413" t="s">
        <v>9</v>
      </c>
    </row>
    <row r="19" spans="1:19" x14ac:dyDescent="0.2">
      <c r="A19" s="441">
        <v>12154</v>
      </c>
      <c r="B19" s="441">
        <v>12154</v>
      </c>
      <c r="C19" s="441" t="s">
        <v>324</v>
      </c>
      <c r="D19" s="224">
        <v>174</v>
      </c>
      <c r="E19" s="224" t="s">
        <v>9</v>
      </c>
      <c r="F19" s="225">
        <v>39404</v>
      </c>
      <c r="G19" s="224">
        <v>1</v>
      </c>
      <c r="H19" s="226">
        <v>0.97</v>
      </c>
      <c r="I19" s="226">
        <v>2.23</v>
      </c>
      <c r="J19" s="388">
        <v>64.5</v>
      </c>
      <c r="K19" s="216">
        <f t="shared" si="0"/>
        <v>21</v>
      </c>
      <c r="L19" s="217">
        <f t="shared" si="1"/>
        <v>11</v>
      </c>
      <c r="N19" s="298" t="s">
        <v>347</v>
      </c>
      <c r="R19" s="305"/>
      <c r="S19" s="413" t="s">
        <v>10</v>
      </c>
    </row>
    <row r="20" spans="1:19" ht="12.75" x14ac:dyDescent="0.25">
      <c r="A20" s="441">
        <v>12156</v>
      </c>
      <c r="B20" s="441">
        <v>12156</v>
      </c>
      <c r="C20" s="441" t="s">
        <v>325</v>
      </c>
      <c r="D20" s="224">
        <v>174</v>
      </c>
      <c r="E20" s="224" t="s">
        <v>9</v>
      </c>
      <c r="F20" s="225">
        <v>39404</v>
      </c>
      <c r="G20" s="224">
        <v>1</v>
      </c>
      <c r="H20" s="226">
        <v>0.81</v>
      </c>
      <c r="I20" s="226">
        <v>2.11</v>
      </c>
      <c r="J20" s="388">
        <v>64.5</v>
      </c>
      <c r="K20" s="216">
        <f t="shared" si="0"/>
        <v>15</v>
      </c>
      <c r="L20" s="217">
        <f t="shared" si="1"/>
        <v>15</v>
      </c>
      <c r="N20" s="341" t="s">
        <v>348</v>
      </c>
      <c r="R20" s="301"/>
      <c r="S20" s="301">
        <f>SUMIFS($J$9:$J$37,E$9:E$37,S18,E$9:E$37,S19)</f>
        <v>0</v>
      </c>
    </row>
    <row r="21" spans="1:19" ht="12.75" x14ac:dyDescent="0.25">
      <c r="A21" s="441">
        <v>12160</v>
      </c>
      <c r="B21" s="441">
        <v>12160</v>
      </c>
      <c r="C21" s="441" t="s">
        <v>326</v>
      </c>
      <c r="D21" s="224">
        <v>174</v>
      </c>
      <c r="E21" s="224" t="s">
        <v>9</v>
      </c>
      <c r="F21" s="225">
        <v>39405</v>
      </c>
      <c r="G21" s="224">
        <v>1</v>
      </c>
      <c r="H21" s="226">
        <v>0.68</v>
      </c>
      <c r="I21" s="226">
        <v>2.2200000000000002</v>
      </c>
      <c r="J21" s="388">
        <v>64.5</v>
      </c>
      <c r="K21" s="216">
        <f t="shared" si="0"/>
        <v>12</v>
      </c>
      <c r="L21" s="217">
        <f t="shared" si="1"/>
        <v>12</v>
      </c>
      <c r="N21" s="341" t="s">
        <v>353</v>
      </c>
      <c r="S21" s="301">
        <f>SUMIF(E$9:E$37,S18,$J$9:$J$37)+SUMIF(E$9:E$37,S19,$J$9:$J$37)</f>
        <v>1060.5</v>
      </c>
    </row>
    <row r="22" spans="1:19" x14ac:dyDescent="0.2">
      <c r="A22" s="441">
        <v>12161</v>
      </c>
      <c r="B22" s="441">
        <v>12161</v>
      </c>
      <c r="C22" s="441" t="s">
        <v>327</v>
      </c>
      <c r="D22" s="224">
        <v>174</v>
      </c>
      <c r="E22" s="224" t="s">
        <v>9</v>
      </c>
      <c r="F22" s="225">
        <v>39405</v>
      </c>
      <c r="G22" s="224">
        <v>1</v>
      </c>
      <c r="H22" s="226">
        <v>0.67</v>
      </c>
      <c r="I22" s="226">
        <v>2.08</v>
      </c>
      <c r="J22" s="388">
        <v>64.5</v>
      </c>
      <c r="K22" s="216">
        <f t="shared" si="0"/>
        <v>11</v>
      </c>
      <c r="L22" s="217">
        <f t="shared" si="1"/>
        <v>17</v>
      </c>
    </row>
    <row r="23" spans="1:19" x14ac:dyDescent="0.2">
      <c r="A23" s="441">
        <v>12162</v>
      </c>
      <c r="B23" s="441">
        <v>12162</v>
      </c>
      <c r="C23" s="441" t="s">
        <v>328</v>
      </c>
      <c r="D23" s="224">
        <v>181</v>
      </c>
      <c r="E23" s="224" t="s">
        <v>9</v>
      </c>
      <c r="F23" s="225">
        <v>39405</v>
      </c>
      <c r="G23" s="224">
        <v>1</v>
      </c>
      <c r="H23" s="226">
        <v>0.95</v>
      </c>
      <c r="I23" s="226">
        <v>2.0099999999999998</v>
      </c>
      <c r="J23" s="388">
        <v>70.5</v>
      </c>
      <c r="K23" s="216">
        <f t="shared" si="0"/>
        <v>20</v>
      </c>
      <c r="L23" s="217">
        <f t="shared" si="1"/>
        <v>23</v>
      </c>
    </row>
    <row r="24" spans="1:19" x14ac:dyDescent="0.2">
      <c r="A24" s="441">
        <v>12136</v>
      </c>
      <c r="B24" s="441">
        <v>12136</v>
      </c>
      <c r="C24" s="441" t="s">
        <v>329</v>
      </c>
      <c r="D24" s="224">
        <v>181</v>
      </c>
      <c r="E24" s="224" t="s">
        <v>10</v>
      </c>
      <c r="F24" s="225">
        <v>39403</v>
      </c>
      <c r="G24" s="224">
        <v>2</v>
      </c>
      <c r="H24" s="226">
        <v>1.32</v>
      </c>
      <c r="I24" s="409"/>
      <c r="J24" s="388">
        <v>82.5</v>
      </c>
      <c r="K24" s="216">
        <f t="shared" si="0"/>
        <v>27</v>
      </c>
      <c r="L24" s="310"/>
      <c r="N24" s="298" t="s">
        <v>346</v>
      </c>
      <c r="O24" s="413" t="s">
        <v>349</v>
      </c>
      <c r="P24" s="413"/>
      <c r="Q24" s="413" t="s">
        <v>349</v>
      </c>
    </row>
    <row r="25" spans="1:19" x14ac:dyDescent="0.2">
      <c r="A25" s="441">
        <v>12137</v>
      </c>
      <c r="B25" s="441">
        <v>12137</v>
      </c>
      <c r="C25" s="441" t="s">
        <v>330</v>
      </c>
      <c r="D25" s="224">
        <v>181</v>
      </c>
      <c r="E25" s="224" t="s">
        <v>10</v>
      </c>
      <c r="F25" s="225">
        <v>39403</v>
      </c>
      <c r="G25" s="224">
        <v>2</v>
      </c>
      <c r="H25" s="409"/>
      <c r="I25" s="226">
        <v>1.73</v>
      </c>
      <c r="J25" s="388">
        <v>82.5</v>
      </c>
      <c r="K25" s="309"/>
      <c r="L25" s="217">
        <f t="shared" si="1"/>
        <v>27</v>
      </c>
      <c r="N25" s="298" t="s">
        <v>347</v>
      </c>
      <c r="O25" s="413" t="s">
        <v>350</v>
      </c>
      <c r="P25" s="413"/>
      <c r="Q25" s="413" t="s">
        <v>350</v>
      </c>
    </row>
    <row r="26" spans="1:19" ht="12.75" x14ac:dyDescent="0.25">
      <c r="A26" s="441">
        <v>12138</v>
      </c>
      <c r="B26" s="441">
        <v>12138</v>
      </c>
      <c r="C26" s="441" t="s">
        <v>331</v>
      </c>
      <c r="D26" s="224">
        <v>181</v>
      </c>
      <c r="E26" s="224" t="s">
        <v>10</v>
      </c>
      <c r="F26" s="225">
        <v>39403</v>
      </c>
      <c r="G26" s="224">
        <v>2</v>
      </c>
      <c r="H26" s="226">
        <v>0.92</v>
      </c>
      <c r="I26" s="226">
        <v>2.08</v>
      </c>
      <c r="J26" s="388">
        <v>82.5</v>
      </c>
      <c r="K26" s="216">
        <f t="shared" si="0"/>
        <v>19</v>
      </c>
      <c r="L26" s="217">
        <f t="shared" si="1"/>
        <v>17</v>
      </c>
      <c r="N26" s="341" t="s">
        <v>348</v>
      </c>
      <c r="O26" s="301">
        <f>SUMIFS($J$9:$J$37,A$9:A$37,O24,A$9:A$37,O25)</f>
        <v>617</v>
      </c>
      <c r="P26" s="301"/>
      <c r="Q26" s="301">
        <f>SUMIFS($J$9:$J$37,C$9:C$37,Q24,C$9:C$37,Q25)</f>
        <v>0</v>
      </c>
    </row>
    <row r="27" spans="1:19" x14ac:dyDescent="0.2">
      <c r="A27" s="441">
        <v>12141</v>
      </c>
      <c r="B27" s="441">
        <v>12141</v>
      </c>
      <c r="C27" s="441" t="s">
        <v>332</v>
      </c>
      <c r="D27" s="224">
        <v>181</v>
      </c>
      <c r="E27" s="224" t="s">
        <v>10</v>
      </c>
      <c r="F27" s="225">
        <v>39403</v>
      </c>
      <c r="G27" s="224">
        <v>2</v>
      </c>
      <c r="H27" s="226">
        <v>0.46</v>
      </c>
      <c r="I27" s="226">
        <v>2.2599999999999998</v>
      </c>
      <c r="J27" s="388">
        <v>82.5</v>
      </c>
      <c r="K27" s="216">
        <f t="shared" si="0"/>
        <v>4</v>
      </c>
      <c r="L27" s="217">
        <f t="shared" si="1"/>
        <v>7</v>
      </c>
    </row>
    <row r="28" spans="1:19" x14ac:dyDescent="0.2">
      <c r="A28" s="441">
        <v>12143</v>
      </c>
      <c r="B28" s="441">
        <v>12143</v>
      </c>
      <c r="C28" s="441" t="s">
        <v>333</v>
      </c>
      <c r="D28" s="224">
        <v>174</v>
      </c>
      <c r="E28" s="224" t="s">
        <v>10</v>
      </c>
      <c r="F28" s="225">
        <v>39403</v>
      </c>
      <c r="G28" s="224">
        <v>2</v>
      </c>
      <c r="H28" s="226">
        <v>1.04</v>
      </c>
      <c r="I28" s="226">
        <v>2.2400000000000002</v>
      </c>
      <c r="J28" s="388">
        <v>76.5</v>
      </c>
      <c r="K28" s="216">
        <f t="shared" si="0"/>
        <v>24</v>
      </c>
      <c r="L28" s="217">
        <f t="shared" si="1"/>
        <v>8</v>
      </c>
    </row>
    <row r="29" spans="1:19" x14ac:dyDescent="0.2">
      <c r="A29" s="441">
        <v>12147</v>
      </c>
      <c r="B29" s="441">
        <v>12147</v>
      </c>
      <c r="C29" s="441" t="s">
        <v>334</v>
      </c>
      <c r="D29" s="224">
        <v>181</v>
      </c>
      <c r="E29" s="224" t="s">
        <v>8</v>
      </c>
      <c r="F29" s="225">
        <v>39404</v>
      </c>
      <c r="G29" s="224">
        <v>2</v>
      </c>
      <c r="H29" s="226">
        <v>0.9</v>
      </c>
      <c r="I29" s="226">
        <v>2.0099999999999998</v>
      </c>
      <c r="J29" s="388">
        <v>60.5</v>
      </c>
      <c r="K29" s="216">
        <f t="shared" si="0"/>
        <v>18</v>
      </c>
      <c r="L29" s="217">
        <f t="shared" si="1"/>
        <v>23</v>
      </c>
    </row>
    <row r="30" spans="1:19" x14ac:dyDescent="0.2">
      <c r="A30" s="441">
        <v>12150</v>
      </c>
      <c r="B30" s="441">
        <v>12150</v>
      </c>
      <c r="C30" s="441" t="s">
        <v>335</v>
      </c>
      <c r="D30" s="224">
        <v>167</v>
      </c>
      <c r="E30" s="224" t="s">
        <v>8</v>
      </c>
      <c r="F30" s="225">
        <v>39404</v>
      </c>
      <c r="G30" s="224">
        <v>2</v>
      </c>
      <c r="H30" s="226">
        <v>0.97</v>
      </c>
      <c r="I30" s="226">
        <v>2</v>
      </c>
      <c r="J30" s="388">
        <v>45.5</v>
      </c>
      <c r="K30" s="216">
        <f t="shared" si="0"/>
        <v>21</v>
      </c>
      <c r="L30" s="217">
        <f t="shared" si="1"/>
        <v>25</v>
      </c>
    </row>
    <row r="31" spans="1:19" x14ac:dyDescent="0.2">
      <c r="A31" s="441">
        <v>12151</v>
      </c>
      <c r="B31" s="441">
        <v>12151</v>
      </c>
      <c r="C31" s="441" t="s">
        <v>336</v>
      </c>
      <c r="D31" s="224">
        <v>181</v>
      </c>
      <c r="E31" s="224" t="s">
        <v>8</v>
      </c>
      <c r="F31" s="225">
        <v>39404</v>
      </c>
      <c r="G31" s="224">
        <v>2</v>
      </c>
      <c r="H31" s="226">
        <v>0.49</v>
      </c>
      <c r="I31" s="226">
        <v>2.08</v>
      </c>
      <c r="J31" s="388">
        <v>60.5</v>
      </c>
      <c r="K31" s="216">
        <f t="shared" si="0"/>
        <v>6</v>
      </c>
      <c r="L31" s="217">
        <f t="shared" si="1"/>
        <v>17</v>
      </c>
    </row>
    <row r="32" spans="1:19" x14ac:dyDescent="0.2">
      <c r="A32" s="441">
        <v>12152</v>
      </c>
      <c r="B32" s="441">
        <v>12152</v>
      </c>
      <c r="C32" s="441" t="s">
        <v>337</v>
      </c>
      <c r="D32" s="224">
        <v>181</v>
      </c>
      <c r="E32" s="224" t="s">
        <v>8</v>
      </c>
      <c r="F32" s="225">
        <v>39404</v>
      </c>
      <c r="G32" s="224">
        <v>2</v>
      </c>
      <c r="H32" s="226">
        <v>0.75</v>
      </c>
      <c r="I32" s="226">
        <v>2.17</v>
      </c>
      <c r="J32" s="388">
        <v>60.5</v>
      </c>
      <c r="K32" s="216">
        <f t="shared" si="0"/>
        <v>14</v>
      </c>
      <c r="L32" s="217">
        <f t="shared" si="1"/>
        <v>14</v>
      </c>
    </row>
    <row r="33" spans="1:13" x14ac:dyDescent="0.2">
      <c r="A33" s="441">
        <v>12153</v>
      </c>
      <c r="B33" s="441">
        <v>12153</v>
      </c>
      <c r="C33" s="441" t="s">
        <v>338</v>
      </c>
      <c r="D33" s="224">
        <v>167</v>
      </c>
      <c r="E33" s="224" t="s">
        <v>8</v>
      </c>
      <c r="F33" s="225">
        <v>39404</v>
      </c>
      <c r="G33" s="224">
        <v>2</v>
      </c>
      <c r="H33" s="226">
        <v>0.3</v>
      </c>
      <c r="I33" s="226">
        <v>3.22</v>
      </c>
      <c r="J33" s="388">
        <v>45.5</v>
      </c>
      <c r="K33" s="216">
        <f t="shared" si="0"/>
        <v>1</v>
      </c>
      <c r="L33" s="217">
        <f t="shared" si="1"/>
        <v>1</v>
      </c>
    </row>
    <row r="34" spans="1:13" x14ac:dyDescent="0.2">
      <c r="A34" s="441">
        <v>12155</v>
      </c>
      <c r="B34" s="441">
        <v>12155</v>
      </c>
      <c r="C34" s="441" t="s">
        <v>339</v>
      </c>
      <c r="D34" s="224">
        <v>181</v>
      </c>
      <c r="E34" s="224" t="s">
        <v>9</v>
      </c>
      <c r="F34" s="225">
        <v>39404</v>
      </c>
      <c r="G34" s="224">
        <v>2</v>
      </c>
      <c r="H34" s="226">
        <v>1.01</v>
      </c>
      <c r="I34" s="226">
        <v>2.2400000000000002</v>
      </c>
      <c r="J34" s="388">
        <v>70.5</v>
      </c>
      <c r="K34" s="216">
        <f t="shared" si="0"/>
        <v>23</v>
      </c>
      <c r="L34" s="217">
        <f t="shared" si="1"/>
        <v>8</v>
      </c>
    </row>
    <row r="35" spans="1:13" x14ac:dyDescent="0.2">
      <c r="A35" s="441">
        <v>12157</v>
      </c>
      <c r="B35" s="441">
        <v>12157</v>
      </c>
      <c r="C35" s="441" t="s">
        <v>340</v>
      </c>
      <c r="D35" s="224">
        <v>181</v>
      </c>
      <c r="E35" s="224" t="s">
        <v>9</v>
      </c>
      <c r="F35" s="225">
        <v>39405</v>
      </c>
      <c r="G35" s="224">
        <v>2</v>
      </c>
      <c r="H35" s="226">
        <v>0.84</v>
      </c>
      <c r="I35" s="226">
        <v>2.34</v>
      </c>
      <c r="J35" s="388">
        <v>70.5</v>
      </c>
      <c r="K35" s="216">
        <f t="shared" si="0"/>
        <v>17</v>
      </c>
      <c r="L35" s="217">
        <f t="shared" si="1"/>
        <v>2</v>
      </c>
    </row>
    <row r="36" spans="1:13" x14ac:dyDescent="0.2">
      <c r="A36" s="441">
        <v>12158</v>
      </c>
      <c r="B36" s="441">
        <v>12158</v>
      </c>
      <c r="C36" s="441" t="s">
        <v>341</v>
      </c>
      <c r="D36" s="224">
        <v>174</v>
      </c>
      <c r="E36" s="224" t="s">
        <v>9</v>
      </c>
      <c r="F36" s="225">
        <v>39405</v>
      </c>
      <c r="G36" s="224">
        <v>2</v>
      </c>
      <c r="H36" s="226">
        <v>0.68</v>
      </c>
      <c r="I36" s="226">
        <v>2.1</v>
      </c>
      <c r="J36" s="388">
        <v>64.5</v>
      </c>
      <c r="K36" s="216">
        <f t="shared" si="0"/>
        <v>12</v>
      </c>
      <c r="L36" s="217">
        <f t="shared" si="1"/>
        <v>16</v>
      </c>
    </row>
    <row r="37" spans="1:13" x14ac:dyDescent="0.2">
      <c r="A37" s="442">
        <v>12159</v>
      </c>
      <c r="B37" s="442">
        <v>12159</v>
      </c>
      <c r="C37" s="442" t="s">
        <v>342</v>
      </c>
      <c r="D37" s="234">
        <v>181</v>
      </c>
      <c r="E37" s="234" t="s">
        <v>8</v>
      </c>
      <c r="F37" s="235">
        <v>39405</v>
      </c>
      <c r="G37" s="234">
        <v>2</v>
      </c>
      <c r="H37" s="236">
        <v>0.57999999999999996</v>
      </c>
      <c r="I37" s="236">
        <v>2.33</v>
      </c>
      <c r="J37" s="389">
        <v>70.5</v>
      </c>
      <c r="K37" s="218">
        <f t="shared" si="0"/>
        <v>8</v>
      </c>
      <c r="L37" s="219">
        <f t="shared" si="1"/>
        <v>3</v>
      </c>
    </row>
    <row r="38" spans="1:13" x14ac:dyDescent="0.2">
      <c r="A38" s="443"/>
      <c r="B38" s="443"/>
      <c r="C38" s="443"/>
      <c r="D38" s="410"/>
      <c r="E38" s="411"/>
      <c r="F38" s="410"/>
      <c r="G38" s="411"/>
      <c r="H38" s="411"/>
      <c r="I38" s="411"/>
      <c r="J38" s="412"/>
      <c r="K38" s="307"/>
      <c r="L38" s="307"/>
    </row>
    <row r="39" spans="1:13" ht="12.75" x14ac:dyDescent="0.2">
      <c r="A39" s="40"/>
      <c r="B39" s="40"/>
      <c r="C39" s="40"/>
      <c r="D39" s="40"/>
      <c r="E39" s="41"/>
      <c r="F39" s="40"/>
      <c r="G39" s="41"/>
      <c r="H39" s="119"/>
      <c r="I39" s="119"/>
      <c r="J39" s="42"/>
    </row>
    <row r="40" spans="1:13" ht="12.75" x14ac:dyDescent="0.2">
      <c r="A40" s="50" t="s">
        <v>204</v>
      </c>
      <c r="B40" s="50"/>
      <c r="C40" s="50"/>
      <c r="D40" s="51"/>
      <c r="E40" s="120"/>
      <c r="F40" s="51"/>
      <c r="G40" s="120"/>
      <c r="H40" s="414" t="s">
        <v>205</v>
      </c>
      <c r="I40" s="414" t="s">
        <v>206</v>
      </c>
      <c r="J40" s="121"/>
    </row>
    <row r="41" spans="1:13" ht="12.75" x14ac:dyDescent="0.2">
      <c r="A41" s="50" t="s">
        <v>26</v>
      </c>
      <c r="B41" s="50"/>
      <c r="C41" s="50"/>
      <c r="D41" s="51"/>
      <c r="E41" s="52"/>
      <c r="F41" s="52"/>
      <c r="G41" s="52"/>
      <c r="H41" s="303">
        <f>COUNTIF(H9:H38,H40)</f>
        <v>2</v>
      </c>
      <c r="I41" s="303">
        <f>COUNTIF(I9:I38,I40)</f>
        <v>2</v>
      </c>
      <c r="J41" s="304">
        <f>SUMIF(H9:H38,H40,J9:J38)+SUMIF(I9:I38,I40,J9:J38)</f>
        <v>265</v>
      </c>
    </row>
    <row r="45" spans="1:13" x14ac:dyDescent="0.2">
      <c r="J45" s="301"/>
      <c r="L45" s="301"/>
      <c r="M45" s="301"/>
    </row>
    <row r="46" spans="1:13" x14ac:dyDescent="0.2">
      <c r="J46" s="301"/>
      <c r="L46" s="301"/>
      <c r="M46" s="301"/>
    </row>
    <row r="49" spans="10:13" ht="12.75" x14ac:dyDescent="0.2">
      <c r="J49"/>
      <c r="K49"/>
    </row>
    <row r="50" spans="10:13" ht="12.75" x14ac:dyDescent="0.2">
      <c r="J50"/>
      <c r="K50"/>
      <c r="L50" s="301"/>
      <c r="M50" s="301"/>
    </row>
  </sheetData>
  <pageMargins left="0.75" right="0.75" top="1" bottom="1" header="0.5" footer="0.5"/>
  <pageSetup orientation="portrait" horizontalDpi="4294967293"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A17"/>
  <sheetViews>
    <sheetView zoomScale="130" zoomScaleNormal="130" workbookViewId="0"/>
  </sheetViews>
  <sheetFormatPr defaultRowHeight="12.75" x14ac:dyDescent="0.2"/>
  <sheetData>
    <row r="1" spans="1:1" ht="18" x14ac:dyDescent="0.25">
      <c r="A1" s="351" t="s">
        <v>66</v>
      </c>
    </row>
    <row r="2" spans="1:1" hidden="1" x14ac:dyDescent="0.2"/>
    <row r="3" spans="1:1" x14ac:dyDescent="0.2">
      <c r="A3" s="438" t="str">
        <f>IF(A2="","",IF(Disable_Video_Hyperlinks,A2,HYPERLINK(Video_website&amp;A2,A2)))</f>
        <v/>
      </c>
    </row>
    <row r="4" spans="1:1" x14ac:dyDescent="0.2">
      <c r="A4" s="501" t="str">
        <f>IF(B2="","",B2)</f>
        <v/>
      </c>
    </row>
    <row r="6" spans="1:1" x14ac:dyDescent="0.2">
      <c r="A6" t="s">
        <v>67</v>
      </c>
    </row>
    <row r="7" spans="1:1" x14ac:dyDescent="0.2">
      <c r="A7" t="s">
        <v>68</v>
      </c>
    </row>
    <row r="8" spans="1:1" x14ac:dyDescent="0.2">
      <c r="A8" t="s">
        <v>69</v>
      </c>
    </row>
    <row r="9" spans="1:1" x14ac:dyDescent="0.2">
      <c r="A9" t="s">
        <v>70</v>
      </c>
    </row>
    <row r="10" spans="1:1" x14ac:dyDescent="0.2">
      <c r="A10" t="s">
        <v>71</v>
      </c>
    </row>
    <row r="11" spans="1:1" x14ac:dyDescent="0.2">
      <c r="A11" t="s">
        <v>72</v>
      </c>
    </row>
    <row r="12" spans="1:1" x14ac:dyDescent="0.2">
      <c r="A12" t="s">
        <v>73</v>
      </c>
    </row>
    <row r="13" spans="1:1" x14ac:dyDescent="0.2">
      <c r="A13" t="s">
        <v>74</v>
      </c>
    </row>
    <row r="14" spans="1:1" x14ac:dyDescent="0.2">
      <c r="A14" t="s">
        <v>75</v>
      </c>
    </row>
    <row r="15" spans="1:1" x14ac:dyDescent="0.2">
      <c r="A15" t="s">
        <v>76</v>
      </c>
    </row>
    <row r="16" spans="1:1" x14ac:dyDescent="0.2">
      <c r="A16" t="s">
        <v>77</v>
      </c>
    </row>
    <row r="17" spans="1:1" x14ac:dyDescent="0.2">
      <c r="A17" t="s">
        <v>78</v>
      </c>
    </row>
  </sheetData>
  <phoneticPr fontId="3" type="noConversion"/>
  <pageMargins left="0.75" right="0.75" top="1" bottom="1" header="0.5" footer="0.5"/>
  <pageSetup orientation="portrait" horizontalDpi="4294967293" r:id="rId1"/>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autoPageBreaks="0"/>
  </sheetPr>
  <dimension ref="A1:K112"/>
  <sheetViews>
    <sheetView workbookViewId="0">
      <selection activeCell="E22" sqref="E22"/>
    </sheetView>
  </sheetViews>
  <sheetFormatPr defaultColWidth="9.140625" defaultRowHeight="12.75" x14ac:dyDescent="0.2"/>
  <cols>
    <col min="1" max="1" width="7.140625" style="53" bestFit="1" customWidth="1"/>
    <col min="2" max="2" width="5.28515625" style="57" bestFit="1" customWidth="1"/>
    <col min="3" max="3" width="10.7109375" style="53" customWidth="1"/>
    <col min="4" max="4" width="10.42578125" style="53" customWidth="1"/>
    <col min="5" max="5" width="15.140625" style="53" bestFit="1" customWidth="1"/>
    <col min="6" max="16384" width="9.140625" style="53"/>
  </cols>
  <sheetData>
    <row r="1" spans="1:11" ht="18" x14ac:dyDescent="0.25">
      <c r="A1" s="123" t="s">
        <v>209</v>
      </c>
      <c r="B1" s="122"/>
      <c r="C1" s="122"/>
      <c r="D1" s="122"/>
      <c r="E1" s="122"/>
      <c r="F1" s="104"/>
      <c r="G1" s="104"/>
      <c r="H1" s="104"/>
      <c r="I1" s="104"/>
      <c r="J1" s="104"/>
      <c r="K1" s="104"/>
    </row>
    <row r="3" spans="1:11" x14ac:dyDescent="0.2">
      <c r="A3" s="321" t="s">
        <v>27</v>
      </c>
      <c r="B3" s="322"/>
      <c r="C3" s="321"/>
      <c r="D3" s="321"/>
      <c r="E3" s="60"/>
    </row>
    <row r="4" spans="1:11" ht="21.75" customHeight="1" x14ac:dyDescent="0.2">
      <c r="A4" s="60"/>
      <c r="B4" s="323"/>
      <c r="C4" s="588" t="s">
        <v>28</v>
      </c>
      <c r="D4" s="588"/>
      <c r="E4" s="324">
        <v>35</v>
      </c>
    </row>
    <row r="5" spans="1:11" ht="40.5" customHeight="1" x14ac:dyDescent="0.2">
      <c r="A5" s="325" t="s">
        <v>29</v>
      </c>
      <c r="B5" s="325" t="s">
        <v>3</v>
      </c>
      <c r="C5" s="325" t="s">
        <v>30</v>
      </c>
      <c r="D5" s="325" t="s">
        <v>31</v>
      </c>
      <c r="E5" s="325" t="s">
        <v>32</v>
      </c>
    </row>
    <row r="6" spans="1:11" x14ac:dyDescent="0.2">
      <c r="A6" s="415">
        <v>2345</v>
      </c>
      <c r="B6" s="378" t="s">
        <v>10</v>
      </c>
      <c r="C6" s="416">
        <v>1</v>
      </c>
      <c r="D6" s="416">
        <v>1.5</v>
      </c>
      <c r="E6" s="326">
        <f>SUM(C6:D6)/60*E$4</f>
        <v>1.4583333333333333</v>
      </c>
    </row>
    <row r="7" spans="1:11" x14ac:dyDescent="0.2">
      <c r="A7" s="415">
        <v>2346</v>
      </c>
      <c r="B7" s="378" t="s">
        <v>10</v>
      </c>
      <c r="C7" s="416">
        <v>1</v>
      </c>
      <c r="D7" s="416">
        <v>1</v>
      </c>
      <c r="E7" s="327">
        <f t="shared" ref="E7:E37" si="0">SUM(C7:D7)/60*E$4</f>
        <v>1.1666666666666667</v>
      </c>
    </row>
    <row r="8" spans="1:11" x14ac:dyDescent="0.2">
      <c r="A8" s="415">
        <v>2347</v>
      </c>
      <c r="B8" s="378" t="s">
        <v>10</v>
      </c>
      <c r="C8" s="416">
        <v>1</v>
      </c>
      <c r="D8" s="416">
        <v>3</v>
      </c>
      <c r="E8" s="327">
        <f t="shared" si="0"/>
        <v>2.3333333333333335</v>
      </c>
    </row>
    <row r="9" spans="1:11" x14ac:dyDescent="0.2">
      <c r="A9" s="415">
        <v>2348</v>
      </c>
      <c r="B9" s="378" t="s">
        <v>10</v>
      </c>
      <c r="C9" s="416">
        <v>2</v>
      </c>
      <c r="D9" s="416">
        <v>5</v>
      </c>
      <c r="E9" s="327">
        <f t="shared" si="0"/>
        <v>4.083333333333333</v>
      </c>
      <c r="G9" s="561" t="s">
        <v>311</v>
      </c>
      <c r="H9" s="589"/>
      <c r="I9" s="589"/>
      <c r="J9" s="589"/>
      <c r="K9" s="589"/>
    </row>
    <row r="10" spans="1:11" x14ac:dyDescent="0.2">
      <c r="A10" s="415">
        <v>2349</v>
      </c>
      <c r="B10" s="378" t="s">
        <v>10</v>
      </c>
      <c r="C10" s="416">
        <v>1</v>
      </c>
      <c r="D10" s="416">
        <v>1.5</v>
      </c>
      <c r="E10" s="327">
        <f t="shared" si="0"/>
        <v>1.4583333333333333</v>
      </c>
      <c r="G10" s="589"/>
      <c r="H10" s="589"/>
      <c r="I10" s="589"/>
      <c r="J10" s="589"/>
      <c r="K10" s="589"/>
    </row>
    <row r="11" spans="1:11" x14ac:dyDescent="0.2">
      <c r="A11" s="415">
        <v>2350</v>
      </c>
      <c r="B11" s="378" t="s">
        <v>10</v>
      </c>
      <c r="C11" s="416">
        <v>1.5</v>
      </c>
      <c r="D11" s="416">
        <v>5</v>
      </c>
      <c r="E11" s="327">
        <f t="shared" si="0"/>
        <v>3.791666666666667</v>
      </c>
      <c r="G11" s="589"/>
      <c r="H11" s="589"/>
      <c r="I11" s="589"/>
      <c r="J11" s="589"/>
      <c r="K11" s="589"/>
    </row>
    <row r="12" spans="1:11" x14ac:dyDescent="0.2">
      <c r="A12" s="415">
        <v>2351</v>
      </c>
      <c r="B12" s="378" t="s">
        <v>10</v>
      </c>
      <c r="C12" s="416"/>
      <c r="D12" s="416"/>
      <c r="E12" s="327">
        <f t="shared" si="0"/>
        <v>0</v>
      </c>
      <c r="G12" s="589"/>
      <c r="H12" s="589"/>
      <c r="I12" s="589"/>
      <c r="J12" s="589"/>
      <c r="K12" s="589"/>
    </row>
    <row r="13" spans="1:11" x14ac:dyDescent="0.2">
      <c r="A13" s="415">
        <v>2352</v>
      </c>
      <c r="B13" s="378" t="s">
        <v>9</v>
      </c>
      <c r="C13" s="416">
        <v>2.5</v>
      </c>
      <c r="D13" s="416">
        <v>3.5</v>
      </c>
      <c r="E13" s="327">
        <f t="shared" si="0"/>
        <v>3.5</v>
      </c>
      <c r="G13" s="589"/>
      <c r="H13" s="589"/>
      <c r="I13" s="589"/>
      <c r="J13" s="589"/>
      <c r="K13" s="589"/>
    </row>
    <row r="14" spans="1:11" x14ac:dyDescent="0.2">
      <c r="A14" s="415">
        <v>2353</v>
      </c>
      <c r="B14" s="378" t="s">
        <v>10</v>
      </c>
      <c r="C14" s="416">
        <v>1</v>
      </c>
      <c r="D14" s="416">
        <v>4</v>
      </c>
      <c r="E14" s="327">
        <f t="shared" si="0"/>
        <v>2.9166666666666665</v>
      </c>
      <c r="G14" s="589"/>
      <c r="H14" s="589"/>
      <c r="I14" s="589"/>
      <c r="J14" s="589"/>
      <c r="K14" s="589"/>
    </row>
    <row r="15" spans="1:11" x14ac:dyDescent="0.2">
      <c r="A15" s="415">
        <v>2354</v>
      </c>
      <c r="B15" s="378" t="s">
        <v>9</v>
      </c>
      <c r="C15" s="416">
        <v>2</v>
      </c>
      <c r="D15" s="416">
        <v>1</v>
      </c>
      <c r="E15" s="327">
        <f t="shared" si="0"/>
        <v>1.75</v>
      </c>
      <c r="G15" s="589"/>
      <c r="H15" s="589"/>
      <c r="I15" s="589"/>
      <c r="J15" s="589"/>
      <c r="K15" s="589"/>
    </row>
    <row r="16" spans="1:11" x14ac:dyDescent="0.2">
      <c r="A16" s="415">
        <v>2355</v>
      </c>
      <c r="B16" s="378" t="s">
        <v>10</v>
      </c>
      <c r="C16" s="416">
        <v>1.5</v>
      </c>
      <c r="D16" s="416">
        <v>1.5</v>
      </c>
      <c r="E16" s="327">
        <f t="shared" si="0"/>
        <v>1.75</v>
      </c>
      <c r="G16" s="589"/>
      <c r="H16" s="589"/>
      <c r="I16" s="589"/>
      <c r="J16" s="589"/>
      <c r="K16" s="589"/>
    </row>
    <row r="17" spans="1:5" x14ac:dyDescent="0.2">
      <c r="A17" s="415">
        <v>2356</v>
      </c>
      <c r="B17" s="378" t="s">
        <v>8</v>
      </c>
      <c r="C17" s="416">
        <v>1</v>
      </c>
      <c r="D17" s="416">
        <v>7</v>
      </c>
      <c r="E17" s="327">
        <f t="shared" si="0"/>
        <v>4.666666666666667</v>
      </c>
    </row>
    <row r="18" spans="1:5" x14ac:dyDescent="0.2">
      <c r="A18" s="415">
        <v>2357</v>
      </c>
      <c r="B18" s="378" t="s">
        <v>10</v>
      </c>
      <c r="C18" s="416">
        <v>2</v>
      </c>
      <c r="D18" s="416">
        <v>3.5</v>
      </c>
      <c r="E18" s="327">
        <f t="shared" si="0"/>
        <v>3.208333333333333</v>
      </c>
    </row>
    <row r="19" spans="1:5" x14ac:dyDescent="0.2">
      <c r="A19" s="415">
        <v>2358</v>
      </c>
      <c r="B19" s="378" t="s">
        <v>9</v>
      </c>
      <c r="C19" s="416">
        <v>1</v>
      </c>
      <c r="D19" s="416">
        <v>4.5</v>
      </c>
      <c r="E19" s="327">
        <f t="shared" si="0"/>
        <v>3.208333333333333</v>
      </c>
    </row>
    <row r="20" spans="1:5" x14ac:dyDescent="0.2">
      <c r="A20" s="415">
        <v>2359</v>
      </c>
      <c r="B20" s="378" t="s">
        <v>8</v>
      </c>
      <c r="C20" s="416">
        <v>3</v>
      </c>
      <c r="D20" s="416">
        <v>2</v>
      </c>
      <c r="E20" s="327">
        <f t="shared" si="0"/>
        <v>2.9166666666666665</v>
      </c>
    </row>
    <row r="21" spans="1:5" x14ac:dyDescent="0.2">
      <c r="A21" s="415">
        <v>2360</v>
      </c>
      <c r="B21" s="378" t="s">
        <v>8</v>
      </c>
      <c r="C21" s="416">
        <v>3.5</v>
      </c>
      <c r="D21" s="416">
        <v>3</v>
      </c>
      <c r="E21" s="327">
        <f t="shared" si="0"/>
        <v>3.791666666666667</v>
      </c>
    </row>
    <row r="22" spans="1:5" x14ac:dyDescent="0.2">
      <c r="A22" s="415">
        <v>2361</v>
      </c>
      <c r="B22" s="378" t="s">
        <v>10</v>
      </c>
      <c r="C22" s="416">
        <v>2</v>
      </c>
      <c r="D22" s="416">
        <v>4.5</v>
      </c>
      <c r="E22" s="327">
        <f t="shared" si="0"/>
        <v>3.791666666666667</v>
      </c>
    </row>
    <row r="23" spans="1:5" x14ac:dyDescent="0.2">
      <c r="A23" s="415">
        <v>2362</v>
      </c>
      <c r="B23" s="378" t="s">
        <v>8</v>
      </c>
      <c r="C23" s="416">
        <v>1</v>
      </c>
      <c r="D23" s="416">
        <v>1</v>
      </c>
      <c r="E23" s="327">
        <f t="shared" si="0"/>
        <v>1.1666666666666667</v>
      </c>
    </row>
    <row r="24" spans="1:5" x14ac:dyDescent="0.2">
      <c r="A24" s="415">
        <v>2363</v>
      </c>
      <c r="B24" s="378" t="s">
        <v>8</v>
      </c>
      <c r="C24" s="416">
        <v>1.5</v>
      </c>
      <c r="D24" s="416">
        <v>6</v>
      </c>
      <c r="E24" s="327">
        <f t="shared" si="0"/>
        <v>4.375</v>
      </c>
    </row>
    <row r="25" spans="1:5" x14ac:dyDescent="0.2">
      <c r="A25" s="415">
        <v>2364</v>
      </c>
      <c r="B25" s="378" t="s">
        <v>10</v>
      </c>
      <c r="C25" s="416">
        <v>1</v>
      </c>
      <c r="D25" s="416">
        <v>4.5</v>
      </c>
      <c r="E25" s="327">
        <f t="shared" si="0"/>
        <v>3.208333333333333</v>
      </c>
    </row>
    <row r="26" spans="1:5" x14ac:dyDescent="0.2">
      <c r="A26" s="415">
        <v>2365</v>
      </c>
      <c r="B26" s="378" t="s">
        <v>9</v>
      </c>
      <c r="C26" s="416">
        <v>2</v>
      </c>
      <c r="D26" s="416">
        <v>4.5</v>
      </c>
      <c r="E26" s="327">
        <f t="shared" si="0"/>
        <v>3.791666666666667</v>
      </c>
    </row>
    <row r="27" spans="1:5" x14ac:dyDescent="0.2">
      <c r="A27" s="415">
        <v>2366</v>
      </c>
      <c r="B27" s="378" t="s">
        <v>10</v>
      </c>
      <c r="C27" s="416">
        <v>1</v>
      </c>
      <c r="D27" s="416">
        <v>1</v>
      </c>
      <c r="E27" s="327">
        <f t="shared" si="0"/>
        <v>1.1666666666666667</v>
      </c>
    </row>
    <row r="28" spans="1:5" x14ac:dyDescent="0.2">
      <c r="A28" s="415">
        <v>2367</v>
      </c>
      <c r="B28" s="378" t="s">
        <v>8</v>
      </c>
      <c r="C28" s="416">
        <v>1</v>
      </c>
      <c r="D28" s="416">
        <v>1.5</v>
      </c>
      <c r="E28" s="327">
        <f t="shared" si="0"/>
        <v>1.4583333333333333</v>
      </c>
    </row>
    <row r="29" spans="1:5" x14ac:dyDescent="0.2">
      <c r="A29" s="415">
        <v>2368</v>
      </c>
      <c r="B29" s="378" t="s">
        <v>8</v>
      </c>
      <c r="C29" s="416">
        <v>1</v>
      </c>
      <c r="D29" s="416">
        <v>7.5</v>
      </c>
      <c r="E29" s="327">
        <f t="shared" si="0"/>
        <v>4.958333333333333</v>
      </c>
    </row>
    <row r="30" spans="1:5" x14ac:dyDescent="0.2">
      <c r="A30" s="415">
        <v>2369</v>
      </c>
      <c r="B30" s="378" t="s">
        <v>8</v>
      </c>
      <c r="C30" s="416">
        <v>1</v>
      </c>
      <c r="D30" s="416">
        <v>3</v>
      </c>
      <c r="E30" s="327">
        <f t="shared" si="0"/>
        <v>2.3333333333333335</v>
      </c>
    </row>
    <row r="31" spans="1:5" x14ac:dyDescent="0.2">
      <c r="A31" s="415">
        <v>2370</v>
      </c>
      <c r="B31" s="378" t="s">
        <v>9</v>
      </c>
      <c r="C31" s="416">
        <v>1</v>
      </c>
      <c r="D31" s="416">
        <v>5</v>
      </c>
      <c r="E31" s="327">
        <f t="shared" si="0"/>
        <v>3.5</v>
      </c>
    </row>
    <row r="32" spans="1:5" x14ac:dyDescent="0.2">
      <c r="A32" s="415">
        <v>2371</v>
      </c>
      <c r="B32" s="378" t="s">
        <v>8</v>
      </c>
      <c r="C32" s="416">
        <v>2</v>
      </c>
      <c r="D32" s="416">
        <v>6.5</v>
      </c>
      <c r="E32" s="327">
        <f t="shared" si="0"/>
        <v>4.958333333333333</v>
      </c>
    </row>
    <row r="33" spans="1:5" x14ac:dyDescent="0.2">
      <c r="A33" s="415">
        <v>2372</v>
      </c>
      <c r="B33" s="378" t="s">
        <v>9</v>
      </c>
      <c r="C33" s="416">
        <v>1.5</v>
      </c>
      <c r="D33" s="416">
        <v>6</v>
      </c>
      <c r="E33" s="327">
        <f t="shared" si="0"/>
        <v>4.375</v>
      </c>
    </row>
    <row r="34" spans="1:5" x14ac:dyDescent="0.2">
      <c r="A34" s="415">
        <v>2373</v>
      </c>
      <c r="B34" s="378" t="s">
        <v>10</v>
      </c>
      <c r="C34" s="416">
        <v>1.5</v>
      </c>
      <c r="D34" s="416">
        <v>4.5</v>
      </c>
      <c r="E34" s="327">
        <f t="shared" si="0"/>
        <v>3.5</v>
      </c>
    </row>
    <row r="35" spans="1:5" x14ac:dyDescent="0.2">
      <c r="A35" s="415">
        <v>2374</v>
      </c>
      <c r="B35" s="378" t="s">
        <v>10</v>
      </c>
      <c r="C35" s="416">
        <v>1</v>
      </c>
      <c r="D35" s="416">
        <v>2</v>
      </c>
      <c r="E35" s="327">
        <f t="shared" si="0"/>
        <v>1.75</v>
      </c>
    </row>
    <row r="36" spans="1:5" x14ac:dyDescent="0.2">
      <c r="A36" s="415">
        <v>2375</v>
      </c>
      <c r="B36" s="378" t="s">
        <v>8</v>
      </c>
      <c r="C36" s="416">
        <v>1.5</v>
      </c>
      <c r="D36" s="416">
        <v>2.5</v>
      </c>
      <c r="E36" s="327">
        <f t="shared" si="0"/>
        <v>2.3333333333333335</v>
      </c>
    </row>
    <row r="37" spans="1:5" x14ac:dyDescent="0.2">
      <c r="A37" s="415">
        <v>2376</v>
      </c>
      <c r="B37" s="378" t="s">
        <v>10</v>
      </c>
      <c r="C37" s="416">
        <v>1</v>
      </c>
      <c r="D37" s="416">
        <v>1</v>
      </c>
      <c r="E37" s="327">
        <f t="shared" si="0"/>
        <v>1.1666666666666667</v>
      </c>
    </row>
    <row r="38" spans="1:5" x14ac:dyDescent="0.2">
      <c r="A38" s="415">
        <v>2377</v>
      </c>
      <c r="B38" s="378" t="s">
        <v>8</v>
      </c>
      <c r="C38" s="416">
        <v>2.5</v>
      </c>
      <c r="D38" s="416">
        <v>2.5</v>
      </c>
      <c r="E38" s="327">
        <f t="shared" ref="E38:E69" si="1">SUM(C38:D38)/60*E$4</f>
        <v>2.9166666666666665</v>
      </c>
    </row>
    <row r="39" spans="1:5" x14ac:dyDescent="0.2">
      <c r="A39" s="415">
        <v>2378</v>
      </c>
      <c r="B39" s="378" t="s">
        <v>9</v>
      </c>
      <c r="C39" s="416">
        <v>1</v>
      </c>
      <c r="D39" s="416">
        <v>3.5</v>
      </c>
      <c r="E39" s="327">
        <f t="shared" si="1"/>
        <v>2.625</v>
      </c>
    </row>
    <row r="40" spans="1:5" x14ac:dyDescent="0.2">
      <c r="A40" s="415">
        <v>2379</v>
      </c>
      <c r="B40" s="378" t="s">
        <v>10</v>
      </c>
      <c r="C40" s="416">
        <v>2</v>
      </c>
      <c r="D40" s="416">
        <v>1</v>
      </c>
      <c r="E40" s="327">
        <f t="shared" si="1"/>
        <v>1.75</v>
      </c>
    </row>
    <row r="41" spans="1:5" x14ac:dyDescent="0.2">
      <c r="A41" s="415">
        <v>2380</v>
      </c>
      <c r="B41" s="378" t="s">
        <v>10</v>
      </c>
      <c r="C41" s="416">
        <v>1</v>
      </c>
      <c r="D41" s="416">
        <v>2.5</v>
      </c>
      <c r="E41" s="327">
        <f t="shared" si="1"/>
        <v>2.0416666666666665</v>
      </c>
    </row>
    <row r="42" spans="1:5" x14ac:dyDescent="0.2">
      <c r="A42" s="415">
        <v>2381</v>
      </c>
      <c r="B42" s="378" t="s">
        <v>10</v>
      </c>
      <c r="C42" s="416">
        <v>1.5</v>
      </c>
      <c r="D42" s="416">
        <v>5</v>
      </c>
      <c r="E42" s="327">
        <f t="shared" si="1"/>
        <v>3.791666666666667</v>
      </c>
    </row>
    <row r="43" spans="1:5" x14ac:dyDescent="0.2">
      <c r="A43" s="415">
        <v>2382</v>
      </c>
      <c r="B43" s="378" t="s">
        <v>10</v>
      </c>
      <c r="C43" s="416">
        <v>2</v>
      </c>
      <c r="D43" s="416">
        <v>3.5</v>
      </c>
      <c r="E43" s="327">
        <f t="shared" si="1"/>
        <v>3.208333333333333</v>
      </c>
    </row>
    <row r="44" spans="1:5" x14ac:dyDescent="0.2">
      <c r="A44" s="415">
        <v>2383</v>
      </c>
      <c r="B44" s="378" t="s">
        <v>10</v>
      </c>
      <c r="C44" s="416">
        <v>1.5</v>
      </c>
      <c r="D44" s="416">
        <v>4</v>
      </c>
      <c r="E44" s="327">
        <f t="shared" si="1"/>
        <v>3.208333333333333</v>
      </c>
    </row>
    <row r="45" spans="1:5" x14ac:dyDescent="0.2">
      <c r="A45" s="415">
        <v>2384</v>
      </c>
      <c r="B45" s="378" t="s">
        <v>8</v>
      </c>
      <c r="C45" s="416">
        <v>2.5</v>
      </c>
      <c r="D45" s="416">
        <v>7</v>
      </c>
      <c r="E45" s="327">
        <f t="shared" si="1"/>
        <v>5.5416666666666661</v>
      </c>
    </row>
    <row r="46" spans="1:5" x14ac:dyDescent="0.2">
      <c r="A46" s="415">
        <v>2385</v>
      </c>
      <c r="B46" s="378" t="s">
        <v>9</v>
      </c>
      <c r="C46" s="416">
        <v>1</v>
      </c>
      <c r="D46" s="416">
        <v>2.5</v>
      </c>
      <c r="E46" s="327">
        <f t="shared" si="1"/>
        <v>2.0416666666666665</v>
      </c>
    </row>
    <row r="47" spans="1:5" x14ac:dyDescent="0.2">
      <c r="A47" s="415">
        <v>2386</v>
      </c>
      <c r="B47" s="378" t="s">
        <v>8</v>
      </c>
      <c r="C47" s="416">
        <v>3</v>
      </c>
      <c r="D47" s="416">
        <v>3.5</v>
      </c>
      <c r="E47" s="327">
        <f t="shared" si="1"/>
        <v>3.791666666666667</v>
      </c>
    </row>
    <row r="48" spans="1:5" x14ac:dyDescent="0.2">
      <c r="A48" s="415">
        <v>2387</v>
      </c>
      <c r="B48" s="378" t="s">
        <v>9</v>
      </c>
      <c r="C48" s="416">
        <v>1.5</v>
      </c>
      <c r="D48" s="416">
        <v>5.5</v>
      </c>
      <c r="E48" s="327">
        <f t="shared" si="1"/>
        <v>4.083333333333333</v>
      </c>
    </row>
    <row r="49" spans="1:5" x14ac:dyDescent="0.2">
      <c r="A49" s="415">
        <v>2388</v>
      </c>
      <c r="B49" s="378" t="s">
        <v>10</v>
      </c>
      <c r="C49" s="416">
        <v>1.5</v>
      </c>
      <c r="D49" s="416">
        <v>4</v>
      </c>
      <c r="E49" s="327">
        <f t="shared" si="1"/>
        <v>3.208333333333333</v>
      </c>
    </row>
    <row r="50" spans="1:5" x14ac:dyDescent="0.2">
      <c r="A50" s="415">
        <v>2389</v>
      </c>
      <c r="B50" s="378" t="s">
        <v>9</v>
      </c>
      <c r="C50" s="416">
        <v>1.5</v>
      </c>
      <c r="D50" s="416">
        <v>2.5</v>
      </c>
      <c r="E50" s="327">
        <f t="shared" si="1"/>
        <v>2.3333333333333335</v>
      </c>
    </row>
    <row r="51" spans="1:5" x14ac:dyDescent="0.2">
      <c r="A51" s="415">
        <v>2390</v>
      </c>
      <c r="B51" s="378" t="s">
        <v>9</v>
      </c>
      <c r="C51" s="416">
        <v>2.5</v>
      </c>
      <c r="D51" s="416">
        <v>6</v>
      </c>
      <c r="E51" s="327">
        <f t="shared" si="1"/>
        <v>4.958333333333333</v>
      </c>
    </row>
    <row r="52" spans="1:5" x14ac:dyDescent="0.2">
      <c r="A52" s="415">
        <v>2391</v>
      </c>
      <c r="B52" s="378" t="s">
        <v>10</v>
      </c>
      <c r="C52" s="416">
        <v>1</v>
      </c>
      <c r="D52" s="416">
        <v>1</v>
      </c>
      <c r="E52" s="327">
        <f t="shared" si="1"/>
        <v>1.1666666666666667</v>
      </c>
    </row>
    <row r="53" spans="1:5" x14ac:dyDescent="0.2">
      <c r="A53" s="415">
        <v>2392</v>
      </c>
      <c r="B53" s="378" t="s">
        <v>10</v>
      </c>
      <c r="C53" s="416">
        <v>1</v>
      </c>
      <c r="D53" s="416">
        <v>1.5</v>
      </c>
      <c r="E53" s="327">
        <f t="shared" si="1"/>
        <v>1.4583333333333333</v>
      </c>
    </row>
    <row r="54" spans="1:5" x14ac:dyDescent="0.2">
      <c r="A54" s="415">
        <v>2393</v>
      </c>
      <c r="B54" s="378" t="s">
        <v>9</v>
      </c>
      <c r="C54" s="416">
        <v>1.5</v>
      </c>
      <c r="D54" s="416">
        <v>5.5</v>
      </c>
      <c r="E54" s="327">
        <f t="shared" si="1"/>
        <v>4.083333333333333</v>
      </c>
    </row>
    <row r="55" spans="1:5" x14ac:dyDescent="0.2">
      <c r="A55" s="415">
        <v>2394</v>
      </c>
      <c r="B55" s="378" t="s">
        <v>9</v>
      </c>
      <c r="C55" s="416">
        <v>2</v>
      </c>
      <c r="D55" s="416">
        <v>2</v>
      </c>
      <c r="E55" s="327">
        <f t="shared" si="1"/>
        <v>2.3333333333333335</v>
      </c>
    </row>
    <row r="56" spans="1:5" x14ac:dyDescent="0.2">
      <c r="A56" s="415">
        <v>2395</v>
      </c>
      <c r="B56" s="378" t="s">
        <v>8</v>
      </c>
      <c r="C56" s="416">
        <v>3.5</v>
      </c>
      <c r="D56" s="416">
        <v>1.5</v>
      </c>
      <c r="E56" s="327">
        <f t="shared" si="1"/>
        <v>2.9166666666666665</v>
      </c>
    </row>
    <row r="57" spans="1:5" x14ac:dyDescent="0.2">
      <c r="A57" s="415">
        <v>2396</v>
      </c>
      <c r="B57" s="378" t="s">
        <v>10</v>
      </c>
      <c r="C57" s="416">
        <v>2</v>
      </c>
      <c r="D57" s="416">
        <v>1</v>
      </c>
      <c r="E57" s="327">
        <f t="shared" si="1"/>
        <v>1.75</v>
      </c>
    </row>
    <row r="58" spans="1:5" x14ac:dyDescent="0.2">
      <c r="A58" s="415">
        <v>2397</v>
      </c>
      <c r="B58" s="378" t="s">
        <v>10</v>
      </c>
      <c r="C58" s="416">
        <v>1</v>
      </c>
      <c r="D58" s="416">
        <v>5</v>
      </c>
      <c r="E58" s="327">
        <f t="shared" si="1"/>
        <v>3.5</v>
      </c>
    </row>
    <row r="59" spans="1:5" x14ac:dyDescent="0.2">
      <c r="A59" s="415">
        <v>2398</v>
      </c>
      <c r="B59" s="378" t="s">
        <v>10</v>
      </c>
      <c r="C59" s="416">
        <v>1</v>
      </c>
      <c r="D59" s="416">
        <v>1</v>
      </c>
      <c r="E59" s="327">
        <f t="shared" si="1"/>
        <v>1.1666666666666667</v>
      </c>
    </row>
    <row r="60" spans="1:5" x14ac:dyDescent="0.2">
      <c r="A60" s="415">
        <v>2399</v>
      </c>
      <c r="B60" s="378" t="s">
        <v>10</v>
      </c>
      <c r="C60" s="416">
        <v>1</v>
      </c>
      <c r="D60" s="416">
        <v>3</v>
      </c>
      <c r="E60" s="327">
        <f t="shared" si="1"/>
        <v>2.3333333333333335</v>
      </c>
    </row>
    <row r="61" spans="1:5" x14ac:dyDescent="0.2">
      <c r="A61" s="415">
        <v>2400</v>
      </c>
      <c r="B61" s="378" t="s">
        <v>10</v>
      </c>
      <c r="C61" s="416">
        <v>1</v>
      </c>
      <c r="D61" s="416">
        <v>1.5</v>
      </c>
      <c r="E61" s="327">
        <f t="shared" si="1"/>
        <v>1.4583333333333333</v>
      </c>
    </row>
    <row r="62" spans="1:5" x14ac:dyDescent="0.2">
      <c r="A62" s="415">
        <v>2401</v>
      </c>
      <c r="B62" s="378" t="s">
        <v>10</v>
      </c>
      <c r="C62" s="416">
        <v>1.5</v>
      </c>
      <c r="D62" s="416">
        <v>4.5</v>
      </c>
      <c r="E62" s="327">
        <f t="shared" si="1"/>
        <v>3.5</v>
      </c>
    </row>
    <row r="63" spans="1:5" x14ac:dyDescent="0.2">
      <c r="A63" s="415">
        <v>2402</v>
      </c>
      <c r="B63" s="378" t="s">
        <v>8</v>
      </c>
      <c r="C63" s="416">
        <v>2.5</v>
      </c>
      <c r="D63" s="416">
        <v>5.5</v>
      </c>
      <c r="E63" s="327">
        <f t="shared" si="1"/>
        <v>4.666666666666667</v>
      </c>
    </row>
    <row r="64" spans="1:5" x14ac:dyDescent="0.2">
      <c r="A64" s="415">
        <v>2403</v>
      </c>
      <c r="B64" s="378" t="s">
        <v>8</v>
      </c>
      <c r="C64" s="416">
        <v>1</v>
      </c>
      <c r="D64" s="416">
        <v>7</v>
      </c>
      <c r="E64" s="327">
        <f t="shared" si="1"/>
        <v>4.666666666666667</v>
      </c>
    </row>
    <row r="65" spans="1:5" x14ac:dyDescent="0.2">
      <c r="A65" s="415">
        <v>2404</v>
      </c>
      <c r="B65" s="378" t="s">
        <v>9</v>
      </c>
      <c r="C65" s="416">
        <v>1</v>
      </c>
      <c r="D65" s="416">
        <v>2</v>
      </c>
      <c r="E65" s="327">
        <f t="shared" si="1"/>
        <v>1.75</v>
      </c>
    </row>
    <row r="66" spans="1:5" x14ac:dyDescent="0.2">
      <c r="A66" s="415">
        <v>2405</v>
      </c>
      <c r="B66" s="378" t="s">
        <v>10</v>
      </c>
      <c r="C66" s="416">
        <v>1</v>
      </c>
      <c r="D66" s="416">
        <v>5</v>
      </c>
      <c r="E66" s="327">
        <f t="shared" si="1"/>
        <v>3.5</v>
      </c>
    </row>
    <row r="67" spans="1:5" x14ac:dyDescent="0.2">
      <c r="A67" s="415">
        <v>2406</v>
      </c>
      <c r="B67" s="378" t="s">
        <v>8</v>
      </c>
      <c r="C67" s="416">
        <v>4</v>
      </c>
      <c r="D67" s="416">
        <v>7</v>
      </c>
      <c r="E67" s="327">
        <f t="shared" si="1"/>
        <v>6.4166666666666661</v>
      </c>
    </row>
    <row r="68" spans="1:5" x14ac:dyDescent="0.2">
      <c r="A68" s="415">
        <v>2407</v>
      </c>
      <c r="B68" s="378" t="s">
        <v>9</v>
      </c>
      <c r="C68" s="416">
        <v>1.5</v>
      </c>
      <c r="D68" s="416">
        <v>4</v>
      </c>
      <c r="E68" s="327">
        <f t="shared" si="1"/>
        <v>3.208333333333333</v>
      </c>
    </row>
    <row r="69" spans="1:5" x14ac:dyDescent="0.2">
      <c r="A69" s="415">
        <v>2408</v>
      </c>
      <c r="B69" s="378" t="s">
        <v>8</v>
      </c>
      <c r="C69" s="416">
        <v>1</v>
      </c>
      <c r="D69" s="416">
        <v>3.5</v>
      </c>
      <c r="E69" s="327">
        <f t="shared" si="1"/>
        <v>2.625</v>
      </c>
    </row>
    <row r="70" spans="1:5" x14ac:dyDescent="0.2">
      <c r="A70" s="415">
        <v>2409</v>
      </c>
      <c r="B70" s="378" t="s">
        <v>10</v>
      </c>
      <c r="C70" s="416">
        <v>2</v>
      </c>
      <c r="D70" s="416">
        <v>1</v>
      </c>
      <c r="E70" s="327">
        <f t="shared" ref="E70:E101" si="2">SUM(C70:D70)/60*E$4</f>
        <v>1.75</v>
      </c>
    </row>
    <row r="71" spans="1:5" x14ac:dyDescent="0.2">
      <c r="A71" s="415">
        <v>2410</v>
      </c>
      <c r="B71" s="378" t="s">
        <v>9</v>
      </c>
      <c r="C71" s="416">
        <v>1.5</v>
      </c>
      <c r="D71" s="416">
        <v>1</v>
      </c>
      <c r="E71" s="327">
        <f t="shared" si="2"/>
        <v>1.4583333333333333</v>
      </c>
    </row>
    <row r="72" spans="1:5" x14ac:dyDescent="0.2">
      <c r="A72" s="415">
        <v>2411</v>
      </c>
      <c r="B72" s="378" t="s">
        <v>10</v>
      </c>
      <c r="C72" s="416">
        <v>1</v>
      </c>
      <c r="D72" s="416">
        <v>4.5</v>
      </c>
      <c r="E72" s="327">
        <f t="shared" si="2"/>
        <v>3.208333333333333</v>
      </c>
    </row>
    <row r="73" spans="1:5" x14ac:dyDescent="0.2">
      <c r="A73" s="415">
        <v>2412</v>
      </c>
      <c r="B73" s="378" t="s">
        <v>9</v>
      </c>
      <c r="C73" s="416">
        <v>3</v>
      </c>
      <c r="D73" s="416">
        <v>1</v>
      </c>
      <c r="E73" s="327">
        <f t="shared" si="2"/>
        <v>2.3333333333333335</v>
      </c>
    </row>
    <row r="74" spans="1:5" x14ac:dyDescent="0.2">
      <c r="A74" s="415">
        <v>2413</v>
      </c>
      <c r="B74" s="378" t="s">
        <v>10</v>
      </c>
      <c r="C74" s="416">
        <v>2</v>
      </c>
      <c r="D74" s="416">
        <v>1</v>
      </c>
      <c r="E74" s="327">
        <f t="shared" si="2"/>
        <v>1.75</v>
      </c>
    </row>
    <row r="75" spans="1:5" x14ac:dyDescent="0.2">
      <c r="A75" s="415">
        <v>2414</v>
      </c>
      <c r="B75" s="378" t="s">
        <v>8</v>
      </c>
      <c r="C75" s="416">
        <v>1</v>
      </c>
      <c r="D75" s="416">
        <v>4.5</v>
      </c>
      <c r="E75" s="327">
        <f t="shared" si="2"/>
        <v>3.208333333333333</v>
      </c>
    </row>
    <row r="76" spans="1:5" x14ac:dyDescent="0.2">
      <c r="A76" s="415">
        <v>2415</v>
      </c>
      <c r="B76" s="378" t="s">
        <v>9</v>
      </c>
      <c r="C76" s="416">
        <v>1</v>
      </c>
      <c r="D76" s="416">
        <v>5</v>
      </c>
      <c r="E76" s="327">
        <f t="shared" si="2"/>
        <v>3.5</v>
      </c>
    </row>
    <row r="77" spans="1:5" x14ac:dyDescent="0.2">
      <c r="A77" s="415">
        <v>2416</v>
      </c>
      <c r="B77" s="378" t="s">
        <v>10</v>
      </c>
      <c r="C77" s="416">
        <v>1</v>
      </c>
      <c r="D77" s="416">
        <v>3.5</v>
      </c>
      <c r="E77" s="327">
        <f t="shared" si="2"/>
        <v>2.625</v>
      </c>
    </row>
    <row r="78" spans="1:5" x14ac:dyDescent="0.2">
      <c r="A78" s="415">
        <v>2417</v>
      </c>
      <c r="B78" s="378" t="s">
        <v>10</v>
      </c>
      <c r="C78" s="416">
        <v>1</v>
      </c>
      <c r="D78" s="416">
        <v>2.5</v>
      </c>
      <c r="E78" s="327">
        <f t="shared" si="2"/>
        <v>2.0416666666666665</v>
      </c>
    </row>
    <row r="79" spans="1:5" x14ac:dyDescent="0.2">
      <c r="A79" s="415">
        <v>2418</v>
      </c>
      <c r="B79" s="378" t="s">
        <v>10</v>
      </c>
      <c r="C79" s="416">
        <v>1</v>
      </c>
      <c r="D79" s="416">
        <v>3</v>
      </c>
      <c r="E79" s="327">
        <f t="shared" si="2"/>
        <v>2.3333333333333335</v>
      </c>
    </row>
    <row r="80" spans="1:5" x14ac:dyDescent="0.2">
      <c r="A80" s="415">
        <v>2419</v>
      </c>
      <c r="B80" s="378" t="s">
        <v>10</v>
      </c>
      <c r="C80" s="416">
        <v>2</v>
      </c>
      <c r="D80" s="416">
        <v>1</v>
      </c>
      <c r="E80" s="327">
        <f t="shared" si="2"/>
        <v>1.75</v>
      </c>
    </row>
    <row r="81" spans="1:5" x14ac:dyDescent="0.2">
      <c r="A81" s="415">
        <v>2420</v>
      </c>
      <c r="B81" s="378" t="s">
        <v>10</v>
      </c>
      <c r="C81" s="416">
        <v>1</v>
      </c>
      <c r="D81" s="416">
        <v>1</v>
      </c>
      <c r="E81" s="327">
        <f t="shared" si="2"/>
        <v>1.1666666666666667</v>
      </c>
    </row>
    <row r="82" spans="1:5" x14ac:dyDescent="0.2">
      <c r="A82" s="415">
        <v>2421</v>
      </c>
      <c r="B82" s="378" t="s">
        <v>9</v>
      </c>
      <c r="C82" s="416">
        <v>1</v>
      </c>
      <c r="D82" s="416">
        <v>5.5</v>
      </c>
      <c r="E82" s="327">
        <f t="shared" si="2"/>
        <v>3.791666666666667</v>
      </c>
    </row>
    <row r="83" spans="1:5" x14ac:dyDescent="0.2">
      <c r="A83" s="415">
        <v>2422</v>
      </c>
      <c r="B83" s="378" t="s">
        <v>10</v>
      </c>
      <c r="C83" s="416">
        <v>1</v>
      </c>
      <c r="D83" s="416">
        <v>1</v>
      </c>
      <c r="E83" s="327">
        <f t="shared" si="2"/>
        <v>1.1666666666666667</v>
      </c>
    </row>
    <row r="84" spans="1:5" x14ac:dyDescent="0.2">
      <c r="A84" s="415">
        <v>2423</v>
      </c>
      <c r="B84" s="378" t="s">
        <v>10</v>
      </c>
      <c r="C84" s="416">
        <v>1</v>
      </c>
      <c r="D84" s="416">
        <v>1</v>
      </c>
      <c r="E84" s="327">
        <f t="shared" si="2"/>
        <v>1.1666666666666667</v>
      </c>
    </row>
    <row r="85" spans="1:5" x14ac:dyDescent="0.2">
      <c r="A85" s="415">
        <v>2424</v>
      </c>
      <c r="B85" s="378" t="s">
        <v>10</v>
      </c>
      <c r="C85" s="416">
        <v>1.5</v>
      </c>
      <c r="D85" s="416">
        <v>1</v>
      </c>
      <c r="E85" s="327">
        <f t="shared" si="2"/>
        <v>1.4583333333333333</v>
      </c>
    </row>
    <row r="86" spans="1:5" x14ac:dyDescent="0.2">
      <c r="A86" s="415">
        <v>2425</v>
      </c>
      <c r="B86" s="378" t="s">
        <v>10</v>
      </c>
      <c r="C86" s="416">
        <v>1</v>
      </c>
      <c r="D86" s="416">
        <v>1.5</v>
      </c>
      <c r="E86" s="327">
        <f t="shared" si="2"/>
        <v>1.4583333333333333</v>
      </c>
    </row>
    <row r="87" spans="1:5" x14ac:dyDescent="0.2">
      <c r="A87" s="415">
        <v>2426</v>
      </c>
      <c r="B87" s="378" t="s">
        <v>10</v>
      </c>
      <c r="C87" s="416">
        <v>1</v>
      </c>
      <c r="D87" s="416">
        <v>4</v>
      </c>
      <c r="E87" s="327">
        <f t="shared" si="2"/>
        <v>2.9166666666666665</v>
      </c>
    </row>
    <row r="88" spans="1:5" x14ac:dyDescent="0.2">
      <c r="A88" s="415">
        <v>2427</v>
      </c>
      <c r="B88" s="378" t="s">
        <v>8</v>
      </c>
      <c r="C88" s="416">
        <v>2</v>
      </c>
      <c r="D88" s="416">
        <v>3.5</v>
      </c>
      <c r="E88" s="327">
        <f t="shared" si="2"/>
        <v>3.208333333333333</v>
      </c>
    </row>
    <row r="89" spans="1:5" x14ac:dyDescent="0.2">
      <c r="A89" s="415">
        <v>2428</v>
      </c>
      <c r="B89" s="378" t="s">
        <v>8</v>
      </c>
      <c r="C89" s="416">
        <v>3.5</v>
      </c>
      <c r="D89" s="416">
        <v>1.5</v>
      </c>
      <c r="E89" s="327">
        <f t="shared" si="2"/>
        <v>2.9166666666666665</v>
      </c>
    </row>
    <row r="90" spans="1:5" x14ac:dyDescent="0.2">
      <c r="A90" s="415">
        <v>2429</v>
      </c>
      <c r="B90" s="378" t="s">
        <v>10</v>
      </c>
      <c r="C90" s="416">
        <v>1.5</v>
      </c>
      <c r="D90" s="416">
        <v>2.5</v>
      </c>
      <c r="E90" s="327">
        <f t="shared" si="2"/>
        <v>2.3333333333333335</v>
      </c>
    </row>
    <row r="91" spans="1:5" x14ac:dyDescent="0.2">
      <c r="A91" s="415">
        <v>2430</v>
      </c>
      <c r="B91" s="378" t="s">
        <v>9</v>
      </c>
      <c r="C91" s="416">
        <v>2.5</v>
      </c>
      <c r="D91" s="416">
        <v>6</v>
      </c>
      <c r="E91" s="327">
        <f t="shared" si="2"/>
        <v>4.958333333333333</v>
      </c>
    </row>
    <row r="92" spans="1:5" x14ac:dyDescent="0.2">
      <c r="A92" s="415">
        <v>2431</v>
      </c>
      <c r="B92" s="378" t="s">
        <v>8</v>
      </c>
      <c r="C92" s="416">
        <v>2.5</v>
      </c>
      <c r="D92" s="416">
        <v>3.5</v>
      </c>
      <c r="E92" s="327">
        <f t="shared" si="2"/>
        <v>3.5</v>
      </c>
    </row>
    <row r="93" spans="1:5" x14ac:dyDescent="0.2">
      <c r="A93" s="415">
        <v>2432</v>
      </c>
      <c r="B93" s="378" t="s">
        <v>10</v>
      </c>
      <c r="C93" s="416">
        <v>1</v>
      </c>
      <c r="D93" s="416">
        <v>2</v>
      </c>
      <c r="E93" s="327">
        <f t="shared" si="2"/>
        <v>1.75</v>
      </c>
    </row>
    <row r="94" spans="1:5" x14ac:dyDescent="0.2">
      <c r="A94" s="415">
        <v>2433</v>
      </c>
      <c r="B94" s="378" t="s">
        <v>8</v>
      </c>
      <c r="C94" s="416">
        <v>1</v>
      </c>
      <c r="D94" s="416">
        <v>2</v>
      </c>
      <c r="E94" s="327">
        <f t="shared" si="2"/>
        <v>1.75</v>
      </c>
    </row>
    <row r="95" spans="1:5" x14ac:dyDescent="0.2">
      <c r="A95" s="415">
        <v>2434</v>
      </c>
      <c r="B95" s="378" t="s">
        <v>10</v>
      </c>
      <c r="C95" s="416">
        <v>1</v>
      </c>
      <c r="D95" s="416">
        <v>4</v>
      </c>
      <c r="E95" s="327">
        <f t="shared" si="2"/>
        <v>2.9166666666666665</v>
      </c>
    </row>
    <row r="96" spans="1:5" x14ac:dyDescent="0.2">
      <c r="A96" s="415">
        <v>2435</v>
      </c>
      <c r="B96" s="378" t="s">
        <v>10</v>
      </c>
      <c r="C96" s="416">
        <v>1.5</v>
      </c>
      <c r="D96" s="416">
        <v>2</v>
      </c>
      <c r="E96" s="327">
        <f t="shared" si="2"/>
        <v>2.0416666666666665</v>
      </c>
    </row>
    <row r="97" spans="1:6" x14ac:dyDescent="0.2">
      <c r="A97" s="415">
        <v>2436</v>
      </c>
      <c r="B97" s="378" t="s">
        <v>8</v>
      </c>
      <c r="C97" s="416">
        <v>2.5</v>
      </c>
      <c r="D97" s="416">
        <v>4.5</v>
      </c>
      <c r="E97" s="327">
        <f t="shared" si="2"/>
        <v>4.083333333333333</v>
      </c>
    </row>
    <row r="98" spans="1:6" x14ac:dyDescent="0.2">
      <c r="A98" s="415">
        <v>2437</v>
      </c>
      <c r="B98" s="378" t="s">
        <v>10</v>
      </c>
      <c r="C98" s="416">
        <v>1.5</v>
      </c>
      <c r="D98" s="416">
        <v>1</v>
      </c>
      <c r="E98" s="327">
        <f t="shared" si="2"/>
        <v>1.4583333333333333</v>
      </c>
    </row>
    <row r="99" spans="1:6" x14ac:dyDescent="0.2">
      <c r="A99" s="415">
        <v>2438</v>
      </c>
      <c r="B99" s="378" t="s">
        <v>10</v>
      </c>
      <c r="C99" s="416">
        <v>1.5</v>
      </c>
      <c r="D99" s="416">
        <v>1</v>
      </c>
      <c r="E99" s="327">
        <f t="shared" si="2"/>
        <v>1.4583333333333333</v>
      </c>
    </row>
    <row r="100" spans="1:6" x14ac:dyDescent="0.2">
      <c r="A100" s="415">
        <v>2439</v>
      </c>
      <c r="B100" s="378" t="s">
        <v>8</v>
      </c>
      <c r="C100" s="416">
        <v>1</v>
      </c>
      <c r="D100" s="416">
        <v>5.5</v>
      </c>
      <c r="E100" s="327">
        <f t="shared" si="2"/>
        <v>3.791666666666667</v>
      </c>
    </row>
    <row r="101" spans="1:6" x14ac:dyDescent="0.2">
      <c r="A101" s="415">
        <v>2440</v>
      </c>
      <c r="B101" s="378" t="s">
        <v>10</v>
      </c>
      <c r="C101" s="416">
        <v>1</v>
      </c>
      <c r="D101" s="416">
        <v>5</v>
      </c>
      <c r="E101" s="327">
        <f t="shared" si="2"/>
        <v>3.5</v>
      </c>
    </row>
    <row r="102" spans="1:6" x14ac:dyDescent="0.2">
      <c r="A102" s="415">
        <v>2441</v>
      </c>
      <c r="B102" s="378" t="s">
        <v>10</v>
      </c>
      <c r="C102" s="416">
        <v>1</v>
      </c>
      <c r="D102" s="416">
        <v>2</v>
      </c>
      <c r="E102" s="327">
        <f>SUM(C102:D102)/60*E$4</f>
        <v>1.75</v>
      </c>
    </row>
    <row r="103" spans="1:6" x14ac:dyDescent="0.2">
      <c r="A103" s="415">
        <v>2442</v>
      </c>
      <c r="B103" s="378" t="s">
        <v>8</v>
      </c>
      <c r="C103" s="416">
        <v>3.5</v>
      </c>
      <c r="D103" s="416">
        <v>5</v>
      </c>
      <c r="E103" s="327">
        <f>SUM(C103:D103)/60*E$4</f>
        <v>4.958333333333333</v>
      </c>
    </row>
    <row r="104" spans="1:6" x14ac:dyDescent="0.2">
      <c r="A104" s="415">
        <v>2443</v>
      </c>
      <c r="B104" s="378" t="s">
        <v>9</v>
      </c>
      <c r="C104" s="416">
        <v>1</v>
      </c>
      <c r="D104" s="416">
        <v>4</v>
      </c>
      <c r="E104" s="327">
        <f>SUM(C104:D104)/60*E$4</f>
        <v>2.9166666666666665</v>
      </c>
    </row>
    <row r="105" spans="1:6" x14ac:dyDescent="0.2">
      <c r="A105" s="415">
        <v>2444</v>
      </c>
      <c r="B105" s="378" t="s">
        <v>8</v>
      </c>
      <c r="C105" s="416">
        <v>1.5</v>
      </c>
      <c r="D105" s="416">
        <v>1</v>
      </c>
      <c r="E105" s="327">
        <f>SUM(C105:D105)/60*E$4</f>
        <v>1.4583333333333333</v>
      </c>
    </row>
    <row r="106" spans="1:6" x14ac:dyDescent="0.2">
      <c r="A106" s="311"/>
      <c r="B106" s="312"/>
      <c r="C106" s="311"/>
      <c r="D106" s="311"/>
      <c r="E106" s="313"/>
      <c r="F106" s="56"/>
    </row>
    <row r="107" spans="1:6" x14ac:dyDescent="0.2">
      <c r="A107" s="54"/>
      <c r="B107" s="55"/>
      <c r="C107" s="54"/>
      <c r="D107" s="54"/>
      <c r="E107" s="56"/>
      <c r="F107" s="56"/>
    </row>
    <row r="108" spans="1:6" x14ac:dyDescent="0.2">
      <c r="A108" s="54" t="s">
        <v>33</v>
      </c>
      <c r="B108" s="55"/>
      <c r="C108" s="56">
        <f>SUM(C6:C106)</f>
        <v>154.5</v>
      </c>
      <c r="D108" s="56">
        <f>SUM(D6:D106)</f>
        <v>321.5</v>
      </c>
      <c r="E108" s="58">
        <f>SUM(E6:E106)</f>
        <v>277.66666666666663</v>
      </c>
      <c r="F108" s="56"/>
    </row>
    <row r="109" spans="1:6" x14ac:dyDescent="0.2">
      <c r="A109" s="54" t="s">
        <v>34</v>
      </c>
      <c r="B109" s="55"/>
      <c r="C109" s="56">
        <f>AVERAGE(C6:C106)</f>
        <v>1.5606060606060606</v>
      </c>
      <c r="D109" s="56">
        <f>AVERAGE(D6:D106)</f>
        <v>3.2474747474747474</v>
      </c>
      <c r="E109" s="59">
        <f>AVERAGE(E6:E106)</f>
        <v>2.7766666666666664</v>
      </c>
      <c r="F109" s="56"/>
    </row>
    <row r="110" spans="1:6" x14ac:dyDescent="0.2">
      <c r="A110" s="54" t="s">
        <v>35</v>
      </c>
      <c r="B110" s="55"/>
      <c r="C110" s="56">
        <f>STDEV(C6:C106)</f>
        <v>0.72938584478665269</v>
      </c>
      <c r="D110" s="56">
        <f>STDEV(D6:D106)</f>
        <v>1.8549076347730837</v>
      </c>
      <c r="E110" s="59">
        <f>STDEV(E6:E106)</f>
        <v>1.2273126318490732</v>
      </c>
      <c r="F110" s="56"/>
    </row>
    <row r="111" spans="1:6" x14ac:dyDescent="0.2">
      <c r="A111" s="54"/>
      <c r="B111" s="55"/>
      <c r="C111" s="56"/>
      <c r="D111" s="54"/>
      <c r="E111" s="56"/>
      <c r="F111" s="56"/>
    </row>
    <row r="112" spans="1:6" x14ac:dyDescent="0.2">
      <c r="A112" s="54"/>
      <c r="B112" s="55"/>
      <c r="C112" s="56"/>
      <c r="D112" s="56"/>
    </row>
  </sheetData>
  <mergeCells count="2">
    <mergeCell ref="C4:D4"/>
    <mergeCell ref="G9:K16"/>
  </mergeCells>
  <phoneticPr fontId="3" type="noConversion"/>
  <pageMargins left="0.75" right="0.75" top="1" bottom="1" header="0.5" footer="0.5"/>
  <pageSetup orientation="portrait" horizontalDpi="4294967293" r:id="rId1"/>
  <headerFooter alignWithMargins="0"/>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pageSetUpPr autoPageBreaks="0"/>
  </sheetPr>
  <dimension ref="A1:M115"/>
  <sheetViews>
    <sheetView zoomScale="130" zoomScaleNormal="130" workbookViewId="0">
      <pane ySplit="9" topLeftCell="A10" activePane="bottomLeft" state="frozen"/>
      <selection activeCell="A4" sqref="A4"/>
      <selection pane="bottomLeft"/>
    </sheetView>
  </sheetViews>
  <sheetFormatPr defaultColWidth="9.140625" defaultRowHeight="11.25" x14ac:dyDescent="0.2"/>
  <cols>
    <col min="1" max="1" width="5" style="213" customWidth="1"/>
    <col min="2" max="2" width="5.28515625" style="6" bestFit="1" customWidth="1"/>
    <col min="3" max="3" width="8.7109375" style="213" customWidth="1"/>
    <col min="4" max="4" width="8.28515625" style="213" customWidth="1"/>
    <col min="5" max="5" width="11.7109375" style="213" customWidth="1"/>
    <col min="6" max="6" width="7" style="213" customWidth="1"/>
    <col min="7" max="7" width="6.28515625" style="213" customWidth="1"/>
    <col min="8" max="8" width="37.5703125" style="213" customWidth="1"/>
    <col min="9" max="9" width="10.85546875" style="213" customWidth="1"/>
    <col min="10" max="10" width="10.140625" style="213" customWidth="1"/>
    <col min="11" max="11" width="9.140625" style="213"/>
    <col min="12" max="12" width="8.140625" style="213" customWidth="1"/>
    <col min="13" max="13" width="69.5703125" style="213" customWidth="1"/>
    <col min="14" max="16384" width="9.140625" style="213"/>
  </cols>
  <sheetData>
    <row r="1" spans="1:13" ht="18" x14ac:dyDescent="0.25">
      <c r="A1" s="454" t="s">
        <v>208</v>
      </c>
      <c r="B1" s="124"/>
      <c r="C1" s="124"/>
      <c r="D1" s="124"/>
      <c r="E1" s="124"/>
      <c r="F1" s="1"/>
      <c r="G1" s="1"/>
      <c r="H1" s="1"/>
      <c r="I1" s="1"/>
      <c r="J1" s="1"/>
      <c r="K1" s="1"/>
      <c r="L1" s="245"/>
      <c r="M1" s="245"/>
    </row>
    <row r="2" spans="1:13" hidden="1" x14ac:dyDescent="0.2"/>
    <row r="3" spans="1:13" ht="12.75" x14ac:dyDescent="0.2">
      <c r="A3" s="455" t="str">
        <f>IF(A2="","",IF(Disable_Video_Hyperlinks,A2,HYPERLINK(Video_website&amp;A2,A2)))</f>
        <v/>
      </c>
    </row>
    <row r="4" spans="1:13" ht="12.75" x14ac:dyDescent="0.2">
      <c r="A4" s="501" t="str">
        <f>IF(B2="","",B2)</f>
        <v/>
      </c>
    </row>
    <row r="6" spans="1:13" x14ac:dyDescent="0.2">
      <c r="A6" s="41" t="s">
        <v>27</v>
      </c>
      <c r="B6" s="315"/>
      <c r="C6" s="41"/>
      <c r="D6" s="41"/>
      <c r="E6" s="40"/>
    </row>
    <row r="7" spans="1:13" ht="21.75" customHeight="1" x14ac:dyDescent="0.2">
      <c r="A7" s="40"/>
      <c r="B7" s="316"/>
      <c r="C7" s="594" t="s">
        <v>28</v>
      </c>
      <c r="D7" s="594"/>
      <c r="E7" s="320">
        <v>35</v>
      </c>
    </row>
    <row r="8" spans="1:13" ht="21.75" customHeight="1" x14ac:dyDescent="0.2">
      <c r="A8" s="40"/>
      <c r="B8" s="316"/>
      <c r="C8" s="125"/>
      <c r="D8" s="125"/>
      <c r="E8" s="523"/>
    </row>
    <row r="9" spans="1:13" ht="33.75" x14ac:dyDescent="0.2">
      <c r="A9" s="317" t="s">
        <v>29</v>
      </c>
      <c r="B9" s="317" t="s">
        <v>3</v>
      </c>
      <c r="C9" s="317" t="s">
        <v>30</v>
      </c>
      <c r="D9" s="317" t="s">
        <v>31</v>
      </c>
      <c r="E9" s="317" t="s">
        <v>32</v>
      </c>
    </row>
    <row r="10" spans="1:13" ht="11.25" customHeight="1" x14ac:dyDescent="0.2">
      <c r="A10" s="417">
        <v>2345</v>
      </c>
      <c r="B10" s="224" t="s">
        <v>10</v>
      </c>
      <c r="C10" s="418">
        <v>1</v>
      </c>
      <c r="D10" s="418">
        <v>1.5</v>
      </c>
      <c r="E10" s="318">
        <f>SUM(C10:D10)/60*$E$7</f>
        <v>1.4583333333333333</v>
      </c>
      <c r="M10" s="595" t="s">
        <v>312</v>
      </c>
    </row>
    <row r="11" spans="1:13" ht="12.75" customHeight="1" x14ac:dyDescent="0.2">
      <c r="A11" s="417">
        <v>2346</v>
      </c>
      <c r="B11" s="224" t="s">
        <v>10</v>
      </c>
      <c r="C11" s="418">
        <v>1</v>
      </c>
      <c r="D11" s="418">
        <v>1</v>
      </c>
      <c r="E11" s="319">
        <f t="shared" ref="E11:E74" si="0">SUM(C11:D11)/60*$E$7</f>
        <v>1.1666666666666667</v>
      </c>
      <c r="M11" s="595"/>
    </row>
    <row r="12" spans="1:13" ht="12.75" customHeight="1" x14ac:dyDescent="0.2">
      <c r="A12" s="417">
        <v>2347</v>
      </c>
      <c r="B12" s="224" t="s">
        <v>10</v>
      </c>
      <c r="C12" s="418">
        <v>1</v>
      </c>
      <c r="D12" s="418">
        <v>3</v>
      </c>
      <c r="E12" s="319">
        <f t="shared" si="0"/>
        <v>2.3333333333333335</v>
      </c>
      <c r="M12" s="595"/>
    </row>
    <row r="13" spans="1:13" ht="12.75" customHeight="1" x14ac:dyDescent="0.2">
      <c r="A13" s="417">
        <v>2348</v>
      </c>
      <c r="B13" s="224" t="s">
        <v>10</v>
      </c>
      <c r="C13" s="418">
        <v>2</v>
      </c>
      <c r="D13" s="418">
        <v>5</v>
      </c>
      <c r="E13" s="319">
        <f t="shared" si="0"/>
        <v>4.083333333333333</v>
      </c>
      <c r="M13" s="595"/>
    </row>
    <row r="14" spans="1:13" ht="12.75" customHeight="1" x14ac:dyDescent="0.2">
      <c r="A14" s="417">
        <v>2349</v>
      </c>
      <c r="B14" s="224" t="s">
        <v>10</v>
      </c>
      <c r="C14" s="418">
        <v>1</v>
      </c>
      <c r="D14" s="418">
        <v>1.5</v>
      </c>
      <c r="E14" s="319">
        <f t="shared" si="0"/>
        <v>1.4583333333333333</v>
      </c>
      <c r="G14" s="201" t="s">
        <v>210</v>
      </c>
      <c r="H14" s="456" t="s">
        <v>211</v>
      </c>
      <c r="I14" s="201" t="s">
        <v>222</v>
      </c>
      <c r="J14" s="201" t="s">
        <v>212</v>
      </c>
      <c r="K14" s="214" t="s">
        <v>213</v>
      </c>
      <c r="M14" s="595"/>
    </row>
    <row r="15" spans="1:13" ht="12.75" customHeight="1" x14ac:dyDescent="0.2">
      <c r="A15" s="417">
        <v>2350</v>
      </c>
      <c r="B15" s="224" t="s">
        <v>10</v>
      </c>
      <c r="C15" s="418">
        <v>1.5</v>
      </c>
      <c r="D15" s="418">
        <v>5</v>
      </c>
      <c r="E15" s="319">
        <f t="shared" si="0"/>
        <v>3.791666666666667</v>
      </c>
      <c r="G15" s="592" t="s">
        <v>214</v>
      </c>
      <c r="H15" s="591" t="s">
        <v>269</v>
      </c>
      <c r="I15" s="590" t="s">
        <v>223</v>
      </c>
      <c r="J15" s="445">
        <v>12.87</v>
      </c>
      <c r="K15" s="175">
        <v>12.87</v>
      </c>
      <c r="M15" s="595"/>
    </row>
    <row r="16" spans="1:13" ht="12.75" customHeight="1" x14ac:dyDescent="0.2">
      <c r="A16" s="417">
        <v>2351</v>
      </c>
      <c r="B16" s="224" t="s">
        <v>10</v>
      </c>
      <c r="C16" s="418"/>
      <c r="D16" s="418"/>
      <c r="E16" s="319">
        <f t="shared" si="0"/>
        <v>0</v>
      </c>
      <c r="G16" s="592"/>
      <c r="H16" s="591"/>
      <c r="I16" s="590"/>
      <c r="J16" s="173" t="s">
        <v>224</v>
      </c>
      <c r="K16" s="176">
        <v>3</v>
      </c>
      <c r="M16" s="595"/>
    </row>
    <row r="17" spans="1:13" ht="12.75" customHeight="1" x14ac:dyDescent="0.2">
      <c r="A17" s="417">
        <v>2352</v>
      </c>
      <c r="B17" s="224" t="s">
        <v>9</v>
      </c>
      <c r="C17" s="418">
        <v>2.5</v>
      </c>
      <c r="D17" s="418">
        <v>3.5</v>
      </c>
      <c r="E17" s="319">
        <f t="shared" si="0"/>
        <v>3.5</v>
      </c>
      <c r="G17" s="592"/>
      <c r="H17" s="591"/>
      <c r="K17" s="177"/>
      <c r="M17" s="595"/>
    </row>
    <row r="18" spans="1:13" ht="12.75" customHeight="1" x14ac:dyDescent="0.2">
      <c r="A18" s="417">
        <v>2353</v>
      </c>
      <c r="B18" s="224" t="s">
        <v>10</v>
      </c>
      <c r="C18" s="418">
        <v>1</v>
      </c>
      <c r="D18" s="418">
        <v>4</v>
      </c>
      <c r="E18" s="319">
        <f t="shared" si="0"/>
        <v>2.9166666666666665</v>
      </c>
      <c r="G18" s="592">
        <v>0</v>
      </c>
      <c r="H18" s="591" t="s">
        <v>300</v>
      </c>
      <c r="I18" s="174" t="s">
        <v>228</v>
      </c>
      <c r="J18" s="445">
        <v>0.35799999999999998</v>
      </c>
      <c r="K18" s="178">
        <v>0.35799999999999998</v>
      </c>
      <c r="M18" s="595"/>
    </row>
    <row r="19" spans="1:13" ht="12.75" customHeight="1" x14ac:dyDescent="0.2">
      <c r="A19" s="417">
        <v>2354</v>
      </c>
      <c r="B19" s="224" t="s">
        <v>9</v>
      </c>
      <c r="C19" s="418">
        <v>2</v>
      </c>
      <c r="D19" s="418">
        <v>1</v>
      </c>
      <c r="E19" s="319">
        <f t="shared" si="0"/>
        <v>1.75</v>
      </c>
      <c r="G19" s="592"/>
      <c r="H19" s="591"/>
      <c r="I19" s="448"/>
      <c r="J19" s="445">
        <v>245</v>
      </c>
      <c r="K19" s="178">
        <v>245</v>
      </c>
      <c r="M19" s="595"/>
    </row>
    <row r="20" spans="1:13" ht="12.75" customHeight="1" x14ac:dyDescent="0.2">
      <c r="A20" s="417">
        <v>2355</v>
      </c>
      <c r="B20" s="224" t="s">
        <v>10</v>
      </c>
      <c r="C20" s="418">
        <v>1.5</v>
      </c>
      <c r="D20" s="418">
        <v>1.5</v>
      </c>
      <c r="E20" s="319">
        <f t="shared" si="0"/>
        <v>1.75</v>
      </c>
      <c r="G20" s="592"/>
      <c r="H20" s="591"/>
      <c r="K20" s="177"/>
      <c r="M20" s="450"/>
    </row>
    <row r="21" spans="1:13" ht="12.75" customHeight="1" x14ac:dyDescent="0.2">
      <c r="A21" s="417">
        <v>2356</v>
      </c>
      <c r="B21" s="224" t="s">
        <v>8</v>
      </c>
      <c r="C21" s="418">
        <v>1</v>
      </c>
      <c r="D21" s="418">
        <v>7</v>
      </c>
      <c r="E21" s="319">
        <f t="shared" si="0"/>
        <v>4.666666666666667</v>
      </c>
      <c r="G21" s="592" t="s">
        <v>191</v>
      </c>
      <c r="H21" s="591" t="s">
        <v>301</v>
      </c>
      <c r="I21" s="590" t="s">
        <v>229</v>
      </c>
      <c r="J21" s="445">
        <v>27.3</v>
      </c>
      <c r="K21" s="187">
        <v>27.3</v>
      </c>
      <c r="M21" s="450"/>
    </row>
    <row r="22" spans="1:13" ht="12.75" customHeight="1" x14ac:dyDescent="0.2">
      <c r="A22" s="417">
        <v>2357</v>
      </c>
      <c r="B22" s="224" t="s">
        <v>10</v>
      </c>
      <c r="C22" s="418">
        <v>2</v>
      </c>
      <c r="D22" s="418">
        <v>3.5</v>
      </c>
      <c r="E22" s="319">
        <f t="shared" si="0"/>
        <v>3.208333333333333</v>
      </c>
      <c r="G22" s="592"/>
      <c r="H22" s="591"/>
      <c r="I22" s="593"/>
      <c r="J22" s="445">
        <v>5.1319999999999997</v>
      </c>
      <c r="K22" s="187">
        <v>5.1319999999999997</v>
      </c>
      <c r="M22" s="450"/>
    </row>
    <row r="23" spans="1:13" ht="12.75" customHeight="1" x14ac:dyDescent="0.2">
      <c r="A23" s="417">
        <v>2358</v>
      </c>
      <c r="B23" s="224" t="s">
        <v>9</v>
      </c>
      <c r="C23" s="418">
        <v>1</v>
      </c>
      <c r="D23" s="418">
        <v>4.5</v>
      </c>
      <c r="E23" s="319">
        <f t="shared" si="0"/>
        <v>3.208333333333333</v>
      </c>
      <c r="G23" s="592"/>
      <c r="H23" s="591"/>
      <c r="I23" s="593"/>
      <c r="K23" s="177"/>
      <c r="M23" s="450"/>
    </row>
    <row r="24" spans="1:13" ht="12.75" x14ac:dyDescent="0.2">
      <c r="A24" s="417">
        <v>2359</v>
      </c>
      <c r="B24" s="224" t="s">
        <v>8</v>
      </c>
      <c r="C24" s="418">
        <v>3</v>
      </c>
      <c r="D24" s="418">
        <v>2</v>
      </c>
      <c r="E24" s="319">
        <f t="shared" si="0"/>
        <v>2.9166666666666665</v>
      </c>
      <c r="G24" s="592" t="s">
        <v>215</v>
      </c>
      <c r="H24" s="591" t="s">
        <v>220</v>
      </c>
      <c r="I24" s="590" t="s">
        <v>230</v>
      </c>
      <c r="J24" s="445">
        <v>0.3</v>
      </c>
      <c r="K24" s="179">
        <v>0.3</v>
      </c>
      <c r="M24" s="16"/>
    </row>
    <row r="25" spans="1:13" ht="12.75" x14ac:dyDescent="0.2">
      <c r="A25" s="417">
        <v>2360</v>
      </c>
      <c r="B25" s="224" t="s">
        <v>8</v>
      </c>
      <c r="C25" s="418">
        <v>3.5</v>
      </c>
      <c r="D25" s="418">
        <v>3</v>
      </c>
      <c r="E25" s="319">
        <f t="shared" si="0"/>
        <v>3.791666666666667</v>
      </c>
      <c r="G25" s="592"/>
      <c r="H25" s="591"/>
      <c r="I25" s="590"/>
      <c r="J25" s="6"/>
      <c r="K25" s="177"/>
      <c r="M25" s="16"/>
    </row>
    <row r="26" spans="1:13" ht="12.75" x14ac:dyDescent="0.2">
      <c r="A26" s="417">
        <v>2361</v>
      </c>
      <c r="B26" s="224" t="s">
        <v>10</v>
      </c>
      <c r="C26" s="418">
        <v>2</v>
      </c>
      <c r="D26" s="418">
        <v>4.5</v>
      </c>
      <c r="E26" s="319">
        <f t="shared" si="0"/>
        <v>3.791666666666667</v>
      </c>
      <c r="G26" s="592" t="s">
        <v>216</v>
      </c>
      <c r="H26" s="591" t="s">
        <v>233</v>
      </c>
      <c r="I26" s="448" t="s">
        <v>231</v>
      </c>
      <c r="J26" s="445">
        <v>12000000</v>
      </c>
      <c r="K26" s="180">
        <v>12000000</v>
      </c>
      <c r="M26" s="16"/>
    </row>
    <row r="27" spans="1:13" ht="12.75" x14ac:dyDescent="0.2">
      <c r="A27" s="417">
        <v>2362</v>
      </c>
      <c r="B27" s="224" t="s">
        <v>8</v>
      </c>
      <c r="C27" s="418">
        <v>1</v>
      </c>
      <c r="D27" s="418">
        <v>1</v>
      </c>
      <c r="E27" s="319">
        <f t="shared" si="0"/>
        <v>1.1666666666666667</v>
      </c>
      <c r="G27" s="592"/>
      <c r="H27" s="591"/>
      <c r="I27" s="448" t="s">
        <v>270</v>
      </c>
      <c r="J27" s="445">
        <v>12000000</v>
      </c>
      <c r="K27" s="188">
        <v>12000000</v>
      </c>
      <c r="M27" s="16"/>
    </row>
    <row r="28" spans="1:13" ht="12.75" x14ac:dyDescent="0.2">
      <c r="A28" s="417">
        <v>2363</v>
      </c>
      <c r="B28" s="224" t="s">
        <v>8</v>
      </c>
      <c r="C28" s="418">
        <v>1.5</v>
      </c>
      <c r="D28" s="418">
        <v>6</v>
      </c>
      <c r="E28" s="319">
        <f t="shared" si="0"/>
        <v>4.375</v>
      </c>
      <c r="G28" s="592" t="s">
        <v>190</v>
      </c>
      <c r="H28" s="591" t="s">
        <v>302</v>
      </c>
      <c r="I28" s="590" t="s">
        <v>232</v>
      </c>
      <c r="J28" s="445">
        <v>1250</v>
      </c>
      <c r="K28" s="181">
        <v>1250</v>
      </c>
      <c r="M28" s="16"/>
    </row>
    <row r="29" spans="1:13" ht="12.75" x14ac:dyDescent="0.2">
      <c r="A29" s="417">
        <v>2364</v>
      </c>
      <c r="B29" s="224" t="s">
        <v>10</v>
      </c>
      <c r="C29" s="418">
        <v>1</v>
      </c>
      <c r="D29" s="418">
        <v>4.5</v>
      </c>
      <c r="E29" s="319">
        <f t="shared" si="0"/>
        <v>3.208333333333333</v>
      </c>
      <c r="G29" s="592"/>
      <c r="H29" s="591"/>
      <c r="I29" s="590"/>
      <c r="J29" s="6"/>
      <c r="K29" s="182"/>
      <c r="M29" s="16"/>
    </row>
    <row r="30" spans="1:13" ht="12.75" x14ac:dyDescent="0.2">
      <c r="A30" s="417">
        <v>2365</v>
      </c>
      <c r="B30" s="224" t="s">
        <v>9</v>
      </c>
      <c r="C30" s="418">
        <v>2</v>
      </c>
      <c r="D30" s="418">
        <v>4.5</v>
      </c>
      <c r="E30" s="319">
        <f t="shared" si="0"/>
        <v>3.791666666666667</v>
      </c>
      <c r="G30" s="592" t="s">
        <v>217</v>
      </c>
      <c r="H30" s="591" t="s">
        <v>303</v>
      </c>
      <c r="I30" s="448" t="s">
        <v>271</v>
      </c>
      <c r="J30" s="445">
        <v>1250</v>
      </c>
      <c r="K30" s="192">
        <v>1250</v>
      </c>
      <c r="M30" s="16"/>
    </row>
    <row r="31" spans="1:13" x14ac:dyDescent="0.2">
      <c r="A31" s="417">
        <v>2366</v>
      </c>
      <c r="B31" s="224" t="s">
        <v>10</v>
      </c>
      <c r="C31" s="418">
        <v>1</v>
      </c>
      <c r="D31" s="418">
        <v>1</v>
      </c>
      <c r="E31" s="319">
        <f t="shared" si="0"/>
        <v>1.1666666666666667</v>
      </c>
      <c r="G31" s="592"/>
      <c r="H31" s="591"/>
      <c r="I31" s="448" t="s">
        <v>234</v>
      </c>
      <c r="J31" s="445">
        <v>1250</v>
      </c>
      <c r="K31" s="191">
        <v>1250</v>
      </c>
    </row>
    <row r="32" spans="1:13" x14ac:dyDescent="0.2">
      <c r="A32" s="417">
        <v>2367</v>
      </c>
      <c r="B32" s="224" t="s">
        <v>8</v>
      </c>
      <c r="C32" s="418">
        <v>1</v>
      </c>
      <c r="D32" s="418">
        <v>1.5</v>
      </c>
      <c r="E32" s="319">
        <f t="shared" si="0"/>
        <v>1.4583333333333333</v>
      </c>
      <c r="G32" s="592"/>
      <c r="H32" s="591"/>
      <c r="I32" s="448" t="s">
        <v>235</v>
      </c>
      <c r="J32" s="445">
        <v>-1250</v>
      </c>
      <c r="K32" s="183">
        <v>-1250</v>
      </c>
    </row>
    <row r="33" spans="1:13" x14ac:dyDescent="0.2">
      <c r="A33" s="417">
        <v>2368</v>
      </c>
      <c r="B33" s="224" t="s">
        <v>8</v>
      </c>
      <c r="C33" s="418">
        <v>1</v>
      </c>
      <c r="D33" s="418">
        <v>7.5</v>
      </c>
      <c r="E33" s="319">
        <f t="shared" si="0"/>
        <v>4.958333333333333</v>
      </c>
      <c r="G33" s="592" t="s">
        <v>218</v>
      </c>
      <c r="H33" s="591" t="s">
        <v>237</v>
      </c>
      <c r="I33" s="448" t="s">
        <v>227</v>
      </c>
      <c r="J33" s="445">
        <v>45.332999999999998</v>
      </c>
      <c r="K33" s="184">
        <v>45.332999999999998</v>
      </c>
    </row>
    <row r="34" spans="1:13" x14ac:dyDescent="0.2">
      <c r="A34" s="417">
        <v>2369</v>
      </c>
      <c r="B34" s="224" t="s">
        <v>8</v>
      </c>
      <c r="C34" s="418">
        <v>1</v>
      </c>
      <c r="D34" s="418">
        <v>3</v>
      </c>
      <c r="E34" s="319">
        <f t="shared" si="0"/>
        <v>2.3333333333333335</v>
      </c>
      <c r="G34" s="592"/>
      <c r="H34" s="591"/>
      <c r="I34" s="448" t="s">
        <v>236</v>
      </c>
      <c r="J34" s="445">
        <v>45.332999999999998</v>
      </c>
      <c r="K34" s="185">
        <v>45.332999999999998</v>
      </c>
      <c r="L34" s="6"/>
    </row>
    <row r="35" spans="1:13" x14ac:dyDescent="0.2">
      <c r="A35" s="417">
        <v>2370</v>
      </c>
      <c r="B35" s="224" t="s">
        <v>9</v>
      </c>
      <c r="C35" s="418">
        <v>1</v>
      </c>
      <c r="D35" s="418">
        <v>5</v>
      </c>
      <c r="E35" s="319">
        <f t="shared" si="0"/>
        <v>3.5</v>
      </c>
      <c r="G35" s="592" t="s">
        <v>219</v>
      </c>
      <c r="H35" s="591" t="s">
        <v>221</v>
      </c>
      <c r="I35" s="590" t="s">
        <v>226</v>
      </c>
      <c r="J35" s="445" t="s">
        <v>225</v>
      </c>
      <c r="K35" s="186" t="s">
        <v>225</v>
      </c>
      <c r="L35" s="6"/>
    </row>
    <row r="36" spans="1:13" ht="11.25" customHeight="1" x14ac:dyDescent="0.2">
      <c r="A36" s="417">
        <v>2371</v>
      </c>
      <c r="B36" s="224" t="s">
        <v>8</v>
      </c>
      <c r="C36" s="418">
        <v>2</v>
      </c>
      <c r="D36" s="418">
        <v>6.5</v>
      </c>
      <c r="E36" s="319">
        <f t="shared" si="0"/>
        <v>4.958333333333333</v>
      </c>
      <c r="G36" s="592"/>
      <c r="H36" s="591"/>
      <c r="I36" s="590"/>
      <c r="J36" s="445"/>
      <c r="K36" s="446"/>
      <c r="L36" s="6"/>
    </row>
    <row r="37" spans="1:13" x14ac:dyDescent="0.2">
      <c r="A37" s="417">
        <v>2372</v>
      </c>
      <c r="B37" s="224" t="s">
        <v>9</v>
      </c>
      <c r="C37" s="418">
        <v>1.5</v>
      </c>
      <c r="D37" s="418">
        <v>6</v>
      </c>
      <c r="E37" s="319">
        <f t="shared" si="0"/>
        <v>4.375</v>
      </c>
      <c r="G37" s="592"/>
      <c r="H37" s="591"/>
      <c r="I37" s="590"/>
      <c r="J37" s="445"/>
      <c r="K37" s="446"/>
      <c r="L37" s="6"/>
    </row>
    <row r="38" spans="1:13" ht="11.25" customHeight="1" x14ac:dyDescent="0.2">
      <c r="A38" s="417">
        <v>2373</v>
      </c>
      <c r="B38" s="224" t="s">
        <v>10</v>
      </c>
      <c r="C38" s="418">
        <v>1.5</v>
      </c>
      <c r="D38" s="418">
        <v>4.5</v>
      </c>
      <c r="E38" s="319">
        <f t="shared" si="0"/>
        <v>3.5</v>
      </c>
      <c r="L38" s="6"/>
    </row>
    <row r="39" spans="1:13" x14ac:dyDescent="0.2">
      <c r="A39" s="417">
        <v>2374</v>
      </c>
      <c r="B39" s="224" t="s">
        <v>10</v>
      </c>
      <c r="C39" s="418">
        <v>1</v>
      </c>
      <c r="D39" s="418">
        <v>2</v>
      </c>
      <c r="E39" s="319">
        <f t="shared" si="0"/>
        <v>1.75</v>
      </c>
      <c r="L39" s="6"/>
    </row>
    <row r="40" spans="1:13" ht="11.25" customHeight="1" x14ac:dyDescent="0.2">
      <c r="A40" s="417">
        <v>2375</v>
      </c>
      <c r="B40" s="224" t="s">
        <v>8</v>
      </c>
      <c r="C40" s="418">
        <v>1.5</v>
      </c>
      <c r="D40" s="418">
        <v>2.5</v>
      </c>
      <c r="E40" s="319">
        <f t="shared" si="0"/>
        <v>2.3333333333333335</v>
      </c>
      <c r="L40" s="6"/>
    </row>
    <row r="41" spans="1:13" x14ac:dyDescent="0.2">
      <c r="A41" s="417">
        <v>2376</v>
      </c>
      <c r="B41" s="224" t="s">
        <v>10</v>
      </c>
      <c r="C41" s="418">
        <v>1</v>
      </c>
      <c r="D41" s="418">
        <v>1</v>
      </c>
      <c r="E41" s="319">
        <f t="shared" si="0"/>
        <v>1.1666666666666667</v>
      </c>
    </row>
    <row r="42" spans="1:13" ht="11.25" customHeight="1" x14ac:dyDescent="0.2">
      <c r="A42" s="417">
        <v>2377</v>
      </c>
      <c r="B42" s="224" t="s">
        <v>8</v>
      </c>
      <c r="C42" s="418">
        <v>2.5</v>
      </c>
      <c r="D42" s="418">
        <v>2.5</v>
      </c>
      <c r="E42" s="319">
        <f t="shared" si="0"/>
        <v>2.9166666666666665</v>
      </c>
    </row>
    <row r="43" spans="1:13" x14ac:dyDescent="0.2">
      <c r="A43" s="417">
        <v>2378</v>
      </c>
      <c r="B43" s="224" t="s">
        <v>9</v>
      </c>
      <c r="C43" s="418">
        <v>1</v>
      </c>
      <c r="D43" s="418">
        <v>3.5</v>
      </c>
      <c r="E43" s="319">
        <f t="shared" si="0"/>
        <v>2.625</v>
      </c>
    </row>
    <row r="44" spans="1:13" ht="11.25" customHeight="1" x14ac:dyDescent="0.2">
      <c r="A44" s="417">
        <v>2379</v>
      </c>
      <c r="B44" s="224" t="s">
        <v>10</v>
      </c>
      <c r="C44" s="418">
        <v>2</v>
      </c>
      <c r="D44" s="418">
        <v>1</v>
      </c>
      <c r="E44" s="319">
        <f>SUM(C44:D44)/60*$E$7</f>
        <v>1.75</v>
      </c>
    </row>
    <row r="45" spans="1:13" x14ac:dyDescent="0.2">
      <c r="A45" s="417">
        <v>2380</v>
      </c>
      <c r="B45" s="224" t="s">
        <v>10</v>
      </c>
      <c r="C45" s="418">
        <v>1</v>
      </c>
      <c r="D45" s="418">
        <v>2.5</v>
      </c>
      <c r="E45" s="319">
        <f t="shared" si="0"/>
        <v>2.0416666666666665</v>
      </c>
    </row>
    <row r="46" spans="1:13" ht="11.25" customHeight="1" x14ac:dyDescent="0.2">
      <c r="A46" s="417">
        <v>2381</v>
      </c>
      <c r="B46" s="224" t="s">
        <v>10</v>
      </c>
      <c r="C46" s="418">
        <v>1.5</v>
      </c>
      <c r="D46" s="418">
        <v>5</v>
      </c>
      <c r="E46" s="319">
        <f t="shared" si="0"/>
        <v>3.791666666666667</v>
      </c>
      <c r="M46" s="209"/>
    </row>
    <row r="47" spans="1:13" x14ac:dyDescent="0.2">
      <c r="A47" s="417">
        <v>2382</v>
      </c>
      <c r="B47" s="224" t="s">
        <v>10</v>
      </c>
      <c r="C47" s="418">
        <v>2</v>
      </c>
      <c r="D47" s="418">
        <v>3.5</v>
      </c>
      <c r="E47" s="319">
        <f t="shared" si="0"/>
        <v>3.208333333333333</v>
      </c>
    </row>
    <row r="48" spans="1:13" x14ac:dyDescent="0.2">
      <c r="A48" s="417">
        <v>2383</v>
      </c>
      <c r="B48" s="224" t="s">
        <v>10</v>
      </c>
      <c r="C48" s="418">
        <v>1.5</v>
      </c>
      <c r="D48" s="418">
        <v>4</v>
      </c>
      <c r="E48" s="319">
        <f t="shared" si="0"/>
        <v>3.208333333333333</v>
      </c>
    </row>
    <row r="49" spans="1:5" x14ac:dyDescent="0.2">
      <c r="A49" s="417">
        <v>2384</v>
      </c>
      <c r="B49" s="224" t="s">
        <v>8</v>
      </c>
      <c r="C49" s="418">
        <v>2.5</v>
      </c>
      <c r="D49" s="418">
        <v>7</v>
      </c>
      <c r="E49" s="319">
        <f t="shared" si="0"/>
        <v>5.5416666666666661</v>
      </c>
    </row>
    <row r="50" spans="1:5" x14ac:dyDescent="0.2">
      <c r="A50" s="417">
        <v>2385</v>
      </c>
      <c r="B50" s="224" t="s">
        <v>9</v>
      </c>
      <c r="C50" s="418">
        <v>1</v>
      </c>
      <c r="D50" s="418">
        <v>2.5</v>
      </c>
      <c r="E50" s="319">
        <f t="shared" si="0"/>
        <v>2.0416666666666665</v>
      </c>
    </row>
    <row r="51" spans="1:5" x14ac:dyDescent="0.2">
      <c r="A51" s="417">
        <v>2386</v>
      </c>
      <c r="B51" s="224" t="s">
        <v>8</v>
      </c>
      <c r="C51" s="418">
        <v>3</v>
      </c>
      <c r="D51" s="418">
        <v>3.5</v>
      </c>
      <c r="E51" s="319">
        <f t="shared" si="0"/>
        <v>3.791666666666667</v>
      </c>
    </row>
    <row r="52" spans="1:5" x14ac:dyDescent="0.2">
      <c r="A52" s="417">
        <v>2387</v>
      </c>
      <c r="B52" s="224" t="s">
        <v>9</v>
      </c>
      <c r="C52" s="418">
        <v>1.5</v>
      </c>
      <c r="D52" s="418">
        <v>5.5</v>
      </c>
      <c r="E52" s="319">
        <f t="shared" si="0"/>
        <v>4.083333333333333</v>
      </c>
    </row>
    <row r="53" spans="1:5" x14ac:dyDescent="0.2">
      <c r="A53" s="417">
        <v>2388</v>
      </c>
      <c r="B53" s="224" t="s">
        <v>10</v>
      </c>
      <c r="C53" s="418">
        <v>1.5</v>
      </c>
      <c r="D53" s="418">
        <v>4</v>
      </c>
      <c r="E53" s="319">
        <f t="shared" si="0"/>
        <v>3.208333333333333</v>
      </c>
    </row>
    <row r="54" spans="1:5" x14ac:dyDescent="0.2">
      <c r="A54" s="417">
        <v>2389</v>
      </c>
      <c r="B54" s="224" t="s">
        <v>9</v>
      </c>
      <c r="C54" s="418">
        <v>1.5</v>
      </c>
      <c r="D54" s="418">
        <v>2.5</v>
      </c>
      <c r="E54" s="319">
        <f t="shared" si="0"/>
        <v>2.3333333333333335</v>
      </c>
    </row>
    <row r="55" spans="1:5" x14ac:dyDescent="0.2">
      <c r="A55" s="417">
        <v>2390</v>
      </c>
      <c r="B55" s="224" t="s">
        <v>9</v>
      </c>
      <c r="C55" s="418">
        <v>2.5</v>
      </c>
      <c r="D55" s="418">
        <v>6</v>
      </c>
      <c r="E55" s="319">
        <f t="shared" si="0"/>
        <v>4.958333333333333</v>
      </c>
    </row>
    <row r="56" spans="1:5" x14ac:dyDescent="0.2">
      <c r="A56" s="417">
        <v>2391</v>
      </c>
      <c r="B56" s="224" t="s">
        <v>10</v>
      </c>
      <c r="C56" s="418">
        <v>1</v>
      </c>
      <c r="D56" s="418">
        <v>1</v>
      </c>
      <c r="E56" s="319">
        <f t="shared" si="0"/>
        <v>1.1666666666666667</v>
      </c>
    </row>
    <row r="57" spans="1:5" x14ac:dyDescent="0.2">
      <c r="A57" s="417">
        <v>2392</v>
      </c>
      <c r="B57" s="224" t="s">
        <v>10</v>
      </c>
      <c r="C57" s="418">
        <v>1</v>
      </c>
      <c r="D57" s="418">
        <v>1.5</v>
      </c>
      <c r="E57" s="319">
        <f t="shared" si="0"/>
        <v>1.4583333333333333</v>
      </c>
    </row>
    <row r="58" spans="1:5" x14ac:dyDescent="0.2">
      <c r="A58" s="417">
        <v>2393</v>
      </c>
      <c r="B58" s="224" t="s">
        <v>9</v>
      </c>
      <c r="C58" s="418">
        <v>1.5</v>
      </c>
      <c r="D58" s="418">
        <v>5.5</v>
      </c>
      <c r="E58" s="319">
        <f t="shared" si="0"/>
        <v>4.083333333333333</v>
      </c>
    </row>
    <row r="59" spans="1:5" x14ac:dyDescent="0.2">
      <c r="A59" s="417">
        <v>2394</v>
      </c>
      <c r="B59" s="224" t="s">
        <v>9</v>
      </c>
      <c r="C59" s="418">
        <v>2</v>
      </c>
      <c r="D59" s="418">
        <v>2</v>
      </c>
      <c r="E59" s="319">
        <f t="shared" si="0"/>
        <v>2.3333333333333335</v>
      </c>
    </row>
    <row r="60" spans="1:5" x14ac:dyDescent="0.2">
      <c r="A60" s="417">
        <v>2395</v>
      </c>
      <c r="B60" s="224" t="s">
        <v>8</v>
      </c>
      <c r="C60" s="418">
        <v>3.5</v>
      </c>
      <c r="D60" s="418">
        <v>1.5</v>
      </c>
      <c r="E60" s="319">
        <f t="shared" si="0"/>
        <v>2.9166666666666665</v>
      </c>
    </row>
    <row r="61" spans="1:5" x14ac:dyDescent="0.2">
      <c r="A61" s="417">
        <v>2396</v>
      </c>
      <c r="B61" s="224" t="s">
        <v>10</v>
      </c>
      <c r="C61" s="418">
        <v>2</v>
      </c>
      <c r="D61" s="418">
        <v>1</v>
      </c>
      <c r="E61" s="319">
        <f t="shared" si="0"/>
        <v>1.75</v>
      </c>
    </row>
    <row r="62" spans="1:5" x14ac:dyDescent="0.2">
      <c r="A62" s="417">
        <v>2397</v>
      </c>
      <c r="B62" s="224" t="s">
        <v>10</v>
      </c>
      <c r="C62" s="418">
        <v>1</v>
      </c>
      <c r="D62" s="418">
        <v>5</v>
      </c>
      <c r="E62" s="319">
        <f t="shared" si="0"/>
        <v>3.5</v>
      </c>
    </row>
    <row r="63" spans="1:5" x14ac:dyDescent="0.2">
      <c r="A63" s="417">
        <v>2398</v>
      </c>
      <c r="B63" s="224" t="s">
        <v>10</v>
      </c>
      <c r="C63" s="418">
        <v>1</v>
      </c>
      <c r="D63" s="418">
        <v>1</v>
      </c>
      <c r="E63" s="319">
        <f t="shared" si="0"/>
        <v>1.1666666666666667</v>
      </c>
    </row>
    <row r="64" spans="1:5" x14ac:dyDescent="0.2">
      <c r="A64" s="417">
        <v>2399</v>
      </c>
      <c r="B64" s="224" t="s">
        <v>10</v>
      </c>
      <c r="C64" s="418">
        <v>1</v>
      </c>
      <c r="D64" s="418">
        <v>3</v>
      </c>
      <c r="E64" s="319">
        <f t="shared" si="0"/>
        <v>2.3333333333333335</v>
      </c>
    </row>
    <row r="65" spans="1:5" x14ac:dyDescent="0.2">
      <c r="A65" s="417">
        <v>2400</v>
      </c>
      <c r="B65" s="224" t="s">
        <v>10</v>
      </c>
      <c r="C65" s="418">
        <v>1</v>
      </c>
      <c r="D65" s="418">
        <v>1.5</v>
      </c>
      <c r="E65" s="319">
        <f t="shared" si="0"/>
        <v>1.4583333333333333</v>
      </c>
    </row>
    <row r="66" spans="1:5" x14ac:dyDescent="0.2">
      <c r="A66" s="417">
        <v>2401</v>
      </c>
      <c r="B66" s="224" t="s">
        <v>10</v>
      </c>
      <c r="C66" s="418">
        <v>1.5</v>
      </c>
      <c r="D66" s="418">
        <v>4.5</v>
      </c>
      <c r="E66" s="319">
        <f t="shared" si="0"/>
        <v>3.5</v>
      </c>
    </row>
    <row r="67" spans="1:5" ht="11.25" customHeight="1" x14ac:dyDescent="0.2">
      <c r="A67" s="417">
        <v>2402</v>
      </c>
      <c r="B67" s="224" t="s">
        <v>8</v>
      </c>
      <c r="C67" s="418">
        <v>2.5</v>
      </c>
      <c r="D67" s="418">
        <v>5.5</v>
      </c>
      <c r="E67" s="319">
        <f t="shared" si="0"/>
        <v>4.666666666666667</v>
      </c>
    </row>
    <row r="68" spans="1:5" x14ac:dyDescent="0.2">
      <c r="A68" s="417">
        <v>2403</v>
      </c>
      <c r="B68" s="224" t="s">
        <v>8</v>
      </c>
      <c r="C68" s="418">
        <v>1</v>
      </c>
      <c r="D68" s="418">
        <v>7</v>
      </c>
      <c r="E68" s="319">
        <f t="shared" si="0"/>
        <v>4.666666666666667</v>
      </c>
    </row>
    <row r="69" spans="1:5" x14ac:dyDescent="0.2">
      <c r="A69" s="417">
        <v>2404</v>
      </c>
      <c r="B69" s="224" t="s">
        <v>9</v>
      </c>
      <c r="C69" s="418">
        <v>1</v>
      </c>
      <c r="D69" s="418">
        <v>2</v>
      </c>
      <c r="E69" s="319">
        <f t="shared" si="0"/>
        <v>1.75</v>
      </c>
    </row>
    <row r="70" spans="1:5" x14ac:dyDescent="0.2">
      <c r="A70" s="417">
        <v>2405</v>
      </c>
      <c r="B70" s="224" t="s">
        <v>10</v>
      </c>
      <c r="C70" s="418">
        <v>1</v>
      </c>
      <c r="D70" s="418">
        <v>5</v>
      </c>
      <c r="E70" s="319">
        <f t="shared" si="0"/>
        <v>3.5</v>
      </c>
    </row>
    <row r="71" spans="1:5" x14ac:dyDescent="0.2">
      <c r="A71" s="417">
        <v>2406</v>
      </c>
      <c r="B71" s="224" t="s">
        <v>8</v>
      </c>
      <c r="C71" s="418">
        <v>4</v>
      </c>
      <c r="D71" s="418">
        <v>7</v>
      </c>
      <c r="E71" s="319">
        <f t="shared" si="0"/>
        <v>6.4166666666666661</v>
      </c>
    </row>
    <row r="72" spans="1:5" x14ac:dyDescent="0.2">
      <c r="A72" s="417">
        <v>2407</v>
      </c>
      <c r="B72" s="224" t="s">
        <v>9</v>
      </c>
      <c r="C72" s="418">
        <v>1.5</v>
      </c>
      <c r="D72" s="418">
        <v>4</v>
      </c>
      <c r="E72" s="319">
        <f t="shared" si="0"/>
        <v>3.208333333333333</v>
      </c>
    </row>
    <row r="73" spans="1:5" x14ac:dyDescent="0.2">
      <c r="A73" s="417">
        <v>2408</v>
      </c>
      <c r="B73" s="224" t="s">
        <v>8</v>
      </c>
      <c r="C73" s="418">
        <v>1</v>
      </c>
      <c r="D73" s="418">
        <v>3.5</v>
      </c>
      <c r="E73" s="319">
        <f t="shared" si="0"/>
        <v>2.625</v>
      </c>
    </row>
    <row r="74" spans="1:5" x14ac:dyDescent="0.2">
      <c r="A74" s="417">
        <v>2409</v>
      </c>
      <c r="B74" s="224" t="s">
        <v>10</v>
      </c>
      <c r="C74" s="418">
        <v>2</v>
      </c>
      <c r="D74" s="418">
        <v>1</v>
      </c>
      <c r="E74" s="319">
        <f t="shared" si="0"/>
        <v>1.75</v>
      </c>
    </row>
    <row r="75" spans="1:5" x14ac:dyDescent="0.2">
      <c r="A75" s="417">
        <v>2410</v>
      </c>
      <c r="B75" s="224" t="s">
        <v>9</v>
      </c>
      <c r="C75" s="418">
        <v>1.5</v>
      </c>
      <c r="D75" s="418">
        <v>1</v>
      </c>
      <c r="E75" s="319">
        <f t="shared" ref="E75:E109" si="1">SUM(C75:D75)/60*$E$7</f>
        <v>1.4583333333333333</v>
      </c>
    </row>
    <row r="76" spans="1:5" x14ac:dyDescent="0.2">
      <c r="A76" s="417">
        <v>2411</v>
      </c>
      <c r="B76" s="224" t="s">
        <v>10</v>
      </c>
      <c r="C76" s="418">
        <v>1</v>
      </c>
      <c r="D76" s="418">
        <v>4.5</v>
      </c>
      <c r="E76" s="319">
        <f t="shared" si="1"/>
        <v>3.208333333333333</v>
      </c>
    </row>
    <row r="77" spans="1:5" x14ac:dyDescent="0.2">
      <c r="A77" s="417">
        <v>2412</v>
      </c>
      <c r="B77" s="224" t="s">
        <v>9</v>
      </c>
      <c r="C77" s="418">
        <v>3</v>
      </c>
      <c r="D77" s="418">
        <v>1</v>
      </c>
      <c r="E77" s="319">
        <f t="shared" si="1"/>
        <v>2.3333333333333335</v>
      </c>
    </row>
    <row r="78" spans="1:5" x14ac:dyDescent="0.2">
      <c r="A78" s="417">
        <v>2413</v>
      </c>
      <c r="B78" s="224" t="s">
        <v>10</v>
      </c>
      <c r="C78" s="418">
        <v>2</v>
      </c>
      <c r="D78" s="418">
        <v>1</v>
      </c>
      <c r="E78" s="319">
        <f t="shared" si="1"/>
        <v>1.75</v>
      </c>
    </row>
    <row r="79" spans="1:5" x14ac:dyDescent="0.2">
      <c r="A79" s="417">
        <v>2414</v>
      </c>
      <c r="B79" s="224" t="s">
        <v>8</v>
      </c>
      <c r="C79" s="418">
        <v>1</v>
      </c>
      <c r="D79" s="418">
        <v>4.5</v>
      </c>
      <c r="E79" s="319">
        <f t="shared" si="1"/>
        <v>3.208333333333333</v>
      </c>
    </row>
    <row r="80" spans="1:5" x14ac:dyDescent="0.2">
      <c r="A80" s="417">
        <v>2415</v>
      </c>
      <c r="B80" s="224" t="s">
        <v>9</v>
      </c>
      <c r="C80" s="418">
        <v>1</v>
      </c>
      <c r="D80" s="418">
        <v>5</v>
      </c>
      <c r="E80" s="319">
        <f t="shared" si="1"/>
        <v>3.5</v>
      </c>
    </row>
    <row r="81" spans="1:5" x14ac:dyDescent="0.2">
      <c r="A81" s="417">
        <v>2416</v>
      </c>
      <c r="B81" s="224" t="s">
        <v>10</v>
      </c>
      <c r="C81" s="418">
        <v>1</v>
      </c>
      <c r="D81" s="418">
        <v>3.5</v>
      </c>
      <c r="E81" s="319">
        <f t="shared" si="1"/>
        <v>2.625</v>
      </c>
    </row>
    <row r="82" spans="1:5" x14ac:dyDescent="0.2">
      <c r="A82" s="417">
        <v>2417</v>
      </c>
      <c r="B82" s="224" t="s">
        <v>10</v>
      </c>
      <c r="C82" s="418">
        <v>1</v>
      </c>
      <c r="D82" s="418">
        <v>2.5</v>
      </c>
      <c r="E82" s="319">
        <f t="shared" si="1"/>
        <v>2.0416666666666665</v>
      </c>
    </row>
    <row r="83" spans="1:5" x14ac:dyDescent="0.2">
      <c r="A83" s="417">
        <v>2418</v>
      </c>
      <c r="B83" s="224" t="s">
        <v>10</v>
      </c>
      <c r="C83" s="418">
        <v>1</v>
      </c>
      <c r="D83" s="418">
        <v>3</v>
      </c>
      <c r="E83" s="319">
        <f t="shared" si="1"/>
        <v>2.3333333333333335</v>
      </c>
    </row>
    <row r="84" spans="1:5" x14ac:dyDescent="0.2">
      <c r="A84" s="417">
        <v>2419</v>
      </c>
      <c r="B84" s="224" t="s">
        <v>10</v>
      </c>
      <c r="C84" s="418">
        <v>2</v>
      </c>
      <c r="D84" s="418">
        <v>1</v>
      </c>
      <c r="E84" s="319">
        <f t="shared" si="1"/>
        <v>1.75</v>
      </c>
    </row>
    <row r="85" spans="1:5" x14ac:dyDescent="0.2">
      <c r="A85" s="417">
        <v>2420</v>
      </c>
      <c r="B85" s="224" t="s">
        <v>10</v>
      </c>
      <c r="C85" s="418">
        <v>1</v>
      </c>
      <c r="D85" s="418">
        <v>1</v>
      </c>
      <c r="E85" s="319">
        <f t="shared" si="1"/>
        <v>1.1666666666666667</v>
      </c>
    </row>
    <row r="86" spans="1:5" x14ac:dyDescent="0.2">
      <c r="A86" s="417">
        <v>2421</v>
      </c>
      <c r="B86" s="224" t="s">
        <v>9</v>
      </c>
      <c r="C86" s="418">
        <v>1</v>
      </c>
      <c r="D86" s="418">
        <v>5.5</v>
      </c>
      <c r="E86" s="319">
        <f t="shared" si="1"/>
        <v>3.791666666666667</v>
      </c>
    </row>
    <row r="87" spans="1:5" x14ac:dyDescent="0.2">
      <c r="A87" s="417">
        <v>2422</v>
      </c>
      <c r="B87" s="224" t="s">
        <v>10</v>
      </c>
      <c r="C87" s="418">
        <v>1</v>
      </c>
      <c r="D87" s="418">
        <v>1</v>
      </c>
      <c r="E87" s="319">
        <f t="shared" si="1"/>
        <v>1.1666666666666667</v>
      </c>
    </row>
    <row r="88" spans="1:5" x14ac:dyDescent="0.2">
      <c r="A88" s="417">
        <v>2423</v>
      </c>
      <c r="B88" s="224" t="s">
        <v>10</v>
      </c>
      <c r="C88" s="418">
        <v>1</v>
      </c>
      <c r="D88" s="418">
        <v>1</v>
      </c>
      <c r="E88" s="319">
        <f t="shared" si="1"/>
        <v>1.1666666666666667</v>
      </c>
    </row>
    <row r="89" spans="1:5" x14ac:dyDescent="0.2">
      <c r="A89" s="417">
        <v>2424</v>
      </c>
      <c r="B89" s="224" t="s">
        <v>10</v>
      </c>
      <c r="C89" s="418">
        <v>1.5</v>
      </c>
      <c r="D89" s="418">
        <v>1</v>
      </c>
      <c r="E89" s="319">
        <f t="shared" si="1"/>
        <v>1.4583333333333333</v>
      </c>
    </row>
    <row r="90" spans="1:5" x14ac:dyDescent="0.2">
      <c r="A90" s="417">
        <v>2425</v>
      </c>
      <c r="B90" s="224" t="s">
        <v>10</v>
      </c>
      <c r="C90" s="418">
        <v>1</v>
      </c>
      <c r="D90" s="418">
        <v>1.5</v>
      </c>
      <c r="E90" s="319">
        <f t="shared" si="1"/>
        <v>1.4583333333333333</v>
      </c>
    </row>
    <row r="91" spans="1:5" x14ac:dyDescent="0.2">
      <c r="A91" s="417">
        <v>2426</v>
      </c>
      <c r="B91" s="224" t="s">
        <v>10</v>
      </c>
      <c r="C91" s="418">
        <v>1</v>
      </c>
      <c r="D91" s="418">
        <v>4</v>
      </c>
      <c r="E91" s="319">
        <f t="shared" si="1"/>
        <v>2.9166666666666665</v>
      </c>
    </row>
    <row r="92" spans="1:5" x14ac:dyDescent="0.2">
      <c r="A92" s="417">
        <v>2427</v>
      </c>
      <c r="B92" s="224" t="s">
        <v>8</v>
      </c>
      <c r="C92" s="418">
        <v>2</v>
      </c>
      <c r="D92" s="418">
        <v>3.5</v>
      </c>
      <c r="E92" s="319">
        <f t="shared" si="1"/>
        <v>3.208333333333333</v>
      </c>
    </row>
    <row r="93" spans="1:5" x14ac:dyDescent="0.2">
      <c r="A93" s="417">
        <v>2428</v>
      </c>
      <c r="B93" s="224" t="s">
        <v>8</v>
      </c>
      <c r="C93" s="418">
        <v>3.5</v>
      </c>
      <c r="D93" s="418">
        <v>1.5</v>
      </c>
      <c r="E93" s="319">
        <f t="shared" si="1"/>
        <v>2.9166666666666665</v>
      </c>
    </row>
    <row r="94" spans="1:5" x14ac:dyDescent="0.2">
      <c r="A94" s="417">
        <v>2429</v>
      </c>
      <c r="B94" s="224" t="s">
        <v>10</v>
      </c>
      <c r="C94" s="418">
        <v>1.5</v>
      </c>
      <c r="D94" s="418">
        <v>2.5</v>
      </c>
      <c r="E94" s="319">
        <f t="shared" si="1"/>
        <v>2.3333333333333335</v>
      </c>
    </row>
    <row r="95" spans="1:5" x14ac:dyDescent="0.2">
      <c r="A95" s="417">
        <v>2430</v>
      </c>
      <c r="B95" s="224" t="s">
        <v>9</v>
      </c>
      <c r="C95" s="418">
        <v>2.5</v>
      </c>
      <c r="D95" s="418">
        <v>6</v>
      </c>
      <c r="E95" s="319">
        <f t="shared" si="1"/>
        <v>4.958333333333333</v>
      </c>
    </row>
    <row r="96" spans="1:5" x14ac:dyDescent="0.2">
      <c r="A96" s="417">
        <v>2431</v>
      </c>
      <c r="B96" s="224" t="s">
        <v>8</v>
      </c>
      <c r="C96" s="418">
        <v>2.5</v>
      </c>
      <c r="D96" s="418">
        <v>3.5</v>
      </c>
      <c r="E96" s="319">
        <f t="shared" si="1"/>
        <v>3.5</v>
      </c>
    </row>
    <row r="97" spans="1:6" x14ac:dyDescent="0.2">
      <c r="A97" s="417">
        <v>2432</v>
      </c>
      <c r="B97" s="224" t="s">
        <v>10</v>
      </c>
      <c r="C97" s="418">
        <v>1</v>
      </c>
      <c r="D97" s="418">
        <v>2</v>
      </c>
      <c r="E97" s="319">
        <f t="shared" si="1"/>
        <v>1.75</v>
      </c>
    </row>
    <row r="98" spans="1:6" x14ac:dyDescent="0.2">
      <c r="A98" s="417">
        <v>2433</v>
      </c>
      <c r="B98" s="224" t="s">
        <v>8</v>
      </c>
      <c r="C98" s="418">
        <v>1</v>
      </c>
      <c r="D98" s="418">
        <v>2</v>
      </c>
      <c r="E98" s="319">
        <f t="shared" si="1"/>
        <v>1.75</v>
      </c>
    </row>
    <row r="99" spans="1:6" x14ac:dyDescent="0.2">
      <c r="A99" s="417">
        <v>2434</v>
      </c>
      <c r="B99" s="224" t="s">
        <v>10</v>
      </c>
      <c r="C99" s="418">
        <v>1</v>
      </c>
      <c r="D99" s="418">
        <v>4</v>
      </c>
      <c r="E99" s="319">
        <f t="shared" si="1"/>
        <v>2.9166666666666665</v>
      </c>
    </row>
    <row r="100" spans="1:6" x14ac:dyDescent="0.2">
      <c r="A100" s="417">
        <v>2435</v>
      </c>
      <c r="B100" s="224" t="s">
        <v>10</v>
      </c>
      <c r="C100" s="418">
        <v>1.5</v>
      </c>
      <c r="D100" s="418">
        <v>2</v>
      </c>
      <c r="E100" s="319">
        <f t="shared" si="1"/>
        <v>2.0416666666666665</v>
      </c>
    </row>
    <row r="101" spans="1:6" x14ac:dyDescent="0.2">
      <c r="A101" s="417">
        <v>2436</v>
      </c>
      <c r="B101" s="224" t="s">
        <v>8</v>
      </c>
      <c r="C101" s="418">
        <v>2.5</v>
      </c>
      <c r="D101" s="418">
        <v>4.5</v>
      </c>
      <c r="E101" s="319">
        <f t="shared" si="1"/>
        <v>4.083333333333333</v>
      </c>
    </row>
    <row r="102" spans="1:6" x14ac:dyDescent="0.2">
      <c r="A102" s="417">
        <v>2437</v>
      </c>
      <c r="B102" s="224" t="s">
        <v>10</v>
      </c>
      <c r="C102" s="418">
        <v>1.5</v>
      </c>
      <c r="D102" s="418">
        <v>1</v>
      </c>
      <c r="E102" s="319">
        <f t="shared" si="1"/>
        <v>1.4583333333333333</v>
      </c>
    </row>
    <row r="103" spans="1:6" x14ac:dyDescent="0.2">
      <c r="A103" s="417">
        <v>2438</v>
      </c>
      <c r="B103" s="224" t="s">
        <v>10</v>
      </c>
      <c r="C103" s="418">
        <v>1.5</v>
      </c>
      <c r="D103" s="418">
        <v>1</v>
      </c>
      <c r="E103" s="319">
        <f t="shared" si="1"/>
        <v>1.4583333333333333</v>
      </c>
    </row>
    <row r="104" spans="1:6" x14ac:dyDescent="0.2">
      <c r="A104" s="417">
        <v>2439</v>
      </c>
      <c r="B104" s="224" t="s">
        <v>8</v>
      </c>
      <c r="C104" s="418">
        <v>1</v>
      </c>
      <c r="D104" s="418">
        <v>5.5</v>
      </c>
      <c r="E104" s="319">
        <f t="shared" si="1"/>
        <v>3.791666666666667</v>
      </c>
    </row>
    <row r="105" spans="1:6" x14ac:dyDescent="0.2">
      <c r="A105" s="417">
        <v>2440</v>
      </c>
      <c r="B105" s="224" t="s">
        <v>10</v>
      </c>
      <c r="C105" s="418">
        <v>1</v>
      </c>
      <c r="D105" s="418">
        <v>5</v>
      </c>
      <c r="E105" s="319">
        <f t="shared" si="1"/>
        <v>3.5</v>
      </c>
    </row>
    <row r="106" spans="1:6" x14ac:dyDescent="0.2">
      <c r="A106" s="417">
        <v>2441</v>
      </c>
      <c r="B106" s="224" t="s">
        <v>10</v>
      </c>
      <c r="C106" s="418">
        <v>1</v>
      </c>
      <c r="D106" s="418">
        <v>2</v>
      </c>
      <c r="E106" s="319">
        <f t="shared" si="1"/>
        <v>1.75</v>
      </c>
    </row>
    <row r="107" spans="1:6" x14ac:dyDescent="0.2">
      <c r="A107" s="417">
        <v>2442</v>
      </c>
      <c r="B107" s="224" t="s">
        <v>8</v>
      </c>
      <c r="C107" s="418">
        <v>3.5</v>
      </c>
      <c r="D107" s="418">
        <v>5</v>
      </c>
      <c r="E107" s="319">
        <f t="shared" si="1"/>
        <v>4.958333333333333</v>
      </c>
    </row>
    <row r="108" spans="1:6" x14ac:dyDescent="0.2">
      <c r="A108" s="417">
        <v>2443</v>
      </c>
      <c r="B108" s="224" t="s">
        <v>9</v>
      </c>
      <c r="C108" s="418">
        <v>1</v>
      </c>
      <c r="D108" s="418">
        <v>4</v>
      </c>
      <c r="E108" s="319">
        <f t="shared" si="1"/>
        <v>2.9166666666666665</v>
      </c>
    </row>
    <row r="109" spans="1:6" x14ac:dyDescent="0.2">
      <c r="A109" s="417">
        <v>2444</v>
      </c>
      <c r="B109" s="224" t="s">
        <v>8</v>
      </c>
      <c r="C109" s="418">
        <v>1.5</v>
      </c>
      <c r="D109" s="418">
        <v>1</v>
      </c>
      <c r="E109" s="319">
        <f t="shared" si="1"/>
        <v>1.4583333333333333</v>
      </c>
    </row>
    <row r="110" spans="1:6" x14ac:dyDescent="0.2">
      <c r="A110" s="306"/>
      <c r="B110" s="447"/>
      <c r="C110" s="306"/>
      <c r="D110" s="306"/>
      <c r="E110" s="314"/>
      <c r="F110" s="127"/>
    </row>
    <row r="111" spans="1:6" x14ac:dyDescent="0.2">
      <c r="A111" s="126" t="s">
        <v>33</v>
      </c>
      <c r="B111" s="125"/>
      <c r="C111" s="127">
        <f>SUM(C10:C110)</f>
        <v>154.5</v>
      </c>
      <c r="D111" s="127">
        <f>SUM(D10:D110)</f>
        <v>321.5</v>
      </c>
      <c r="E111" s="128">
        <f>SUM(E10:E110)</f>
        <v>277.66666666666663</v>
      </c>
      <c r="F111" s="127"/>
    </row>
    <row r="112" spans="1:6" x14ac:dyDescent="0.2">
      <c r="A112" s="126" t="s">
        <v>34</v>
      </c>
      <c r="B112" s="125"/>
      <c r="C112" s="127">
        <f>AVERAGE(C10:C110)</f>
        <v>1.5606060606060606</v>
      </c>
      <c r="D112" s="127">
        <f>AVERAGE(D10:D110)</f>
        <v>3.2474747474747474</v>
      </c>
      <c r="E112" s="129">
        <f>AVERAGE(E10:E110)</f>
        <v>2.7766666666666664</v>
      </c>
      <c r="F112" s="127"/>
    </row>
    <row r="113" spans="1:6" x14ac:dyDescent="0.2">
      <c r="A113" s="126" t="s">
        <v>35</v>
      </c>
      <c r="B113" s="125"/>
      <c r="C113" s="127">
        <f>STDEV(C10:C110)</f>
        <v>0.72938584478665269</v>
      </c>
      <c r="D113" s="127">
        <f>STDEV(D10:D110)</f>
        <v>1.8549076347730837</v>
      </c>
      <c r="E113" s="129">
        <f>STDEV(E10:E110)</f>
        <v>1.2273126318490732</v>
      </c>
      <c r="F113" s="127"/>
    </row>
    <row r="114" spans="1:6" x14ac:dyDescent="0.2">
      <c r="A114" s="126"/>
      <c r="B114" s="125"/>
      <c r="C114" s="127"/>
      <c r="D114" s="126"/>
      <c r="E114" s="127"/>
      <c r="F114" s="127"/>
    </row>
    <row r="115" spans="1:6" x14ac:dyDescent="0.2">
      <c r="A115" s="126"/>
      <c r="B115" s="125"/>
      <c r="C115" s="127"/>
      <c r="D115" s="127"/>
    </row>
  </sheetData>
  <mergeCells count="25">
    <mergeCell ref="C7:D7"/>
    <mergeCell ref="H15:H17"/>
    <mergeCell ref="M10:M19"/>
    <mergeCell ref="G33:G34"/>
    <mergeCell ref="H33:H34"/>
    <mergeCell ref="G15:G17"/>
    <mergeCell ref="H30:H32"/>
    <mergeCell ref="H24:H25"/>
    <mergeCell ref="H26:H27"/>
    <mergeCell ref="H28:H29"/>
    <mergeCell ref="I35:I37"/>
    <mergeCell ref="H21:H23"/>
    <mergeCell ref="G21:G23"/>
    <mergeCell ref="I21:I23"/>
    <mergeCell ref="I15:I16"/>
    <mergeCell ref="I28:I29"/>
    <mergeCell ref="I24:I25"/>
    <mergeCell ref="G28:G29"/>
    <mergeCell ref="G30:G32"/>
    <mergeCell ref="G35:G37"/>
    <mergeCell ref="G24:G25"/>
    <mergeCell ref="H35:H37"/>
    <mergeCell ref="G26:G27"/>
    <mergeCell ref="G18:G20"/>
    <mergeCell ref="H18:H20"/>
  </mergeCells>
  <phoneticPr fontId="3" type="noConversion"/>
  <pageMargins left="0.75" right="0.75" top="1" bottom="1" header="0.5" footer="0.5"/>
  <pageSetup orientation="portrait" horizontalDpi="4294967293" r:id="rId1"/>
  <headerFooter alignWithMargins="0"/>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045CA-6C8B-40EA-ACAC-48740CB9BF15}">
  <sheetPr codeName="Sheet33"/>
  <dimension ref="A1:M31"/>
  <sheetViews>
    <sheetView zoomScale="130" zoomScaleNormal="130" workbookViewId="0">
      <selection activeCell="A4" sqref="A4"/>
    </sheetView>
  </sheetViews>
  <sheetFormatPr defaultRowHeight="12.75" x14ac:dyDescent="0.2"/>
  <cols>
    <col min="2" max="2" width="8.5703125" bestFit="1" customWidth="1"/>
    <col min="3" max="3" width="30.7109375" bestFit="1" customWidth="1"/>
    <col min="4" max="4" width="10.7109375" bestFit="1" customWidth="1"/>
    <col min="5" max="5" width="7.28515625" bestFit="1" customWidth="1"/>
    <col min="6" max="6" width="10.140625" bestFit="1" customWidth="1"/>
    <col min="9" max="9" width="19.85546875" bestFit="1" customWidth="1"/>
    <col min="10" max="10" width="10" bestFit="1" customWidth="1"/>
    <col min="11" max="11" width="10.5703125" bestFit="1" customWidth="1"/>
    <col min="12" max="13" width="8.140625" customWidth="1"/>
  </cols>
  <sheetData>
    <row r="1" spans="1:13" ht="18" x14ac:dyDescent="0.25">
      <c r="A1" s="454" t="s">
        <v>422</v>
      </c>
    </row>
    <row r="4" spans="1:13" x14ac:dyDescent="0.2">
      <c r="A4" s="501" t="str">
        <f>IF(B2="","",B2)</f>
        <v/>
      </c>
    </row>
    <row r="6" spans="1:13" ht="26.25" thickBot="1" x14ac:dyDescent="0.3">
      <c r="B6" s="213"/>
      <c r="C6" s="201" t="s">
        <v>275</v>
      </c>
      <c r="D6" s="201" t="s">
        <v>212</v>
      </c>
      <c r="E6" s="214" t="s">
        <v>213</v>
      </c>
      <c r="F6" s="213"/>
      <c r="G6" s="213"/>
      <c r="H6" s="213"/>
      <c r="I6" s="473" t="s">
        <v>289</v>
      </c>
      <c r="J6" s="473" t="s">
        <v>290</v>
      </c>
      <c r="K6" s="473" t="s">
        <v>290</v>
      </c>
      <c r="L6" s="473" t="s">
        <v>290</v>
      </c>
      <c r="M6" s="473" t="s">
        <v>290</v>
      </c>
    </row>
    <row r="7" spans="1:13" x14ac:dyDescent="0.2">
      <c r="B7" s="177" t="s">
        <v>272</v>
      </c>
      <c r="C7" s="6" t="s">
        <v>274</v>
      </c>
      <c r="D7" s="213">
        <v>1250</v>
      </c>
      <c r="E7" s="193">
        <v>1250</v>
      </c>
      <c r="F7" s="213"/>
      <c r="G7" s="213"/>
      <c r="H7" s="213"/>
      <c r="I7" s="458" t="s">
        <v>291</v>
      </c>
      <c r="J7" s="458">
        <v>2012</v>
      </c>
      <c r="K7" s="458">
        <v>-2012</v>
      </c>
      <c r="L7" s="458">
        <v>202</v>
      </c>
      <c r="M7" s="458">
        <v>-202</v>
      </c>
    </row>
    <row r="8" spans="1:13" x14ac:dyDescent="0.2">
      <c r="B8" s="177" t="s">
        <v>272</v>
      </c>
      <c r="C8" s="6" t="s">
        <v>282</v>
      </c>
      <c r="D8" s="213">
        <v>1250</v>
      </c>
      <c r="E8" s="206">
        <v>1250</v>
      </c>
      <c r="F8" s="213" t="s">
        <v>281</v>
      </c>
      <c r="G8" s="213"/>
      <c r="H8" s="213"/>
      <c r="I8" s="457">
        <v>0</v>
      </c>
      <c r="J8" s="459">
        <v>2012</v>
      </c>
      <c r="K8" s="459">
        <v>-2012</v>
      </c>
      <c r="L8" s="459">
        <v>202</v>
      </c>
      <c r="M8" s="459">
        <v>-202</v>
      </c>
    </row>
    <row r="9" spans="1:13" x14ac:dyDescent="0.2">
      <c r="B9" s="177" t="s">
        <v>272</v>
      </c>
      <c r="C9" s="6" t="s">
        <v>274</v>
      </c>
      <c r="D9" s="213">
        <v>-1250</v>
      </c>
      <c r="E9" s="189">
        <v>-1250</v>
      </c>
      <c r="F9" s="213"/>
      <c r="G9" s="213"/>
      <c r="H9" s="213"/>
      <c r="I9" s="457" t="s">
        <v>214</v>
      </c>
      <c r="J9" s="460">
        <v>2012</v>
      </c>
      <c r="K9" s="460">
        <v>-2012</v>
      </c>
      <c r="L9" s="460">
        <v>202</v>
      </c>
      <c r="M9" s="460">
        <v>-202</v>
      </c>
    </row>
    <row r="10" spans="1:13" x14ac:dyDescent="0.2">
      <c r="B10" s="177" t="s">
        <v>272</v>
      </c>
      <c r="C10" s="6" t="s">
        <v>274</v>
      </c>
      <c r="D10" s="213">
        <v>0</v>
      </c>
      <c r="E10" s="193">
        <v>0</v>
      </c>
      <c r="F10" s="213"/>
      <c r="G10" s="213"/>
      <c r="H10" s="213"/>
      <c r="I10" s="461">
        <v>0</v>
      </c>
      <c r="J10" s="461">
        <v>2012</v>
      </c>
      <c r="K10" s="461">
        <v>-2012</v>
      </c>
      <c r="L10" s="461">
        <v>202</v>
      </c>
      <c r="M10" s="461">
        <v>-202</v>
      </c>
    </row>
    <row r="11" spans="1:13" x14ac:dyDescent="0.2">
      <c r="B11" s="177" t="s">
        <v>272</v>
      </c>
      <c r="C11" s="6" t="s">
        <v>274</v>
      </c>
      <c r="D11" s="213" t="s">
        <v>225</v>
      </c>
      <c r="E11" s="203" t="s">
        <v>225</v>
      </c>
      <c r="F11" s="213" t="s">
        <v>276</v>
      </c>
      <c r="G11" s="213"/>
      <c r="H11" s="213"/>
      <c r="I11" s="457" t="s">
        <v>292</v>
      </c>
      <c r="J11" s="462">
        <v>2012</v>
      </c>
      <c r="K11" s="462">
        <v>-2012</v>
      </c>
      <c r="L11" s="462">
        <v>202</v>
      </c>
      <c r="M11" s="462">
        <v>-202</v>
      </c>
    </row>
    <row r="12" spans="1:13" x14ac:dyDescent="0.2">
      <c r="B12" s="177" t="s">
        <v>272</v>
      </c>
      <c r="C12" s="6" t="s">
        <v>274</v>
      </c>
      <c r="D12" s="177" t="s">
        <v>225</v>
      </c>
      <c r="E12" s="202" t="s">
        <v>225</v>
      </c>
      <c r="F12" s="213" t="s">
        <v>277</v>
      </c>
      <c r="G12" s="213"/>
      <c r="H12" s="213"/>
      <c r="I12" s="457" t="s">
        <v>293</v>
      </c>
      <c r="J12" s="463">
        <v>2012</v>
      </c>
      <c r="K12" s="463">
        <v>-2012</v>
      </c>
      <c r="L12" s="463">
        <v>202</v>
      </c>
      <c r="M12" s="463">
        <v>-202</v>
      </c>
    </row>
    <row r="13" spans="1:13" x14ac:dyDescent="0.2">
      <c r="B13" s="177" t="s">
        <v>273</v>
      </c>
      <c r="C13" s="6" t="s">
        <v>283</v>
      </c>
      <c r="D13" s="213">
        <v>1250</v>
      </c>
      <c r="E13" s="195">
        <v>1250</v>
      </c>
      <c r="F13" s="213"/>
      <c r="G13" s="213"/>
      <c r="H13" s="213"/>
      <c r="I13" s="464" t="s">
        <v>414</v>
      </c>
      <c r="J13" s="465">
        <v>2012</v>
      </c>
      <c r="K13" s="465">
        <v>-2012</v>
      </c>
      <c r="L13" s="465">
        <v>202</v>
      </c>
      <c r="M13" s="465">
        <v>-202</v>
      </c>
    </row>
    <row r="14" spans="1:13" x14ac:dyDescent="0.2">
      <c r="B14" s="204" t="s">
        <v>278</v>
      </c>
      <c r="C14" s="6" t="s">
        <v>283</v>
      </c>
      <c r="D14" s="213">
        <v>-1250</v>
      </c>
      <c r="E14" s="196">
        <v>-1250</v>
      </c>
      <c r="F14" s="213"/>
      <c r="G14" s="177"/>
      <c r="H14" s="213"/>
      <c r="I14" s="457" t="s">
        <v>298</v>
      </c>
      <c r="J14" s="466">
        <v>2012</v>
      </c>
      <c r="K14" s="466">
        <v>-2012</v>
      </c>
      <c r="L14" s="466">
        <v>202</v>
      </c>
      <c r="M14" s="466">
        <v>-202</v>
      </c>
    </row>
    <row r="15" spans="1:13" x14ac:dyDescent="0.2">
      <c r="B15" s="177" t="s">
        <v>273</v>
      </c>
      <c r="C15" s="6" t="s">
        <v>284</v>
      </c>
      <c r="D15" s="213">
        <v>1250</v>
      </c>
      <c r="E15" s="197">
        <v>1250</v>
      </c>
      <c r="F15" s="177"/>
      <c r="G15" s="213"/>
      <c r="H15" s="213"/>
      <c r="I15" s="457" t="s">
        <v>299</v>
      </c>
      <c r="J15" s="467">
        <v>2012</v>
      </c>
      <c r="K15" s="467">
        <v>-2012</v>
      </c>
      <c r="L15" s="467">
        <v>202</v>
      </c>
      <c r="M15" s="467">
        <v>-202</v>
      </c>
    </row>
    <row r="16" spans="1:13" x14ac:dyDescent="0.2">
      <c r="B16" s="205" t="s">
        <v>273</v>
      </c>
      <c r="C16" s="6" t="s">
        <v>284</v>
      </c>
      <c r="D16" s="213">
        <v>-1250</v>
      </c>
      <c r="E16" s="198">
        <v>-1250</v>
      </c>
      <c r="F16" s="213"/>
      <c r="G16" s="213"/>
      <c r="H16" s="213"/>
      <c r="I16" s="457" t="s">
        <v>294</v>
      </c>
      <c r="J16" s="468">
        <v>2012</v>
      </c>
      <c r="K16" s="468">
        <v>-2012</v>
      </c>
      <c r="L16" s="468">
        <v>202</v>
      </c>
      <c r="M16" s="468">
        <v>-202</v>
      </c>
    </row>
    <row r="17" spans="2:13" x14ac:dyDescent="0.2">
      <c r="B17" s="177" t="s">
        <v>280</v>
      </c>
      <c r="C17" s="6" t="s">
        <v>285</v>
      </c>
      <c r="D17" s="213">
        <v>1250</v>
      </c>
      <c r="E17" s="194">
        <v>1250</v>
      </c>
      <c r="F17" s="213"/>
      <c r="G17" s="213"/>
      <c r="H17" s="213"/>
      <c r="I17" s="457" t="s">
        <v>295</v>
      </c>
      <c r="J17" s="469">
        <v>2012</v>
      </c>
      <c r="K17" s="469">
        <v>-2012</v>
      </c>
      <c r="L17" s="469">
        <v>202</v>
      </c>
      <c r="M17" s="469">
        <v>-202</v>
      </c>
    </row>
    <row r="18" spans="2:13" x14ac:dyDescent="0.2">
      <c r="B18" s="177" t="s">
        <v>279</v>
      </c>
      <c r="C18" s="6" t="s">
        <v>285</v>
      </c>
      <c r="D18" s="213">
        <v>-1250</v>
      </c>
      <c r="E18" s="190">
        <v>-1250</v>
      </c>
      <c r="F18" s="213"/>
      <c r="G18" s="213"/>
      <c r="H18" s="213"/>
      <c r="I18" s="457" t="s">
        <v>296</v>
      </c>
      <c r="J18" s="470">
        <v>2012</v>
      </c>
      <c r="K18" s="470">
        <v>-2012</v>
      </c>
      <c r="L18" s="470">
        <v>202</v>
      </c>
      <c r="M18" s="470">
        <v>-202</v>
      </c>
    </row>
    <row r="19" spans="2:13" x14ac:dyDescent="0.2">
      <c r="B19" s="177" t="s">
        <v>280</v>
      </c>
      <c r="C19" s="6" t="s">
        <v>286</v>
      </c>
      <c r="D19" s="213">
        <v>1250</v>
      </c>
      <c r="E19" s="199">
        <v>1250</v>
      </c>
      <c r="F19" s="213"/>
      <c r="G19" s="213"/>
      <c r="H19" s="213"/>
      <c r="I19" s="457" t="s">
        <v>297</v>
      </c>
      <c r="J19" s="471">
        <v>2012</v>
      </c>
      <c r="K19" s="471">
        <v>-2012</v>
      </c>
      <c r="L19" s="471">
        <v>202</v>
      </c>
      <c r="M19" s="471">
        <v>-202</v>
      </c>
    </row>
    <row r="20" spans="2:13" x14ac:dyDescent="0.2">
      <c r="B20" s="205" t="s">
        <v>279</v>
      </c>
      <c r="C20" s="6" t="s">
        <v>286</v>
      </c>
      <c r="D20" s="213">
        <v>-1250</v>
      </c>
      <c r="E20" s="200">
        <v>-1250</v>
      </c>
      <c r="F20" s="213"/>
      <c r="G20" s="213"/>
      <c r="H20" s="213"/>
      <c r="I20" s="213"/>
      <c r="J20" s="213"/>
      <c r="K20" s="213"/>
      <c r="L20" s="213"/>
      <c r="M20" s="213"/>
    </row>
    <row r="21" spans="2:13" x14ac:dyDescent="0.2">
      <c r="B21" s="127"/>
      <c r="C21" s="213"/>
      <c r="D21" s="213"/>
      <c r="E21" s="213"/>
      <c r="F21" s="213"/>
      <c r="G21" s="213"/>
      <c r="H21" s="213"/>
      <c r="I21" s="213"/>
      <c r="J21" s="213"/>
      <c r="K21" s="213"/>
      <c r="L21" s="213"/>
      <c r="M21" s="213"/>
    </row>
    <row r="22" spans="2:13" x14ac:dyDescent="0.2">
      <c r="G22" s="213"/>
      <c r="H22" s="213"/>
      <c r="I22" s="439" t="s">
        <v>421</v>
      </c>
      <c r="J22" s="1"/>
      <c r="K22" s="1"/>
      <c r="L22" s="213"/>
      <c r="M22" s="213"/>
    </row>
    <row r="23" spans="2:13" ht="14.25" thickBot="1" x14ac:dyDescent="0.3">
      <c r="G23" s="213"/>
      <c r="H23" s="213"/>
      <c r="I23" s="473" t="s">
        <v>289</v>
      </c>
      <c r="J23" s="473" t="s">
        <v>290</v>
      </c>
      <c r="K23" s="473" t="s">
        <v>290</v>
      </c>
      <c r="L23" s="213"/>
      <c r="M23" s="213"/>
    </row>
    <row r="24" spans="2:13" x14ac:dyDescent="0.2">
      <c r="G24" s="213"/>
      <c r="H24" s="213"/>
      <c r="I24" s="6" t="s">
        <v>291</v>
      </c>
      <c r="J24" s="472">
        <v>1234567.8899999999</v>
      </c>
      <c r="K24" s="472">
        <v>-1234567.8899999999</v>
      </c>
      <c r="L24" s="472"/>
      <c r="M24" s="472"/>
    </row>
    <row r="25" spans="2:13" x14ac:dyDescent="0.2">
      <c r="B25" s="562" t="s">
        <v>313</v>
      </c>
      <c r="C25" s="562"/>
      <c r="D25" s="562"/>
      <c r="E25" s="562"/>
      <c r="F25" s="562"/>
      <c r="G25" s="213"/>
      <c r="H25" s="213"/>
      <c r="I25" s="6" t="s">
        <v>293</v>
      </c>
      <c r="J25" s="463">
        <v>1234567.8899999999</v>
      </c>
      <c r="K25" s="463">
        <v>-1234567.8899999999</v>
      </c>
      <c r="L25" s="213"/>
      <c r="M25" s="213"/>
    </row>
    <row r="26" spans="2:13" x14ac:dyDescent="0.2">
      <c r="B26" s="562"/>
      <c r="C26" s="562"/>
      <c r="D26" s="562"/>
      <c r="E26" s="562"/>
      <c r="F26" s="562"/>
      <c r="G26" s="213"/>
      <c r="H26" s="213"/>
      <c r="I26" s="6" t="s">
        <v>417</v>
      </c>
      <c r="J26" s="476">
        <v>1234567.8899999999</v>
      </c>
      <c r="K26" s="476">
        <v>-1234567.8899999999</v>
      </c>
      <c r="L26" s="213"/>
      <c r="M26" s="213"/>
    </row>
    <row r="27" spans="2:13" x14ac:dyDescent="0.2">
      <c r="B27" s="562"/>
      <c r="C27" s="562"/>
      <c r="D27" s="562"/>
      <c r="E27" s="562"/>
      <c r="F27" s="562"/>
      <c r="G27" s="213"/>
      <c r="H27" s="213"/>
      <c r="I27" s="6" t="s">
        <v>415</v>
      </c>
      <c r="J27" s="474">
        <v>1234567.8899999999</v>
      </c>
      <c r="K27" s="474">
        <v>-1234567.8899999999</v>
      </c>
      <c r="L27" s="213"/>
      <c r="M27" s="213"/>
    </row>
    <row r="28" spans="2:13" x14ac:dyDescent="0.2">
      <c r="B28" s="562"/>
      <c r="C28" s="562"/>
      <c r="D28" s="562"/>
      <c r="E28" s="562"/>
      <c r="F28" s="562"/>
      <c r="G28" s="213"/>
      <c r="H28" s="213"/>
      <c r="I28" s="6" t="s">
        <v>416</v>
      </c>
      <c r="J28" s="475">
        <v>1234567.8899999999</v>
      </c>
      <c r="K28" s="475">
        <v>-1234567.8899999999</v>
      </c>
      <c r="L28" s="213"/>
      <c r="M28" s="213"/>
    </row>
    <row r="29" spans="2:13" x14ac:dyDescent="0.2">
      <c r="B29" s="562"/>
      <c r="C29" s="562"/>
      <c r="D29" s="562"/>
      <c r="E29" s="562"/>
      <c r="F29" s="562"/>
      <c r="G29" s="213"/>
      <c r="H29" s="213"/>
      <c r="I29" s="6" t="s">
        <v>418</v>
      </c>
      <c r="J29" s="477">
        <v>1234567.8899999999</v>
      </c>
      <c r="K29" s="477">
        <v>-1234567.8899999999</v>
      </c>
      <c r="L29" s="213"/>
      <c r="M29" s="213"/>
    </row>
    <row r="30" spans="2:13" x14ac:dyDescent="0.2">
      <c r="B30" s="562"/>
      <c r="C30" s="562"/>
      <c r="D30" s="562"/>
      <c r="E30" s="562"/>
      <c r="F30" s="562"/>
      <c r="G30" s="213"/>
      <c r="H30" s="213"/>
      <c r="I30" s="478" t="s">
        <v>419</v>
      </c>
      <c r="J30" s="479">
        <v>1234567.8899999999</v>
      </c>
      <c r="K30" s="479">
        <v>-1234567.8899999999</v>
      </c>
      <c r="L30" s="213"/>
      <c r="M30" s="213"/>
    </row>
    <row r="31" spans="2:13" x14ac:dyDescent="0.2">
      <c r="B31" s="562"/>
      <c r="C31" s="562"/>
      <c r="D31" s="562"/>
      <c r="E31" s="562"/>
      <c r="F31" s="562"/>
      <c r="G31" s="213"/>
      <c r="H31" s="213"/>
      <c r="I31" s="478" t="s">
        <v>420</v>
      </c>
      <c r="J31" s="480">
        <v>1234567.8899999999</v>
      </c>
      <c r="K31" s="480">
        <v>-1234567.8899999999</v>
      </c>
      <c r="L31" s="213"/>
      <c r="M31" s="213"/>
    </row>
  </sheetData>
  <mergeCells count="1">
    <mergeCell ref="B25:F31"/>
  </mergeCells>
  <pageMargins left="0.7" right="0.7" top="0.75" bottom="0.75" header="0.3" footer="0.3"/>
  <ignoredErrors>
    <ignoredError sqref="I13" numberStoredAsText="1"/>
  </ignoredError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pageSetUpPr autoPageBreaks="0"/>
  </sheetPr>
  <dimension ref="A1:E17"/>
  <sheetViews>
    <sheetView workbookViewId="0">
      <selection activeCell="B7" sqref="B7"/>
    </sheetView>
  </sheetViews>
  <sheetFormatPr defaultRowHeight="12.75" x14ac:dyDescent="0.2"/>
  <sheetData>
    <row r="1" spans="1:5" ht="18" x14ac:dyDescent="0.25">
      <c r="A1" s="105" t="s">
        <v>238</v>
      </c>
    </row>
    <row r="2" spans="1:5" ht="13.5" thickBot="1" x14ac:dyDescent="0.25"/>
    <row r="3" spans="1:5" x14ac:dyDescent="0.2">
      <c r="A3" s="328" t="s">
        <v>36</v>
      </c>
      <c r="B3" s="329"/>
      <c r="C3" s="329"/>
      <c r="D3" s="329"/>
      <c r="E3" s="330"/>
    </row>
    <row r="4" spans="1:5" ht="38.25" x14ac:dyDescent="0.2">
      <c r="A4" s="331" t="s">
        <v>3</v>
      </c>
      <c r="B4" s="332" t="s">
        <v>37</v>
      </c>
      <c r="C4" s="332" t="s">
        <v>38</v>
      </c>
      <c r="D4" s="332" t="s">
        <v>39</v>
      </c>
      <c r="E4" s="333" t="s">
        <v>40</v>
      </c>
    </row>
    <row r="5" spans="1:5" x14ac:dyDescent="0.2">
      <c r="A5" s="334" t="s">
        <v>8</v>
      </c>
      <c r="B5" s="60" t="e">
        <v>#VALUE!</v>
      </c>
      <c r="C5" s="61" t="e">
        <v>#VALUE!</v>
      </c>
      <c r="D5" s="61" t="e">
        <v>#VALUE!</v>
      </c>
      <c r="E5" s="62" t="e">
        <v>#VALUE!</v>
      </c>
    </row>
    <row r="6" spans="1:5" x14ac:dyDescent="0.2">
      <c r="A6" s="335" t="s">
        <v>9</v>
      </c>
      <c r="B6" s="60" t="e">
        <v>#VALUE!</v>
      </c>
      <c r="C6" s="61" t="e">
        <v>#VALUE!</v>
      </c>
      <c r="D6" s="61" t="e">
        <v>#VALUE!</v>
      </c>
      <c r="E6" s="357" t="e">
        <v>#VALUE!</v>
      </c>
    </row>
    <row r="7" spans="1:5" ht="13.5" thickBot="1" x14ac:dyDescent="0.25">
      <c r="A7" s="336" t="s">
        <v>10</v>
      </c>
      <c r="B7" s="63" t="e">
        <v>#VALUE!</v>
      </c>
      <c r="C7" s="64" t="e">
        <v>#VALUE!</v>
      </c>
      <c r="D7" s="64" t="e">
        <v>#VALUE!</v>
      </c>
      <c r="E7" s="358" t="e">
        <v>#VALUE!</v>
      </c>
    </row>
    <row r="10" spans="1:5" x14ac:dyDescent="0.2">
      <c r="A10" s="596" t="s">
        <v>373</v>
      </c>
      <c r="B10" s="596"/>
      <c r="C10" s="596"/>
      <c r="D10" s="596"/>
      <c r="E10" s="596"/>
    </row>
    <row r="11" spans="1:5" x14ac:dyDescent="0.2">
      <c r="A11" s="596"/>
      <c r="B11" s="596"/>
      <c r="C11" s="596"/>
      <c r="D11" s="596"/>
      <c r="E11" s="596"/>
    </row>
    <row r="12" spans="1:5" x14ac:dyDescent="0.2">
      <c r="A12" s="596"/>
      <c r="B12" s="596"/>
      <c r="C12" s="596"/>
      <c r="D12" s="596"/>
      <c r="E12" s="596"/>
    </row>
    <row r="13" spans="1:5" x14ac:dyDescent="0.2">
      <c r="A13" s="596"/>
      <c r="B13" s="596"/>
      <c r="C13" s="596"/>
      <c r="D13" s="596"/>
      <c r="E13" s="596"/>
    </row>
    <row r="14" spans="1:5" x14ac:dyDescent="0.2">
      <c r="A14" s="596"/>
      <c r="B14" s="596"/>
      <c r="C14" s="596"/>
      <c r="D14" s="596"/>
      <c r="E14" s="596"/>
    </row>
    <row r="15" spans="1:5" x14ac:dyDescent="0.2">
      <c r="A15" s="596"/>
      <c r="B15" s="596"/>
      <c r="C15" s="596"/>
      <c r="D15" s="596"/>
      <c r="E15" s="596"/>
    </row>
    <row r="16" spans="1:5" x14ac:dyDescent="0.2">
      <c r="A16" s="596"/>
      <c r="B16" s="596"/>
      <c r="C16" s="596"/>
      <c r="D16" s="596"/>
      <c r="E16" s="596"/>
    </row>
    <row r="17" spans="1:5" x14ac:dyDescent="0.2">
      <c r="A17" s="596"/>
      <c r="B17" s="596"/>
      <c r="C17" s="596"/>
      <c r="D17" s="596"/>
      <c r="E17" s="596"/>
    </row>
  </sheetData>
  <mergeCells count="1">
    <mergeCell ref="A10:E17"/>
  </mergeCells>
  <phoneticPr fontId="3" type="noConversion"/>
  <pageMargins left="0.75" right="0.75" top="1" bottom="1" header="0.5" footer="0.5"/>
  <pageSetup orientation="portrait" horizontalDpi="4294967293"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B23"/>
  <sheetViews>
    <sheetView zoomScale="130" zoomScaleNormal="130" workbookViewId="0">
      <selection activeCell="A4" sqref="A4"/>
    </sheetView>
  </sheetViews>
  <sheetFormatPr defaultRowHeight="12.75" x14ac:dyDescent="0.2"/>
  <cols>
    <col min="1" max="1" width="28.5703125" customWidth="1"/>
    <col min="2" max="2" width="84.28515625" customWidth="1"/>
  </cols>
  <sheetData>
    <row r="1" spans="1:2" ht="18" x14ac:dyDescent="0.25">
      <c r="A1" s="351" t="s">
        <v>79</v>
      </c>
      <c r="B1" s="3"/>
    </row>
    <row r="2" spans="1:2" hidden="1" x14ac:dyDescent="0.2">
      <c r="A2" s="53"/>
    </row>
    <row r="3" spans="1:2" x14ac:dyDescent="0.2">
      <c r="A3" s="438" t="str">
        <f>IF(A2="","",IF(Disable_Video_Hyperlinks,A2,HYPERLINK(Video_website&amp;A2,A2)))</f>
        <v/>
      </c>
    </row>
    <row r="4" spans="1:2" x14ac:dyDescent="0.2">
      <c r="A4" s="501" t="str">
        <f>IF(B2="","",B2)</f>
        <v/>
      </c>
    </row>
    <row r="5" spans="1:2" ht="13.5" thickBot="1" x14ac:dyDescent="0.25">
      <c r="A5" s="53"/>
    </row>
    <row r="6" spans="1:2" ht="13.5" thickBot="1" x14ac:dyDescent="0.25">
      <c r="A6" s="73" t="s">
        <v>80</v>
      </c>
      <c r="B6" s="74" t="s">
        <v>81</v>
      </c>
    </row>
    <row r="7" spans="1:2" ht="13.5" thickBot="1" x14ac:dyDescent="0.25">
      <c r="A7" s="75" t="s">
        <v>82</v>
      </c>
      <c r="B7" s="76" t="s">
        <v>83</v>
      </c>
    </row>
    <row r="8" spans="1:2" ht="13.5" thickBot="1" x14ac:dyDescent="0.25">
      <c r="A8" s="77" t="s">
        <v>84</v>
      </c>
      <c r="B8" s="78" t="s">
        <v>85</v>
      </c>
    </row>
    <row r="9" spans="1:2" ht="26.25" thickBot="1" x14ac:dyDescent="0.25">
      <c r="A9" s="77" t="s">
        <v>86</v>
      </c>
      <c r="B9" s="78" t="s">
        <v>87</v>
      </c>
    </row>
    <row r="10" spans="1:2" ht="15" thickBot="1" x14ac:dyDescent="0.25">
      <c r="A10" s="77" t="s">
        <v>88</v>
      </c>
      <c r="B10" s="78" t="s">
        <v>89</v>
      </c>
    </row>
    <row r="11" spans="1:2" ht="13.5" thickBot="1" x14ac:dyDescent="0.25">
      <c r="A11" s="77" t="s">
        <v>90</v>
      </c>
      <c r="B11" s="78" t="s">
        <v>91</v>
      </c>
    </row>
    <row r="12" spans="1:2" ht="26.25" thickBot="1" x14ac:dyDescent="0.25">
      <c r="A12" s="77" t="s">
        <v>92</v>
      </c>
      <c r="B12" s="78" t="s">
        <v>93</v>
      </c>
    </row>
    <row r="13" spans="1:2" ht="13.5" thickBot="1" x14ac:dyDescent="0.25">
      <c r="A13" s="77" t="s">
        <v>94</v>
      </c>
      <c r="B13" s="78" t="s">
        <v>95</v>
      </c>
    </row>
    <row r="14" spans="1:2" ht="26.25" thickBot="1" x14ac:dyDescent="0.25">
      <c r="A14" s="77" t="s">
        <v>96</v>
      </c>
      <c r="B14" s="78" t="s">
        <v>97</v>
      </c>
    </row>
    <row r="15" spans="1:2" ht="13.5" thickBot="1" x14ac:dyDescent="0.25">
      <c r="A15" s="77" t="s">
        <v>98</v>
      </c>
      <c r="B15" s="78" t="s">
        <v>99</v>
      </c>
    </row>
    <row r="16" spans="1:2" ht="13.5" thickBot="1" x14ac:dyDescent="0.25">
      <c r="A16" s="77" t="s">
        <v>100</v>
      </c>
      <c r="B16" s="78" t="s">
        <v>101</v>
      </c>
    </row>
    <row r="17" spans="1:2" ht="26.25" thickBot="1" x14ac:dyDescent="0.25">
      <c r="A17" s="77" t="s">
        <v>102</v>
      </c>
      <c r="B17" s="78" t="s">
        <v>103</v>
      </c>
    </row>
    <row r="18" spans="1:2" ht="13.5" thickBot="1" x14ac:dyDescent="0.25">
      <c r="A18" s="77" t="s">
        <v>104</v>
      </c>
      <c r="B18" s="78" t="s">
        <v>105</v>
      </c>
    </row>
    <row r="19" spans="1:2" ht="26.25" thickBot="1" x14ac:dyDescent="0.25">
      <c r="A19" s="77" t="s">
        <v>106</v>
      </c>
      <c r="B19" s="78" t="s">
        <v>107</v>
      </c>
    </row>
    <row r="20" spans="1:2" ht="13.5" thickBot="1" x14ac:dyDescent="0.25">
      <c r="A20" s="77" t="s">
        <v>108</v>
      </c>
      <c r="B20" s="78" t="s">
        <v>109</v>
      </c>
    </row>
    <row r="21" spans="1:2" ht="13.5" thickBot="1" x14ac:dyDescent="0.25">
      <c r="A21" s="77" t="s">
        <v>110</v>
      </c>
      <c r="B21" s="78" t="s">
        <v>111</v>
      </c>
    </row>
    <row r="22" spans="1:2" ht="13.5" thickBot="1" x14ac:dyDescent="0.25">
      <c r="A22" s="77" t="s">
        <v>112</v>
      </c>
      <c r="B22" s="78" t="s">
        <v>113</v>
      </c>
    </row>
    <row r="23" spans="1:2" ht="26.25" thickBot="1" x14ac:dyDescent="0.25">
      <c r="A23" s="77" t="s">
        <v>114</v>
      </c>
      <c r="B23" s="78" t="s">
        <v>115</v>
      </c>
    </row>
  </sheetData>
  <phoneticPr fontId="3" type="noConversion"/>
  <pageMargins left="0.75" right="0.75" top="1" bottom="1" header="0.5" footer="0.5"/>
  <pageSetup orientation="portrait"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623DF-8A2D-46AE-B969-390B2D60562B}">
  <sheetPr codeName="Sheet13"/>
  <dimension ref="A1:B4"/>
  <sheetViews>
    <sheetView zoomScale="130" zoomScaleNormal="130" workbookViewId="0">
      <selection activeCell="A3" sqref="A3"/>
    </sheetView>
  </sheetViews>
  <sheetFormatPr defaultRowHeight="12.75" x14ac:dyDescent="0.2"/>
  <sheetData>
    <row r="1" spans="1:2" ht="18" x14ac:dyDescent="0.25">
      <c r="A1" s="351" t="s">
        <v>428</v>
      </c>
    </row>
    <row r="2" spans="1:2" hidden="1" x14ac:dyDescent="0.2">
      <c r="A2" s="16"/>
      <c r="B2" s="504">
        <f>SUM(Fundamentals:Splitting_Windows!B2)</f>
        <v>2.2326388888888889E-2</v>
      </c>
    </row>
    <row r="3" spans="1:2" x14ac:dyDescent="0.2">
      <c r="A3" s="509" t="str">
        <f>Video_Lengths_Description</f>
        <v xml:space="preserve">Length of video clips in this segment: </v>
      </c>
    </row>
    <row r="4" spans="1:2" x14ac:dyDescent="0.2">
      <c r="A4" s="501">
        <f>IF(B2="","",B2)</f>
        <v>2.2326388888888889E-2</v>
      </c>
    </row>
  </sheetData>
  <conditionalFormatting sqref="B2">
    <cfRule type="expression" dxfId="2" priority="1">
      <formula>NOT(_xlfn.ISFORMULA(B2))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O41"/>
  <sheetViews>
    <sheetView zoomScale="130" zoomScaleNormal="130" workbookViewId="0">
      <selection activeCell="A4" sqref="A4"/>
    </sheetView>
  </sheetViews>
  <sheetFormatPr defaultColWidth="9.140625" defaultRowHeight="11.25" x14ac:dyDescent="0.2"/>
  <cols>
    <col min="1" max="16384" width="9.140625" style="159"/>
  </cols>
  <sheetData>
    <row r="1" spans="1:15" ht="18" x14ac:dyDescent="0.25">
      <c r="A1" s="351" t="s">
        <v>376</v>
      </c>
      <c r="B1" s="158"/>
      <c r="C1" s="158"/>
      <c r="D1" s="158"/>
      <c r="E1" s="158"/>
      <c r="F1" s="158"/>
      <c r="G1" s="158"/>
      <c r="H1" s="158"/>
      <c r="I1" s="158"/>
      <c r="J1" s="158"/>
      <c r="K1" s="158"/>
      <c r="L1" s="158"/>
      <c r="M1" s="158"/>
      <c r="N1" s="158"/>
      <c r="O1" s="158"/>
    </row>
    <row r="2" spans="1:15" ht="12.75" hidden="1" x14ac:dyDescent="0.2">
      <c r="A2" s="502" t="s">
        <v>400</v>
      </c>
      <c r="B2" s="500">
        <v>4.8726851851851856E-3</v>
      </c>
      <c r="C2" s="158"/>
      <c r="D2" s="158"/>
      <c r="E2" s="158"/>
      <c r="F2" s="158"/>
      <c r="G2" s="158"/>
      <c r="H2" s="158"/>
      <c r="I2" s="158"/>
      <c r="J2" s="158"/>
      <c r="K2" s="158"/>
      <c r="L2" s="158"/>
    </row>
    <row r="3" spans="1:15" ht="12.75" x14ac:dyDescent="0.2">
      <c r="A3" s="438" t="str">
        <f>IF(A2="","",IF(Disable_Video_Hyperlinks,A2,HYPERLINK(Video_website&amp;A2,A2)))</f>
        <v>UNC_DAYT_EXCEL_2.2.1_LECTURE_STATISTICS.mp4</v>
      </c>
      <c r="B3" s="158"/>
      <c r="C3" s="158"/>
      <c r="D3" s="158"/>
      <c r="E3" s="158"/>
      <c r="F3" s="158"/>
      <c r="G3" s="158"/>
      <c r="H3" s="158"/>
      <c r="I3" s="158"/>
      <c r="J3" s="158"/>
      <c r="K3" s="158"/>
      <c r="L3" s="158"/>
    </row>
    <row r="4" spans="1:15" ht="12.75" x14ac:dyDescent="0.2">
      <c r="A4" s="501">
        <f>IF(B2="","",B2)</f>
        <v>4.8726851851851856E-3</v>
      </c>
      <c r="B4" s="158"/>
      <c r="C4" s="158"/>
      <c r="D4" s="158"/>
      <c r="E4" s="158"/>
      <c r="F4" s="158"/>
      <c r="G4" s="158"/>
      <c r="H4" s="158"/>
      <c r="I4" s="158"/>
      <c r="J4" s="158"/>
      <c r="K4" s="158"/>
      <c r="L4" s="158"/>
    </row>
    <row r="5" spans="1:15" x14ac:dyDescent="0.2">
      <c r="A5" s="157"/>
      <c r="B5" s="158"/>
      <c r="C5" s="158"/>
      <c r="D5" s="158"/>
      <c r="E5" s="158"/>
      <c r="F5" s="158"/>
      <c r="G5" s="158"/>
      <c r="H5" s="158"/>
      <c r="I5" s="158"/>
      <c r="J5" s="158"/>
      <c r="K5" s="158"/>
      <c r="L5" s="158"/>
    </row>
    <row r="6" spans="1:15" x14ac:dyDescent="0.2">
      <c r="A6" s="157"/>
      <c r="B6" s="158"/>
      <c r="C6" s="158"/>
      <c r="D6" s="158"/>
      <c r="E6" s="158"/>
      <c r="F6" s="158"/>
      <c r="G6" s="158"/>
      <c r="H6" s="158"/>
      <c r="I6" s="158"/>
      <c r="J6" s="158"/>
      <c r="K6" s="158"/>
      <c r="L6" s="158"/>
    </row>
    <row r="7" spans="1:15" x14ac:dyDescent="0.2">
      <c r="A7" s="157"/>
      <c r="B7" s="158"/>
      <c r="C7" s="158"/>
      <c r="D7" s="158"/>
      <c r="E7" s="158"/>
      <c r="F7" s="158"/>
      <c r="G7" s="158"/>
      <c r="H7" s="158"/>
      <c r="I7" s="158"/>
      <c r="J7" s="158"/>
      <c r="K7" s="158"/>
      <c r="L7" s="158"/>
    </row>
    <row r="8" spans="1:15" x14ac:dyDescent="0.2">
      <c r="A8" s="157"/>
      <c r="B8" s="158"/>
      <c r="C8" s="158"/>
      <c r="D8" s="158"/>
      <c r="E8" s="158"/>
      <c r="F8" s="158"/>
      <c r="G8" s="158"/>
      <c r="H8" s="158"/>
      <c r="I8" s="158"/>
      <c r="J8" s="158"/>
      <c r="K8" s="158"/>
      <c r="L8" s="158"/>
    </row>
    <row r="9" spans="1:15" x14ac:dyDescent="0.2">
      <c r="A9" s="157"/>
      <c r="B9" s="158"/>
      <c r="C9" s="158"/>
      <c r="D9" s="158"/>
      <c r="E9" s="158"/>
      <c r="F9" s="158"/>
      <c r="G9" s="158"/>
    </row>
    <row r="10" spans="1:15" x14ac:dyDescent="0.2">
      <c r="A10" s="157"/>
      <c r="B10" s="158"/>
      <c r="C10" s="158"/>
      <c r="D10" s="158"/>
      <c r="E10" s="158"/>
      <c r="F10" s="158"/>
      <c r="G10" s="158"/>
    </row>
    <row r="11" spans="1:15" x14ac:dyDescent="0.2">
      <c r="A11" s="157"/>
      <c r="B11" s="158"/>
      <c r="C11" s="158"/>
      <c r="D11" s="158"/>
      <c r="E11" s="158"/>
      <c r="F11" s="158"/>
      <c r="G11" s="158"/>
    </row>
    <row r="12" spans="1:15" x14ac:dyDescent="0.2">
      <c r="A12" s="157"/>
      <c r="B12" s="158"/>
      <c r="C12" s="158"/>
      <c r="D12" s="158"/>
      <c r="E12" s="158"/>
      <c r="F12" s="158"/>
      <c r="G12" s="158"/>
    </row>
    <row r="13" spans="1:15" x14ac:dyDescent="0.2">
      <c r="A13" s="157"/>
      <c r="B13" s="158"/>
      <c r="C13" s="158"/>
      <c r="D13" s="158"/>
      <c r="E13" s="158"/>
      <c r="F13" s="158"/>
      <c r="G13" s="158"/>
    </row>
    <row r="16" spans="1:15" ht="11.25" customHeight="1" x14ac:dyDescent="0.2">
      <c r="A16" s="557" t="s">
        <v>304</v>
      </c>
      <c r="B16" s="557"/>
      <c r="C16" s="557"/>
      <c r="D16" s="557"/>
      <c r="E16" s="557"/>
      <c r="F16" s="557"/>
      <c r="G16" s="557"/>
    </row>
    <row r="17" spans="1:8" x14ac:dyDescent="0.2">
      <c r="A17" s="557"/>
      <c r="B17" s="557"/>
      <c r="C17" s="557"/>
      <c r="D17" s="557"/>
      <c r="E17" s="557"/>
      <c r="F17" s="557"/>
      <c r="G17" s="557"/>
    </row>
    <row r="18" spans="1:8" x14ac:dyDescent="0.2">
      <c r="A18" s="557"/>
      <c r="B18" s="557"/>
      <c r="C18" s="557"/>
      <c r="D18" s="557"/>
      <c r="E18" s="557"/>
      <c r="F18" s="557"/>
      <c r="G18" s="557"/>
    </row>
    <row r="19" spans="1:8" x14ac:dyDescent="0.2">
      <c r="A19" s="557"/>
      <c r="B19" s="557"/>
      <c r="C19" s="557"/>
      <c r="D19" s="557"/>
      <c r="E19" s="557"/>
      <c r="F19" s="557"/>
      <c r="G19" s="557"/>
    </row>
    <row r="20" spans="1:8" x14ac:dyDescent="0.2">
      <c r="A20" s="557"/>
      <c r="B20" s="557"/>
      <c r="C20" s="557"/>
      <c r="D20" s="557"/>
      <c r="E20" s="557"/>
      <c r="F20" s="557"/>
      <c r="G20" s="557"/>
    </row>
    <row r="21" spans="1:8" x14ac:dyDescent="0.2">
      <c r="A21" s="557"/>
      <c r="B21" s="557"/>
      <c r="C21" s="557"/>
      <c r="D21" s="557"/>
      <c r="E21" s="557"/>
      <c r="F21" s="557"/>
      <c r="G21" s="557"/>
    </row>
    <row r="22" spans="1:8" x14ac:dyDescent="0.2">
      <c r="A22" s="557"/>
      <c r="B22" s="557"/>
      <c r="C22" s="557"/>
      <c r="D22" s="557"/>
      <c r="E22" s="557"/>
      <c r="F22" s="557"/>
      <c r="G22" s="557"/>
    </row>
    <row r="23" spans="1:8" x14ac:dyDescent="0.2">
      <c r="A23" s="557"/>
      <c r="B23" s="557"/>
      <c r="C23" s="557"/>
      <c r="D23" s="557"/>
      <c r="E23" s="557"/>
      <c r="F23" s="557"/>
      <c r="G23" s="557"/>
    </row>
    <row r="24" spans="1:8" x14ac:dyDescent="0.2">
      <c r="A24" s="444"/>
      <c r="B24" s="444"/>
      <c r="C24" s="444"/>
      <c r="D24" s="444"/>
      <c r="E24" s="444"/>
      <c r="F24" s="444"/>
      <c r="G24" s="444"/>
    </row>
    <row r="25" spans="1:8" x14ac:dyDescent="0.2">
      <c r="A25" s="444"/>
      <c r="B25" s="444"/>
      <c r="C25" s="444"/>
      <c r="D25" s="444"/>
      <c r="E25" s="444"/>
      <c r="F25" s="444"/>
      <c r="G25" s="444"/>
    </row>
    <row r="26" spans="1:8" x14ac:dyDescent="0.2">
      <c r="A26" s="444"/>
      <c r="B26" s="444"/>
      <c r="C26" s="444"/>
      <c r="D26" s="444"/>
      <c r="E26" s="444"/>
      <c r="F26" s="444"/>
      <c r="G26" s="444"/>
    </row>
    <row r="30" spans="1:8" ht="12.75" x14ac:dyDescent="0.2">
      <c r="A30"/>
      <c r="B30"/>
      <c r="C30"/>
      <c r="D30"/>
      <c r="E30"/>
      <c r="F30"/>
      <c r="G30"/>
      <c r="H30"/>
    </row>
    <row r="31" spans="1:8" ht="12.75" x14ac:dyDescent="0.2">
      <c r="A31"/>
      <c r="B31"/>
      <c r="C31"/>
      <c r="D31"/>
      <c r="E31"/>
      <c r="F31"/>
      <c r="G31"/>
      <c r="H31"/>
    </row>
    <row r="32" spans="1:8" ht="12.75" x14ac:dyDescent="0.2">
      <c r="A32"/>
      <c r="B32"/>
      <c r="C32"/>
      <c r="D32"/>
      <c r="E32"/>
      <c r="F32"/>
      <c r="G32"/>
      <c r="H32"/>
    </row>
    <row r="33" spans="1:8" ht="12.75" x14ac:dyDescent="0.2">
      <c r="A33"/>
      <c r="B33"/>
      <c r="C33"/>
      <c r="D33"/>
      <c r="E33"/>
      <c r="F33"/>
      <c r="G33"/>
      <c r="H33"/>
    </row>
    <row r="34" spans="1:8" ht="12.75" x14ac:dyDescent="0.2">
      <c r="A34"/>
      <c r="B34"/>
      <c r="C34"/>
      <c r="D34"/>
      <c r="E34"/>
      <c r="F34"/>
      <c r="G34"/>
      <c r="H34"/>
    </row>
    <row r="35" spans="1:8" ht="12.75" x14ac:dyDescent="0.2">
      <c r="A35"/>
      <c r="B35"/>
      <c r="C35"/>
      <c r="D35"/>
      <c r="E35"/>
      <c r="F35"/>
      <c r="G35"/>
      <c r="H35"/>
    </row>
    <row r="36" spans="1:8" ht="12.75" x14ac:dyDescent="0.2">
      <c r="A36"/>
      <c r="B36"/>
      <c r="C36"/>
      <c r="D36"/>
      <c r="E36"/>
      <c r="F36"/>
      <c r="G36"/>
      <c r="H36"/>
    </row>
    <row r="37" spans="1:8" ht="12.75" x14ac:dyDescent="0.2">
      <c r="A37"/>
      <c r="B37"/>
      <c r="C37"/>
      <c r="D37"/>
      <c r="E37"/>
      <c r="F37"/>
      <c r="G37"/>
      <c r="H37"/>
    </row>
    <row r="38" spans="1:8" ht="12.75" x14ac:dyDescent="0.2">
      <c r="A38"/>
      <c r="B38"/>
      <c r="C38"/>
      <c r="D38"/>
      <c r="E38"/>
      <c r="F38"/>
      <c r="G38"/>
      <c r="H38"/>
    </row>
    <row r="39" spans="1:8" ht="12.75" x14ac:dyDescent="0.2">
      <c r="A39"/>
      <c r="B39"/>
      <c r="C39"/>
      <c r="D39"/>
      <c r="E39"/>
      <c r="F39"/>
      <c r="G39"/>
      <c r="H39"/>
    </row>
    <row r="40" spans="1:8" ht="12.75" x14ac:dyDescent="0.2">
      <c r="A40"/>
      <c r="B40"/>
      <c r="C40"/>
      <c r="D40"/>
      <c r="E40"/>
      <c r="F40"/>
      <c r="G40"/>
      <c r="H40"/>
    </row>
    <row r="41" spans="1:8" ht="12.75" x14ac:dyDescent="0.2">
      <c r="A41"/>
      <c r="B41"/>
      <c r="C41"/>
      <c r="D41"/>
      <c r="E41"/>
      <c r="F41"/>
      <c r="G41"/>
      <c r="H41"/>
    </row>
  </sheetData>
  <mergeCells count="1">
    <mergeCell ref="A16:G23"/>
  </mergeCells>
  <phoneticPr fontId="3" type="noConversion"/>
  <conditionalFormatting sqref="B2">
    <cfRule type="expression" dxfId="1" priority="1">
      <formula>NOT(_xlfn.ISFORMULA(B2))</formula>
    </cfRule>
  </conditionalFormatting>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autoPageBreaks="0"/>
  </sheetPr>
  <dimension ref="A1:O43"/>
  <sheetViews>
    <sheetView zoomScale="115" zoomScaleNormal="115" workbookViewId="0">
      <selection activeCell="A5" sqref="A5"/>
    </sheetView>
  </sheetViews>
  <sheetFormatPr defaultColWidth="9.140625" defaultRowHeight="11.25" x14ac:dyDescent="0.2"/>
  <cols>
    <col min="1" max="1" width="8" style="4" customWidth="1"/>
    <col min="2" max="2" width="5.42578125" style="4" customWidth="1"/>
    <col min="3" max="3" width="6.42578125" style="4" customWidth="1"/>
    <col min="4" max="4" width="12" style="4" customWidth="1"/>
    <col min="5" max="5" width="9.85546875" style="4" bestFit="1" customWidth="1"/>
    <col min="6" max="6" width="9.5703125" style="4" bestFit="1" customWidth="1"/>
    <col min="7" max="7" width="9.85546875" style="4" customWidth="1"/>
    <col min="8" max="16384" width="9.140625" style="4"/>
  </cols>
  <sheetData>
    <row r="1" spans="1:15" s="353" customFormat="1" ht="18" x14ac:dyDescent="0.25">
      <c r="A1" s="351" t="s">
        <v>140</v>
      </c>
      <c r="B1" s="352"/>
      <c r="C1" s="352"/>
      <c r="D1" s="352"/>
      <c r="E1" s="352"/>
      <c r="F1" s="352"/>
      <c r="G1" s="352"/>
      <c r="L1" s="352"/>
    </row>
    <row r="2" spans="1:15" ht="11.25" hidden="1" customHeight="1" x14ac:dyDescent="0.2"/>
    <row r="3" spans="1:15" s="213" customFormat="1" ht="11.25" customHeight="1" x14ac:dyDescent="0.2">
      <c r="A3" s="438" t="str">
        <f>IF(A2="","",IF(Disable_Video_Hyperlinks,A2,HYPERLINK(Video_website&amp;A2,A2)))</f>
        <v/>
      </c>
    </row>
    <row r="4" spans="1:15" s="213" customFormat="1" ht="11.25" customHeight="1" x14ac:dyDescent="0.2">
      <c r="A4" s="501" t="str">
        <f>IF(B2="","",B2)</f>
        <v/>
      </c>
    </row>
    <row r="5" spans="1:15" s="213" customFormat="1" ht="11.25" customHeight="1" x14ac:dyDescent="0.2"/>
    <row r="6" spans="1:15" ht="15.75" x14ac:dyDescent="0.25">
      <c r="A6" s="536" t="s">
        <v>0</v>
      </c>
      <c r="B6" s="545"/>
      <c r="C6" s="545"/>
      <c r="D6" s="545"/>
      <c r="E6" s="545"/>
      <c r="F6" s="545"/>
      <c r="G6" s="546"/>
    </row>
    <row r="7" spans="1:15" s="213" customFormat="1" ht="15.75" x14ac:dyDescent="0.25">
      <c r="A7" s="547"/>
      <c r="B7" s="548"/>
      <c r="C7" s="548"/>
      <c r="D7" s="548"/>
      <c r="E7" s="548"/>
      <c r="F7" s="548"/>
      <c r="G7" s="549"/>
    </row>
    <row r="8" spans="1:15" s="6" customFormat="1" ht="27" customHeight="1" x14ac:dyDescent="0.2">
      <c r="A8" s="215" t="s">
        <v>1</v>
      </c>
      <c r="B8" s="215" t="s">
        <v>2</v>
      </c>
      <c r="C8" s="215" t="s">
        <v>3</v>
      </c>
      <c r="D8" s="215" t="s">
        <v>4</v>
      </c>
      <c r="E8" s="215" t="s">
        <v>5</v>
      </c>
      <c r="F8" s="215" t="s">
        <v>6</v>
      </c>
      <c r="G8" s="215" t="s">
        <v>7</v>
      </c>
    </row>
    <row r="9" spans="1:15" x14ac:dyDescent="0.2">
      <c r="A9" s="365">
        <v>12134</v>
      </c>
      <c r="B9" s="366">
        <v>174</v>
      </c>
      <c r="C9" s="366" t="s">
        <v>8</v>
      </c>
      <c r="D9" s="367">
        <v>39403</v>
      </c>
      <c r="E9" s="366">
        <v>1</v>
      </c>
      <c r="F9" s="368">
        <v>0.82</v>
      </c>
      <c r="G9" s="369">
        <v>2.21</v>
      </c>
    </row>
    <row r="10" spans="1:15" x14ac:dyDescent="0.2">
      <c r="A10" s="223">
        <v>12135</v>
      </c>
      <c r="B10" s="224">
        <v>174</v>
      </c>
      <c r="C10" s="224" t="s">
        <v>8</v>
      </c>
      <c r="D10" s="225">
        <v>39403</v>
      </c>
      <c r="E10" s="224">
        <v>1</v>
      </c>
      <c r="F10" s="226">
        <v>0.49</v>
      </c>
      <c r="G10" s="370">
        <v>1.94</v>
      </c>
    </row>
    <row r="11" spans="1:15" x14ac:dyDescent="0.2">
      <c r="A11" s="223">
        <v>12139</v>
      </c>
      <c r="B11" s="224">
        <v>174</v>
      </c>
      <c r="C11" s="224" t="s">
        <v>8</v>
      </c>
      <c r="D11" s="225">
        <v>39403</v>
      </c>
      <c r="E11" s="224">
        <v>1</v>
      </c>
      <c r="F11" s="226">
        <v>0.52</v>
      </c>
      <c r="G11" s="370">
        <v>2.0299999999999998</v>
      </c>
    </row>
    <row r="12" spans="1:15" ht="11.25" customHeight="1" x14ac:dyDescent="0.2">
      <c r="A12" s="223">
        <v>12140</v>
      </c>
      <c r="B12" s="224">
        <v>167</v>
      </c>
      <c r="C12" s="224" t="s">
        <v>8</v>
      </c>
      <c r="D12" s="225">
        <v>39403</v>
      </c>
      <c r="E12" s="224">
        <v>1</v>
      </c>
      <c r="F12" s="226">
        <v>0.63</v>
      </c>
      <c r="G12" s="370">
        <v>2.2400000000000002</v>
      </c>
      <c r="I12" s="557" t="s">
        <v>304</v>
      </c>
      <c r="J12" s="557"/>
      <c r="K12" s="557"/>
      <c r="L12" s="557"/>
      <c r="M12" s="557"/>
      <c r="N12" s="557"/>
      <c r="O12" s="557"/>
    </row>
    <row r="13" spans="1:15" x14ac:dyDescent="0.2">
      <c r="A13" s="223">
        <v>12142</v>
      </c>
      <c r="B13" s="224">
        <v>167</v>
      </c>
      <c r="C13" s="224" t="s">
        <v>8</v>
      </c>
      <c r="D13" s="225">
        <v>39403</v>
      </c>
      <c r="E13" s="224">
        <v>1</v>
      </c>
      <c r="F13" s="226">
        <v>0.64</v>
      </c>
      <c r="G13" s="370">
        <v>2.2799999999999998</v>
      </c>
      <c r="I13" s="557"/>
      <c r="J13" s="557"/>
      <c r="K13" s="557"/>
      <c r="L13" s="557"/>
      <c r="M13" s="557"/>
      <c r="N13" s="557"/>
      <c r="O13" s="557"/>
    </row>
    <row r="14" spans="1:15" x14ac:dyDescent="0.2">
      <c r="A14" s="223">
        <v>12144</v>
      </c>
      <c r="B14" s="224">
        <v>167</v>
      </c>
      <c r="C14" s="224" t="s">
        <v>8</v>
      </c>
      <c r="D14" s="225">
        <v>39403</v>
      </c>
      <c r="E14" s="224">
        <v>1</v>
      </c>
      <c r="F14" s="226">
        <v>1.28</v>
      </c>
      <c r="G14" s="370">
        <v>2.31</v>
      </c>
      <c r="I14" s="557"/>
      <c r="J14" s="557"/>
      <c r="K14" s="557"/>
      <c r="L14" s="557"/>
      <c r="M14" s="557"/>
      <c r="N14" s="557"/>
      <c r="O14" s="557"/>
    </row>
    <row r="15" spans="1:15" x14ac:dyDescent="0.2">
      <c r="A15" s="223">
        <v>12145</v>
      </c>
      <c r="B15" s="224">
        <v>174</v>
      </c>
      <c r="C15" s="224" t="s">
        <v>8</v>
      </c>
      <c r="D15" s="225">
        <v>39403</v>
      </c>
      <c r="E15" s="224">
        <v>1</v>
      </c>
      <c r="F15" s="226">
        <v>0.45</v>
      </c>
      <c r="G15" s="370">
        <v>2.02</v>
      </c>
      <c r="I15" s="557"/>
      <c r="J15" s="557"/>
      <c r="K15" s="557"/>
      <c r="L15" s="557"/>
      <c r="M15" s="557"/>
      <c r="N15" s="557"/>
      <c r="O15" s="557"/>
    </row>
    <row r="16" spans="1:15" x14ac:dyDescent="0.2">
      <c r="A16" s="223">
        <v>12146</v>
      </c>
      <c r="B16" s="224">
        <v>167</v>
      </c>
      <c r="C16" s="224" t="s">
        <v>8</v>
      </c>
      <c r="D16" s="225">
        <v>39403</v>
      </c>
      <c r="E16" s="224">
        <v>1</v>
      </c>
      <c r="F16" s="226">
        <v>1.1299999999999999</v>
      </c>
      <c r="G16" s="370">
        <v>2.0499999999999998</v>
      </c>
      <c r="I16" s="557"/>
      <c r="J16" s="557"/>
      <c r="K16" s="557"/>
      <c r="L16" s="557"/>
      <c r="M16" s="557"/>
      <c r="N16" s="557"/>
      <c r="O16" s="557"/>
    </row>
    <row r="17" spans="1:15" x14ac:dyDescent="0.2">
      <c r="A17" s="223">
        <v>12148</v>
      </c>
      <c r="B17" s="224">
        <v>167</v>
      </c>
      <c r="C17" s="224" t="s">
        <v>9</v>
      </c>
      <c r="D17" s="225">
        <v>39404</v>
      </c>
      <c r="E17" s="224">
        <v>1</v>
      </c>
      <c r="F17" s="226">
        <v>0.43</v>
      </c>
      <c r="G17" s="370">
        <v>2.27</v>
      </c>
      <c r="I17" s="557"/>
      <c r="J17" s="557"/>
      <c r="K17" s="557"/>
      <c r="L17" s="557"/>
      <c r="M17" s="557"/>
      <c r="N17" s="557"/>
      <c r="O17" s="557"/>
    </row>
    <row r="18" spans="1:15" x14ac:dyDescent="0.2">
      <c r="A18" s="223">
        <v>12149</v>
      </c>
      <c r="B18" s="224">
        <v>174</v>
      </c>
      <c r="C18" s="224" t="s">
        <v>9</v>
      </c>
      <c r="D18" s="225">
        <v>39404</v>
      </c>
      <c r="E18" s="224">
        <v>1</v>
      </c>
      <c r="F18" s="226">
        <v>0.47</v>
      </c>
      <c r="G18" s="370">
        <v>2.31</v>
      </c>
      <c r="I18" s="557"/>
      <c r="J18" s="557"/>
      <c r="K18" s="557"/>
      <c r="L18" s="557"/>
      <c r="M18" s="557"/>
      <c r="N18" s="557"/>
      <c r="O18" s="557"/>
    </row>
    <row r="19" spans="1:15" x14ac:dyDescent="0.2">
      <c r="A19" s="223">
        <v>12154</v>
      </c>
      <c r="B19" s="224">
        <v>174</v>
      </c>
      <c r="C19" s="224" t="s">
        <v>9</v>
      </c>
      <c r="D19" s="225">
        <v>39404</v>
      </c>
      <c r="E19" s="224">
        <v>1</v>
      </c>
      <c r="F19" s="226">
        <v>0.97</v>
      </c>
      <c r="G19" s="370">
        <v>2.23</v>
      </c>
      <c r="I19" s="557"/>
      <c r="J19" s="557"/>
      <c r="K19" s="557"/>
      <c r="L19" s="557"/>
      <c r="M19" s="557"/>
      <c r="N19" s="557"/>
      <c r="O19" s="557"/>
    </row>
    <row r="20" spans="1:15" x14ac:dyDescent="0.2">
      <c r="A20" s="223">
        <v>12156</v>
      </c>
      <c r="B20" s="224">
        <v>174</v>
      </c>
      <c r="C20" s="224" t="s">
        <v>9</v>
      </c>
      <c r="D20" s="225">
        <v>39404</v>
      </c>
      <c r="E20" s="224">
        <v>1</v>
      </c>
      <c r="F20" s="226">
        <v>0.81</v>
      </c>
      <c r="G20" s="370">
        <v>2.11</v>
      </c>
      <c r="I20" s="444"/>
      <c r="J20" s="444"/>
      <c r="K20" s="444"/>
      <c r="L20" s="444"/>
      <c r="M20" s="444"/>
      <c r="N20" s="444"/>
      <c r="O20" s="444"/>
    </row>
    <row r="21" spans="1:15" x14ac:dyDescent="0.2">
      <c r="A21" s="223">
        <v>12160</v>
      </c>
      <c r="B21" s="224">
        <v>174</v>
      </c>
      <c r="C21" s="224" t="s">
        <v>9</v>
      </c>
      <c r="D21" s="225">
        <v>39405</v>
      </c>
      <c r="E21" s="224">
        <v>1</v>
      </c>
      <c r="F21" s="226">
        <v>0.68</v>
      </c>
      <c r="G21" s="370">
        <v>2.2200000000000002</v>
      </c>
      <c r="I21" s="444"/>
      <c r="J21" s="444"/>
      <c r="K21" s="444"/>
      <c r="L21" s="444"/>
      <c r="M21" s="444"/>
      <c r="N21" s="444"/>
      <c r="O21" s="444"/>
    </row>
    <row r="22" spans="1:15" x14ac:dyDescent="0.2">
      <c r="A22" s="223">
        <v>12161</v>
      </c>
      <c r="B22" s="224">
        <v>174</v>
      </c>
      <c r="C22" s="224" t="s">
        <v>9</v>
      </c>
      <c r="D22" s="225">
        <v>39405</v>
      </c>
      <c r="E22" s="224">
        <v>1</v>
      </c>
      <c r="F22" s="226">
        <v>0.67</v>
      </c>
      <c r="G22" s="370">
        <v>2.08</v>
      </c>
      <c r="I22" s="444"/>
      <c r="J22" s="444"/>
      <c r="K22" s="444"/>
      <c r="L22" s="444"/>
      <c r="M22" s="444"/>
      <c r="N22" s="444"/>
      <c r="O22" s="444"/>
    </row>
    <row r="23" spans="1:15" x14ac:dyDescent="0.2">
      <c r="A23" s="223">
        <v>12162</v>
      </c>
      <c r="B23" s="224">
        <v>181</v>
      </c>
      <c r="C23" s="224" t="s">
        <v>9</v>
      </c>
      <c r="D23" s="225">
        <v>39405</v>
      </c>
      <c r="E23" s="224">
        <v>1</v>
      </c>
      <c r="F23" s="226">
        <v>0.95</v>
      </c>
      <c r="G23" s="370">
        <v>2.0099999999999998</v>
      </c>
    </row>
    <row r="24" spans="1:15" x14ac:dyDescent="0.2">
      <c r="A24" s="223">
        <v>12136</v>
      </c>
      <c r="B24" s="224">
        <v>181</v>
      </c>
      <c r="C24" s="224" t="s">
        <v>10</v>
      </c>
      <c r="D24" s="225">
        <v>39403</v>
      </c>
      <c r="E24" s="224">
        <v>2</v>
      </c>
      <c r="F24" s="226">
        <v>1.32</v>
      </c>
      <c r="G24" s="370">
        <v>2.35</v>
      </c>
    </row>
    <row r="25" spans="1:15" x14ac:dyDescent="0.2">
      <c r="A25" s="223">
        <v>12137</v>
      </c>
      <c r="B25" s="224">
        <v>181</v>
      </c>
      <c r="C25" s="224" t="s">
        <v>10</v>
      </c>
      <c r="D25" s="225">
        <v>39403</v>
      </c>
      <c r="E25" s="224">
        <v>2</v>
      </c>
      <c r="F25" s="226">
        <v>0.75</v>
      </c>
      <c r="G25" s="370">
        <v>1.73</v>
      </c>
    </row>
    <row r="26" spans="1:15" x14ac:dyDescent="0.2">
      <c r="A26" s="223">
        <v>12138</v>
      </c>
      <c r="B26" s="224">
        <v>181</v>
      </c>
      <c r="C26" s="224" t="s">
        <v>10</v>
      </c>
      <c r="D26" s="225">
        <v>39403</v>
      </c>
      <c r="E26" s="224">
        <v>2</v>
      </c>
      <c r="F26" s="226">
        <v>0.92</v>
      </c>
      <c r="G26" s="370">
        <v>2.08</v>
      </c>
    </row>
    <row r="27" spans="1:15" x14ac:dyDescent="0.2">
      <c r="A27" s="223">
        <v>12141</v>
      </c>
      <c r="B27" s="224">
        <v>181</v>
      </c>
      <c r="C27" s="224" t="s">
        <v>10</v>
      </c>
      <c r="D27" s="225">
        <v>39403</v>
      </c>
      <c r="E27" s="224">
        <v>2</v>
      </c>
      <c r="F27" s="226">
        <v>0.46</v>
      </c>
      <c r="G27" s="370">
        <v>2.2599999999999998</v>
      </c>
    </row>
    <row r="28" spans="1:15" x14ac:dyDescent="0.2">
      <c r="A28" s="223">
        <v>12143</v>
      </c>
      <c r="B28" s="224">
        <v>174</v>
      </c>
      <c r="C28" s="224" t="s">
        <v>10</v>
      </c>
      <c r="D28" s="225">
        <v>39403</v>
      </c>
      <c r="E28" s="224">
        <v>2</v>
      </c>
      <c r="F28" s="226">
        <v>1.04</v>
      </c>
      <c r="G28" s="370">
        <v>2.2400000000000002</v>
      </c>
    </row>
    <row r="29" spans="1:15" x14ac:dyDescent="0.2">
      <c r="A29" s="223">
        <v>12147</v>
      </c>
      <c r="B29" s="224">
        <v>181</v>
      </c>
      <c r="C29" s="224" t="s">
        <v>8</v>
      </c>
      <c r="D29" s="225">
        <v>39404</v>
      </c>
      <c r="E29" s="224">
        <v>2</v>
      </c>
      <c r="F29" s="226">
        <v>0.9</v>
      </c>
      <c r="G29" s="370">
        <v>2.0099999999999998</v>
      </c>
    </row>
    <row r="30" spans="1:15" x14ac:dyDescent="0.2">
      <c r="A30" s="223">
        <v>12150</v>
      </c>
      <c r="B30" s="224">
        <v>167</v>
      </c>
      <c r="C30" s="224" t="s">
        <v>8</v>
      </c>
      <c r="D30" s="225">
        <v>39404</v>
      </c>
      <c r="E30" s="224">
        <v>2</v>
      </c>
      <c r="F30" s="226">
        <v>0.97</v>
      </c>
      <c r="G30" s="370">
        <v>2</v>
      </c>
    </row>
    <row r="31" spans="1:15" x14ac:dyDescent="0.2">
      <c r="A31" s="223">
        <v>12151</v>
      </c>
      <c r="B31" s="224">
        <v>181</v>
      </c>
      <c r="C31" s="224" t="s">
        <v>8</v>
      </c>
      <c r="D31" s="225">
        <v>39404</v>
      </c>
      <c r="E31" s="224">
        <v>2</v>
      </c>
      <c r="F31" s="226">
        <v>0.49</v>
      </c>
      <c r="G31" s="370">
        <v>2.08</v>
      </c>
    </row>
    <row r="32" spans="1:15" x14ac:dyDescent="0.2">
      <c r="A32" s="223">
        <v>12152</v>
      </c>
      <c r="B32" s="224">
        <v>181</v>
      </c>
      <c r="C32" s="224" t="s">
        <v>8</v>
      </c>
      <c r="D32" s="225">
        <v>39404</v>
      </c>
      <c r="E32" s="224">
        <v>2</v>
      </c>
      <c r="F32" s="226">
        <v>0.75</v>
      </c>
      <c r="G32" s="370">
        <v>2.17</v>
      </c>
    </row>
    <row r="33" spans="1:7" x14ac:dyDescent="0.2">
      <c r="A33" s="223">
        <v>12153</v>
      </c>
      <c r="B33" s="224">
        <v>167</v>
      </c>
      <c r="C33" s="224" t="s">
        <v>8</v>
      </c>
      <c r="D33" s="225">
        <v>39404</v>
      </c>
      <c r="E33" s="224">
        <v>2</v>
      </c>
      <c r="F33" s="226">
        <v>0.3</v>
      </c>
      <c r="G33" s="370">
        <v>3.22</v>
      </c>
    </row>
    <row r="34" spans="1:7" x14ac:dyDescent="0.2">
      <c r="A34" s="223">
        <v>12155</v>
      </c>
      <c r="B34" s="224">
        <v>181</v>
      </c>
      <c r="C34" s="224" t="s">
        <v>9</v>
      </c>
      <c r="D34" s="225">
        <v>39404</v>
      </c>
      <c r="E34" s="224">
        <v>2</v>
      </c>
      <c r="F34" s="226">
        <v>1.01</v>
      </c>
      <c r="G34" s="370">
        <v>2.2400000000000002</v>
      </c>
    </row>
    <row r="35" spans="1:7" x14ac:dyDescent="0.2">
      <c r="A35" s="223">
        <v>12157</v>
      </c>
      <c r="B35" s="224">
        <v>181</v>
      </c>
      <c r="C35" s="224" t="s">
        <v>9</v>
      </c>
      <c r="D35" s="225">
        <v>39405</v>
      </c>
      <c r="E35" s="224">
        <v>2</v>
      </c>
      <c r="F35" s="226">
        <v>0.84</v>
      </c>
      <c r="G35" s="370">
        <v>2.34</v>
      </c>
    </row>
    <row r="36" spans="1:7" x14ac:dyDescent="0.2">
      <c r="A36" s="223">
        <v>12158</v>
      </c>
      <c r="B36" s="224">
        <v>174</v>
      </c>
      <c r="C36" s="224" t="s">
        <v>9</v>
      </c>
      <c r="D36" s="225">
        <v>39405</v>
      </c>
      <c r="E36" s="224">
        <v>2</v>
      </c>
      <c r="F36" s="226">
        <v>0.68</v>
      </c>
      <c r="G36" s="370">
        <v>2.1</v>
      </c>
    </row>
    <row r="37" spans="1:7" x14ac:dyDescent="0.2">
      <c r="A37" s="223">
        <v>12159</v>
      </c>
      <c r="B37" s="224">
        <v>181</v>
      </c>
      <c r="C37" s="224" t="s">
        <v>8</v>
      </c>
      <c r="D37" s="225">
        <v>39405</v>
      </c>
      <c r="E37" s="224">
        <v>2</v>
      </c>
      <c r="F37" s="226">
        <v>0.57999999999999996</v>
      </c>
      <c r="G37" s="370">
        <v>2.33</v>
      </c>
    </row>
    <row r="38" spans="1:7" x14ac:dyDescent="0.2">
      <c r="A38" s="253"/>
      <c r="B38" s="254"/>
      <c r="C38" s="254"/>
      <c r="D38" s="257"/>
      <c r="E38" s="254"/>
      <c r="F38" s="256"/>
      <c r="G38" s="257"/>
    </row>
    <row r="40" spans="1:7" x14ac:dyDescent="0.2">
      <c r="A40" s="49" t="s">
        <v>11</v>
      </c>
      <c r="B40" s="133"/>
      <c r="C40" s="133"/>
      <c r="D40" s="133"/>
      <c r="E40" s="133"/>
      <c r="F40" s="134">
        <f>AVERAGE(F9:F38)</f>
        <v>0.75689655172413783</v>
      </c>
      <c r="G40" s="135">
        <f>AVERAGE(G9:G38)</f>
        <v>2.1882758620689651</v>
      </c>
    </row>
    <row r="41" spans="1:7" x14ac:dyDescent="0.2">
      <c r="A41" s="38" t="s">
        <v>12</v>
      </c>
      <c r="B41" s="40"/>
      <c r="C41" s="40"/>
      <c r="D41" s="40"/>
      <c r="E41" s="40"/>
      <c r="F41" s="136">
        <f>MEDIAN(F9:F38)</f>
        <v>0.75</v>
      </c>
      <c r="G41" s="137">
        <f>MEDIAN(G9:G38)</f>
        <v>2.21</v>
      </c>
    </row>
    <row r="42" spans="1:7" x14ac:dyDescent="0.2">
      <c r="A42" s="38" t="s">
        <v>13</v>
      </c>
      <c r="B42" s="40"/>
      <c r="C42" s="40"/>
      <c r="D42" s="40"/>
      <c r="E42" s="40"/>
      <c r="F42" s="136">
        <f>MODE(F9:F38)</f>
        <v>0.49</v>
      </c>
      <c r="G42" s="137">
        <f>MODE(G9:G38)</f>
        <v>2.2400000000000002</v>
      </c>
    </row>
    <row r="43" spans="1:7" x14ac:dyDescent="0.2">
      <c r="A43" s="39" t="s">
        <v>14</v>
      </c>
      <c r="B43" s="138"/>
      <c r="C43" s="138"/>
      <c r="D43" s="138"/>
      <c r="E43" s="138"/>
      <c r="F43" s="139">
        <f>STDEV(F9:F38)</f>
        <v>0.26202649059474747</v>
      </c>
      <c r="G43" s="140">
        <f>STDEV(G9:G38)</f>
        <v>0.24548885580638094</v>
      </c>
    </row>
  </sheetData>
  <mergeCells count="1">
    <mergeCell ref="I12:O19"/>
  </mergeCells>
  <phoneticPr fontId="3" type="noConversion"/>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8">
    <pageSetUpPr autoPageBreaks="0"/>
  </sheetPr>
  <dimension ref="A1:O13"/>
  <sheetViews>
    <sheetView zoomScale="130" zoomScaleNormal="130" workbookViewId="0">
      <selection activeCell="A4" sqref="A4"/>
    </sheetView>
  </sheetViews>
  <sheetFormatPr defaultColWidth="9.140625" defaultRowHeight="11.25" x14ac:dyDescent="0.2"/>
  <cols>
    <col min="1" max="16384" width="9.140625" style="159"/>
  </cols>
  <sheetData>
    <row r="1" spans="1:15" ht="18" x14ac:dyDescent="0.25">
      <c r="A1" s="351" t="s">
        <v>258</v>
      </c>
      <c r="B1" s="158"/>
      <c r="C1" s="158"/>
      <c r="D1" s="158"/>
      <c r="E1" s="158"/>
      <c r="F1" s="158"/>
      <c r="G1" s="158"/>
      <c r="H1" s="158"/>
      <c r="I1" s="158"/>
      <c r="J1" s="158"/>
      <c r="K1" s="158"/>
      <c r="L1" s="158"/>
      <c r="M1" s="158"/>
      <c r="N1" s="158"/>
      <c r="O1" s="158"/>
    </row>
    <row r="2" spans="1:15" hidden="1" x14ac:dyDescent="0.2">
      <c r="A2" s="157"/>
      <c r="B2" s="158"/>
      <c r="C2" s="158"/>
      <c r="D2" s="158"/>
      <c r="E2" s="158"/>
      <c r="F2" s="158"/>
      <c r="G2" s="158"/>
      <c r="H2" s="158"/>
      <c r="I2" s="158"/>
      <c r="J2" s="158"/>
      <c r="K2" s="158"/>
      <c r="L2" s="158"/>
    </row>
    <row r="3" spans="1:15" ht="12.75" x14ac:dyDescent="0.2">
      <c r="A3" s="438" t="str">
        <f>IF(A2="","",IF(Disable_Video_Hyperlinks,A2,HYPERLINK(Video_website&amp;A2,A2)))</f>
        <v/>
      </c>
      <c r="B3" s="158"/>
      <c r="C3" s="158"/>
      <c r="D3" s="158"/>
      <c r="E3" s="158"/>
      <c r="F3" s="158"/>
      <c r="G3" s="158"/>
      <c r="H3" s="158"/>
      <c r="I3" s="158"/>
      <c r="J3" s="158"/>
      <c r="K3" s="158"/>
      <c r="L3" s="158"/>
    </row>
    <row r="4" spans="1:15" ht="12.75" x14ac:dyDescent="0.2">
      <c r="A4" s="501" t="str">
        <f>IF(B2="","",B2)</f>
        <v/>
      </c>
      <c r="B4" s="158"/>
      <c r="C4" s="158"/>
      <c r="D4" s="158"/>
      <c r="E4" s="158"/>
      <c r="F4" s="158"/>
      <c r="G4" s="158"/>
      <c r="H4" s="158"/>
      <c r="I4" s="158"/>
      <c r="J4" s="158"/>
      <c r="K4" s="158"/>
      <c r="L4" s="158"/>
    </row>
    <row r="5" spans="1:15" x14ac:dyDescent="0.2">
      <c r="A5" s="157"/>
      <c r="B5" s="158"/>
      <c r="C5" s="158"/>
      <c r="D5" s="158"/>
      <c r="E5" s="158"/>
      <c r="F5" s="158"/>
      <c r="G5" s="158"/>
      <c r="H5" s="158"/>
      <c r="I5" s="158"/>
      <c r="J5" s="158"/>
      <c r="K5" s="158"/>
      <c r="L5" s="158"/>
    </row>
    <row r="6" spans="1:15" ht="12.75" x14ac:dyDescent="0.2">
      <c r="A6" s="558" t="s">
        <v>305</v>
      </c>
      <c r="B6" s="558"/>
      <c r="C6" s="558"/>
      <c r="D6" s="558"/>
      <c r="E6" s="558"/>
      <c r="F6" s="558"/>
      <c r="G6" s="558"/>
      <c r="H6"/>
      <c r="I6" s="559" t="s">
        <v>306</v>
      </c>
      <c r="J6" s="559"/>
      <c r="K6" s="559"/>
      <c r="L6" s="559"/>
      <c r="M6" s="559"/>
      <c r="N6" s="559"/>
      <c r="O6" s="559"/>
    </row>
    <row r="7" spans="1:15" ht="12.75" x14ac:dyDescent="0.2">
      <c r="A7" s="558"/>
      <c r="B7" s="558"/>
      <c r="C7" s="558"/>
      <c r="D7" s="558"/>
      <c r="E7" s="558"/>
      <c r="F7" s="558"/>
      <c r="G7" s="558"/>
      <c r="H7"/>
      <c r="I7" s="559"/>
      <c r="J7" s="559"/>
      <c r="K7" s="559"/>
      <c r="L7" s="559"/>
      <c r="M7" s="559"/>
      <c r="N7" s="559"/>
      <c r="O7" s="559"/>
    </row>
    <row r="8" spans="1:15" ht="12.75" x14ac:dyDescent="0.2">
      <c r="A8" s="558"/>
      <c r="B8" s="558"/>
      <c r="C8" s="558"/>
      <c r="D8" s="558"/>
      <c r="E8" s="558"/>
      <c r="F8" s="558"/>
      <c r="G8" s="558"/>
      <c r="H8"/>
      <c r="I8" s="559"/>
      <c r="J8" s="559"/>
      <c r="K8" s="559"/>
      <c r="L8" s="559"/>
      <c r="M8" s="559"/>
      <c r="N8" s="559"/>
      <c r="O8" s="559"/>
    </row>
    <row r="9" spans="1:15" ht="12.75" x14ac:dyDescent="0.2">
      <c r="A9" s="558"/>
      <c r="B9" s="558"/>
      <c r="C9" s="558"/>
      <c r="D9" s="558"/>
      <c r="E9" s="558"/>
      <c r="F9" s="558"/>
      <c r="G9" s="558"/>
      <c r="H9"/>
      <c r="I9" s="559"/>
      <c r="J9" s="559"/>
      <c r="K9" s="559"/>
      <c r="L9" s="559"/>
      <c r="M9" s="559"/>
      <c r="N9" s="559"/>
      <c r="O9" s="559"/>
    </row>
    <row r="10" spans="1:15" ht="12.75" x14ac:dyDescent="0.2">
      <c r="A10" s="558"/>
      <c r="B10" s="558"/>
      <c r="C10" s="558"/>
      <c r="D10" s="558"/>
      <c r="E10" s="558"/>
      <c r="F10" s="558"/>
      <c r="G10" s="558"/>
      <c r="H10"/>
      <c r="I10" s="559"/>
      <c r="J10" s="559"/>
      <c r="K10" s="559"/>
      <c r="L10" s="559"/>
      <c r="M10" s="559"/>
      <c r="N10" s="559"/>
      <c r="O10" s="559"/>
    </row>
    <row r="11" spans="1:15" x14ac:dyDescent="0.2">
      <c r="A11" s="558"/>
      <c r="B11" s="558"/>
      <c r="C11" s="558"/>
      <c r="D11" s="558"/>
      <c r="E11" s="558"/>
      <c r="F11" s="558"/>
      <c r="G11" s="558"/>
    </row>
    <row r="12" spans="1:15" x14ac:dyDescent="0.2">
      <c r="A12" s="558"/>
      <c r="B12" s="558"/>
      <c r="C12" s="558"/>
      <c r="D12" s="558"/>
      <c r="E12" s="558"/>
      <c r="F12" s="558"/>
      <c r="G12" s="558"/>
    </row>
    <row r="13" spans="1:15" x14ac:dyDescent="0.2">
      <c r="A13" s="157"/>
      <c r="B13" s="158"/>
      <c r="C13" s="158"/>
      <c r="D13" s="158"/>
      <c r="E13" s="158"/>
      <c r="F13" s="158"/>
      <c r="G13" s="158"/>
    </row>
  </sheetData>
  <mergeCells count="2">
    <mergeCell ref="A6:G12"/>
    <mergeCell ref="I6:O10"/>
  </mergeCells>
  <phoneticPr fontId="3" type="noConversion"/>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autoPageBreaks="0"/>
  </sheetPr>
  <dimension ref="A1:L37"/>
  <sheetViews>
    <sheetView zoomScale="130" zoomScaleNormal="130" workbookViewId="0">
      <selection activeCell="A5" sqref="A5"/>
    </sheetView>
  </sheetViews>
  <sheetFormatPr defaultColWidth="9.140625" defaultRowHeight="11.25" x14ac:dyDescent="0.2"/>
  <cols>
    <col min="1" max="1" width="8" style="4" customWidth="1"/>
    <col min="2" max="2" width="5.28515625" style="4" customWidth="1"/>
    <col min="3" max="3" width="5.28515625" style="4" bestFit="1" customWidth="1"/>
    <col min="4" max="4" width="12.5703125" style="4" customWidth="1"/>
    <col min="5" max="5" width="10.140625" style="4" customWidth="1"/>
    <col min="6" max="6" width="9.85546875" style="4" customWidth="1"/>
    <col min="7" max="7" width="9.42578125" style="4" customWidth="1"/>
    <col min="8" max="16384" width="9.140625" style="4"/>
  </cols>
  <sheetData>
    <row r="1" spans="1:12" ht="18" x14ac:dyDescent="0.25">
      <c r="A1" s="351" t="s">
        <v>144</v>
      </c>
      <c r="B1" s="3"/>
      <c r="C1" s="3"/>
      <c r="D1" s="3"/>
      <c r="E1" s="3"/>
      <c r="F1" s="3"/>
      <c r="G1" s="3"/>
      <c r="H1" s="3"/>
      <c r="I1" s="3"/>
      <c r="J1" s="3"/>
      <c r="K1" s="3"/>
    </row>
    <row r="2" spans="1:12" hidden="1" x14ac:dyDescent="0.2"/>
    <row r="3" spans="1:12" s="213" customFormat="1" ht="12.75" x14ac:dyDescent="0.2">
      <c r="A3" s="438" t="str">
        <f>IF(A2="","",IF(Disable_Video_Hyperlinks,A2,HYPERLINK(Video_website&amp;A2,A2)))</f>
        <v/>
      </c>
    </row>
    <row r="4" spans="1:12" s="213" customFormat="1" ht="12.75" x14ac:dyDescent="0.2">
      <c r="A4" s="501" t="str">
        <f>IF(B2="","",B2)</f>
        <v/>
      </c>
    </row>
    <row r="5" spans="1:12" s="213" customFormat="1" x14ac:dyDescent="0.2"/>
    <row r="6" spans="1:12" ht="15.75" x14ac:dyDescent="0.25">
      <c r="A6" s="536" t="s">
        <v>0</v>
      </c>
      <c r="B6" s="545"/>
      <c r="C6" s="545"/>
      <c r="D6" s="545"/>
      <c r="E6" s="545"/>
      <c r="F6" s="545"/>
      <c r="G6" s="546"/>
    </row>
    <row r="7" spans="1:12" s="213" customFormat="1" ht="15.75" x14ac:dyDescent="0.25">
      <c r="A7" s="547"/>
      <c r="B7" s="548"/>
      <c r="C7" s="548"/>
      <c r="D7" s="548"/>
      <c r="E7" s="548"/>
      <c r="F7" s="548"/>
      <c r="G7" s="549"/>
    </row>
    <row r="8" spans="1:12" s="6" customFormat="1" ht="22.5" x14ac:dyDescent="0.2">
      <c r="A8" s="215" t="s">
        <v>1</v>
      </c>
      <c r="B8" s="215" t="s">
        <v>2</v>
      </c>
      <c r="C8" s="215" t="s">
        <v>3</v>
      </c>
      <c r="D8" s="215" t="s">
        <v>4</v>
      </c>
      <c r="E8" s="215" t="s">
        <v>5</v>
      </c>
      <c r="F8" s="215" t="s">
        <v>6</v>
      </c>
      <c r="G8" s="215" t="s">
        <v>7</v>
      </c>
    </row>
    <row r="9" spans="1:12" ht="11.25" customHeight="1" x14ac:dyDescent="0.2">
      <c r="A9" s="498">
        <v>12134</v>
      </c>
      <c r="B9" s="224">
        <v>174</v>
      </c>
      <c r="C9" s="224" t="s">
        <v>8</v>
      </c>
      <c r="D9" s="225">
        <v>39403</v>
      </c>
      <c r="E9" s="224">
        <v>1</v>
      </c>
      <c r="F9" s="226">
        <v>0.82</v>
      </c>
      <c r="G9" s="227">
        <v>2.21</v>
      </c>
      <c r="I9" s="559" t="s">
        <v>307</v>
      </c>
      <c r="J9" s="559"/>
      <c r="K9" s="559"/>
      <c r="L9" s="559"/>
    </row>
    <row r="10" spans="1:12" ht="11.25" customHeight="1" x14ac:dyDescent="0.2">
      <c r="A10" s="498">
        <v>12135</v>
      </c>
      <c r="B10" s="224">
        <v>174</v>
      </c>
      <c r="C10" s="224" t="s">
        <v>8</v>
      </c>
      <c r="D10" s="225">
        <v>39403</v>
      </c>
      <c r="E10" s="224">
        <v>1</v>
      </c>
      <c r="F10" s="226">
        <v>0.49</v>
      </c>
      <c r="G10" s="227">
        <v>1.94</v>
      </c>
      <c r="I10" s="559"/>
      <c r="J10" s="559"/>
      <c r="K10" s="559"/>
      <c r="L10" s="559"/>
    </row>
    <row r="11" spans="1:12" ht="11.25" customHeight="1" x14ac:dyDescent="0.2">
      <c r="A11" s="498">
        <v>12139</v>
      </c>
      <c r="B11" s="224">
        <v>174</v>
      </c>
      <c r="C11" s="224" t="s">
        <v>8</v>
      </c>
      <c r="D11" s="225">
        <v>39403</v>
      </c>
      <c r="E11" s="224">
        <v>1</v>
      </c>
      <c r="F11" s="226">
        <v>0.52</v>
      </c>
      <c r="G11" s="227">
        <v>2.0299999999999998</v>
      </c>
      <c r="I11" s="559"/>
      <c r="J11" s="559"/>
      <c r="K11" s="559"/>
      <c r="L11" s="559"/>
    </row>
    <row r="12" spans="1:12" ht="11.25" customHeight="1" x14ac:dyDescent="0.2">
      <c r="A12" s="498">
        <v>12140</v>
      </c>
      <c r="B12" s="224">
        <v>167</v>
      </c>
      <c r="C12" s="224" t="s">
        <v>8</v>
      </c>
      <c r="D12" s="225">
        <v>39403</v>
      </c>
      <c r="E12" s="224">
        <v>1</v>
      </c>
      <c r="F12" s="226">
        <v>0.63</v>
      </c>
      <c r="G12" s="227">
        <v>2.2400000000000002</v>
      </c>
      <c r="I12" s="559"/>
      <c r="J12" s="559"/>
      <c r="K12" s="559"/>
      <c r="L12" s="559"/>
    </row>
    <row r="13" spans="1:12" ht="11.25" customHeight="1" x14ac:dyDescent="0.2">
      <c r="A13" s="498">
        <v>12142</v>
      </c>
      <c r="B13" s="224">
        <v>167</v>
      </c>
      <c r="C13" s="224" t="s">
        <v>8</v>
      </c>
      <c r="D13" s="225">
        <v>39403</v>
      </c>
      <c r="E13" s="224">
        <v>1</v>
      </c>
      <c r="F13" s="226">
        <v>0.64</v>
      </c>
      <c r="G13" s="227">
        <v>2.2799999999999998</v>
      </c>
      <c r="I13" s="559"/>
      <c r="J13" s="559"/>
      <c r="K13" s="559"/>
      <c r="L13" s="559"/>
    </row>
    <row r="14" spans="1:12" ht="11.25" customHeight="1" x14ac:dyDescent="0.2">
      <c r="A14" s="498">
        <v>12144</v>
      </c>
      <c r="B14" s="224">
        <v>167</v>
      </c>
      <c r="C14" s="224" t="s">
        <v>8</v>
      </c>
      <c r="D14" s="225">
        <v>39403</v>
      </c>
      <c r="E14" s="224">
        <v>1</v>
      </c>
      <c r="F14" s="226">
        <v>1.28</v>
      </c>
      <c r="G14" s="227">
        <v>2.31</v>
      </c>
      <c r="I14" s="559"/>
      <c r="J14" s="559"/>
      <c r="K14" s="559"/>
      <c r="L14" s="559"/>
    </row>
    <row r="15" spans="1:12" ht="11.25" customHeight="1" x14ac:dyDescent="0.2">
      <c r="A15" s="498">
        <v>12145</v>
      </c>
      <c r="B15" s="224">
        <v>174</v>
      </c>
      <c r="C15" s="224" t="s">
        <v>8</v>
      </c>
      <c r="D15" s="225">
        <v>39403</v>
      </c>
      <c r="E15" s="224">
        <v>1</v>
      </c>
      <c r="F15" s="226">
        <v>0.45</v>
      </c>
      <c r="G15" s="227">
        <v>2.02</v>
      </c>
      <c r="I15" s="559"/>
      <c r="J15" s="559"/>
      <c r="K15" s="559"/>
      <c r="L15" s="559"/>
    </row>
    <row r="16" spans="1:12" ht="11.25" customHeight="1" x14ac:dyDescent="0.2">
      <c r="A16" s="498">
        <v>12146</v>
      </c>
      <c r="B16" s="224">
        <v>167</v>
      </c>
      <c r="C16" s="224" t="s">
        <v>8</v>
      </c>
      <c r="D16" s="225">
        <v>39403</v>
      </c>
      <c r="E16" s="224">
        <v>1</v>
      </c>
      <c r="F16" s="226">
        <v>1.1299999999999999</v>
      </c>
      <c r="G16" s="227">
        <v>2.0499999999999998</v>
      </c>
      <c r="I16" s="559"/>
      <c r="J16" s="559"/>
      <c r="K16" s="559"/>
      <c r="L16" s="559"/>
    </row>
    <row r="17" spans="1:12" ht="11.25" customHeight="1" x14ac:dyDescent="0.2">
      <c r="A17" s="498">
        <v>12148</v>
      </c>
      <c r="B17" s="224">
        <v>167</v>
      </c>
      <c r="C17" s="224" t="s">
        <v>9</v>
      </c>
      <c r="D17" s="225">
        <v>39404</v>
      </c>
      <c r="E17" s="224">
        <v>1</v>
      </c>
      <c r="F17" s="226">
        <v>0.43</v>
      </c>
      <c r="G17" s="227">
        <v>2.27</v>
      </c>
      <c r="I17" s="559"/>
      <c r="J17" s="559"/>
      <c r="K17" s="559"/>
      <c r="L17" s="559"/>
    </row>
    <row r="18" spans="1:12" ht="11.25" customHeight="1" x14ac:dyDescent="0.2">
      <c r="A18" s="498">
        <v>12149</v>
      </c>
      <c r="B18" s="224">
        <v>174</v>
      </c>
      <c r="C18" s="224" t="s">
        <v>9</v>
      </c>
      <c r="D18" s="225">
        <v>39404</v>
      </c>
      <c r="E18" s="224">
        <v>1</v>
      </c>
      <c r="F18" s="226">
        <v>0.47</v>
      </c>
      <c r="G18" s="227">
        <v>2.31</v>
      </c>
      <c r="I18" s="559"/>
      <c r="J18" s="559"/>
      <c r="K18" s="559"/>
      <c r="L18" s="559"/>
    </row>
    <row r="19" spans="1:12" ht="11.25" customHeight="1" x14ac:dyDescent="0.2">
      <c r="A19" s="498">
        <v>12154</v>
      </c>
      <c r="B19" s="224">
        <v>174</v>
      </c>
      <c r="C19" s="224" t="s">
        <v>9</v>
      </c>
      <c r="D19" s="225">
        <v>39404</v>
      </c>
      <c r="E19" s="224">
        <v>1</v>
      </c>
      <c r="F19" s="226">
        <v>0.97</v>
      </c>
      <c r="G19" s="227">
        <v>2.23</v>
      </c>
      <c r="I19" s="559"/>
      <c r="J19" s="559"/>
      <c r="K19" s="559"/>
      <c r="L19" s="559"/>
    </row>
    <row r="20" spans="1:12" ht="11.25" customHeight="1" x14ac:dyDescent="0.2">
      <c r="A20" s="498">
        <v>12156</v>
      </c>
      <c r="B20" s="224">
        <v>174</v>
      </c>
      <c r="C20" s="224" t="s">
        <v>9</v>
      </c>
      <c r="D20" s="225">
        <v>39404</v>
      </c>
      <c r="E20" s="224">
        <v>1</v>
      </c>
      <c r="F20" s="226">
        <v>0.81</v>
      </c>
      <c r="G20" s="227">
        <v>2.11</v>
      </c>
      <c r="I20" s="559"/>
      <c r="J20" s="559"/>
      <c r="K20" s="559"/>
      <c r="L20" s="559"/>
    </row>
    <row r="21" spans="1:12" ht="11.25" customHeight="1" x14ac:dyDescent="0.2">
      <c r="A21" s="498">
        <v>12160</v>
      </c>
      <c r="B21" s="224">
        <v>174</v>
      </c>
      <c r="C21" s="224" t="s">
        <v>9</v>
      </c>
      <c r="D21" s="225">
        <v>39405</v>
      </c>
      <c r="E21" s="224">
        <v>1</v>
      </c>
      <c r="F21" s="226">
        <v>0.68</v>
      </c>
      <c r="G21" s="227">
        <v>2.2200000000000002</v>
      </c>
      <c r="I21"/>
      <c r="J21"/>
      <c r="K21"/>
      <c r="L21"/>
    </row>
    <row r="22" spans="1:12" ht="11.25" customHeight="1" x14ac:dyDescent="0.2">
      <c r="A22" s="498">
        <v>12161</v>
      </c>
      <c r="B22" s="224">
        <v>174</v>
      </c>
      <c r="C22" s="224" t="s">
        <v>9</v>
      </c>
      <c r="D22" s="225">
        <v>39405</v>
      </c>
      <c r="E22" s="224">
        <v>1</v>
      </c>
      <c r="F22" s="226">
        <v>0.67</v>
      </c>
      <c r="G22" s="227">
        <v>2.08</v>
      </c>
      <c r="I22"/>
      <c r="J22"/>
      <c r="K22"/>
      <c r="L22"/>
    </row>
    <row r="23" spans="1:12" ht="11.25" customHeight="1" x14ac:dyDescent="0.2">
      <c r="A23" s="498">
        <v>12162</v>
      </c>
      <c r="B23" s="224">
        <v>181</v>
      </c>
      <c r="C23" s="224" t="s">
        <v>9</v>
      </c>
      <c r="D23" s="225">
        <v>39405</v>
      </c>
      <c r="E23" s="224">
        <v>1</v>
      </c>
      <c r="F23" s="226">
        <v>0.95</v>
      </c>
      <c r="G23" s="227">
        <v>2.0099999999999998</v>
      </c>
      <c r="I23"/>
      <c r="J23"/>
      <c r="K23"/>
      <c r="L23"/>
    </row>
    <row r="24" spans="1:12" x14ac:dyDescent="0.2">
      <c r="A24" s="498">
        <v>12136</v>
      </c>
      <c r="B24" s="224">
        <v>181</v>
      </c>
      <c r="C24" s="224" t="s">
        <v>10</v>
      </c>
      <c r="D24" s="225">
        <v>39403</v>
      </c>
      <c r="E24" s="224">
        <v>2</v>
      </c>
      <c r="F24" s="226">
        <v>1.32</v>
      </c>
      <c r="G24" s="227">
        <v>2.35</v>
      </c>
    </row>
    <row r="25" spans="1:12" x14ac:dyDescent="0.2">
      <c r="A25" s="498">
        <v>12137</v>
      </c>
      <c r="B25" s="224">
        <v>181</v>
      </c>
      <c r="C25" s="224" t="s">
        <v>10</v>
      </c>
      <c r="D25" s="225">
        <v>39403</v>
      </c>
      <c r="E25" s="224">
        <v>2</v>
      </c>
      <c r="F25" s="226">
        <v>0.75</v>
      </c>
      <c r="G25" s="227">
        <v>1.7344999999999999</v>
      </c>
    </row>
    <row r="26" spans="1:12" x14ac:dyDescent="0.2">
      <c r="A26" s="498">
        <v>12138</v>
      </c>
      <c r="B26" s="224">
        <v>181</v>
      </c>
      <c r="C26" s="224" t="s">
        <v>10</v>
      </c>
      <c r="D26" s="225">
        <v>39403</v>
      </c>
      <c r="E26" s="224">
        <v>2</v>
      </c>
      <c r="F26" s="226">
        <v>0.92</v>
      </c>
      <c r="G26" s="227">
        <v>2.08</v>
      </c>
    </row>
    <row r="27" spans="1:12" x14ac:dyDescent="0.2">
      <c r="A27" s="498">
        <v>12141</v>
      </c>
      <c r="B27" s="224">
        <v>181</v>
      </c>
      <c r="C27" s="224" t="s">
        <v>10</v>
      </c>
      <c r="D27" s="225">
        <v>39403</v>
      </c>
      <c r="E27" s="224">
        <v>2</v>
      </c>
      <c r="F27" s="226">
        <v>0.46</v>
      </c>
      <c r="G27" s="227">
        <v>2.2599999999999998</v>
      </c>
    </row>
    <row r="28" spans="1:12" x14ac:dyDescent="0.2">
      <c r="A28" s="498">
        <v>12143</v>
      </c>
      <c r="B28" s="224">
        <v>174</v>
      </c>
      <c r="C28" s="224" t="s">
        <v>10</v>
      </c>
      <c r="D28" s="225">
        <v>39403</v>
      </c>
      <c r="E28" s="224">
        <v>2</v>
      </c>
      <c r="F28" s="226">
        <v>1.04</v>
      </c>
      <c r="G28" s="227">
        <v>2.2400000000000002</v>
      </c>
    </row>
    <row r="29" spans="1:12" x14ac:dyDescent="0.2">
      <c r="A29" s="498">
        <v>12147</v>
      </c>
      <c r="B29" s="224">
        <v>181</v>
      </c>
      <c r="C29" s="224" t="s">
        <v>8</v>
      </c>
      <c r="D29" s="225">
        <v>39404</v>
      </c>
      <c r="E29" s="224">
        <v>2</v>
      </c>
      <c r="F29" s="226">
        <v>0.9</v>
      </c>
      <c r="G29" s="227">
        <v>2.0099999999999998</v>
      </c>
    </row>
    <row r="30" spans="1:12" x14ac:dyDescent="0.2">
      <c r="A30" s="498">
        <v>12150</v>
      </c>
      <c r="B30" s="224">
        <v>167</v>
      </c>
      <c r="C30" s="224" t="s">
        <v>8</v>
      </c>
      <c r="D30" s="225">
        <v>39404</v>
      </c>
      <c r="E30" s="224">
        <v>2</v>
      </c>
      <c r="F30" s="226">
        <v>0.97</v>
      </c>
      <c r="G30" s="227">
        <v>2.0000100000000001</v>
      </c>
    </row>
    <row r="31" spans="1:12" x14ac:dyDescent="0.2">
      <c r="A31" s="498">
        <v>12151</v>
      </c>
      <c r="B31" s="224">
        <v>181</v>
      </c>
      <c r="C31" s="224" t="s">
        <v>8</v>
      </c>
      <c r="D31" s="225">
        <v>39404</v>
      </c>
      <c r="E31" s="224">
        <v>2</v>
      </c>
      <c r="F31" s="226">
        <v>0.49</v>
      </c>
      <c r="G31" s="227">
        <v>2.08</v>
      </c>
    </row>
    <row r="32" spans="1:12" x14ac:dyDescent="0.2">
      <c r="A32" s="498">
        <v>12152</v>
      </c>
      <c r="B32" s="224">
        <v>181</v>
      </c>
      <c r="C32" s="224" t="s">
        <v>8</v>
      </c>
      <c r="D32" s="225">
        <v>39404</v>
      </c>
      <c r="E32" s="224">
        <v>2</v>
      </c>
      <c r="F32" s="226">
        <v>0.75</v>
      </c>
      <c r="G32" s="227">
        <v>2.17</v>
      </c>
    </row>
    <row r="33" spans="1:7" x14ac:dyDescent="0.2">
      <c r="A33" s="498">
        <v>12153</v>
      </c>
      <c r="B33" s="224">
        <v>167</v>
      </c>
      <c r="C33" s="224" t="s">
        <v>8</v>
      </c>
      <c r="D33" s="225">
        <v>39404</v>
      </c>
      <c r="E33" s="224">
        <v>2</v>
      </c>
      <c r="F33" s="226">
        <v>0.3</v>
      </c>
      <c r="G33" s="227">
        <v>3.2160000000000002</v>
      </c>
    </row>
    <row r="34" spans="1:7" x14ac:dyDescent="0.2">
      <c r="A34" s="498">
        <v>12155</v>
      </c>
      <c r="B34" s="224">
        <v>181</v>
      </c>
      <c r="C34" s="224" t="s">
        <v>9</v>
      </c>
      <c r="D34" s="225">
        <v>39404</v>
      </c>
      <c r="E34" s="224">
        <v>2</v>
      </c>
      <c r="F34" s="226">
        <v>1.01</v>
      </c>
      <c r="G34" s="227">
        <v>2.2400000000000002</v>
      </c>
    </row>
    <row r="35" spans="1:7" x14ac:dyDescent="0.2">
      <c r="A35" s="498">
        <v>12157</v>
      </c>
      <c r="B35" s="224">
        <v>181</v>
      </c>
      <c r="C35" s="224" t="s">
        <v>9</v>
      </c>
      <c r="D35" s="225">
        <v>39405</v>
      </c>
      <c r="E35" s="224">
        <v>2</v>
      </c>
      <c r="F35" s="226">
        <v>0.84</v>
      </c>
      <c r="G35" s="227">
        <v>2.34</v>
      </c>
    </row>
    <row r="36" spans="1:7" x14ac:dyDescent="0.2">
      <c r="A36" s="498">
        <v>12158</v>
      </c>
      <c r="B36" s="224">
        <v>174</v>
      </c>
      <c r="C36" s="224" t="s">
        <v>9</v>
      </c>
      <c r="D36" s="225">
        <v>39405</v>
      </c>
      <c r="E36" s="224">
        <v>2</v>
      </c>
      <c r="F36" s="226">
        <v>0.68</v>
      </c>
      <c r="G36" s="227">
        <v>2.1</v>
      </c>
    </row>
    <row r="37" spans="1:7" x14ac:dyDescent="0.2">
      <c r="A37" s="499">
        <v>12159</v>
      </c>
      <c r="B37" s="234">
        <v>181</v>
      </c>
      <c r="C37" s="234" t="s">
        <v>8</v>
      </c>
      <c r="D37" s="235">
        <v>39405</v>
      </c>
      <c r="E37" s="234">
        <v>2</v>
      </c>
      <c r="F37" s="236">
        <v>0.57999999999999996</v>
      </c>
      <c r="G37" s="237">
        <v>2.33</v>
      </c>
    </row>
  </sheetData>
  <mergeCells count="1">
    <mergeCell ref="I9:L20"/>
  </mergeCells>
  <phoneticPr fontId="3" type="noConversion"/>
  <pageMargins left="0.75" right="0.75" top="1" bottom="1" header="0.5" footer="0.5"/>
  <pageSetup orientation="portrait" horizontalDpi="4294967293"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Documentation</vt:lpstr>
      <vt:lpstr>Objectives</vt:lpstr>
      <vt:lpstr>Functions</vt:lpstr>
      <vt:lpstr>Key_Terms</vt:lpstr>
      <vt:lpstr>_Statistics</vt:lpstr>
      <vt:lpstr>Fundamentals</vt:lpstr>
      <vt:lpstr>Statistics</vt:lpstr>
      <vt:lpstr>Normal_Dist</vt:lpstr>
      <vt:lpstr>Precision</vt:lpstr>
      <vt:lpstr>Round</vt:lpstr>
      <vt:lpstr>Syntax</vt:lpstr>
      <vt:lpstr>Precision_Functions</vt:lpstr>
      <vt:lpstr>Circular Reference</vt:lpstr>
      <vt:lpstr>#REF!_error</vt:lpstr>
      <vt:lpstr>Paste_Special</vt:lpstr>
      <vt:lpstr>Freezing_Panes</vt:lpstr>
      <vt:lpstr>Freezing_Rows_&amp;_Columns</vt:lpstr>
      <vt:lpstr>Splitting_Windows</vt:lpstr>
      <vt:lpstr>CurrentQCdata</vt:lpstr>
      <vt:lpstr>Current vs Historical</vt:lpstr>
      <vt:lpstr>_Statistics_2</vt:lpstr>
      <vt:lpstr>RANK</vt:lpstr>
      <vt:lpstr>LARGE_&amp;_SMALL</vt:lpstr>
      <vt:lpstr>RANDBETWEEN_&amp;_RAND</vt:lpstr>
      <vt:lpstr>COUNT</vt:lpstr>
      <vt:lpstr>COUNTIF</vt:lpstr>
      <vt:lpstr>COUNTIFS</vt:lpstr>
      <vt:lpstr>SUMIF</vt:lpstr>
      <vt:lpstr>_Supplemental</vt:lpstr>
      <vt:lpstr>Inputs</vt:lpstr>
      <vt:lpstr>Custom_Format</vt:lpstr>
      <vt:lpstr>Custom_Examples</vt:lpstr>
      <vt:lpstr>SUMIF &amp; COUNTIF</vt:lpstr>
      <vt:lpstr>element_designator</vt:lpstr>
      <vt:lpstr>Last_Modified</vt:lpstr>
      <vt:lpstr>COUNTIF!Print_Area</vt:lpstr>
      <vt:lpstr>COUNTIFS!Print_Area</vt:lpstr>
      <vt:lpstr>RANK!Print_Area</vt:lpstr>
      <vt:lpstr>toc</vt:lpstr>
    </vt:vector>
  </TitlesOfParts>
  <Company>UNC - 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Day</dc:creator>
  <cp:lastModifiedBy>Travis Day</cp:lastModifiedBy>
  <dcterms:created xsi:type="dcterms:W3CDTF">2007-02-06T09:51:52Z</dcterms:created>
  <dcterms:modified xsi:type="dcterms:W3CDTF">2022-08-15T12:44:38Z</dcterms:modified>
</cp:coreProperties>
</file>