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1.xml" ContentType="application/vnd.openxmlformats-officedocument.drawing+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drawings/drawing2.xml" ContentType="application/vnd.openxmlformats-officedocument.drawing+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https://adminliveunc-my.sharepoint.com/personal/dayt_ad_unc_edu/Documents/Documents/Class/Notes/"/>
    </mc:Choice>
  </mc:AlternateContent>
  <xr:revisionPtr revIDLastSave="3705" documentId="8_{80C31BF5-61F1-4655-9F36-84472CCCD7CC}" xr6:coauthVersionLast="47" xr6:coauthVersionMax="47" xr10:uidLastSave="{91C6623C-FF9D-4587-B428-7A861E804C43}"/>
  <bookViews>
    <workbookView xWindow="-120" yWindow="-120" windowWidth="29040" windowHeight="17520" tabRatio="874" xr2:uid="{00000000-000D-0000-FFFF-FFFF00000000}"/>
  </bookViews>
  <sheets>
    <sheet name="Documentation" sheetId="40" r:id="rId1"/>
    <sheet name="Functions" sheetId="89" r:id="rId2"/>
    <sheet name="_Boolean" sheetId="79" r:id="rId3"/>
    <sheet name="Relational_Operators" sheetId="37" r:id="rId4"/>
    <sheet name="Range_Names" sheetId="54" r:id="rId5"/>
    <sheet name="Boolean_Functions" sheetId="33" r:id="rId6"/>
    <sheet name="Simple" sheetId="58" r:id="rId7"/>
    <sheet name="IFERROR" sheetId="52" r:id="rId8"/>
    <sheet name="OR" sheetId="59" r:id="rId9"/>
    <sheet name="Long_List" sheetId="61" r:id="rId10"/>
    <sheet name="Language" sheetId="94" r:id="rId11"/>
    <sheet name="2-step" sheetId="62" r:id="rId12"/>
    <sheet name="Array" sheetId="64" r:id="rId13"/>
    <sheet name="AND" sheetId="65" r:id="rId14"/>
    <sheet name="Between" sheetId="95" r:id="rId15"/>
    <sheet name="NOT" sheetId="66" r:id="rId16"/>
    <sheet name="Flexible" sheetId="67" r:id="rId17"/>
    <sheet name="_Conditional Formatting" sheetId="76" r:id="rId18"/>
    <sheet name="Applying" sheetId="49" r:id="rId19"/>
    <sheet name="Preset" sheetId="68" r:id="rId20"/>
    <sheet name="Cells_Value" sheetId="31" r:id="rId21"/>
    <sheet name="Duplicate_Unique" sheetId="70" r:id="rId22"/>
    <sheet name="Color_Scales" sheetId="69" r:id="rId23"/>
    <sheet name="Top_Bottom_Ranked" sheetId="44" r:id="rId24"/>
    <sheet name="Cells_Based_on_Other_Cells" sheetId="45" r:id="rId25"/>
    <sheet name="Use_Formula" sheetId="32" r:id="rId26"/>
    <sheet name="Rule_Order_1" sheetId="35" r:id="rId27"/>
    <sheet name="Rule_Order_2" sheetId="34" r:id="rId28"/>
    <sheet name="Stop_if_true" sheetId="43" r:id="rId29"/>
    <sheet name="_IF" sheetId="78" r:id="rId30"/>
    <sheet name="IF" sheetId="30" r:id="rId31"/>
    <sheet name="True-False" sheetId="73" r:id="rId32"/>
    <sheet name="Simple_Calc" sheetId="74" r:id="rId33"/>
    <sheet name="Flexible_IF" sheetId="38" r:id="rId34"/>
    <sheet name="Error_Checking" sheetId="72" r:id="rId35"/>
    <sheet name="Nested_IF" sheetId="51" r:id="rId36"/>
    <sheet name="IFS" sheetId="84" r:id="rId37"/>
    <sheet name="with_=" sheetId="15" r:id="rId38"/>
    <sheet name="IFS_2" sheetId="83" r:id="rId39"/>
    <sheet name="with_AND" sheetId="16" r:id="rId40"/>
    <sheet name="with_&lt;" sheetId="85" r:id="rId41"/>
    <sheet name="with_&gt;=" sheetId="87" r:id="rId42"/>
    <sheet name="IFS_3_AND" sheetId="86" state="hidden" r:id="rId43"/>
    <sheet name="IFS_3" sheetId="82" r:id="rId44"/>
    <sheet name="Required_Nested_IF" sheetId="50" r:id="rId45"/>
    <sheet name="IFS_4" sheetId="81" r:id="rId46"/>
    <sheet name="Conditional_2" sheetId="93" state="hidden" r:id="rId47"/>
    <sheet name="Complex" sheetId="29" r:id="rId48"/>
    <sheet name="IS" sheetId="90" r:id="rId49"/>
    <sheet name="Dynamic_Arrays" sheetId="91" r:id="rId50"/>
    <sheet name="Dynamic_Arrays_2" sheetId="92" r:id="rId51"/>
    <sheet name="Spilling" sheetId="88" r:id="rId52"/>
    <sheet name="2-Tennis Balls" sheetId="2" state="hidden" r:id="rId53"/>
    <sheet name="2-Costs" sheetId="3" state="hidden" r:id="rId54"/>
    <sheet name="2-Orders" sheetId="4" state="hidden" r:id="rId55"/>
    <sheet name="2-Discount" sheetId="5" state="hidden" r:id="rId56"/>
    <sheet name="2-ShipByRegion" sheetId="6" state="hidden" r:id="rId57"/>
    <sheet name="3-Products" sheetId="7" state="hidden" r:id="rId58"/>
    <sheet name="3-Orders" sheetId="8" state="hidden" r:id="rId59"/>
    <sheet name="3-Pricing Schedule 1" sheetId="9" state="hidden" r:id="rId60"/>
    <sheet name="3-Pricing Schedule 2" sheetId="10" state="hidden" r:id="rId61"/>
    <sheet name="3-Discount" sheetId="11" state="hidden" r:id="rId62"/>
    <sheet name="3-Shipping" sheetId="12" state="hidden" r:id="rId63"/>
    <sheet name="3-States" sheetId="13" state="hidden" r:id="rId64"/>
  </sheets>
  <externalReferences>
    <externalReference r:id="rId65"/>
    <externalReference r:id="rId66"/>
    <externalReference r:id="rId67"/>
  </externalReferences>
  <definedNames>
    <definedName name="_xlnm._FilterDatabase" localSheetId="46" hidden="1">Conditional_2!$A$10:$G$61</definedName>
    <definedName name="_xlnm._FilterDatabase" localSheetId="0" hidden="1">Documentation!$A$8:$I$73</definedName>
    <definedName name="_xlnm._FilterDatabase" localSheetId="49" hidden="1">Dynamic_Arrays!#REF!</definedName>
    <definedName name="_xlnm._FilterDatabase" localSheetId="50" hidden="1">Dynamic_Arrays_2!$A$25:$B$34</definedName>
    <definedName name="anscount" hidden="1">1</definedName>
    <definedName name="BigNum" comment="Biggest # Excel recognizes">9.99999999999999E+307</definedName>
    <definedName name="Bye">Range_Names!$B$7</definedName>
    <definedName name="DDFileRows1011201092123AM" localSheetId="1" hidden="1">#REF!</definedName>
    <definedName name="DDFileRows1011201092123AM" hidden="1">#REF!</definedName>
    <definedName name="DDFileRows101201073822PM" localSheetId="1" hidden="1">#REF!</definedName>
    <definedName name="DDFileRows101201073822PM" hidden="1">#REF!</definedName>
    <definedName name="DDFileRows101201075817PM" localSheetId="1" hidden="1">#REF!</definedName>
    <definedName name="DDFileRows101201075817PM" hidden="1">#REF!</definedName>
    <definedName name="DDFileRows1025201084604PM" localSheetId="1" hidden="1">#REF!</definedName>
    <definedName name="DDFileRows1025201084604PM" hidden="1">#REF!</definedName>
    <definedName name="DDFileRows104201064449AM" localSheetId="1" hidden="1">#REF!</definedName>
    <definedName name="DDFileRows104201064449AM" hidden="1">#REF!</definedName>
    <definedName name="Disable_Video_Hyperlinks">FALSE</definedName>
    <definedName name="Discounts">'2-Discount'!$A$7:$A$10</definedName>
    <definedName name="Discounts2">2-[1]Discount!$A$2:$A$5</definedName>
    <definedName name="Discounts3">3-[1]Discount!$B$3:$E$4</definedName>
    <definedName name="element_designator">Documentation!$D$7</definedName>
    <definedName name="ErrorMsg">"ERR"</definedName>
    <definedName name="Freight_Customer_Types">3-[2]Shipping!$A$29:$A$31</definedName>
    <definedName name="Hi">Range_Names!$C$7</definedName>
    <definedName name="Last_Modified">Documentation!$B$4</definedName>
    <definedName name="Price1" localSheetId="49">3-[3]Pricing_Schedule_1!$A$4:$B$17</definedName>
    <definedName name="Price2">'3-Pricing Schedule 2'!$A$7:$B$10</definedName>
    <definedName name="Pricing">'2-Costs'!$A$7:$C$21</definedName>
    <definedName name="Products">'3-Products'!$A$7:$D$22</definedName>
    <definedName name="rles">Dynamic_Arrays!$D$11</definedName>
    <definedName name="Schedule1">'2-ShipByRegion'!$B$8:$E$12</definedName>
    <definedName name="Schedule2">'2-ShipByRegion'!$B$16:$E$20</definedName>
    <definedName name="Schedule3">'2-ShipByRegion'!$B$24:$E$28</definedName>
    <definedName name="segment_designator">"_"</definedName>
    <definedName name="Ship1">3-[2]Shipping!$B$5:$E$9</definedName>
    <definedName name="Ship2">3-[2]Shipping!$B$13:$E$17</definedName>
    <definedName name="Ship3">3-[2]Shipping!$B$21:$E$25</definedName>
    <definedName name="Shipping_Methods">3-[2]Shipping!$B$4:$E$4</definedName>
    <definedName name="Shipping1">'3-Shipping'!$B$8:$E$12</definedName>
    <definedName name="Shipping2">'3-Shipping'!$B$16:$E$20</definedName>
    <definedName name="Shipping3">'3-Shipping'!$B$24:$E$28</definedName>
    <definedName name="States">'3-States'!$B$7:$D$57</definedName>
    <definedName name="toc">Documentation!$A$8</definedName>
    <definedName name="Totals">'2-Discount'!$B$7:$B$10</definedName>
    <definedName name="TotOrderVol">2-[1]Discount!$B$2:$B$5</definedName>
    <definedName name="Video_Lengths_Description">"Length of video clips in this segement: "</definedName>
    <definedName name="Video_website">"https://public.kenan-flagler.unc.edu/faculty/dayt/class/video/"</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40" l="1"/>
  <c r="D72" i="40"/>
  <c r="C72" i="40"/>
  <c r="B72" i="40"/>
  <c r="D71" i="40"/>
  <c r="C71" i="40"/>
  <c r="B71" i="40"/>
  <c r="D70" i="40"/>
  <c r="C70" i="40"/>
  <c r="B70" i="40"/>
  <c r="D69" i="40"/>
  <c r="C69" i="40"/>
  <c r="B69" i="40"/>
  <c r="D68" i="40"/>
  <c r="C68" i="40"/>
  <c r="B68" i="40"/>
  <c r="D67" i="40"/>
  <c r="C67" i="40"/>
  <c r="B67" i="40"/>
  <c r="D66" i="40"/>
  <c r="C66" i="40"/>
  <c r="B66" i="40"/>
  <c r="D65" i="40"/>
  <c r="C65" i="40"/>
  <c r="B65" i="40"/>
  <c r="D64" i="40"/>
  <c r="C64" i="40"/>
  <c r="B64" i="40"/>
  <c r="D63" i="40"/>
  <c r="C63" i="40"/>
  <c r="B63" i="40"/>
  <c r="D62" i="40"/>
  <c r="C62" i="40"/>
  <c r="B62" i="40"/>
  <c r="D61" i="40"/>
  <c r="C61" i="40"/>
  <c r="B61" i="40"/>
  <c r="D60" i="40"/>
  <c r="C60" i="40"/>
  <c r="B60" i="40"/>
  <c r="D59" i="40"/>
  <c r="C59" i="40"/>
  <c r="B59" i="40"/>
  <c r="D58" i="40"/>
  <c r="C58" i="40"/>
  <c r="B58" i="40"/>
  <c r="D57" i="40"/>
  <c r="C57" i="40"/>
  <c r="B57" i="40"/>
  <c r="D56" i="40"/>
  <c r="C56" i="40"/>
  <c r="B56" i="40"/>
  <c r="D55" i="40"/>
  <c r="C55" i="40"/>
  <c r="B55" i="40"/>
  <c r="D54" i="40"/>
  <c r="C54" i="40"/>
  <c r="B54" i="40"/>
  <c r="D53" i="40"/>
  <c r="C53" i="40"/>
  <c r="B53" i="40"/>
  <c r="D52" i="40"/>
  <c r="C52" i="40"/>
  <c r="B52" i="40"/>
  <c r="D51" i="40"/>
  <c r="C51" i="40"/>
  <c r="B51" i="40"/>
  <c r="D50" i="40"/>
  <c r="C50" i="40"/>
  <c r="B50" i="40"/>
  <c r="D49" i="40"/>
  <c r="C49" i="40"/>
  <c r="B49" i="40"/>
  <c r="D48" i="40"/>
  <c r="C48" i="40"/>
  <c r="B48" i="40"/>
  <c r="D47" i="40"/>
  <c r="C47" i="40"/>
  <c r="B47" i="40"/>
  <c r="D46" i="40"/>
  <c r="C46" i="40"/>
  <c r="B46" i="40"/>
  <c r="D45" i="40"/>
  <c r="C45" i="40"/>
  <c r="B45" i="40"/>
  <c r="D44" i="40"/>
  <c r="C44" i="40"/>
  <c r="B44" i="40"/>
  <c r="D43" i="40"/>
  <c r="C43" i="40"/>
  <c r="B43" i="40"/>
  <c r="D42" i="40"/>
  <c r="C42" i="40"/>
  <c r="B42" i="40"/>
  <c r="D41" i="40"/>
  <c r="C41" i="40"/>
  <c r="B41" i="40"/>
  <c r="D40" i="40"/>
  <c r="C40" i="40"/>
  <c r="B40" i="40"/>
  <c r="D39" i="40"/>
  <c r="C39" i="40"/>
  <c r="B39" i="40"/>
  <c r="D38" i="40"/>
  <c r="C38" i="40"/>
  <c r="B38" i="40"/>
  <c r="D37" i="40"/>
  <c r="C37" i="40"/>
  <c r="B37" i="40"/>
  <c r="D36" i="40"/>
  <c r="C36" i="40"/>
  <c r="B36" i="40"/>
  <c r="D35" i="40"/>
  <c r="C35" i="40"/>
  <c r="B35" i="40"/>
  <c r="D34" i="40"/>
  <c r="C34" i="40"/>
  <c r="B34" i="40"/>
  <c r="D33" i="40"/>
  <c r="C33" i="40"/>
  <c r="B33" i="40"/>
  <c r="D32" i="40"/>
  <c r="C32" i="40"/>
  <c r="B32" i="40"/>
  <c r="D31" i="40"/>
  <c r="C31" i="40"/>
  <c r="B31" i="40"/>
  <c r="D30" i="40"/>
  <c r="C30" i="40"/>
  <c r="B30" i="40"/>
  <c r="D29" i="40"/>
  <c r="C29" i="40"/>
  <c r="B29" i="40"/>
  <c r="D28" i="40"/>
  <c r="C28" i="40"/>
  <c r="B28" i="40"/>
  <c r="D27" i="40"/>
  <c r="C27" i="40"/>
  <c r="B27" i="40"/>
  <c r="D26" i="40"/>
  <c r="C26" i="40"/>
  <c r="B26" i="40"/>
  <c r="D25" i="40"/>
  <c r="C25" i="40"/>
  <c r="B25" i="40"/>
  <c r="D24" i="40"/>
  <c r="C24" i="40"/>
  <c r="B24" i="40"/>
  <c r="D23" i="40"/>
  <c r="C23" i="40"/>
  <c r="B23" i="40"/>
  <c r="D22" i="40"/>
  <c r="C22" i="40"/>
  <c r="B22" i="40"/>
  <c r="D21" i="40"/>
  <c r="C21" i="40"/>
  <c r="B21" i="40"/>
  <c r="D20" i="40"/>
  <c r="C20" i="40"/>
  <c r="B20" i="40"/>
  <c r="D19" i="40"/>
  <c r="C19" i="40"/>
  <c r="B19" i="40"/>
  <c r="D18" i="40"/>
  <c r="C18" i="40"/>
  <c r="B18" i="40"/>
  <c r="D17" i="40"/>
  <c r="C17" i="40"/>
  <c r="B17" i="40"/>
  <c r="D16" i="40"/>
  <c r="C16" i="40"/>
  <c r="B16" i="40"/>
  <c r="D15" i="40"/>
  <c r="C15" i="40"/>
  <c r="B15" i="40"/>
  <c r="D14" i="40"/>
  <c r="C14" i="40"/>
  <c r="B14" i="40"/>
  <c r="D13" i="40"/>
  <c r="C13" i="40"/>
  <c r="B13" i="40"/>
  <c r="D12" i="40"/>
  <c r="C12" i="40"/>
  <c r="B12" i="40"/>
  <c r="D11" i="40"/>
  <c r="C11" i="40"/>
  <c r="B11" i="40"/>
  <c r="D10" i="40"/>
  <c r="C10" i="40"/>
  <c r="B10" i="40"/>
  <c r="D9" i="40"/>
  <c r="C9" i="40"/>
  <c r="A9" i="40"/>
  <c r="F9" i="40" s="1"/>
  <c r="E8" i="40"/>
  <c r="C61" i="93" a="1"/>
  <c r="C61" i="93"/>
  <c r="C60" i="93" a="1"/>
  <c r="C60" i="93"/>
  <c r="C59" i="93" a="1"/>
  <c r="C59" i="93"/>
  <c r="C58" i="93" a="1"/>
  <c r="C58" i="93"/>
  <c r="C57" i="93" a="1"/>
  <c r="C57" i="93"/>
  <c r="C56" i="93" a="1"/>
  <c r="C56" i="93"/>
  <c r="C55" i="93" a="1"/>
  <c r="C55" i="93"/>
  <c r="C54" i="93" a="1"/>
  <c r="C54" i="93"/>
  <c r="C53" i="93" a="1"/>
  <c r="C53" i="93"/>
  <c r="C52" i="93" a="1"/>
  <c r="C52" i="93"/>
  <c r="C51" i="93" a="1"/>
  <c r="C51" i="93"/>
  <c r="C50" i="93" a="1"/>
  <c r="C50" i="93"/>
  <c r="C49" i="93" a="1"/>
  <c r="C49" i="93"/>
  <c r="C48" i="93" a="1"/>
  <c r="C48" i="93"/>
  <c r="C47" i="93" a="1"/>
  <c r="C47" i="93"/>
  <c r="C46" i="93" a="1"/>
  <c r="C46" i="93"/>
  <c r="C45" i="93" a="1"/>
  <c r="C45" i="93"/>
  <c r="C44" i="93" a="1"/>
  <c r="C44" i="93"/>
  <c r="C43" i="93" a="1"/>
  <c r="C43" i="93"/>
  <c r="C42" i="93" a="1"/>
  <c r="C42" i="93"/>
  <c r="C41" i="93" a="1"/>
  <c r="C41" i="93"/>
  <c r="C40" i="93" a="1"/>
  <c r="C40" i="93"/>
  <c r="C39" i="93" a="1"/>
  <c r="C39" i="93"/>
  <c r="C38" i="93" a="1"/>
  <c r="C38" i="93"/>
  <c r="C37" i="93" a="1"/>
  <c r="C37" i="93"/>
  <c r="C36" i="93" a="1"/>
  <c r="C36" i="93"/>
  <c r="C35" i="93" a="1"/>
  <c r="C35" i="93"/>
  <c r="C34" i="93" a="1"/>
  <c r="C34" i="93"/>
  <c r="C33" i="93" a="1"/>
  <c r="C33" i="93"/>
  <c r="C32" i="93" a="1"/>
  <c r="C32" i="93"/>
  <c r="C31" i="93" a="1"/>
  <c r="C31" i="93"/>
  <c r="C30" i="93" a="1"/>
  <c r="C30" i="93"/>
  <c r="C29" i="93" a="1"/>
  <c r="C29" i="93"/>
  <c r="C28" i="93" a="1"/>
  <c r="C28" i="93"/>
  <c r="C27" i="93" a="1"/>
  <c r="C27" i="93"/>
  <c r="C26" i="93" a="1"/>
  <c r="C26" i="93"/>
  <c r="C25" i="93" a="1"/>
  <c r="C25" i="93"/>
  <c r="C24" i="93" a="1"/>
  <c r="C24" i="93"/>
  <c r="C23" i="93" a="1"/>
  <c r="C23" i="93"/>
  <c r="C22" i="93" a="1"/>
  <c r="C22" i="93"/>
  <c r="C21" i="93" a="1"/>
  <c r="C21" i="93"/>
  <c r="C20" i="93" a="1"/>
  <c r="C20" i="93"/>
  <c r="C19" i="93" a="1"/>
  <c r="C19" i="93"/>
  <c r="C18" i="93" a="1"/>
  <c r="C18" i="93"/>
  <c r="C17" i="93" a="1"/>
  <c r="C17" i="93"/>
  <c r="C16" i="93" a="1"/>
  <c r="C16" i="93"/>
  <c r="C15" i="93" a="1"/>
  <c r="C15" i="93"/>
  <c r="C14" i="93" a="1"/>
  <c r="C14" i="93"/>
  <c r="C13" i="93" a="1"/>
  <c r="C13" i="93"/>
  <c r="C12" i="93" a="1"/>
  <c r="C12" i="93"/>
  <c r="C11" i="93" a="1"/>
  <c r="C11" i="93"/>
  <c r="D25" i="95"/>
  <c r="D24" i="95"/>
  <c r="D30" i="95"/>
  <c r="D29" i="95"/>
  <c r="D20" i="95"/>
  <c r="D19" i="95"/>
  <c r="D16" i="95"/>
  <c r="D15" i="95"/>
  <c r="D14" i="95"/>
  <c r="D13" i="95"/>
  <c r="D12" i="95"/>
  <c r="D11" i="95"/>
  <c r="A4" i="95"/>
  <c r="A3" i="95"/>
  <c r="D20" i="37"/>
  <c r="D19" i="37"/>
  <c r="P25" i="45" a="1"/>
  <c r="P25" i="45" s="1"/>
  <c r="P24" i="45" a="1"/>
  <c r="P24" i="45" s="1"/>
  <c r="P23" i="45" a="1"/>
  <c r="P23" i="45" s="1"/>
  <c r="P22" i="45" a="1"/>
  <c r="P22" i="45" s="1"/>
  <c r="P21" i="45" a="1"/>
  <c r="P21" i="45" s="1"/>
  <c r="P20" i="45" a="1"/>
  <c r="P20" i="45" s="1"/>
  <c r="P19" i="45" a="1"/>
  <c r="P19" i="45" s="1"/>
  <c r="P18" i="45" a="1"/>
  <c r="P18" i="45" s="1"/>
  <c r="P17" i="45" a="1"/>
  <c r="P17" i="45" s="1"/>
  <c r="P16" i="45" a="1"/>
  <c r="P16" i="45" s="1"/>
  <c r="P15" i="45" a="1"/>
  <c r="P15" i="45" s="1"/>
  <c r="P14" i="45" a="1"/>
  <c r="P14" i="45" s="1"/>
  <c r="P13" i="45" a="1"/>
  <c r="P13" i="45" s="1"/>
  <c r="P12" i="45" a="1"/>
  <c r="P12" i="45" s="1"/>
  <c r="P11" i="45" a="1"/>
  <c r="P11" i="45" s="1"/>
  <c r="P10" i="45" a="1"/>
  <c r="P10" i="45" s="1"/>
  <c r="P9" i="45" a="1"/>
  <c r="P9" i="45" s="1"/>
  <c r="P8" i="45" a="1"/>
  <c r="P8" i="45" s="1"/>
  <c r="P7" i="45" a="1"/>
  <c r="P7" i="45" s="1"/>
  <c r="A4" i="94"/>
  <c r="A3" i="94"/>
  <c r="B71" i="93"/>
  <c r="B66" i="93"/>
  <c r="B69" i="93" s="1"/>
  <c r="F61" i="93"/>
  <c r="G61" i="93" s="1"/>
  <c r="F60" i="93"/>
  <c r="G60" i="93" s="1"/>
  <c r="F59" i="93"/>
  <c r="G59" i="93" s="1"/>
  <c r="F58" i="93"/>
  <c r="G58" i="93" s="1"/>
  <c r="F57" i="93"/>
  <c r="G57" i="93" s="1"/>
  <c r="F56" i="93"/>
  <c r="G56" i="93" s="1"/>
  <c r="F55" i="93"/>
  <c r="G55" i="93" s="1"/>
  <c r="G54" i="93"/>
  <c r="F54" i="93"/>
  <c r="F53" i="93"/>
  <c r="G53" i="93" s="1"/>
  <c r="F52" i="93"/>
  <c r="G52" i="93" s="1"/>
  <c r="F51" i="93"/>
  <c r="G51" i="93" s="1"/>
  <c r="F50" i="93"/>
  <c r="G50" i="93" s="1"/>
  <c r="F49" i="93"/>
  <c r="G49" i="93" s="1"/>
  <c r="F48" i="93"/>
  <c r="G48" i="93" s="1"/>
  <c r="F47" i="93"/>
  <c r="G47" i="93" s="1"/>
  <c r="G46" i="93"/>
  <c r="F46" i="93"/>
  <c r="F45" i="93"/>
  <c r="G45" i="93" s="1"/>
  <c r="F44" i="93"/>
  <c r="G44" i="93" s="1"/>
  <c r="F43" i="93"/>
  <c r="G43" i="93" s="1"/>
  <c r="F42" i="93"/>
  <c r="G42" i="93" s="1"/>
  <c r="F41" i="93"/>
  <c r="G41" i="93" s="1"/>
  <c r="G40" i="93"/>
  <c r="F40" i="93"/>
  <c r="F39" i="93"/>
  <c r="G39" i="93" s="1"/>
  <c r="F38" i="93"/>
  <c r="G38" i="93" s="1"/>
  <c r="F37" i="93"/>
  <c r="G37" i="93" s="1"/>
  <c r="F36" i="93"/>
  <c r="G36" i="93" s="1"/>
  <c r="F35" i="93"/>
  <c r="G35" i="93" s="1"/>
  <c r="G34" i="93"/>
  <c r="F34" i="93"/>
  <c r="F33" i="93"/>
  <c r="G33" i="93" s="1"/>
  <c r="F32" i="93"/>
  <c r="G32" i="93" s="1"/>
  <c r="F31" i="93"/>
  <c r="G31" i="93" s="1"/>
  <c r="F30" i="93"/>
  <c r="G30" i="93" s="1"/>
  <c r="F29" i="93"/>
  <c r="G29" i="93" s="1"/>
  <c r="F28" i="93"/>
  <c r="G28" i="93" s="1"/>
  <c r="F27" i="93"/>
  <c r="G27" i="93" s="1"/>
  <c r="G26" i="93"/>
  <c r="F26" i="93"/>
  <c r="F25" i="93"/>
  <c r="G25" i="93" s="1"/>
  <c r="F24" i="93"/>
  <c r="G24" i="93" s="1"/>
  <c r="F23" i="93"/>
  <c r="G23" i="93" s="1"/>
  <c r="F22" i="93"/>
  <c r="G22" i="93" s="1"/>
  <c r="F21" i="93"/>
  <c r="G21" i="93" s="1"/>
  <c r="F20" i="93"/>
  <c r="G20" i="93" s="1"/>
  <c r="F19" i="93"/>
  <c r="G19" i="93" s="1"/>
  <c r="F18" i="93"/>
  <c r="G18" i="93" s="1"/>
  <c r="F17" i="93"/>
  <c r="G17" i="93" s="1"/>
  <c r="F16" i="93"/>
  <c r="G16" i="93" s="1"/>
  <c r="F15" i="93"/>
  <c r="G15" i="93" s="1"/>
  <c r="F14" i="93"/>
  <c r="G14" i="93" s="1"/>
  <c r="F13" i="93"/>
  <c r="G13" i="93" s="1"/>
  <c r="F12" i="93"/>
  <c r="G12" i="93" s="1"/>
  <c r="F11" i="93"/>
  <c r="G11" i="93" s="1"/>
  <c r="C7" i="93"/>
  <c r="B7" i="93"/>
  <c r="A4" i="93"/>
  <c r="A3" i="93"/>
  <c r="B2" i="78"/>
  <c r="A3" i="76"/>
  <c r="A3" i="79"/>
  <c r="A3" i="78"/>
  <c r="A4" i="72"/>
  <c r="A3" i="72"/>
  <c r="B2" i="76"/>
  <c r="A4" i="30"/>
  <c r="A3" i="30"/>
  <c r="A4" i="45"/>
  <c r="A3" i="45"/>
  <c r="D26" i="92" a="1"/>
  <c r="D26" i="92" s="1"/>
  <c r="E26" i="92" s="1" a="1"/>
  <c r="E26" i="92" s="1"/>
  <c r="G10" i="92" a="1"/>
  <c r="G10" i="92" s="1"/>
  <c r="C9" i="92" a="1"/>
  <c r="C9" i="92" s="1"/>
  <c r="B9" i="92" a="1"/>
  <c r="B9" i="92" s="1"/>
  <c r="A4" i="92"/>
  <c r="A3" i="92"/>
  <c r="A4" i="86"/>
  <c r="A3" i="88"/>
  <c r="A3" i="91"/>
  <c r="A3" i="90"/>
  <c r="A3" i="87"/>
  <c r="A3" i="85"/>
  <c r="A3" i="16"/>
  <c r="A3" i="51"/>
  <c r="A3" i="49"/>
  <c r="A4" i="49"/>
  <c r="A4" i="68"/>
  <c r="A4" i="31"/>
  <c r="A4" i="70"/>
  <c r="A4" i="69"/>
  <c r="A4" i="44"/>
  <c r="A4" i="32"/>
  <c r="A4" i="35"/>
  <c r="A4" i="34"/>
  <c r="A4" i="43"/>
  <c r="A4" i="73"/>
  <c r="A4" i="74"/>
  <c r="A4" i="38"/>
  <c r="A4" i="51"/>
  <c r="A4" i="84"/>
  <c r="A4" i="15"/>
  <c r="A4" i="83"/>
  <c r="A4" i="16"/>
  <c r="A4" i="85"/>
  <c r="A4" i="87"/>
  <c r="A4" i="82"/>
  <c r="A4" i="50"/>
  <c r="A4" i="81"/>
  <c r="A4" i="29"/>
  <c r="A4" i="90"/>
  <c r="A4" i="91"/>
  <c r="A4" i="88"/>
  <c r="A4" i="89"/>
  <c r="B14" i="82"/>
  <c r="B13" i="82"/>
  <c r="B12" i="82"/>
  <c r="B14" i="87"/>
  <c r="B13" i="87"/>
  <c r="B12" i="87"/>
  <c r="B14" i="85"/>
  <c r="B13" i="85"/>
  <c r="B12" i="85"/>
  <c r="B27" i="91" a="1"/>
  <c r="B27" i="91" s="1"/>
  <c r="I11" i="91" a="1"/>
  <c r="I11" i="91" s="1"/>
  <c r="E11" i="91" a="1"/>
  <c r="E11" i="91" s="1"/>
  <c r="B11" i="91" a="1"/>
  <c r="B11" i="91" s="1"/>
  <c r="A52" i="40"/>
  <c r="A63" i="40"/>
  <c r="A58" i="40"/>
  <c r="A17" i="40"/>
  <c r="A13" i="40"/>
  <c r="A16" i="40"/>
  <c r="A27" i="40"/>
  <c r="A30" i="40"/>
  <c r="C14" i="37"/>
  <c r="Q29" i="45"/>
  <c r="C13" i="37"/>
  <c r="A36" i="40"/>
  <c r="A33" i="40"/>
  <c r="A14" i="40"/>
  <c r="A31" i="40"/>
  <c r="A48" i="40"/>
  <c r="C11" i="95"/>
  <c r="A29" i="40"/>
  <c r="R30" i="45"/>
  <c r="C12" i="95"/>
  <c r="A44" i="40"/>
  <c r="A55" i="40"/>
  <c r="A50" i="40"/>
  <c r="A69" i="40"/>
  <c r="A72" i="40"/>
  <c r="A41" i="40"/>
  <c r="A19" i="40"/>
  <c r="A22" i="40"/>
  <c r="C29" i="95"/>
  <c r="C15" i="37"/>
  <c r="C20" i="37"/>
  <c r="A42" i="40"/>
  <c r="A64" i="40"/>
  <c r="A11" i="40"/>
  <c r="C30" i="95"/>
  <c r="A26" i="40"/>
  <c r="A62" i="40"/>
  <c r="S27" i="45"/>
  <c r="A46" i="40"/>
  <c r="A28" i="40"/>
  <c r="A39" i="40"/>
  <c r="A34" i="40"/>
  <c r="A53" i="40"/>
  <c r="A56" i="40"/>
  <c r="A67" i="40"/>
  <c r="A70" i="40"/>
  <c r="A65" i="40"/>
  <c r="C15" i="95"/>
  <c r="C14" i="95"/>
  <c r="C24" i="95"/>
  <c r="A45" i="40"/>
  <c r="A49" i="40"/>
  <c r="A43" i="40"/>
  <c r="A12" i="40"/>
  <c r="A23" i="40"/>
  <c r="A18" i="40"/>
  <c r="A37" i="40"/>
  <c r="A40" i="40"/>
  <c r="A51" i="40"/>
  <c r="A54" i="40"/>
  <c r="O27" i="45"/>
  <c r="C11" i="37"/>
  <c r="C16" i="95"/>
  <c r="C19" i="95"/>
  <c r="A68" i="40"/>
  <c r="A25" i="40"/>
  <c r="A15" i="40"/>
  <c r="A32" i="40"/>
  <c r="A60" i="40"/>
  <c r="A71" i="40"/>
  <c r="A66" i="40"/>
  <c r="A57" i="40"/>
  <c r="A21" i="40"/>
  <c r="A24" i="40"/>
  <c r="A35" i="40"/>
  <c r="A38" i="40"/>
  <c r="C25" i="95"/>
  <c r="P28" i="45"/>
  <c r="C13" i="95"/>
  <c r="A47" i="40"/>
  <c r="A61" i="40"/>
  <c r="C16" i="37"/>
  <c r="C19" i="37"/>
  <c r="A20" i="40"/>
  <c r="A59" i="40"/>
  <c r="C12" i="37"/>
  <c r="A10" i="40"/>
  <c r="C20" i="95"/>
  <c r="F49" i="40" l="1"/>
  <c r="F65" i="40"/>
  <c r="F14" i="40"/>
  <c r="F22" i="40"/>
  <c r="F30" i="40"/>
  <c r="F38" i="40"/>
  <c r="F46" i="40"/>
  <c r="F54" i="40"/>
  <c r="F62" i="40"/>
  <c r="F70" i="40"/>
  <c r="F11" i="40"/>
  <c r="F19" i="40"/>
  <c r="F27" i="40"/>
  <c r="F35" i="40"/>
  <c r="F43" i="40"/>
  <c r="F51" i="40"/>
  <c r="F59" i="40"/>
  <c r="F67" i="40"/>
  <c r="F33" i="40"/>
  <c r="F41" i="40"/>
  <c r="F16" i="40"/>
  <c r="F24" i="40"/>
  <c r="F32" i="40"/>
  <c r="F40" i="40"/>
  <c r="F48" i="40"/>
  <c r="F56" i="40"/>
  <c r="F64" i="40"/>
  <c r="F72" i="40"/>
  <c r="F13" i="40"/>
  <c r="F21" i="40"/>
  <c r="F29" i="40"/>
  <c r="F37" i="40"/>
  <c r="F45" i="40"/>
  <c r="F53" i="40"/>
  <c r="F61" i="40"/>
  <c r="F69" i="40"/>
  <c r="F17" i="40"/>
  <c r="F57" i="40"/>
  <c r="F10" i="40"/>
  <c r="F18" i="40"/>
  <c r="F26" i="40"/>
  <c r="F34" i="40"/>
  <c r="F42" i="40"/>
  <c r="F50" i="40"/>
  <c r="F58" i="40"/>
  <c r="F66" i="40"/>
  <c r="F15" i="40"/>
  <c r="F23" i="40"/>
  <c r="F31" i="40"/>
  <c r="F39" i="40"/>
  <c r="F47" i="40"/>
  <c r="F55" i="40"/>
  <c r="F63" i="40"/>
  <c r="F71" i="40"/>
  <c r="F25" i="40"/>
  <c r="F12" i="40"/>
  <c r="F20" i="40"/>
  <c r="F28" i="40"/>
  <c r="F36" i="40"/>
  <c r="F44" i="40"/>
  <c r="F52" i="40"/>
  <c r="F60" i="40"/>
  <c r="F68" i="40"/>
  <c r="B8" i="93"/>
  <c r="C8" i="93"/>
  <c r="A4" i="76"/>
  <c r="A4" i="78"/>
  <c r="C11" i="90"/>
  <c r="C16" i="90"/>
  <c r="C10" i="90"/>
  <c r="E10" i="90" s="1"/>
  <c r="E11" i="90"/>
  <c r="E15" i="90"/>
  <c r="E21" i="90"/>
  <c r="E20" i="90"/>
  <c r="E19" i="90"/>
  <c r="C13" i="90"/>
  <c r="E13" i="90"/>
  <c r="E9" i="90"/>
  <c r="E12" i="90"/>
  <c r="E17" i="90"/>
  <c r="E16" i="90"/>
  <c r="E14" i="90"/>
  <c r="E18" i="90"/>
  <c r="D13" i="90"/>
  <c r="D17" i="90"/>
  <c r="D16" i="90"/>
  <c r="D18" i="90"/>
  <c r="D12" i="90"/>
  <c r="D15" i="90"/>
  <c r="D10" i="90"/>
  <c r="D20" i="90"/>
  <c r="D21" i="90"/>
  <c r="D9" i="90"/>
  <c r="D19" i="90"/>
  <c r="D11" i="90"/>
  <c r="D14" i="90"/>
  <c r="G24" i="15" l="1"/>
  <c r="G23" i="15"/>
  <c r="G22" i="15"/>
  <c r="G21" i="15"/>
  <c r="G20" i="15"/>
  <c r="A3" i="89" l="1"/>
  <c r="A1" i="40" l="1"/>
  <c r="B9" i="40" s="1"/>
  <c r="E24" i="87"/>
  <c r="E23" i="87"/>
  <c r="E22" i="87"/>
  <c r="E21" i="87"/>
  <c r="E20" i="87"/>
  <c r="E19" i="87"/>
  <c r="E24" i="16"/>
  <c r="E23" i="16"/>
  <c r="E22" i="16"/>
  <c r="E21" i="16"/>
  <c r="E20" i="16"/>
  <c r="E19" i="16"/>
  <c r="G21" i="83" a="1"/>
  <c r="G21" i="83" s="1"/>
  <c r="G22" i="83" a="1"/>
  <c r="G22" i="83" s="1"/>
  <c r="G23" i="83" a="1"/>
  <c r="G23" i="83" s="1"/>
  <c r="G24" i="83" a="1"/>
  <c r="G24" i="83" s="1"/>
  <c r="E24" i="82" a="1"/>
  <c r="E24" i="82" s="1"/>
  <c r="E23" i="82" a="1"/>
  <c r="E23" i="82" s="1"/>
  <c r="E22" i="82" a="1"/>
  <c r="E22" i="82" s="1"/>
  <c r="E21" i="82" a="1"/>
  <c r="E21" i="82" s="1"/>
  <c r="E20" i="82" a="1"/>
  <c r="E20" i="82" s="1"/>
  <c r="E19" i="82" a="1"/>
  <c r="E19" i="82" s="1"/>
  <c r="E24" i="86" a="1"/>
  <c r="E24" i="86" s="1"/>
  <c r="E23" i="86" a="1"/>
  <c r="E23" i="86" s="1"/>
  <c r="E22" i="86" a="1"/>
  <c r="E22" i="86" s="1"/>
  <c r="E21" i="86" a="1"/>
  <c r="E21" i="86" s="1"/>
  <c r="E20" i="86" a="1"/>
  <c r="E20" i="86" s="1"/>
  <c r="E19" i="86" a="1"/>
  <c r="E19" i="86" s="1"/>
  <c r="B14" i="86"/>
  <c r="B13" i="86"/>
  <c r="B12" i="86"/>
  <c r="A3" i="86"/>
  <c r="E24" i="85"/>
  <c r="E23" i="85"/>
  <c r="E22" i="85"/>
  <c r="E21" i="85"/>
  <c r="E20" i="85"/>
  <c r="E19" i="85"/>
  <c r="G19" i="15"/>
  <c r="G20" i="83" a="1"/>
  <c r="G20" i="83" s="1"/>
  <c r="G19" i="83" a="1"/>
  <c r="G19" i="83" s="1"/>
  <c r="I17" i="38"/>
  <c r="I18" i="38"/>
  <c r="I19" i="38"/>
  <c r="I20" i="38"/>
  <c r="I16" i="38"/>
  <c r="I20" i="51"/>
  <c r="I19" i="51"/>
  <c r="I18" i="51"/>
  <c r="I17" i="51"/>
  <c r="I15" i="84" a="1"/>
  <c r="I15" i="84" s="1"/>
  <c r="I20" i="84" a="1"/>
  <c r="I20" i="84" s="1"/>
  <c r="I19" i="84" a="1"/>
  <c r="I19" i="84" s="1"/>
  <c r="I18" i="84" a="1"/>
  <c r="I18" i="84" s="1"/>
  <c r="I17" i="84" a="1"/>
  <c r="I17" i="84" s="1"/>
  <c r="I16" i="51"/>
  <c r="I18" i="72"/>
  <c r="I19" i="72"/>
  <c r="I20" i="72"/>
  <c r="I17" i="72"/>
  <c r="I16" i="72"/>
  <c r="I16" i="84" a="1"/>
  <c r="I16" i="84" s="1"/>
  <c r="G15" i="51"/>
  <c r="J15" i="51" s="1"/>
  <c r="I15" i="51"/>
  <c r="K15" i="51"/>
  <c r="L15" i="51"/>
  <c r="G16" i="51"/>
  <c r="J16" i="51" s="1"/>
  <c r="K16" i="51"/>
  <c r="L16" i="51"/>
  <c r="G17" i="51"/>
  <c r="J17" i="51" s="1"/>
  <c r="K17" i="51"/>
  <c r="L17" i="51"/>
  <c r="G18" i="51"/>
  <c r="J18" i="51" s="1"/>
  <c r="K18" i="51"/>
  <c r="L18" i="51"/>
  <c r="G19" i="51"/>
  <c r="J19" i="51" s="1"/>
  <c r="K19" i="51"/>
  <c r="L19" i="51"/>
  <c r="G20" i="51"/>
  <c r="J20" i="51" s="1"/>
  <c r="K20" i="51"/>
  <c r="L20" i="51"/>
  <c r="G15" i="72"/>
  <c r="J15" i="72" s="1"/>
  <c r="I15" i="72"/>
  <c r="K15" i="72"/>
  <c r="L15" i="72"/>
  <c r="G16" i="72"/>
  <c r="J16" i="72" s="1"/>
  <c r="K16" i="72"/>
  <c r="L16" i="72"/>
  <c r="G17" i="72"/>
  <c r="J17" i="72" s="1"/>
  <c r="K17" i="72"/>
  <c r="L17" i="72"/>
  <c r="G18" i="72"/>
  <c r="J18" i="72" s="1"/>
  <c r="K18" i="72"/>
  <c r="L18" i="72"/>
  <c r="G19" i="72"/>
  <c r="J19" i="72" s="1"/>
  <c r="K19" i="72"/>
  <c r="L19" i="72"/>
  <c r="G20" i="72"/>
  <c r="J20" i="72" s="1"/>
  <c r="K20" i="72"/>
  <c r="L20" i="72"/>
  <c r="L20" i="84"/>
  <c r="K20" i="84"/>
  <c r="G20" i="84"/>
  <c r="J20" i="84" s="1"/>
  <c r="L19" i="84"/>
  <c r="K19" i="84"/>
  <c r="G19" i="84"/>
  <c r="J19" i="84" s="1"/>
  <c r="L18" i="84"/>
  <c r="K18" i="84"/>
  <c r="G18" i="84"/>
  <c r="J18" i="84" s="1"/>
  <c r="L17" i="84"/>
  <c r="K17" i="84"/>
  <c r="G17" i="84"/>
  <c r="J17" i="84" s="1"/>
  <c r="L16" i="84"/>
  <c r="K16" i="84"/>
  <c r="G16" i="84"/>
  <c r="J16" i="84" s="1"/>
  <c r="L15" i="84"/>
  <c r="K15" i="84"/>
  <c r="G15" i="84"/>
  <c r="J15" i="84" s="1"/>
  <c r="A6" i="84"/>
  <c r="A3" i="38" l="1"/>
  <c r="A3" i="54" l="1"/>
  <c r="A3" i="33"/>
  <c r="A3" i="58"/>
  <c r="A3" i="52"/>
  <c r="A3" i="59"/>
  <c r="A3" i="61"/>
  <c r="A3" i="62"/>
  <c r="A3" i="64"/>
  <c r="A3" i="65"/>
  <c r="A3" i="66"/>
  <c r="A3" i="67"/>
  <c r="A3" i="68"/>
  <c r="A3" i="31"/>
  <c r="A3" i="70"/>
  <c r="A3" i="69"/>
  <c r="A3" i="44"/>
  <c r="A3" i="32"/>
  <c r="A3" i="35"/>
  <c r="A3" i="34"/>
  <c r="A3" i="43"/>
  <c r="A3" i="73"/>
  <c r="A3" i="74"/>
  <c r="A6" i="72"/>
  <c r="A6" i="51"/>
  <c r="A3" i="15"/>
  <c r="A3" i="50"/>
  <c r="A3" i="81"/>
  <c r="A3" i="83"/>
  <c r="A3" i="82"/>
  <c r="A3" i="29"/>
  <c r="A3" i="37"/>
  <c r="C61" i="81" l="1" a="1"/>
  <c r="C61" i="81" s="1"/>
  <c r="C60" i="81" a="1"/>
  <c r="C60" i="81" s="1"/>
  <c r="C59" i="81" a="1"/>
  <c r="C59" i="81" s="1"/>
  <c r="C58" i="81" a="1"/>
  <c r="C58" i="81" s="1"/>
  <c r="C57" i="81" a="1"/>
  <c r="C57" i="81" s="1"/>
  <c r="C56" i="81" a="1"/>
  <c r="C56" i="81" s="1"/>
  <c r="C55" i="81" a="1"/>
  <c r="C55" i="81" s="1"/>
  <c r="C54" i="81" a="1"/>
  <c r="C54" i="81" s="1"/>
  <c r="C53" i="81" a="1"/>
  <c r="C53" i="81" s="1"/>
  <c r="C52" i="81" a="1"/>
  <c r="C52" i="81" s="1"/>
  <c r="C51" i="81" a="1"/>
  <c r="C51" i="81" s="1"/>
  <c r="C50" i="81" a="1"/>
  <c r="C50" i="81" s="1"/>
  <c r="C49" i="81" a="1"/>
  <c r="C49" i="81" s="1"/>
  <c r="C48" i="81" a="1"/>
  <c r="C48" i="81" s="1"/>
  <c r="C47" i="81" a="1"/>
  <c r="C47" i="81" s="1"/>
  <c r="C46" i="81" a="1"/>
  <c r="C46" i="81" s="1"/>
  <c r="C45" i="81" a="1"/>
  <c r="C45" i="81" s="1"/>
  <c r="C44" i="81" a="1"/>
  <c r="C44" i="81" s="1"/>
  <c r="C43" i="81" a="1"/>
  <c r="C43" i="81" s="1"/>
  <c r="C42" i="81" a="1"/>
  <c r="C42" i="81" s="1"/>
  <c r="C41" i="81" a="1"/>
  <c r="C41" i="81" s="1"/>
  <c r="C40" i="81" a="1"/>
  <c r="C40" i="81" s="1"/>
  <c r="C39" i="81" a="1"/>
  <c r="C39" i="81" s="1"/>
  <c r="C38" i="81" a="1"/>
  <c r="C38" i="81" s="1"/>
  <c r="C37" i="81" a="1"/>
  <c r="C37" i="81" s="1"/>
  <c r="C36" i="81" a="1"/>
  <c r="C36" i="81" s="1"/>
  <c r="C35" i="81" a="1"/>
  <c r="C35" i="81" s="1"/>
  <c r="C34" i="81" a="1"/>
  <c r="C34" i="81" s="1"/>
  <c r="C33" i="81" a="1"/>
  <c r="C33" i="81" s="1"/>
  <c r="C32" i="81" a="1"/>
  <c r="C32" i="81" s="1"/>
  <c r="C31" i="81" a="1"/>
  <c r="C31" i="81" s="1"/>
  <c r="C30" i="81" a="1"/>
  <c r="C30" i="81" s="1"/>
  <c r="C29" i="81" a="1"/>
  <c r="C29" i="81" s="1"/>
  <c r="C28" i="81" a="1"/>
  <c r="C28" i="81" s="1"/>
  <c r="C27" i="81" a="1"/>
  <c r="C27" i="81" s="1"/>
  <c r="C26" i="81" a="1"/>
  <c r="C26" i="81" s="1"/>
  <c r="C25" i="81" a="1"/>
  <c r="C25" i="81" s="1"/>
  <c r="C24" i="81" a="1"/>
  <c r="C24" i="81" s="1"/>
  <c r="C23" i="81" a="1"/>
  <c r="C23" i="81" s="1"/>
  <c r="C22" i="81" a="1"/>
  <c r="C22" i="81" s="1"/>
  <c r="C21" i="81" a="1"/>
  <c r="C21" i="81" s="1"/>
  <c r="C20" i="81" a="1"/>
  <c r="C20" i="81" s="1"/>
  <c r="C19" i="81" a="1"/>
  <c r="C19" i="81" s="1"/>
  <c r="C18" i="81" a="1"/>
  <c r="C18" i="81" s="1"/>
  <c r="C17" i="81" a="1"/>
  <c r="C17" i="81" s="1"/>
  <c r="C16" i="81" a="1"/>
  <c r="C16" i="81" s="1"/>
  <c r="C15" i="81" a="1"/>
  <c r="C15" i="81" s="1"/>
  <c r="C14" i="81" a="1"/>
  <c r="C14" i="81" s="1"/>
  <c r="C13" i="81" a="1"/>
  <c r="C13" i="81" s="1"/>
  <c r="C12" i="81" a="1"/>
  <c r="C12" i="81" s="1"/>
  <c r="C11" i="81" a="1"/>
  <c r="C11" i="81" s="1"/>
  <c r="B71" i="81" l="1"/>
  <c r="B66" i="81"/>
  <c r="B69" i="81" s="1"/>
  <c r="F61" i="81"/>
  <c r="G61" i="81" s="1"/>
  <c r="F60" i="81"/>
  <c r="G60" i="81" s="1"/>
  <c r="F59" i="81"/>
  <c r="G59" i="81" s="1"/>
  <c r="F58" i="81"/>
  <c r="G58" i="81" s="1"/>
  <c r="F57" i="81"/>
  <c r="G57" i="81" s="1"/>
  <c r="F56" i="81"/>
  <c r="G56" i="81" s="1"/>
  <c r="F55" i="81"/>
  <c r="G55" i="81" s="1"/>
  <c r="F54" i="81"/>
  <c r="G54" i="81" s="1"/>
  <c r="F53" i="81"/>
  <c r="G53" i="81" s="1"/>
  <c r="F52" i="81"/>
  <c r="G52" i="81" s="1"/>
  <c r="F51" i="81"/>
  <c r="G51" i="81" s="1"/>
  <c r="F50" i="81"/>
  <c r="G50" i="81" s="1"/>
  <c r="F49" i="81"/>
  <c r="G49" i="81" s="1"/>
  <c r="F48" i="81"/>
  <c r="G48" i="81" s="1"/>
  <c r="F47" i="81"/>
  <c r="G47" i="81" s="1"/>
  <c r="F46" i="81"/>
  <c r="G46" i="81" s="1"/>
  <c r="F45" i="81"/>
  <c r="G45" i="81" s="1"/>
  <c r="F44" i="81"/>
  <c r="G44" i="81" s="1"/>
  <c r="F43" i="81"/>
  <c r="G43" i="81" s="1"/>
  <c r="F42" i="81"/>
  <c r="G42" i="81" s="1"/>
  <c r="F41" i="81"/>
  <c r="G41" i="81" s="1"/>
  <c r="F40" i="81"/>
  <c r="G40" i="81" s="1"/>
  <c r="F39" i="81"/>
  <c r="G39" i="81" s="1"/>
  <c r="F38" i="81"/>
  <c r="G38" i="81" s="1"/>
  <c r="F37" i="81"/>
  <c r="G37" i="81" s="1"/>
  <c r="F36" i="81"/>
  <c r="G36" i="81" s="1"/>
  <c r="F35" i="81"/>
  <c r="G35" i="81" s="1"/>
  <c r="F34" i="81"/>
  <c r="G34" i="81" s="1"/>
  <c r="F33" i="81"/>
  <c r="G33" i="81" s="1"/>
  <c r="F32" i="81"/>
  <c r="G32" i="81" s="1"/>
  <c r="F31" i="81"/>
  <c r="G31" i="81" s="1"/>
  <c r="F30" i="81"/>
  <c r="G30" i="81" s="1"/>
  <c r="F29" i="81"/>
  <c r="G29" i="81" s="1"/>
  <c r="F28" i="81"/>
  <c r="G28" i="81" s="1"/>
  <c r="F27" i="81"/>
  <c r="G27" i="81" s="1"/>
  <c r="F26" i="81"/>
  <c r="G26" i="81" s="1"/>
  <c r="F25" i="81"/>
  <c r="G25" i="81" s="1"/>
  <c r="F24" i="81"/>
  <c r="G24" i="81" s="1"/>
  <c r="F23" i="81"/>
  <c r="G23" i="81" s="1"/>
  <c r="F22" i="81"/>
  <c r="G22" i="81" s="1"/>
  <c r="F21" i="81"/>
  <c r="G21" i="81" s="1"/>
  <c r="F20" i="81"/>
  <c r="G20" i="81" s="1"/>
  <c r="F19" i="81"/>
  <c r="G19" i="81" s="1"/>
  <c r="F18" i="81"/>
  <c r="G18" i="81" s="1"/>
  <c r="F17" i="81"/>
  <c r="G17" i="81" s="1"/>
  <c r="F16" i="81"/>
  <c r="G16" i="81" s="1"/>
  <c r="F15" i="81"/>
  <c r="G15" i="81" s="1"/>
  <c r="F14" i="81"/>
  <c r="G14" i="81" s="1"/>
  <c r="F13" i="81"/>
  <c r="G13" i="81" s="1"/>
  <c r="F12" i="81"/>
  <c r="G12" i="81" s="1"/>
  <c r="F11" i="81"/>
  <c r="G11" i="81" s="1"/>
  <c r="C7" i="81"/>
  <c r="B7" i="81"/>
  <c r="G17" i="30"/>
  <c r="G18" i="30"/>
  <c r="G19" i="30"/>
  <c r="G20" i="30"/>
  <c r="G16" i="30"/>
  <c r="G15" i="30"/>
  <c r="C12" i="54"/>
  <c r="J14" i="33"/>
  <c r="K7" i="52"/>
  <c r="K8" i="52"/>
  <c r="K9" i="52"/>
  <c r="K10" i="52"/>
  <c r="K11" i="52"/>
  <c r="K12" i="52"/>
  <c r="K13" i="52"/>
  <c r="K14" i="52"/>
  <c r="K15" i="52"/>
  <c r="K16" i="52"/>
  <c r="K17" i="52"/>
  <c r="K18" i="52"/>
  <c r="K19" i="52"/>
  <c r="K20" i="52"/>
  <c r="K21" i="52"/>
  <c r="K22" i="52"/>
  <c r="K23" i="52"/>
  <c r="K24" i="52"/>
  <c r="K25" i="52"/>
  <c r="C8" i="81" l="1"/>
  <c r="B8" i="81"/>
  <c r="G32" i="61" a="1"/>
  <c r="G32" i="61" s="1"/>
  <c r="G31" i="61"/>
  <c r="S8" i="45" l="1"/>
  <c r="S9" i="45"/>
  <c r="S10" i="45"/>
  <c r="S11" i="45"/>
  <c r="S12" i="45"/>
  <c r="S13" i="45"/>
  <c r="S14" i="45"/>
  <c r="S15" i="45"/>
  <c r="S16" i="45"/>
  <c r="S17" i="45"/>
  <c r="S18" i="45"/>
  <c r="S19" i="45"/>
  <c r="S20" i="45"/>
  <c r="S21" i="45"/>
  <c r="S22" i="45"/>
  <c r="S23" i="45"/>
  <c r="S24" i="45"/>
  <c r="S25" i="45"/>
  <c r="S7" i="45"/>
  <c r="R8" i="45"/>
  <c r="R9" i="45"/>
  <c r="R10" i="45"/>
  <c r="R11" i="45"/>
  <c r="R12" i="45"/>
  <c r="R13" i="45"/>
  <c r="R14" i="45"/>
  <c r="R15" i="45"/>
  <c r="R16" i="45"/>
  <c r="R17" i="45"/>
  <c r="R18" i="45"/>
  <c r="R19" i="45"/>
  <c r="R20" i="45"/>
  <c r="R21" i="45"/>
  <c r="R22" i="45"/>
  <c r="R23" i="45"/>
  <c r="R24" i="45"/>
  <c r="R25" i="45"/>
  <c r="R7" i="45"/>
  <c r="Q8" i="45"/>
  <c r="Q9" i="45"/>
  <c r="Q10" i="45"/>
  <c r="Q11" i="45"/>
  <c r="Q12" i="45"/>
  <c r="Q13" i="45"/>
  <c r="Q14" i="45"/>
  <c r="Q15" i="45"/>
  <c r="Q16" i="45"/>
  <c r="Q17" i="45"/>
  <c r="Q18" i="45"/>
  <c r="Q19" i="45"/>
  <c r="Q20" i="45"/>
  <c r="Q21" i="45"/>
  <c r="Q22" i="45"/>
  <c r="Q23" i="45"/>
  <c r="Q24" i="45"/>
  <c r="Q25" i="45"/>
  <c r="Q7" i="45"/>
  <c r="O8" i="45"/>
  <c r="O9" i="45"/>
  <c r="O10" i="45"/>
  <c r="O11" i="45"/>
  <c r="O12" i="45"/>
  <c r="O13" i="45"/>
  <c r="O14" i="45"/>
  <c r="O15" i="45"/>
  <c r="O16" i="45"/>
  <c r="O17" i="45"/>
  <c r="O18" i="45"/>
  <c r="O19" i="45"/>
  <c r="O20" i="45"/>
  <c r="O21" i="45"/>
  <c r="O22" i="45"/>
  <c r="O23" i="45"/>
  <c r="O24" i="45"/>
  <c r="O25" i="45"/>
  <c r="O7" i="45"/>
  <c r="L7" i="66"/>
  <c r="L8" i="66"/>
  <c r="L9" i="66"/>
  <c r="L10" i="66"/>
  <c r="L11" i="66"/>
  <c r="L12" i="66"/>
  <c r="L13" i="66"/>
  <c r="L14" i="66"/>
  <c r="L15" i="66"/>
  <c r="L16" i="66"/>
  <c r="L17" i="66"/>
  <c r="L18" i="66"/>
  <c r="L19" i="66"/>
  <c r="L20" i="66"/>
  <c r="L21" i="66"/>
  <c r="L22" i="66"/>
  <c r="L23" i="66"/>
  <c r="L24" i="66"/>
  <c r="L25" i="66"/>
  <c r="M7" i="66"/>
  <c r="M8" i="66"/>
  <c r="M9" i="66"/>
  <c r="M10" i="66"/>
  <c r="M11" i="66"/>
  <c r="M12" i="66"/>
  <c r="M13" i="66"/>
  <c r="M14" i="66"/>
  <c r="M15" i="66"/>
  <c r="M16" i="66"/>
  <c r="M17" i="66"/>
  <c r="M18" i="66"/>
  <c r="M19" i="66"/>
  <c r="M20" i="66"/>
  <c r="M21" i="66"/>
  <c r="M22" i="66"/>
  <c r="M23" i="66"/>
  <c r="M24" i="66"/>
  <c r="M25" i="66"/>
  <c r="K7" i="66"/>
  <c r="K8" i="66"/>
  <c r="K9" i="66"/>
  <c r="K10" i="66"/>
  <c r="K11" i="66"/>
  <c r="K12" i="66"/>
  <c r="K13" i="66"/>
  <c r="K14" i="66"/>
  <c r="K15" i="66"/>
  <c r="K16" i="66"/>
  <c r="K17" i="66"/>
  <c r="K18" i="66"/>
  <c r="K19" i="66"/>
  <c r="K20" i="66"/>
  <c r="K21" i="66"/>
  <c r="K22" i="66"/>
  <c r="K23" i="66"/>
  <c r="K24" i="66"/>
  <c r="K25" i="66"/>
  <c r="L20" i="74"/>
  <c r="K20" i="74"/>
  <c r="I20" i="74"/>
  <c r="G20" i="74"/>
  <c r="J20" i="74" s="1"/>
  <c r="L19" i="74"/>
  <c r="K19" i="74"/>
  <c r="I19" i="74"/>
  <c r="G19" i="74"/>
  <c r="J19" i="74" s="1"/>
  <c r="L18" i="74"/>
  <c r="K18" i="74"/>
  <c r="I18" i="74"/>
  <c r="G18" i="74"/>
  <c r="J18" i="74" s="1"/>
  <c r="L17" i="74"/>
  <c r="K17" i="74"/>
  <c r="I17" i="74"/>
  <c r="G17" i="74"/>
  <c r="J17" i="74" s="1"/>
  <c r="L16" i="74"/>
  <c r="K16" i="74"/>
  <c r="I16" i="74"/>
  <c r="G16" i="74"/>
  <c r="J16" i="74" s="1"/>
  <c r="L15" i="74"/>
  <c r="K15" i="74"/>
  <c r="I15" i="74"/>
  <c r="G15" i="74"/>
  <c r="J15" i="74" s="1"/>
  <c r="L20" i="73"/>
  <c r="K20" i="73"/>
  <c r="I20" i="73"/>
  <c r="G20" i="73"/>
  <c r="J20" i="73" s="1"/>
  <c r="L19" i="73"/>
  <c r="K19" i="73"/>
  <c r="I19" i="73"/>
  <c r="G19" i="73"/>
  <c r="J19" i="73" s="1"/>
  <c r="L18" i="73"/>
  <c r="K18" i="73"/>
  <c r="I18" i="73"/>
  <c r="G18" i="73"/>
  <c r="J18" i="73" s="1"/>
  <c r="L17" i="73"/>
  <c r="K17" i="73"/>
  <c r="G17" i="73"/>
  <c r="J17" i="73" s="1"/>
  <c r="I17" i="73"/>
  <c r="L16" i="73"/>
  <c r="K16" i="73"/>
  <c r="I16" i="73"/>
  <c r="G16" i="73"/>
  <c r="J16" i="73" s="1"/>
  <c r="L15" i="73"/>
  <c r="K15" i="73"/>
  <c r="I15" i="73"/>
  <c r="G15" i="73"/>
  <c r="J15" i="73" s="1"/>
  <c r="M25" i="70"/>
  <c r="L25" i="70"/>
  <c r="K25" i="70"/>
  <c r="M24" i="70"/>
  <c r="L24" i="70"/>
  <c r="K24" i="70"/>
  <c r="M23" i="70"/>
  <c r="L23" i="70"/>
  <c r="K23" i="70"/>
  <c r="M22" i="70"/>
  <c r="L22" i="70"/>
  <c r="K22" i="70"/>
  <c r="M21" i="70"/>
  <c r="L21" i="70"/>
  <c r="K21" i="70"/>
  <c r="M20" i="70"/>
  <c r="L20" i="70"/>
  <c r="K20" i="70"/>
  <c r="M19" i="70"/>
  <c r="L19" i="70"/>
  <c r="K19" i="70"/>
  <c r="M18" i="70"/>
  <c r="L18" i="70"/>
  <c r="K18" i="70"/>
  <c r="M17" i="70"/>
  <c r="L17" i="70"/>
  <c r="K17" i="70"/>
  <c r="M16" i="70"/>
  <c r="L16" i="70"/>
  <c r="K16" i="70"/>
  <c r="M15" i="70"/>
  <c r="L15" i="70"/>
  <c r="K15" i="70"/>
  <c r="M14" i="70"/>
  <c r="L14" i="70"/>
  <c r="K14" i="70"/>
  <c r="M13" i="70"/>
  <c r="L13" i="70"/>
  <c r="K13" i="70"/>
  <c r="M12" i="70"/>
  <c r="L12" i="70"/>
  <c r="K12" i="70"/>
  <c r="M11" i="70"/>
  <c r="L11" i="70"/>
  <c r="M10" i="70"/>
  <c r="L10" i="70"/>
  <c r="K10" i="70"/>
  <c r="M9" i="70"/>
  <c r="L9" i="70"/>
  <c r="K9" i="70"/>
  <c r="M8" i="70"/>
  <c r="L8" i="70"/>
  <c r="K8" i="70"/>
  <c r="M7" i="70"/>
  <c r="L7" i="70"/>
  <c r="K7" i="70"/>
  <c r="M25" i="69"/>
  <c r="L25" i="69"/>
  <c r="K25" i="69"/>
  <c r="M24" i="69"/>
  <c r="L24" i="69"/>
  <c r="K24" i="69"/>
  <c r="M23" i="69"/>
  <c r="L23" i="69"/>
  <c r="K23" i="69"/>
  <c r="M22" i="69"/>
  <c r="L22" i="69"/>
  <c r="K22" i="69"/>
  <c r="M21" i="69"/>
  <c r="L21" i="69"/>
  <c r="K21" i="69"/>
  <c r="M20" i="69"/>
  <c r="L20" i="69"/>
  <c r="K20" i="69"/>
  <c r="M19" i="69"/>
  <c r="L19" i="69"/>
  <c r="K19" i="69"/>
  <c r="M18" i="69"/>
  <c r="L18" i="69"/>
  <c r="K18" i="69"/>
  <c r="M17" i="69"/>
  <c r="L17" i="69"/>
  <c r="K17" i="69"/>
  <c r="M16" i="69"/>
  <c r="L16" i="69"/>
  <c r="K16" i="69"/>
  <c r="M15" i="69"/>
  <c r="L15" i="69"/>
  <c r="K15" i="69"/>
  <c r="M14" i="69"/>
  <c r="L14" i="69"/>
  <c r="K14" i="69"/>
  <c r="M13" i="69"/>
  <c r="L13" i="69"/>
  <c r="K13" i="69"/>
  <c r="M12" i="69"/>
  <c r="L12" i="69"/>
  <c r="K12" i="69"/>
  <c r="M11" i="69"/>
  <c r="L11" i="69"/>
  <c r="M10" i="69"/>
  <c r="L10" i="69"/>
  <c r="K10" i="69"/>
  <c r="M9" i="69"/>
  <c r="L9" i="69"/>
  <c r="K9" i="69"/>
  <c r="M8" i="69"/>
  <c r="L8" i="69"/>
  <c r="K8" i="69"/>
  <c r="M7" i="69"/>
  <c r="L7" i="69"/>
  <c r="L27" i="69" s="1"/>
  <c r="L28" i="69" s="1"/>
  <c r="K7" i="69"/>
  <c r="M25" i="68"/>
  <c r="L25" i="68"/>
  <c r="K25" i="68"/>
  <c r="M24" i="68"/>
  <c r="L24" i="68"/>
  <c r="K24" i="68"/>
  <c r="M23" i="68"/>
  <c r="L23" i="68"/>
  <c r="K23" i="68"/>
  <c r="M22" i="68"/>
  <c r="L22" i="68"/>
  <c r="K22" i="68"/>
  <c r="M21" i="68"/>
  <c r="L21" i="68"/>
  <c r="K21" i="68"/>
  <c r="M20" i="68"/>
  <c r="L20" i="68"/>
  <c r="K20" i="68"/>
  <c r="M19" i="68"/>
  <c r="L19" i="68"/>
  <c r="K19" i="68"/>
  <c r="M18" i="68"/>
  <c r="L18" i="68"/>
  <c r="K18" i="68"/>
  <c r="M17" i="68"/>
  <c r="L17" i="68"/>
  <c r="K17" i="68"/>
  <c r="M16" i="68"/>
  <c r="L16" i="68"/>
  <c r="K16" i="68"/>
  <c r="M15" i="68"/>
  <c r="L15" i="68"/>
  <c r="K15" i="68"/>
  <c r="M14" i="68"/>
  <c r="L14" i="68"/>
  <c r="K14" i="68"/>
  <c r="M13" i="68"/>
  <c r="L13" i="68"/>
  <c r="K13" i="68"/>
  <c r="M12" i="68"/>
  <c r="L12" i="68"/>
  <c r="K12" i="68"/>
  <c r="M11" i="68"/>
  <c r="L11" i="68"/>
  <c r="M10" i="68"/>
  <c r="L10" i="68"/>
  <c r="K10" i="68"/>
  <c r="M9" i="68"/>
  <c r="L9" i="68"/>
  <c r="K9" i="68"/>
  <c r="M8" i="68"/>
  <c r="L8" i="68"/>
  <c r="K8" i="68"/>
  <c r="M7" i="68"/>
  <c r="M29" i="68" s="1"/>
  <c r="L7" i="68"/>
  <c r="L27" i="68" s="1"/>
  <c r="L28" i="68" s="1"/>
  <c r="K7" i="68"/>
  <c r="K29" i="68" s="1"/>
  <c r="K27" i="68"/>
  <c r="K28" i="68" s="1"/>
  <c r="M18" i="67"/>
  <c r="M19" i="67"/>
  <c r="M20" i="67"/>
  <c r="M21" i="67"/>
  <c r="M22" i="67"/>
  <c r="M23" i="67"/>
  <c r="M24" i="67"/>
  <c r="M25" i="67"/>
  <c r="M26" i="67"/>
  <c r="M27" i="67"/>
  <c r="M28" i="67"/>
  <c r="M29" i="67"/>
  <c r="M30" i="67"/>
  <c r="M31" i="67"/>
  <c r="M32" i="67"/>
  <c r="M33" i="67"/>
  <c r="M34" i="67"/>
  <c r="M35" i="67"/>
  <c r="M17" i="67"/>
  <c r="L18" i="67"/>
  <c r="L19" i="67"/>
  <c r="L20" i="67"/>
  <c r="L21" i="67"/>
  <c r="L22" i="67"/>
  <c r="L23" i="67"/>
  <c r="L24" i="67"/>
  <c r="L25" i="67"/>
  <c r="L26" i="67"/>
  <c r="L27" i="67"/>
  <c r="L28" i="67"/>
  <c r="L29" i="67"/>
  <c r="L30" i="67"/>
  <c r="L31" i="67"/>
  <c r="L32" i="67"/>
  <c r="L33" i="67"/>
  <c r="L34" i="67"/>
  <c r="L35" i="67"/>
  <c r="L17" i="67"/>
  <c r="K18" i="67"/>
  <c r="K19" i="67"/>
  <c r="K20" i="67"/>
  <c r="K21" i="67"/>
  <c r="K22" i="67"/>
  <c r="K23" i="67"/>
  <c r="K24" i="67"/>
  <c r="K25" i="67"/>
  <c r="K26" i="67"/>
  <c r="K27" i="67"/>
  <c r="K28" i="67"/>
  <c r="K29" i="67"/>
  <c r="K30" i="67"/>
  <c r="K31" i="67"/>
  <c r="K32" i="67"/>
  <c r="K33" i="67"/>
  <c r="K34" i="67"/>
  <c r="K35" i="67"/>
  <c r="K17" i="67"/>
  <c r="Q17" i="66"/>
  <c r="P17" i="66"/>
  <c r="J31" i="65" a="1"/>
  <c r="J31" i="65" s="1"/>
  <c r="J30" i="65"/>
  <c r="K21" i="65"/>
  <c r="Q17" i="65"/>
  <c r="P17" i="65"/>
  <c r="Q16" i="65"/>
  <c r="P16" i="65"/>
  <c r="M25" i="65"/>
  <c r="M24" i="65"/>
  <c r="M23" i="65"/>
  <c r="M22" i="65"/>
  <c r="M21" i="65"/>
  <c r="M20" i="65"/>
  <c r="M19" i="65"/>
  <c r="M18" i="65"/>
  <c r="M17" i="65"/>
  <c r="M16" i="65"/>
  <c r="M15" i="65"/>
  <c r="M14" i="65"/>
  <c r="M13" i="65"/>
  <c r="M12" i="65"/>
  <c r="M11" i="65"/>
  <c r="M10" i="65"/>
  <c r="M9" i="65"/>
  <c r="M8" i="65"/>
  <c r="M7" i="65"/>
  <c r="L25" i="65"/>
  <c r="K25" i="65"/>
  <c r="L24" i="65"/>
  <c r="K24" i="65"/>
  <c r="L23" i="65"/>
  <c r="K23" i="65"/>
  <c r="L22" i="65"/>
  <c r="K22" i="65"/>
  <c r="L21" i="65"/>
  <c r="L20" i="65"/>
  <c r="K20" i="65"/>
  <c r="L19" i="65"/>
  <c r="K19" i="65"/>
  <c r="L18" i="65"/>
  <c r="K18" i="65"/>
  <c r="L17" i="65"/>
  <c r="K17" i="65"/>
  <c r="L16" i="65"/>
  <c r="K16" i="65"/>
  <c r="L15" i="65"/>
  <c r="K15" i="65"/>
  <c r="L14" i="65"/>
  <c r="K14" i="65"/>
  <c r="L13" i="65"/>
  <c r="K13" i="65"/>
  <c r="L12" i="65"/>
  <c r="K12" i="65"/>
  <c r="L11" i="65"/>
  <c r="K11" i="65"/>
  <c r="L10" i="65"/>
  <c r="K10" i="65"/>
  <c r="L9" i="65"/>
  <c r="K9" i="65"/>
  <c r="L8" i="65"/>
  <c r="K8" i="65"/>
  <c r="L7" i="65"/>
  <c r="K7" i="65"/>
  <c r="I31" i="64" a="1"/>
  <c r="I31" i="64" s="1"/>
  <c r="I29" i="64"/>
  <c r="L25" i="64"/>
  <c r="K25" i="64"/>
  <c r="L24" i="64"/>
  <c r="K24" i="64"/>
  <c r="L23" i="64"/>
  <c r="K23" i="64"/>
  <c r="L22" i="64"/>
  <c r="K22" i="64"/>
  <c r="L21" i="64"/>
  <c r="K21" i="64"/>
  <c r="L20" i="64"/>
  <c r="K20" i="64"/>
  <c r="L19" i="64"/>
  <c r="K19" i="64"/>
  <c r="L18" i="64"/>
  <c r="K18" i="64"/>
  <c r="L17" i="64"/>
  <c r="K17" i="64"/>
  <c r="L16" i="64"/>
  <c r="K16" i="64"/>
  <c r="L15" i="64"/>
  <c r="K15" i="64"/>
  <c r="L14" i="64"/>
  <c r="K14" i="64"/>
  <c r="L13" i="64"/>
  <c r="K13" i="64"/>
  <c r="L12" i="64"/>
  <c r="K12" i="64"/>
  <c r="L11" i="64"/>
  <c r="K11" i="64"/>
  <c r="L10" i="64"/>
  <c r="K10" i="64"/>
  <c r="L9" i="64"/>
  <c r="K9" i="64"/>
  <c r="L8" i="64"/>
  <c r="K8" i="64"/>
  <c r="L7" i="64"/>
  <c r="K7" i="64"/>
  <c r="M8" i="62"/>
  <c r="M9" i="62"/>
  <c r="M10" i="62"/>
  <c r="M11" i="62"/>
  <c r="M12" i="62"/>
  <c r="M13" i="62"/>
  <c r="M14" i="62"/>
  <c r="M15" i="62"/>
  <c r="M16" i="62"/>
  <c r="M17" i="62"/>
  <c r="M18" i="62"/>
  <c r="M19" i="62"/>
  <c r="M20" i="62"/>
  <c r="M21" i="62"/>
  <c r="M22" i="62"/>
  <c r="M23" i="62"/>
  <c r="M24" i="62"/>
  <c r="M25" i="62"/>
  <c r="M7" i="62"/>
  <c r="L25" i="62"/>
  <c r="K25" i="62"/>
  <c r="L24" i="62"/>
  <c r="K24" i="62"/>
  <c r="L23" i="62"/>
  <c r="K23" i="62"/>
  <c r="L22" i="62"/>
  <c r="K22" i="62"/>
  <c r="L21" i="62"/>
  <c r="K21" i="62"/>
  <c r="L20" i="62"/>
  <c r="K20" i="62"/>
  <c r="L19" i="62"/>
  <c r="K19" i="62"/>
  <c r="L18" i="62"/>
  <c r="K18" i="62"/>
  <c r="L17" i="62"/>
  <c r="K17" i="62"/>
  <c r="L16" i="62"/>
  <c r="K16" i="62"/>
  <c r="L15" i="62"/>
  <c r="K15" i="62"/>
  <c r="L14" i="62"/>
  <c r="K14" i="62"/>
  <c r="L13" i="62"/>
  <c r="K13" i="62"/>
  <c r="L12" i="62"/>
  <c r="K12" i="62"/>
  <c r="L11" i="62"/>
  <c r="K11" i="62"/>
  <c r="L10" i="62"/>
  <c r="K10" i="62"/>
  <c r="L9" i="62"/>
  <c r="K9" i="62"/>
  <c r="L8" i="62"/>
  <c r="K8" i="62"/>
  <c r="L7" i="62"/>
  <c r="K7" i="62"/>
  <c r="G29" i="61"/>
  <c r="L25" i="61"/>
  <c r="K25" i="61"/>
  <c r="L24" i="61"/>
  <c r="K24" i="61"/>
  <c r="L23" i="61"/>
  <c r="K23" i="61"/>
  <c r="L22" i="61"/>
  <c r="K22" i="61"/>
  <c r="L21" i="61"/>
  <c r="K21" i="61"/>
  <c r="L20" i="61"/>
  <c r="K20" i="61"/>
  <c r="L19" i="61"/>
  <c r="K19" i="61"/>
  <c r="L18" i="61"/>
  <c r="K18" i="61"/>
  <c r="L17" i="61"/>
  <c r="K17" i="61"/>
  <c r="L16" i="61"/>
  <c r="K16" i="61"/>
  <c r="L15" i="61"/>
  <c r="K15" i="61"/>
  <c r="L14" i="61"/>
  <c r="K14" i="61"/>
  <c r="L13" i="61"/>
  <c r="K13" i="61"/>
  <c r="L12" i="61"/>
  <c r="K12" i="61"/>
  <c r="L11" i="61"/>
  <c r="K11" i="61"/>
  <c r="L10" i="61"/>
  <c r="K10" i="61"/>
  <c r="L9" i="61"/>
  <c r="K9" i="61"/>
  <c r="L8" i="61"/>
  <c r="K8" i="61"/>
  <c r="L7" i="61"/>
  <c r="L27" i="61" s="1"/>
  <c r="K7" i="61"/>
  <c r="P15" i="59"/>
  <c r="O15" i="59"/>
  <c r="P14" i="59"/>
  <c r="O14" i="59"/>
  <c r="G15" i="33"/>
  <c r="F15" i="33"/>
  <c r="G14" i="33"/>
  <c r="F14" i="33"/>
  <c r="C15" i="33"/>
  <c r="B15" i="33"/>
  <c r="C14" i="33"/>
  <c r="B14" i="33"/>
  <c r="L25" i="59"/>
  <c r="K25" i="59"/>
  <c r="L24" i="59"/>
  <c r="K24" i="59"/>
  <c r="L23" i="59"/>
  <c r="K23" i="59"/>
  <c r="L22" i="59"/>
  <c r="K22" i="59"/>
  <c r="L21" i="59"/>
  <c r="K21" i="59"/>
  <c r="L20" i="59"/>
  <c r="K20" i="59"/>
  <c r="L19" i="59"/>
  <c r="K19" i="59"/>
  <c r="L18" i="59"/>
  <c r="K18" i="59"/>
  <c r="L17" i="59"/>
  <c r="K17" i="59"/>
  <c r="L16" i="59"/>
  <c r="K16" i="59"/>
  <c r="L15" i="59"/>
  <c r="K15" i="59"/>
  <c r="L14" i="59"/>
  <c r="K14" i="59"/>
  <c r="L13" i="59"/>
  <c r="K13" i="59"/>
  <c r="L12" i="59"/>
  <c r="K12" i="59"/>
  <c r="L11" i="59"/>
  <c r="K11" i="59"/>
  <c r="L10" i="59"/>
  <c r="K10" i="59"/>
  <c r="L9" i="59"/>
  <c r="K9" i="59"/>
  <c r="L8" i="59"/>
  <c r="K8" i="59"/>
  <c r="L7" i="59"/>
  <c r="K7" i="59"/>
  <c r="K25" i="58"/>
  <c r="K24" i="58"/>
  <c r="K23" i="58"/>
  <c r="K22" i="58"/>
  <c r="K21" i="58"/>
  <c r="K20" i="58"/>
  <c r="K19" i="58"/>
  <c r="K18" i="58"/>
  <c r="K17" i="58"/>
  <c r="K16" i="58"/>
  <c r="K15" i="58"/>
  <c r="K14" i="58"/>
  <c r="K13" i="58"/>
  <c r="K12" i="58"/>
  <c r="K10" i="58"/>
  <c r="K9" i="58"/>
  <c r="K8" i="58"/>
  <c r="K7" i="58"/>
  <c r="K14" i="33"/>
  <c r="C15" i="54"/>
  <c r="C17" i="54"/>
  <c r="C18" i="54"/>
  <c r="C16" i="54"/>
  <c r="C14" i="54"/>
  <c r="C13" i="54"/>
  <c r="C11" i="54"/>
  <c r="C10" i="54"/>
  <c r="K9" i="29"/>
  <c r="K10" i="29"/>
  <c r="K11" i="29"/>
  <c r="N11" i="29" s="1"/>
  <c r="K12" i="29"/>
  <c r="N12" i="29" s="1"/>
  <c r="K14" i="29"/>
  <c r="K15" i="29"/>
  <c r="K16" i="29"/>
  <c r="K17" i="29"/>
  <c r="K18" i="29"/>
  <c r="O18" i="29" s="1"/>
  <c r="K19" i="29"/>
  <c r="K20" i="29"/>
  <c r="S20" i="29" s="1"/>
  <c r="K22" i="29"/>
  <c r="N22" i="29" s="1"/>
  <c r="K23" i="29"/>
  <c r="K24" i="29"/>
  <c r="K25" i="29"/>
  <c r="K26" i="29"/>
  <c r="K27" i="29"/>
  <c r="K21" i="29"/>
  <c r="L9" i="29"/>
  <c r="L10" i="29"/>
  <c r="L11" i="29"/>
  <c r="L12" i="29"/>
  <c r="L13" i="29"/>
  <c r="L14" i="29"/>
  <c r="L15" i="29"/>
  <c r="L16" i="29"/>
  <c r="L17" i="29"/>
  <c r="L18" i="29"/>
  <c r="R18" i="29" s="1"/>
  <c r="L19" i="29"/>
  <c r="B71" i="50"/>
  <c r="B66" i="50"/>
  <c r="B69" i="50" s="1"/>
  <c r="F61" i="50"/>
  <c r="G61" i="50" s="1"/>
  <c r="C61" i="50"/>
  <c r="F60" i="50"/>
  <c r="G60" i="50"/>
  <c r="C60" i="50"/>
  <c r="F59" i="50"/>
  <c r="G59" i="50"/>
  <c r="C59" i="50"/>
  <c r="F58" i="50"/>
  <c r="G58" i="50"/>
  <c r="C58" i="50"/>
  <c r="F57" i="50"/>
  <c r="G57" i="50"/>
  <c r="C57" i="50"/>
  <c r="F56" i="50"/>
  <c r="G56" i="50" s="1"/>
  <c r="C56" i="50"/>
  <c r="F55" i="50"/>
  <c r="G55" i="50" s="1"/>
  <c r="C55" i="50"/>
  <c r="F54" i="50"/>
  <c r="G54" i="50" s="1"/>
  <c r="C54" i="50"/>
  <c r="F53" i="50"/>
  <c r="G53" i="50" s="1"/>
  <c r="C53" i="50"/>
  <c r="F52" i="50"/>
  <c r="G52" i="50" s="1"/>
  <c r="C52" i="50"/>
  <c r="F51" i="50"/>
  <c r="G51" i="50"/>
  <c r="C51" i="50"/>
  <c r="F50" i="50"/>
  <c r="G50" i="50" s="1"/>
  <c r="C50" i="50"/>
  <c r="F49" i="50"/>
  <c r="G49" i="50"/>
  <c r="C49" i="50"/>
  <c r="F48" i="50"/>
  <c r="G48" i="50" s="1"/>
  <c r="C48" i="50"/>
  <c r="F47" i="50"/>
  <c r="G47" i="50" s="1"/>
  <c r="C47" i="50"/>
  <c r="F46" i="50"/>
  <c r="G46" i="50" s="1"/>
  <c r="C46" i="50"/>
  <c r="F45" i="50"/>
  <c r="G45" i="50" s="1"/>
  <c r="C45" i="50"/>
  <c r="F44" i="50"/>
  <c r="G44" i="50"/>
  <c r="C44" i="50"/>
  <c r="F43" i="50"/>
  <c r="G43" i="50"/>
  <c r="C43" i="50"/>
  <c r="F42" i="50"/>
  <c r="G42" i="50"/>
  <c r="C42" i="50"/>
  <c r="F41" i="50"/>
  <c r="G41" i="50"/>
  <c r="C41" i="50"/>
  <c r="F40" i="50"/>
  <c r="G40" i="50" s="1"/>
  <c r="C40" i="50"/>
  <c r="F39" i="50"/>
  <c r="G39" i="50" s="1"/>
  <c r="C39" i="50"/>
  <c r="F38" i="50"/>
  <c r="G38" i="50" s="1"/>
  <c r="C38" i="50"/>
  <c r="F37" i="50"/>
  <c r="G37" i="50" s="1"/>
  <c r="C37" i="50"/>
  <c r="F36" i="50"/>
  <c r="G36" i="50" s="1"/>
  <c r="C36" i="50"/>
  <c r="F35" i="50"/>
  <c r="G35" i="50"/>
  <c r="C35" i="50"/>
  <c r="F34" i="50"/>
  <c r="G34" i="50" s="1"/>
  <c r="C34" i="50"/>
  <c r="F33" i="50"/>
  <c r="G33" i="50"/>
  <c r="C33" i="50"/>
  <c r="F32" i="50"/>
  <c r="G32" i="50" s="1"/>
  <c r="C32" i="50"/>
  <c r="F31" i="50"/>
  <c r="G31" i="50" s="1"/>
  <c r="C31" i="50"/>
  <c r="F30" i="50"/>
  <c r="G30" i="50" s="1"/>
  <c r="C30" i="50"/>
  <c r="F29" i="50"/>
  <c r="G29" i="50" s="1"/>
  <c r="C29" i="50"/>
  <c r="F28" i="50"/>
  <c r="G28" i="50"/>
  <c r="C28" i="50"/>
  <c r="F27" i="50"/>
  <c r="G27" i="50"/>
  <c r="C27" i="50"/>
  <c r="F26" i="50"/>
  <c r="G26" i="50"/>
  <c r="C26" i="50"/>
  <c r="F25" i="50"/>
  <c r="G25" i="50"/>
  <c r="C25" i="50"/>
  <c r="F24" i="50"/>
  <c r="G24" i="50" s="1"/>
  <c r="C24" i="50"/>
  <c r="F23" i="50"/>
  <c r="G23" i="50" s="1"/>
  <c r="C23" i="50"/>
  <c r="F22" i="50"/>
  <c r="G22" i="50" s="1"/>
  <c r="C22" i="50"/>
  <c r="F21" i="50"/>
  <c r="G21" i="50" s="1"/>
  <c r="C21" i="50"/>
  <c r="F20" i="50"/>
  <c r="G20" i="50" s="1"/>
  <c r="C20" i="50"/>
  <c r="F19" i="50"/>
  <c r="G19" i="50"/>
  <c r="C19" i="50"/>
  <c r="F18" i="50"/>
  <c r="G18" i="50" s="1"/>
  <c r="C18" i="50"/>
  <c r="F17" i="50"/>
  <c r="G17" i="50"/>
  <c r="C17" i="50"/>
  <c r="F16" i="50"/>
  <c r="G16" i="50" s="1"/>
  <c r="C16" i="50"/>
  <c r="F15" i="50"/>
  <c r="G15" i="50" s="1"/>
  <c r="C15" i="50"/>
  <c r="F14" i="50"/>
  <c r="G14" i="50" s="1"/>
  <c r="C14" i="50"/>
  <c r="F13" i="50"/>
  <c r="G13" i="50" s="1"/>
  <c r="C13" i="50"/>
  <c r="F12" i="50"/>
  <c r="G12" i="50"/>
  <c r="C12" i="50"/>
  <c r="C8" i="50" s="1"/>
  <c r="F11" i="50"/>
  <c r="G11" i="50"/>
  <c r="C11" i="50"/>
  <c r="C7" i="50"/>
  <c r="B7" i="50"/>
  <c r="M25" i="49"/>
  <c r="L25" i="49"/>
  <c r="K25" i="49"/>
  <c r="M24" i="49"/>
  <c r="L24" i="49"/>
  <c r="K24" i="49"/>
  <c r="M23" i="49"/>
  <c r="L23" i="49"/>
  <c r="K23" i="49"/>
  <c r="M22" i="49"/>
  <c r="L22" i="49"/>
  <c r="K22" i="49"/>
  <c r="M21" i="49"/>
  <c r="L21" i="49"/>
  <c r="K21" i="49"/>
  <c r="M20" i="49"/>
  <c r="L20" i="49"/>
  <c r="K20" i="49"/>
  <c r="M19" i="49"/>
  <c r="L19" i="49"/>
  <c r="K19" i="49"/>
  <c r="M18" i="49"/>
  <c r="L18" i="49"/>
  <c r="K18" i="49"/>
  <c r="M17" i="49"/>
  <c r="L17" i="49"/>
  <c r="K17" i="49"/>
  <c r="M16" i="49"/>
  <c r="L16" i="49"/>
  <c r="K16" i="49"/>
  <c r="M15" i="49"/>
  <c r="L15" i="49"/>
  <c r="K15" i="49"/>
  <c r="M14" i="49"/>
  <c r="L14" i="49"/>
  <c r="K14" i="49"/>
  <c r="M13" i="49"/>
  <c r="L13" i="49"/>
  <c r="K13" i="49"/>
  <c r="M12" i="49"/>
  <c r="L12" i="49"/>
  <c r="K12" i="49"/>
  <c r="M11" i="49"/>
  <c r="L11" i="49"/>
  <c r="M10" i="49"/>
  <c r="L10" i="49"/>
  <c r="K10" i="49"/>
  <c r="M9" i="49"/>
  <c r="L9" i="49"/>
  <c r="K9" i="49"/>
  <c r="M8" i="49"/>
  <c r="L8" i="49"/>
  <c r="K8" i="49"/>
  <c r="M7" i="49"/>
  <c r="L7" i="49"/>
  <c r="K7" i="49"/>
  <c r="M25" i="45"/>
  <c r="L25" i="45"/>
  <c r="K25" i="45"/>
  <c r="M24" i="45"/>
  <c r="L24" i="45"/>
  <c r="K24" i="45"/>
  <c r="M23" i="45"/>
  <c r="L23" i="45"/>
  <c r="K23" i="45"/>
  <c r="M22" i="45"/>
  <c r="L22" i="45"/>
  <c r="K22" i="45"/>
  <c r="M21" i="45"/>
  <c r="L21" i="45"/>
  <c r="K21" i="45"/>
  <c r="M20" i="45"/>
  <c r="L20" i="45"/>
  <c r="K20" i="45"/>
  <c r="M19" i="45"/>
  <c r="L19" i="45"/>
  <c r="K19" i="45"/>
  <c r="M18" i="45"/>
  <c r="L18" i="45"/>
  <c r="K18" i="45"/>
  <c r="M17" i="45"/>
  <c r="L17" i="45"/>
  <c r="K17" i="45"/>
  <c r="M16" i="45"/>
  <c r="L16" i="45"/>
  <c r="K16" i="45"/>
  <c r="M15" i="45"/>
  <c r="L15" i="45"/>
  <c r="K15" i="45"/>
  <c r="M14" i="45"/>
  <c r="L14" i="45"/>
  <c r="K14" i="45"/>
  <c r="M13" i="45"/>
  <c r="L13" i="45"/>
  <c r="K13" i="45"/>
  <c r="M12" i="45"/>
  <c r="L12" i="45"/>
  <c r="K12" i="45"/>
  <c r="M11" i="45"/>
  <c r="L11" i="45"/>
  <c r="M10" i="45"/>
  <c r="L10" i="45"/>
  <c r="K10" i="45"/>
  <c r="M9" i="45"/>
  <c r="L9" i="45"/>
  <c r="K9" i="45"/>
  <c r="M8" i="45"/>
  <c r="L8" i="45"/>
  <c r="K8" i="45"/>
  <c r="M7" i="45"/>
  <c r="L7" i="45"/>
  <c r="K7" i="45"/>
  <c r="M25" i="44"/>
  <c r="L25" i="44"/>
  <c r="K25" i="44"/>
  <c r="M24" i="44"/>
  <c r="L24" i="44"/>
  <c r="K24" i="44"/>
  <c r="M23" i="44"/>
  <c r="L23" i="44"/>
  <c r="K23" i="44"/>
  <c r="M22" i="44"/>
  <c r="L22" i="44"/>
  <c r="K22" i="44"/>
  <c r="M21" i="44"/>
  <c r="L21" i="44"/>
  <c r="K21" i="44"/>
  <c r="M20" i="44"/>
  <c r="L20" i="44"/>
  <c r="K20" i="44"/>
  <c r="M19" i="44"/>
  <c r="L19" i="44"/>
  <c r="K19" i="44"/>
  <c r="M18" i="44"/>
  <c r="L18" i="44"/>
  <c r="K18" i="44"/>
  <c r="M17" i="44"/>
  <c r="L17" i="44"/>
  <c r="K17" i="44"/>
  <c r="M16" i="44"/>
  <c r="L16" i="44"/>
  <c r="K16" i="44"/>
  <c r="M15" i="44"/>
  <c r="L15" i="44"/>
  <c r="K15" i="44"/>
  <c r="M14" i="44"/>
  <c r="L14" i="44"/>
  <c r="K14" i="44"/>
  <c r="M13" i="44"/>
  <c r="L13" i="44"/>
  <c r="K13" i="44"/>
  <c r="M12" i="44"/>
  <c r="L12" i="44"/>
  <c r="K12" i="44"/>
  <c r="M11" i="44"/>
  <c r="L11" i="44"/>
  <c r="M10" i="44"/>
  <c r="L10" i="44"/>
  <c r="K10" i="44"/>
  <c r="M9" i="44"/>
  <c r="L9" i="44"/>
  <c r="K9" i="44"/>
  <c r="M8" i="44"/>
  <c r="L8" i="44"/>
  <c r="K8" i="44"/>
  <c r="M7" i="44"/>
  <c r="L7" i="44"/>
  <c r="K7" i="44"/>
  <c r="K7" i="31"/>
  <c r="M25" i="43"/>
  <c r="L25" i="43"/>
  <c r="K25" i="43"/>
  <c r="M24" i="43"/>
  <c r="L24" i="43"/>
  <c r="K24" i="43"/>
  <c r="M23" i="43"/>
  <c r="L23" i="43"/>
  <c r="K23" i="43"/>
  <c r="M22" i="43"/>
  <c r="L22" i="43"/>
  <c r="K22" i="43"/>
  <c r="M21" i="43"/>
  <c r="L21" i="43"/>
  <c r="K21" i="43"/>
  <c r="M20" i="43"/>
  <c r="L20" i="43"/>
  <c r="K20" i="43"/>
  <c r="M19" i="43"/>
  <c r="L19" i="43"/>
  <c r="K19" i="43"/>
  <c r="M18" i="43"/>
  <c r="L18" i="43"/>
  <c r="K18" i="43"/>
  <c r="M17" i="43"/>
  <c r="L17" i="43"/>
  <c r="K17" i="43"/>
  <c r="M16" i="43"/>
  <c r="L16" i="43"/>
  <c r="K16" i="43"/>
  <c r="M15" i="43"/>
  <c r="L15" i="43"/>
  <c r="K15" i="43"/>
  <c r="M14" i="43"/>
  <c r="L14" i="43"/>
  <c r="K14" i="43"/>
  <c r="M13" i="43"/>
  <c r="L13" i="43"/>
  <c r="K13" i="43"/>
  <c r="M12" i="43"/>
  <c r="L12" i="43"/>
  <c r="K12" i="43"/>
  <c r="M11" i="43"/>
  <c r="L11" i="43"/>
  <c r="M10" i="43"/>
  <c r="L10" i="43"/>
  <c r="K10" i="43"/>
  <c r="M9" i="43"/>
  <c r="L9" i="43"/>
  <c r="K9" i="43"/>
  <c r="M8" i="43"/>
  <c r="L8" i="43"/>
  <c r="K8" i="43"/>
  <c r="M7" i="43"/>
  <c r="L7" i="43"/>
  <c r="L27" i="43" s="1"/>
  <c r="L28" i="43" s="1"/>
  <c r="K7" i="43"/>
  <c r="I15" i="38"/>
  <c r="G15" i="38"/>
  <c r="J15" i="38" s="1"/>
  <c r="D16" i="37"/>
  <c r="D15" i="37"/>
  <c r="D14" i="37"/>
  <c r="D13" i="37"/>
  <c r="D12" i="37"/>
  <c r="D11" i="37"/>
  <c r="K15" i="38"/>
  <c r="L15" i="38"/>
  <c r="G16" i="38"/>
  <c r="J16" i="38" s="1"/>
  <c r="K16" i="38"/>
  <c r="L16" i="38"/>
  <c r="G17" i="38"/>
  <c r="J17" i="38" s="1"/>
  <c r="K17" i="38"/>
  <c r="L17" i="38"/>
  <c r="G18" i="38"/>
  <c r="J18" i="38" s="1"/>
  <c r="K18" i="38"/>
  <c r="L18" i="38"/>
  <c r="G19" i="38"/>
  <c r="J19" i="38" s="1"/>
  <c r="K19" i="38"/>
  <c r="L19" i="38"/>
  <c r="G20" i="38"/>
  <c r="J20" i="38" s="1"/>
  <c r="K20" i="38"/>
  <c r="L20" i="38"/>
  <c r="K7" i="35"/>
  <c r="L7" i="35"/>
  <c r="M7" i="35"/>
  <c r="K8" i="35"/>
  <c r="L8" i="35"/>
  <c r="M8" i="35"/>
  <c r="K9" i="35"/>
  <c r="L9" i="35"/>
  <c r="M9" i="35"/>
  <c r="M27" i="35" s="1"/>
  <c r="M28" i="35" s="1"/>
  <c r="K10" i="35"/>
  <c r="L10" i="35"/>
  <c r="M10" i="35"/>
  <c r="L11" i="35"/>
  <c r="M11" i="35"/>
  <c r="K12" i="35"/>
  <c r="L12" i="35"/>
  <c r="M12" i="35"/>
  <c r="K13" i="35"/>
  <c r="L13" i="35"/>
  <c r="M13" i="35"/>
  <c r="K14" i="35"/>
  <c r="L14" i="35"/>
  <c r="M14" i="35"/>
  <c r="K15" i="35"/>
  <c r="L15" i="35"/>
  <c r="M15" i="35"/>
  <c r="K16" i="35"/>
  <c r="L16" i="35"/>
  <c r="M16" i="35"/>
  <c r="K17" i="35"/>
  <c r="L17" i="35"/>
  <c r="M17" i="35"/>
  <c r="K18" i="35"/>
  <c r="L18" i="35"/>
  <c r="M18" i="35"/>
  <c r="K19" i="35"/>
  <c r="L19" i="35"/>
  <c r="M19" i="35"/>
  <c r="K20" i="35"/>
  <c r="L20" i="35"/>
  <c r="M20" i="35"/>
  <c r="K21" i="35"/>
  <c r="L21" i="35"/>
  <c r="M21" i="35"/>
  <c r="K22" i="35"/>
  <c r="L22" i="35"/>
  <c r="M22" i="35"/>
  <c r="K23" i="35"/>
  <c r="L23" i="35"/>
  <c r="M23" i="35"/>
  <c r="K24" i="35"/>
  <c r="L24" i="35"/>
  <c r="M24" i="35"/>
  <c r="K25" i="35"/>
  <c r="L25" i="35"/>
  <c r="M25" i="35"/>
  <c r="K7" i="34"/>
  <c r="L7" i="34"/>
  <c r="M7" i="34"/>
  <c r="K8" i="34"/>
  <c r="L8" i="34"/>
  <c r="M8" i="34"/>
  <c r="K9" i="34"/>
  <c r="L9" i="34"/>
  <c r="M9" i="34"/>
  <c r="K10" i="34"/>
  <c r="L10" i="34"/>
  <c r="M10" i="34"/>
  <c r="L11" i="34"/>
  <c r="M11" i="34"/>
  <c r="K12" i="34"/>
  <c r="L12" i="34"/>
  <c r="M12" i="34"/>
  <c r="K13" i="34"/>
  <c r="L13" i="34"/>
  <c r="M13" i="34"/>
  <c r="K14" i="34"/>
  <c r="L14" i="34"/>
  <c r="M14" i="34"/>
  <c r="K15" i="34"/>
  <c r="L15" i="34"/>
  <c r="M15" i="34"/>
  <c r="K16" i="34"/>
  <c r="L16" i="34"/>
  <c r="M16" i="34"/>
  <c r="K17" i="34"/>
  <c r="L17" i="34"/>
  <c r="M17" i="34"/>
  <c r="K18" i="34"/>
  <c r="L18" i="34"/>
  <c r="M18" i="34"/>
  <c r="K19" i="34"/>
  <c r="L19" i="34"/>
  <c r="M19" i="34"/>
  <c r="K20" i="34"/>
  <c r="L20" i="34"/>
  <c r="M20" i="34"/>
  <c r="K21" i="34"/>
  <c r="L21" i="34"/>
  <c r="M21" i="34"/>
  <c r="K22" i="34"/>
  <c r="L22" i="34"/>
  <c r="M22" i="34"/>
  <c r="K23" i="34"/>
  <c r="L23" i="34"/>
  <c r="M23" i="34"/>
  <c r="K24" i="34"/>
  <c r="L24" i="34"/>
  <c r="M24" i="34"/>
  <c r="K25" i="34"/>
  <c r="L25" i="34"/>
  <c r="M25" i="34"/>
  <c r="K7" i="32"/>
  <c r="L7" i="32"/>
  <c r="M7" i="32"/>
  <c r="K8" i="32"/>
  <c r="L8" i="32"/>
  <c r="M8" i="32"/>
  <c r="K9" i="32"/>
  <c r="L9" i="32"/>
  <c r="M9" i="32"/>
  <c r="K10" i="32"/>
  <c r="L10" i="32"/>
  <c r="M10" i="32"/>
  <c r="L11" i="32"/>
  <c r="M11" i="32"/>
  <c r="K12" i="32"/>
  <c r="L12" i="32"/>
  <c r="M12" i="32"/>
  <c r="K13" i="32"/>
  <c r="L13" i="32"/>
  <c r="M13" i="32"/>
  <c r="K14" i="32"/>
  <c r="L14" i="32"/>
  <c r="M14" i="32"/>
  <c r="K15" i="32"/>
  <c r="L15" i="32"/>
  <c r="M15" i="32"/>
  <c r="K16" i="32"/>
  <c r="L16" i="32"/>
  <c r="M16" i="32"/>
  <c r="K17" i="32"/>
  <c r="L17" i="32"/>
  <c r="M17" i="32"/>
  <c r="K18" i="32"/>
  <c r="L18" i="32"/>
  <c r="M18" i="32"/>
  <c r="K19" i="32"/>
  <c r="L19" i="32"/>
  <c r="M19" i="32"/>
  <c r="K20" i="32"/>
  <c r="L20" i="32"/>
  <c r="M20" i="32"/>
  <c r="K21" i="32"/>
  <c r="L21" i="32"/>
  <c r="M21" i="32"/>
  <c r="K22" i="32"/>
  <c r="L22" i="32"/>
  <c r="M22" i="32"/>
  <c r="K23" i="32"/>
  <c r="L23" i="32"/>
  <c r="M23" i="32"/>
  <c r="K24" i="32"/>
  <c r="L24" i="32"/>
  <c r="M24" i="32"/>
  <c r="K25" i="32"/>
  <c r="L25" i="32"/>
  <c r="M25" i="32"/>
  <c r="L7" i="31"/>
  <c r="M7" i="31"/>
  <c r="K8" i="31"/>
  <c r="L8" i="31"/>
  <c r="M8" i="31"/>
  <c r="K9" i="31"/>
  <c r="L9" i="31"/>
  <c r="M9" i="31"/>
  <c r="K10" i="31"/>
  <c r="L10" i="31"/>
  <c r="M10" i="31"/>
  <c r="L11" i="31"/>
  <c r="M11" i="31"/>
  <c r="K12" i="31"/>
  <c r="L12" i="31"/>
  <c r="M12" i="31"/>
  <c r="K13" i="31"/>
  <c r="L13" i="31"/>
  <c r="M13" i="31"/>
  <c r="K14" i="31"/>
  <c r="L14" i="31"/>
  <c r="M14" i="31"/>
  <c r="K15" i="31"/>
  <c r="L15" i="31"/>
  <c r="M15" i="31"/>
  <c r="K16" i="31"/>
  <c r="L16" i="31"/>
  <c r="M16" i="31"/>
  <c r="K17" i="31"/>
  <c r="L17" i="31"/>
  <c r="M17" i="31"/>
  <c r="K18" i="31"/>
  <c r="L18" i="31"/>
  <c r="M18" i="31"/>
  <c r="K19" i="31"/>
  <c r="L19" i="31"/>
  <c r="M19" i="31"/>
  <c r="K20" i="31"/>
  <c r="L20" i="31"/>
  <c r="M20" i="31"/>
  <c r="K21" i="31"/>
  <c r="L21" i="31"/>
  <c r="M21" i="31"/>
  <c r="K22" i="31"/>
  <c r="L22" i="31"/>
  <c r="M22" i="31"/>
  <c r="K23" i="31"/>
  <c r="L23" i="31"/>
  <c r="M23" i="31"/>
  <c r="K24" i="31"/>
  <c r="L24" i="31"/>
  <c r="M24" i="31"/>
  <c r="K25" i="31"/>
  <c r="L25" i="31"/>
  <c r="M25" i="31"/>
  <c r="M9" i="29"/>
  <c r="M10" i="29"/>
  <c r="M11" i="29"/>
  <c r="M12" i="29"/>
  <c r="M13" i="29"/>
  <c r="S13" i="29" s="1"/>
  <c r="M14" i="29"/>
  <c r="M15" i="29"/>
  <c r="R15" i="29" s="1"/>
  <c r="M16" i="29"/>
  <c r="M17" i="29"/>
  <c r="M18" i="29"/>
  <c r="M19" i="29"/>
  <c r="L20" i="29"/>
  <c r="M20" i="29"/>
  <c r="L21" i="29"/>
  <c r="M21" i="29"/>
  <c r="L22" i="29"/>
  <c r="R22" i="29" s="1"/>
  <c r="M22" i="29"/>
  <c r="O22" i="29" s="1"/>
  <c r="L23" i="29"/>
  <c r="M23" i="29"/>
  <c r="R23" i="29" s="1"/>
  <c r="L24" i="29"/>
  <c r="M24" i="29"/>
  <c r="L25" i="29"/>
  <c r="M25" i="29"/>
  <c r="L26" i="29"/>
  <c r="N26" i="29" s="1"/>
  <c r="M26" i="29"/>
  <c r="L27" i="29"/>
  <c r="M27" i="29"/>
  <c r="J15" i="30"/>
  <c r="I15" i="30"/>
  <c r="K15" i="30"/>
  <c r="L15" i="30"/>
  <c r="J16" i="30"/>
  <c r="I16" i="30"/>
  <c r="K16" i="30"/>
  <c r="L16" i="30"/>
  <c r="J17" i="30"/>
  <c r="I17" i="30"/>
  <c r="K17" i="30"/>
  <c r="L17" i="30"/>
  <c r="J18" i="30"/>
  <c r="I18" i="30"/>
  <c r="K18" i="30"/>
  <c r="L18" i="30"/>
  <c r="J19" i="30"/>
  <c r="I19" i="30"/>
  <c r="K19" i="30"/>
  <c r="L19" i="30"/>
  <c r="J20" i="30"/>
  <c r="I20" i="30"/>
  <c r="K20" i="30"/>
  <c r="L20" i="30"/>
  <c r="B13" i="16"/>
  <c r="B14" i="16"/>
  <c r="B12" i="16"/>
  <c r="E15" i="2"/>
  <c r="F15" i="2" s="1"/>
  <c r="G15" i="2"/>
  <c r="H15" i="2" s="1"/>
  <c r="E16" i="2"/>
  <c r="F16" i="2"/>
  <c r="G16" i="2"/>
  <c r="H16" i="2" s="1"/>
  <c r="E17" i="2"/>
  <c r="F17" i="2"/>
  <c r="G17" i="2"/>
  <c r="H17" i="2" s="1"/>
  <c r="E18" i="2"/>
  <c r="F18" i="2"/>
  <c r="G18" i="2"/>
  <c r="H18" i="2" s="1"/>
  <c r="E19" i="2"/>
  <c r="F19" i="2"/>
  <c r="G19" i="2"/>
  <c r="H19" i="2" s="1"/>
  <c r="E20" i="2"/>
  <c r="F20" i="2"/>
  <c r="G20" i="2"/>
  <c r="H20" i="2" s="1"/>
  <c r="D20" i="4"/>
  <c r="C12" i="4"/>
  <c r="D12" i="4"/>
  <c r="C13" i="4"/>
  <c r="D13" i="4"/>
  <c r="C14" i="4"/>
  <c r="D14" i="4"/>
  <c r="C15" i="4"/>
  <c r="D15" i="4"/>
  <c r="C16" i="4"/>
  <c r="D16" i="4"/>
  <c r="E13" i="8"/>
  <c r="F13" i="8" s="1"/>
  <c r="E14" i="8"/>
  <c r="F14" i="8" s="1"/>
  <c r="E15" i="8"/>
  <c r="F15" i="8" s="1"/>
  <c r="E16" i="8"/>
  <c r="F16" i="8" s="1"/>
  <c r="F17" i="8"/>
  <c r="F18" i="8"/>
  <c r="D13" i="8"/>
  <c r="D14" i="8"/>
  <c r="D15" i="8"/>
  <c r="D16" i="8"/>
  <c r="D17" i="8"/>
  <c r="D18" i="8"/>
  <c r="E17" i="8"/>
  <c r="E18" i="8"/>
  <c r="B14" i="8"/>
  <c r="B15" i="8"/>
  <c r="B16" i="8"/>
  <c r="B17" i="8"/>
  <c r="B18" i="8"/>
  <c r="B13" i="8"/>
  <c r="M27" i="32"/>
  <c r="M28" i="32" s="1"/>
  <c r="Q14" i="29"/>
  <c r="T14" i="29" s="1"/>
  <c r="Q15" i="29"/>
  <c r="M27" i="43" l="1"/>
  <c r="M28" i="43" s="1"/>
  <c r="L27" i="32"/>
  <c r="L28" i="32" s="1"/>
  <c r="L27" i="45"/>
  <c r="L28" i="45" s="1"/>
  <c r="K27" i="45"/>
  <c r="K28" i="45" s="1"/>
  <c r="M27" i="45"/>
  <c r="M28" i="45" s="1"/>
  <c r="M27" i="69"/>
  <c r="M28" i="69" s="1"/>
  <c r="K27" i="69"/>
  <c r="K28" i="69" s="1"/>
  <c r="M27" i="70"/>
  <c r="M28" i="70" s="1"/>
  <c r="K27" i="70"/>
  <c r="K28" i="70" s="1"/>
  <c r="L27" i="70"/>
  <c r="L28" i="70" s="1"/>
  <c r="M27" i="31"/>
  <c r="M28" i="31" s="1"/>
  <c r="M27" i="66"/>
  <c r="M37" i="67"/>
  <c r="M39" i="67" s="1"/>
  <c r="L29" i="66"/>
  <c r="L28" i="66"/>
  <c r="K27" i="66"/>
  <c r="K28" i="66"/>
  <c r="L27" i="66"/>
  <c r="M27" i="65"/>
  <c r="I16" i="2"/>
  <c r="J16" i="2" s="1"/>
  <c r="I19" i="2"/>
  <c r="K38" i="67"/>
  <c r="K40" i="67" s="1"/>
  <c r="K27" i="32"/>
  <c r="K28" i="32" s="1"/>
  <c r="K27" i="34"/>
  <c r="K28" i="34" s="1"/>
  <c r="M38" i="67"/>
  <c r="M40" i="67" s="1"/>
  <c r="L27" i="35"/>
  <c r="L28" i="35" s="1"/>
  <c r="N17" i="29"/>
  <c r="M28" i="65"/>
  <c r="M29" i="66"/>
  <c r="Q22" i="29"/>
  <c r="T22" i="29" s="1"/>
  <c r="K27" i="43"/>
  <c r="K28" i="43" s="1"/>
  <c r="L27" i="44"/>
  <c r="L28" i="44" s="1"/>
  <c r="L29" i="49"/>
  <c r="K27" i="64"/>
  <c r="M29" i="62"/>
  <c r="L29" i="68"/>
  <c r="O26" i="29"/>
  <c r="K27" i="61"/>
  <c r="M27" i="68"/>
  <c r="M28" i="68" s="1"/>
  <c r="Q24" i="29"/>
  <c r="M29" i="49"/>
  <c r="M28" i="66"/>
  <c r="L27" i="31"/>
  <c r="L28" i="31" s="1"/>
  <c r="M27" i="34"/>
  <c r="M28" i="34" s="1"/>
  <c r="K27" i="35"/>
  <c r="K28" i="35" s="1"/>
  <c r="L37" i="67"/>
  <c r="L39" i="67" s="1"/>
  <c r="L27" i="34"/>
  <c r="L28" i="34" s="1"/>
  <c r="K27" i="49"/>
  <c r="K28" i="49" s="1"/>
  <c r="L27" i="65"/>
  <c r="K27" i="65"/>
  <c r="K27" i="31"/>
  <c r="K28" i="31" s="1"/>
  <c r="L27" i="62"/>
  <c r="K28" i="65"/>
  <c r="K29" i="66"/>
  <c r="S25" i="29"/>
  <c r="R21" i="29"/>
  <c r="K27" i="62"/>
  <c r="L27" i="64"/>
  <c r="P27" i="29"/>
  <c r="P19" i="29"/>
  <c r="P12" i="29"/>
  <c r="K27" i="44"/>
  <c r="K28" i="44" s="1"/>
  <c r="M27" i="44"/>
  <c r="M28" i="44" s="1"/>
  <c r="L29" i="29"/>
  <c r="P25" i="29"/>
  <c r="P14" i="29"/>
  <c r="K31" i="29"/>
  <c r="S16" i="29"/>
  <c r="N21" i="29"/>
  <c r="N10" i="29"/>
  <c r="R19" i="29"/>
  <c r="R20" i="29"/>
  <c r="O13" i="29"/>
  <c r="N15" i="29"/>
  <c r="N27" i="29"/>
  <c r="P18" i="29"/>
  <c r="S9" i="29"/>
  <c r="N19" i="29"/>
  <c r="T15" i="29"/>
  <c r="P26" i="29"/>
  <c r="Q26" i="29"/>
  <c r="Q9" i="29"/>
  <c r="M30" i="29"/>
  <c r="P13" i="29"/>
  <c r="O24" i="29"/>
  <c r="R9" i="29"/>
  <c r="O11" i="29"/>
  <c r="N20" i="29"/>
  <c r="R26" i="29"/>
  <c r="T26" i="29" s="1"/>
  <c r="S24" i="29"/>
  <c r="K29" i="29"/>
  <c r="N24" i="29"/>
  <c r="Q20" i="29"/>
  <c r="T20" i="29" s="1"/>
  <c r="Q11" i="29"/>
  <c r="T11" i="29" s="1"/>
  <c r="R24" i="29"/>
  <c r="T24" i="29" s="1"/>
  <c r="R11" i="29"/>
  <c r="P16" i="29"/>
  <c r="P20" i="29"/>
  <c r="P24" i="29"/>
  <c r="S11" i="29"/>
  <c r="S17" i="29"/>
  <c r="O9" i="29"/>
  <c r="O20" i="29"/>
  <c r="P15" i="29"/>
  <c r="S12" i="29"/>
  <c r="R17" i="29"/>
  <c r="S26" i="29"/>
  <c r="P11" i="29"/>
  <c r="P17" i="29"/>
  <c r="M29" i="29"/>
  <c r="K30" i="29"/>
  <c r="S15" i="29"/>
  <c r="Q12" i="29"/>
  <c r="S18" i="29"/>
  <c r="S22" i="29"/>
  <c r="Q13" i="29"/>
  <c r="Q21" i="29"/>
  <c r="T21" i="29" s="1"/>
  <c r="R12" i="29"/>
  <c r="O17" i="29"/>
  <c r="O16" i="29"/>
  <c r="R10" i="29"/>
  <c r="Q27" i="29"/>
  <c r="R13" i="29"/>
  <c r="O15" i="29"/>
  <c r="O21" i="29"/>
  <c r="M31" i="29"/>
  <c r="Q17" i="29"/>
  <c r="N23" i="29"/>
  <c r="Q18" i="29"/>
  <c r="T18" i="29" s="1"/>
  <c r="Q23" i="29"/>
  <c r="T23" i="29" s="1"/>
  <c r="N18" i="29"/>
  <c r="N13" i="29"/>
  <c r="P22" i="29"/>
  <c r="S23" i="29"/>
  <c r="O10" i="29"/>
  <c r="O12" i="29"/>
  <c r="D18" i="4"/>
  <c r="D19" i="4" s="1"/>
  <c r="D22" i="4" s="1"/>
  <c r="F20" i="8"/>
  <c r="F21" i="8" s="1"/>
  <c r="D20" i="8"/>
  <c r="F22" i="8" s="1"/>
  <c r="J19" i="2"/>
  <c r="I18" i="2"/>
  <c r="J18" i="2" s="1"/>
  <c r="I15" i="2"/>
  <c r="J15" i="2" s="1"/>
  <c r="I17" i="2"/>
  <c r="J17" i="2" s="1"/>
  <c r="I20" i="2"/>
  <c r="J20" i="2" s="1"/>
  <c r="N16" i="29"/>
  <c r="Q16" i="29"/>
  <c r="N9" i="29"/>
  <c r="P21" i="29"/>
  <c r="S27" i="29"/>
  <c r="M32" i="29"/>
  <c r="O19" i="29"/>
  <c r="O25" i="29"/>
  <c r="O23" i="29"/>
  <c r="O14" i="29"/>
  <c r="L27" i="49"/>
  <c r="L28" i="49" s="1"/>
  <c r="L38" i="67"/>
  <c r="L40" i="67" s="1"/>
  <c r="B8" i="50"/>
  <c r="K32" i="29"/>
  <c r="L28" i="65"/>
  <c r="R14" i="29"/>
  <c r="P9" i="29"/>
  <c r="Q19" i="29"/>
  <c r="P23" i="29"/>
  <c r="L32" i="29"/>
  <c r="O27" i="29"/>
  <c r="K29" i="49"/>
  <c r="S10" i="29"/>
  <c r="R25" i="29"/>
  <c r="L30" i="29"/>
  <c r="Q10" i="29"/>
  <c r="S14" i="29"/>
  <c r="S19" i="29"/>
  <c r="Q25" i="29"/>
  <c r="L31" i="29"/>
  <c r="R16" i="29"/>
  <c r="M27" i="49"/>
  <c r="M28" i="49" s="1"/>
  <c r="K37" i="67"/>
  <c r="K39" i="67" s="1"/>
  <c r="N25" i="29"/>
  <c r="P10" i="29"/>
  <c r="N14" i="29"/>
  <c r="R27" i="29"/>
  <c r="S21" i="29"/>
  <c r="T27" i="29" l="1"/>
  <c r="T9" i="29"/>
  <c r="T25" i="29"/>
  <c r="T17" i="29"/>
  <c r="T12" i="29"/>
  <c r="T19" i="29"/>
  <c r="T10" i="29"/>
  <c r="T13" i="29"/>
  <c r="F24" i="8"/>
  <c r="T16" i="29"/>
  <c r="A4" i="37" l="1"/>
  <c r="A4" i="54"/>
  <c r="A4" i="33"/>
  <c r="A4" i="58"/>
  <c r="A4" i="52"/>
  <c r="A4" i="59"/>
  <c r="A4" i="61"/>
  <c r="A4" i="62"/>
  <c r="A4" i="64"/>
  <c r="A4" i="65"/>
  <c r="A4" i="66"/>
  <c r="A4" i="67"/>
  <c r="B2" i="79"/>
  <c r="A4" i="7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C19" authorId="0" shapeId="0" xr:uid="{69C0E3EC-40E8-46CE-87E5-5C7212AA0003}">
      <text>
        <r>
          <rPr>
            <b/>
            <sz val="9"/>
            <color indexed="81"/>
            <rFont val="Tahoma"/>
            <family val="2"/>
          </rPr>
          <t>Travis Day:</t>
        </r>
        <r>
          <rPr>
            <sz val="9"/>
            <color indexed="81"/>
            <rFont val="Tahoma"/>
            <family val="2"/>
          </rPr>
          <t xml:space="preserve">
INVALID</t>
        </r>
      </text>
    </comment>
    <comment ref="D19" authorId="0" shapeId="0" xr:uid="{73D496CB-AB37-4C4F-BBFD-B4319F78855C}">
      <text>
        <r>
          <rPr>
            <b/>
            <sz val="9"/>
            <color indexed="81"/>
            <rFont val="Tahoma"/>
            <family val="2"/>
          </rPr>
          <t>Travis Day:</t>
        </r>
        <r>
          <rPr>
            <sz val="9"/>
            <color indexed="81"/>
            <rFont val="Tahoma"/>
            <family val="2"/>
          </rPr>
          <t xml:space="preserve">
INVALID</t>
        </r>
      </text>
    </comment>
    <comment ref="A24" authorId="1" shapeId="0" xr:uid="{00000000-0006-0000-0100-000001000000}">
      <text>
        <r>
          <rPr>
            <b/>
            <sz val="9"/>
            <color indexed="81"/>
            <rFont val="Tahoma"/>
            <family val="2"/>
          </rPr>
          <t>Day, Travis:</t>
        </r>
        <r>
          <rPr>
            <sz val="9"/>
            <color indexed="81"/>
            <rFont val="Tahoma"/>
            <family val="2"/>
          </rPr>
          <t xml:space="preserve">
This is an example of where merging cells can be appropriate.  The cells were merged and then "Wrap Text" was applied.  This method can be preferable to using text boxes, since the text in text boxes cannot be easily searched.
Note: To enter a "return" or create a blank line, press Alt+Enter.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B7" authorId="0" shapeId="0" xr:uid="{00000000-0006-0000-0200-000001000000}">
      <text>
        <r>
          <rPr>
            <b/>
            <sz val="9"/>
            <color indexed="81"/>
            <rFont val="Tahoma"/>
            <family val="2"/>
          </rPr>
          <t>Day, Travis:</t>
        </r>
        <r>
          <rPr>
            <sz val="9"/>
            <color indexed="81"/>
            <rFont val="Tahoma"/>
            <family val="2"/>
          </rPr>
          <t xml:space="preserve">
This cell is named "Bye"</t>
        </r>
      </text>
    </comment>
    <comment ref="C7" authorId="0" shapeId="0" xr:uid="{00000000-0006-0000-0200-000002000000}">
      <text>
        <r>
          <rPr>
            <b/>
            <sz val="9"/>
            <color indexed="81"/>
            <rFont val="Tahoma"/>
            <family val="2"/>
          </rPr>
          <t>Day, Travis:</t>
        </r>
        <r>
          <rPr>
            <sz val="9"/>
            <color indexed="81"/>
            <rFont val="Tahoma"/>
            <family val="2"/>
          </rPr>
          <t xml:space="preserve">
This cell is named "Hi"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Day, Travis</author>
    <author>Travis Day</author>
  </authors>
  <commentList>
    <comment ref="K6" authorId="0" shapeId="0" xr:uid="{00000000-0006-0000-04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K7" authorId="1" shapeId="0" xr:uid="{2702B9B0-77CD-4B4A-B34B-1D3FC7E2AAA5}">
      <text>
        <r>
          <rPr>
            <sz val="9"/>
            <color indexed="81"/>
            <rFont val="Tahoma"/>
            <family val="2"/>
          </rPr>
          <t xml:space="preserve">To return a True or False value, there's no need to use an IF function…  Simply enter = and then enter the logical test. </t>
        </r>
      </text>
    </comment>
    <comment ref="K8" authorId="1" shapeId="0" xr:uid="{00000000-0006-0000-0400-000002000000}">
      <text>
        <r>
          <rPr>
            <sz val="9"/>
            <color indexed="81"/>
            <rFont val="Tahoma"/>
            <family val="2"/>
          </rPr>
          <t xml:space="preserve">A TRUE value indicates that the customer </t>
        </r>
        <r>
          <rPr>
            <b/>
            <sz val="9"/>
            <color indexed="81"/>
            <rFont val="Tahoma"/>
            <family val="2"/>
          </rPr>
          <t>does</t>
        </r>
        <r>
          <rPr>
            <sz val="9"/>
            <color indexed="81"/>
            <rFont val="Tahoma"/>
            <family val="2"/>
          </rPr>
          <t xml:space="preserve">  meet the criteria for credit approval for Rule #1.</t>
        </r>
      </text>
    </comment>
    <comment ref="K9" authorId="1" shapeId="0" xr:uid="{00000000-0006-0000-0400-000003000000}">
      <text>
        <r>
          <rPr>
            <sz val="9"/>
            <color indexed="81"/>
            <rFont val="Tahoma"/>
            <family val="2"/>
          </rPr>
          <t xml:space="preserve">A FALSE value indicates that the customer does </t>
        </r>
        <r>
          <rPr>
            <b/>
            <sz val="9"/>
            <color indexed="81"/>
            <rFont val="Tahoma"/>
            <family val="2"/>
          </rPr>
          <t>not</t>
        </r>
        <r>
          <rPr>
            <sz val="9"/>
            <color indexed="81"/>
            <rFont val="Tahoma"/>
            <family val="2"/>
          </rPr>
          <t xml:space="preserve"> meet the criteria for credit approval for Rule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K6" authorId="0" shapeId="0" xr:uid="{00000000-0006-0000-05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A11" authorId="0" shapeId="0" xr:uid="{00000000-0006-0000-0500-000002000000}">
      <text>
        <r>
          <rPr>
            <sz val="9"/>
            <color indexed="81"/>
            <rFont val="Tahoma"/>
            <family val="2"/>
          </rPr>
          <t>New customer with no previous account history</t>
        </r>
      </text>
    </comment>
    <comment ref="K11" authorId="0" shapeId="0" xr:uid="{88A2D143-B024-4575-985A-25EBEC90B65E}">
      <text>
        <r>
          <rPr>
            <sz val="9"/>
            <color indexed="81"/>
            <rFont val="Tahoma"/>
            <family val="2"/>
          </rPr>
          <t>Don't leave this single cell blank.  Instead, use an error-checking function like IFERROR for all formulas in the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K6" authorId="0" shapeId="0" xr:uid="{00000000-0006-0000-06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L6" authorId="0" shapeId="0" xr:uid="{00000000-0006-0000-0600-000002000000}">
      <text>
        <r>
          <rPr>
            <b/>
            <sz val="9"/>
            <color indexed="81"/>
            <rFont val="Tahoma"/>
            <family val="2"/>
          </rPr>
          <t>Rule #2:</t>
        </r>
        <r>
          <rPr>
            <sz val="9"/>
            <color indexed="81"/>
            <rFont val="Tahoma"/>
            <family val="2"/>
          </rPr>
          <t xml:space="preserve">
Accept a customer that has either a composite credit appraisal value of 1 or a a PAYDEX score over 90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Day, Travis</author>
    <author>Travis Day</author>
  </authors>
  <commentList>
    <comment ref="K6" authorId="0" shapeId="0" xr:uid="{00000000-0006-0000-07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L6" authorId="0" shapeId="0" xr:uid="{00000000-0006-0000-0700-000002000000}">
      <text>
        <r>
          <rPr>
            <b/>
            <sz val="9"/>
            <color indexed="81"/>
            <rFont val="Tahoma"/>
            <family val="2"/>
          </rPr>
          <t>Rule #2:</t>
        </r>
        <r>
          <rPr>
            <sz val="9"/>
            <color indexed="81"/>
            <rFont val="Tahoma"/>
            <family val="2"/>
          </rPr>
          <t xml:space="preserve">
Accept a customer that has either a composite credit appraisal value of 1 or a a PAYDEX score over 90</t>
        </r>
      </text>
    </comment>
    <comment ref="G29" authorId="1" shapeId="0" xr:uid="{1DC04620-E129-4FD4-AD74-FD1801ADA552}">
      <text>
        <r>
          <rPr>
            <sz val="9"/>
            <color indexed="81"/>
            <rFont val="Tahoma"/>
            <family val="2"/>
          </rPr>
          <t>This formula is extremely cumbersome and inflexible.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K6" authorId="0" shapeId="0" xr:uid="{00000000-0006-0000-08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L6" authorId="0" shapeId="0" xr:uid="{00000000-0006-0000-0800-000002000000}">
      <text>
        <r>
          <rPr>
            <b/>
            <sz val="9"/>
            <color indexed="81"/>
            <rFont val="Tahoma"/>
            <family val="2"/>
          </rPr>
          <t>Rule #2:</t>
        </r>
        <r>
          <rPr>
            <sz val="9"/>
            <color indexed="81"/>
            <rFont val="Tahoma"/>
            <family val="2"/>
          </rPr>
          <t xml:space="preserve">
Accept a customer that has either a composite credit appraisal value of 1 or a a PAYDEX score over 90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Day, Travis</author>
    <author>Travis Day</author>
  </authors>
  <commentList>
    <comment ref="K6" authorId="0" shapeId="0" xr:uid="{00000000-0006-0000-09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L6" authorId="0" shapeId="0" xr:uid="{00000000-0006-0000-0900-000002000000}">
      <text>
        <r>
          <rPr>
            <b/>
            <sz val="9"/>
            <color indexed="81"/>
            <rFont val="Tahoma"/>
            <family val="2"/>
          </rPr>
          <t>Rule #2:</t>
        </r>
        <r>
          <rPr>
            <sz val="9"/>
            <color indexed="81"/>
            <rFont val="Tahoma"/>
            <family val="2"/>
          </rPr>
          <t xml:space="preserve">
Accept a customer that has either a composite credit appraisal value of 1 or a a PAYDEX score over 90</t>
        </r>
      </text>
    </comment>
    <comment ref="I29" authorId="1" shapeId="0" xr:uid="{5DFC3E66-5A1E-44FF-9236-8BE46A5C0823}">
      <text>
        <r>
          <rPr>
            <sz val="9"/>
            <color indexed="81"/>
            <rFont val="Tahoma"/>
            <family val="2"/>
          </rPr>
          <t>This formula is extremely cumbersome and inflexible.</t>
        </r>
      </text>
    </comment>
    <comment ref="I31" authorId="1" shapeId="0" xr:uid="{8CACCEDF-7EDA-489F-8C7D-3C8C394E1D61}">
      <text>
        <r>
          <rPr>
            <b/>
            <sz val="9"/>
            <color indexed="81"/>
            <rFont val="Tahoma"/>
            <family val="2"/>
          </rPr>
          <t>Travis Day:</t>
        </r>
        <r>
          <rPr>
            <sz val="9"/>
            <color indexed="81"/>
            <rFont val="Tahoma"/>
            <family val="2"/>
          </rPr>
          <t xml:space="preserve">
In order to create an ARRAY formula, you cannot simply type the "braces" at the beginning and end of the formula.  Instead, type the formula as usual, and then instead of pressing Enter to complete the formula, press Ctrl+Shift+Enter.  You must press Ctrl+Shift+Enter any time you edit the formula in order to re-establish the array capability.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K6" authorId="0" shapeId="0" xr:uid="{00000000-0006-0000-0A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L6" authorId="0" shapeId="0" xr:uid="{00000000-0006-0000-0A00-000002000000}">
      <text>
        <r>
          <rPr>
            <b/>
            <sz val="9"/>
            <color indexed="81"/>
            <rFont val="Tahoma"/>
            <family val="2"/>
          </rPr>
          <t>Rule #2:</t>
        </r>
        <r>
          <rPr>
            <sz val="9"/>
            <color indexed="81"/>
            <rFont val="Tahoma"/>
            <family val="2"/>
          </rPr>
          <t xml:space="preserve">
Accept a customer that has either a composite credit appraisal value of 1 or a a PAYDEX score over 90</t>
        </r>
      </text>
    </comment>
    <comment ref="M6" authorId="0" shapeId="0" xr:uid="{00000000-0006-0000-0A00-000003000000}">
      <text>
        <r>
          <rPr>
            <b/>
            <sz val="9"/>
            <color indexed="81"/>
            <rFont val="Tahoma"/>
            <family val="2"/>
          </rPr>
          <t>Rule #3:</t>
        </r>
        <r>
          <rPr>
            <sz val="9"/>
            <color indexed="81"/>
            <rFont val="Tahoma"/>
            <family val="2"/>
          </rPr>
          <t xml:space="preserve">
Accept a cusomter that has all of the following: a net worth of at least $500,000; a composite credit appraisal value of 2 or lower; a PAYDEX score over 70; and a stress risk class of 1.</t>
        </r>
      </text>
    </comment>
    <comment ref="A11" authorId="0" shapeId="0" xr:uid="{00000000-0006-0000-0A00-000004000000}">
      <text>
        <r>
          <rPr>
            <b/>
            <sz val="9"/>
            <color indexed="81"/>
            <rFont val="Tahoma"/>
            <family val="2"/>
          </rPr>
          <t>Day, Travis:</t>
        </r>
        <r>
          <rPr>
            <sz val="9"/>
            <color indexed="81"/>
            <rFont val="Tahoma"/>
            <family val="2"/>
          </rPr>
          <t xml:space="preserve">
New customer with no previous account history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C19" authorId="0" shapeId="0" xr:uid="{809CB89C-86C2-4E1B-9C8D-D00473DC9C42}">
      <text>
        <r>
          <rPr>
            <b/>
            <sz val="9"/>
            <color indexed="81"/>
            <rFont val="Tahoma"/>
            <family val="2"/>
          </rPr>
          <t>Travis Day:</t>
        </r>
        <r>
          <rPr>
            <sz val="9"/>
            <color indexed="81"/>
            <rFont val="Tahoma"/>
            <family val="2"/>
          </rPr>
          <t xml:space="preserve">
INVALID</t>
        </r>
      </text>
    </comment>
    <comment ref="D19" authorId="0" shapeId="0" xr:uid="{EF2D7B8A-BCE1-4D86-B800-AA04EA7E1335}">
      <text>
        <r>
          <rPr>
            <b/>
            <sz val="9"/>
            <color indexed="81"/>
            <rFont val="Tahoma"/>
            <family val="2"/>
          </rPr>
          <t>Travis Day:</t>
        </r>
        <r>
          <rPr>
            <sz val="9"/>
            <color indexed="81"/>
            <rFont val="Tahoma"/>
            <family val="2"/>
          </rPr>
          <t xml:space="preserve">
INVALID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K6" authorId="0" shapeId="0" xr:uid="{00000000-0006-0000-0B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L6" authorId="0" shapeId="0" xr:uid="{00000000-0006-0000-0B00-000002000000}">
      <text>
        <r>
          <rPr>
            <b/>
            <sz val="9"/>
            <color indexed="81"/>
            <rFont val="Tahoma"/>
            <family val="2"/>
          </rPr>
          <t>Rule #2:</t>
        </r>
        <r>
          <rPr>
            <sz val="9"/>
            <color indexed="81"/>
            <rFont val="Tahoma"/>
            <family val="2"/>
          </rPr>
          <t xml:space="preserve">
Accept a customer that has either a composite credit appraisal value of 1 or a a PAYDEX score over 90</t>
        </r>
      </text>
    </comment>
    <comment ref="M6" authorId="0" shapeId="0" xr:uid="{00000000-0006-0000-0B00-000003000000}">
      <text>
        <r>
          <rPr>
            <b/>
            <sz val="9"/>
            <color indexed="81"/>
            <rFont val="Tahoma"/>
            <family val="2"/>
          </rPr>
          <t>Rule #3:</t>
        </r>
        <r>
          <rPr>
            <sz val="9"/>
            <color indexed="81"/>
            <rFont val="Tahoma"/>
            <family val="2"/>
          </rPr>
          <t xml:space="preserve">
Accept a cusomter that has all of the following: a net worth of at least $500,000; a composite credit appraisal value of 2 or lower; a PAYDEX score over 70; and a stress risk class of 1.</t>
        </r>
      </text>
    </comment>
    <comment ref="A11" authorId="0" shapeId="0" xr:uid="{00000000-0006-0000-0B00-000004000000}">
      <text>
        <r>
          <rPr>
            <b/>
            <sz val="9"/>
            <color indexed="81"/>
            <rFont val="Tahoma"/>
            <family val="2"/>
          </rPr>
          <t>Day, Travis:</t>
        </r>
        <r>
          <rPr>
            <sz val="9"/>
            <color indexed="81"/>
            <rFont val="Tahoma"/>
            <family val="2"/>
          </rPr>
          <t xml:space="preserve">
New customer with no previous account history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K16" authorId="0" shapeId="0" xr:uid="{00000000-0006-0000-0C00-000001000000}">
      <text>
        <r>
          <rPr>
            <b/>
            <sz val="9"/>
            <color indexed="81"/>
            <rFont val="Tahoma"/>
            <family val="2"/>
          </rPr>
          <t>Rule #1:</t>
        </r>
        <r>
          <rPr>
            <sz val="9"/>
            <color indexed="81"/>
            <rFont val="Tahoma"/>
            <family val="2"/>
          </rPr>
          <t xml:space="preserve">
Accept a customer that has a past due balance that is less than 10% of this year's total sales. (This is not caclculated for new customers.)</t>
        </r>
      </text>
    </comment>
    <comment ref="L16" authorId="0" shapeId="0" xr:uid="{00000000-0006-0000-0C00-000002000000}">
      <text>
        <r>
          <rPr>
            <b/>
            <sz val="9"/>
            <color indexed="81"/>
            <rFont val="Tahoma"/>
            <family val="2"/>
          </rPr>
          <t>Rule #2:</t>
        </r>
        <r>
          <rPr>
            <sz val="9"/>
            <color indexed="81"/>
            <rFont val="Tahoma"/>
            <family val="2"/>
          </rPr>
          <t xml:space="preserve">
Accept a customer that has either a composite credit appraisal value of 1 or a a PAYDEX score over 90</t>
        </r>
      </text>
    </comment>
    <comment ref="M16" authorId="0" shapeId="0" xr:uid="{00000000-0006-0000-0C00-000003000000}">
      <text>
        <r>
          <rPr>
            <b/>
            <sz val="9"/>
            <color indexed="81"/>
            <rFont val="Tahoma"/>
            <family val="2"/>
          </rPr>
          <t>Rule #3:</t>
        </r>
        <r>
          <rPr>
            <sz val="9"/>
            <color indexed="81"/>
            <rFont val="Tahoma"/>
            <family val="2"/>
          </rPr>
          <t xml:space="preserve">
Accept a cusomter that has all of the following: a net worth of at least $500,000; a composite credit appraisal value of 2 or lower; a PAYDEX score over 70; and a stress risk class of 1.</t>
        </r>
      </text>
    </comment>
    <comment ref="A21" authorId="0" shapeId="0" xr:uid="{00000000-0006-0000-0C00-000004000000}">
      <text>
        <r>
          <rPr>
            <b/>
            <sz val="9"/>
            <color indexed="81"/>
            <rFont val="Tahoma"/>
            <family val="2"/>
          </rPr>
          <t>Day, Travis:</t>
        </r>
        <r>
          <rPr>
            <sz val="9"/>
            <color indexed="81"/>
            <rFont val="Tahoma"/>
            <family val="2"/>
          </rPr>
          <t xml:space="preserve">
New customer with no previous account history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B7" authorId="0" shapeId="0" xr:uid="{00000000-0006-0000-0D00-000001000000}">
      <text>
        <r>
          <rPr>
            <b/>
            <sz val="9"/>
            <color indexed="81"/>
            <rFont val="Tahoma"/>
            <family val="2"/>
          </rPr>
          <t>Day, Travis:</t>
        </r>
        <r>
          <rPr>
            <sz val="9"/>
            <color indexed="81"/>
            <rFont val="Tahoma"/>
            <family val="2"/>
          </rPr>
          <t xml:space="preserve">
Conditional Formatting Data Bars</t>
        </r>
      </text>
    </comment>
    <comment ref="H7" authorId="0" shapeId="0" xr:uid="{00000000-0006-0000-0D00-000002000000}">
      <text>
        <r>
          <rPr>
            <b/>
            <sz val="9"/>
            <color indexed="81"/>
            <rFont val="Tahoma"/>
            <family val="2"/>
          </rPr>
          <t>Day, Travis:</t>
        </r>
        <r>
          <rPr>
            <sz val="9"/>
            <color indexed="81"/>
            <rFont val="Tahoma"/>
            <family val="2"/>
          </rPr>
          <t xml:space="preserve">
Conditional Formatting Icon Set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Day, Travis</author>
    <author>Travis Day</author>
  </authors>
  <commentList>
    <comment ref="B7" authorId="0" shapeId="0" xr:uid="{00000000-0006-0000-0E00-000001000000}">
      <text>
        <r>
          <rPr>
            <b/>
            <sz val="9"/>
            <color indexed="81"/>
            <rFont val="Tahoma"/>
            <family val="2"/>
          </rPr>
          <t>Day, Travis:</t>
        </r>
        <r>
          <rPr>
            <sz val="9"/>
            <color indexed="81"/>
            <rFont val="Tahoma"/>
            <family val="2"/>
          </rPr>
          <t xml:space="preserve">
Conditional Formatting Data Bars</t>
        </r>
      </text>
    </comment>
    <comment ref="H7" authorId="0" shapeId="0" xr:uid="{00000000-0006-0000-0E00-000002000000}">
      <text>
        <r>
          <rPr>
            <b/>
            <sz val="9"/>
            <color indexed="81"/>
            <rFont val="Tahoma"/>
            <family val="2"/>
          </rPr>
          <t>Day, Travis:</t>
        </r>
        <r>
          <rPr>
            <sz val="9"/>
            <color indexed="81"/>
            <rFont val="Tahoma"/>
            <family val="2"/>
          </rPr>
          <t xml:space="preserve">
Conditional Formatting Icon Set</t>
        </r>
      </text>
    </comment>
    <comment ref="K9" authorId="1" shapeId="0" xr:uid="{00000000-0006-0000-0E00-000003000000}">
      <text>
        <r>
          <rPr>
            <sz val="8"/>
            <color indexed="81"/>
            <rFont val="Tahoma"/>
            <family val="2"/>
          </rPr>
          <t>A FALSE value indicates that the customer does not meet the criteria for credit approval for Rule #1.</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O9" authorId="0" shapeId="0" xr:uid="{F3DE9CAA-DB27-449F-9735-E5B2D48E395E}">
      <text>
        <r>
          <rPr>
            <b/>
            <sz val="9"/>
            <color indexed="81"/>
            <rFont val="Tahoma"/>
            <family val="2"/>
          </rPr>
          <t>Day, Travis:</t>
        </r>
        <r>
          <rPr>
            <sz val="9"/>
            <color indexed="81"/>
            <rFont val="Tahoma"/>
            <family val="2"/>
          </rPr>
          <t xml:space="preserve">
This is not a mathematical staement that evaluates to TRUE or FALSE.  The conditional fomratting formula needs to be a logical test, usually of the format "something compared to something else"  where an opearator (=, &lt;&gt;, &gt;, &lt;, &gt;=, &lt;=) is used to make the comparision.</t>
        </r>
      </text>
    </comment>
    <comment ref="Q17" authorId="0" shapeId="0" xr:uid="{BE4F5947-FAA4-40D3-A693-235EE42538CD}">
      <text>
        <r>
          <rPr>
            <b/>
            <sz val="9"/>
            <color indexed="81"/>
            <rFont val="Tahoma"/>
            <family val="2"/>
          </rPr>
          <t>Day, Travis:</t>
        </r>
        <r>
          <rPr>
            <sz val="9"/>
            <color indexed="81"/>
            <rFont val="Tahoma"/>
            <family val="2"/>
          </rPr>
          <t xml:space="preserve">
This formula is a logical test which evaulates to TRUE or FALSE.  However, improper cell references were used.  The F6 cannot be an absolute reference.</t>
        </r>
      </text>
    </comment>
    <comment ref="R21" authorId="0" shapeId="0" xr:uid="{F40FC5D6-E4F2-4CE6-B242-7D31353D88B7}">
      <text>
        <r>
          <rPr>
            <b/>
            <sz val="9"/>
            <color indexed="81"/>
            <rFont val="Tahoma"/>
            <family val="2"/>
          </rPr>
          <t>Day, Travis:</t>
        </r>
        <r>
          <rPr>
            <sz val="9"/>
            <color indexed="81"/>
            <rFont val="Tahoma"/>
            <family val="2"/>
          </rPr>
          <t xml:space="preserve">
This formula will work as long as you only want to conditionally format the Customer Name column.  But if you wanted to conditionally format the entire row, the formula would not work.</t>
        </r>
      </text>
    </comment>
    <comment ref="O27" authorId="0" shapeId="0" xr:uid="{3B199F20-C8EC-4106-AB64-61368C18D736}">
      <text>
        <r>
          <rPr>
            <b/>
            <sz val="9"/>
            <color indexed="81"/>
            <rFont val="Tahoma"/>
            <family val="2"/>
          </rPr>
          <t>Day, Travis:</t>
        </r>
        <r>
          <rPr>
            <sz val="9"/>
            <color indexed="81"/>
            <rFont val="Tahoma"/>
            <family val="2"/>
          </rPr>
          <t xml:space="preserve">
This is not a mathematical staement that evaluates to TRUE or FALSE.  The conditional fomratting formula needs to be a logical test, usually of the format "something compared to something else"  where an opearator (=, &lt;&gt;, &gt;, &lt;, &gt;=, &lt;=) is used to make the comparision.</t>
        </r>
      </text>
    </comment>
    <comment ref="P28" authorId="0" shapeId="0" xr:uid="{15FF3907-D381-44BB-AF1B-0C0F880BBE7E}">
      <text>
        <r>
          <rPr>
            <b/>
            <sz val="9"/>
            <color indexed="81"/>
            <rFont val="Tahoma"/>
            <family val="2"/>
          </rPr>
          <t>Day, Travis:</t>
        </r>
        <r>
          <rPr>
            <sz val="9"/>
            <color indexed="81"/>
            <rFont val="Tahoma"/>
            <family val="2"/>
          </rPr>
          <t xml:space="preserve">
This formula is a logical test which evaulates to TRUE or FALSE.  However, improper cell references were used.  The F6 cannot be an absolute reference.</t>
        </r>
      </text>
    </comment>
    <comment ref="Q29" authorId="0" shapeId="0" xr:uid="{93CCC979-292E-4EA8-9DE9-7C1AE4D78F01}">
      <text>
        <r>
          <rPr>
            <b/>
            <sz val="9"/>
            <color indexed="81"/>
            <rFont val="Tahoma"/>
            <family val="2"/>
          </rPr>
          <t>Day, Travis:</t>
        </r>
        <r>
          <rPr>
            <sz val="9"/>
            <color indexed="81"/>
            <rFont val="Tahoma"/>
            <family val="2"/>
          </rPr>
          <t xml:space="preserve">
This formula is a logical test which evaulates to TRUE or FALSE.  However, improper cell references were used.  The F6 cannot be an absolute reference.</t>
        </r>
      </text>
    </comment>
    <comment ref="R30" authorId="0" shapeId="0" xr:uid="{9E8B1934-0FED-4EF0-A3C4-492897F632BB}">
      <text>
        <r>
          <rPr>
            <b/>
            <sz val="9"/>
            <color indexed="81"/>
            <rFont val="Tahoma"/>
            <family val="2"/>
          </rPr>
          <t>Day, Travis:</t>
        </r>
        <r>
          <rPr>
            <sz val="9"/>
            <color indexed="81"/>
            <rFont val="Tahoma"/>
            <family val="2"/>
          </rPr>
          <t xml:space="preserve">
This formula will work as long as you only want to conditionally format the Customer Name column.  But if you wanted to conditionally format the entire row, the formula would not work.</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G15" authorId="0" shapeId="0" xr:uid="{3C631B0F-9162-4499-B356-5AAEAE58FD64}">
      <text>
        <r>
          <rPr>
            <b/>
            <sz val="9"/>
            <color indexed="81"/>
            <rFont val="Tahoma"/>
            <family val="2"/>
          </rPr>
          <t>Travis Day:</t>
        </r>
        <r>
          <rPr>
            <sz val="9"/>
            <color indexed="81"/>
            <rFont val="Tahoma"/>
            <family val="2"/>
          </rPr>
          <t xml:space="preserve">
"Ignore Error" for these error alerts.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I15" authorId="0" shapeId="0" xr:uid="{23A98DDA-5C87-49C3-A266-453E9FFE35B8}">
      <text>
        <r>
          <rPr>
            <b/>
            <sz val="9"/>
            <color indexed="81"/>
            <rFont val="Tahoma"/>
            <family val="2"/>
          </rPr>
          <t>Day, Travis:</t>
        </r>
        <r>
          <rPr>
            <sz val="9"/>
            <color indexed="81"/>
            <rFont val="Tahoma"/>
            <family val="2"/>
          </rPr>
          <t xml:space="preserve">
No spaces in formula.</t>
        </r>
      </text>
    </comment>
    <comment ref="I16" authorId="0" shapeId="0" xr:uid="{39334698-43EE-47D6-A6F7-AC83ABBE1D46}">
      <text>
        <r>
          <rPr>
            <b/>
            <sz val="9"/>
            <color indexed="81"/>
            <rFont val="Tahoma"/>
            <family val="2"/>
          </rPr>
          <t>Day, Travis:</t>
        </r>
        <r>
          <rPr>
            <sz val="9"/>
            <color indexed="81"/>
            <rFont val="Tahoma"/>
            <family val="2"/>
          </rPr>
          <t xml:space="preserve">
Insert spacing in formula to make it easier to read.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I15" authorId="0" shapeId="0" xr:uid="{A7CBD1C6-2C30-4E4D-8CEF-E8E62F5BE87F}">
      <text>
        <r>
          <rPr>
            <b/>
            <sz val="9"/>
            <color indexed="81"/>
            <rFont val="Tahoma"/>
            <family val="2"/>
          </rPr>
          <t>Day, Travis:</t>
        </r>
        <r>
          <rPr>
            <sz val="9"/>
            <color indexed="81"/>
            <rFont val="Tahoma"/>
            <family val="2"/>
          </rPr>
          <t xml:space="preserve">
No spaces in formula.</t>
        </r>
      </text>
    </comment>
    <comment ref="I16" authorId="0" shapeId="0" xr:uid="{8560F3F6-C17B-4B95-99C4-124CF5D98C51}">
      <text>
        <r>
          <rPr>
            <b/>
            <sz val="9"/>
            <color indexed="81"/>
            <rFont val="Tahoma"/>
            <family val="2"/>
          </rPr>
          <t>Day, Travis:</t>
        </r>
        <r>
          <rPr>
            <sz val="9"/>
            <color indexed="81"/>
            <rFont val="Tahoma"/>
            <family val="2"/>
          </rPr>
          <t xml:space="preserve">
Insert spacing in a formula to make it easier to read.</t>
        </r>
      </text>
    </comment>
    <comment ref="I17" authorId="0" shapeId="0" xr:uid="{BDDC82DA-3485-47B9-895B-387C8384B07D}">
      <text>
        <r>
          <rPr>
            <b/>
            <sz val="9"/>
            <color indexed="81"/>
            <rFont val="Tahoma"/>
            <family val="2"/>
          </rPr>
          <t>Day, Travis:</t>
        </r>
        <r>
          <rPr>
            <sz val="9"/>
            <color indexed="81"/>
            <rFont val="Tahoma"/>
            <family val="2"/>
          </rPr>
          <t xml:space="preserve">
Some people insert line breaks (Alt+Enter) in formulas to make them easier to read.  
However, this requires expanding the formula bar to see entire formula (Ctrl+Shift+U).
Also, line breaks can make it difficult to troubleshoot formulas with the Function Arguments window (Shift+F3).  So I prefer not to use line breaks in formmulas.</t>
        </r>
      </text>
    </comment>
    <comment ref="N25" authorId="0" shapeId="0" xr:uid="{EC9319FB-09CF-40B2-AB74-5A51E3EC1E67}">
      <text>
        <r>
          <rPr>
            <b/>
            <sz val="9"/>
            <color indexed="81"/>
            <rFont val="Tahoma"/>
            <family val="2"/>
          </rPr>
          <t>Day, Travis:</t>
        </r>
        <r>
          <rPr>
            <sz val="9"/>
            <color indexed="81"/>
            <rFont val="Tahoma"/>
            <family val="2"/>
          </rPr>
          <t xml:space="preserve">
To insert line breaks in any cell, press Alt+Enter.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I15" authorId="0" shapeId="0" xr:uid="{94080FE5-2F10-4C11-93F7-F8D0887EEB36}">
      <text>
        <r>
          <rPr>
            <b/>
            <sz val="9"/>
            <color indexed="81"/>
            <rFont val="Tahoma"/>
            <family val="2"/>
          </rPr>
          <t>Day, Travis:</t>
        </r>
        <r>
          <rPr>
            <sz val="9"/>
            <color indexed="81"/>
            <rFont val="Tahoma"/>
            <family val="2"/>
          </rPr>
          <t xml:space="preserve">
No spaces in formula.</t>
        </r>
      </text>
    </comment>
    <comment ref="I16" authorId="0" shapeId="0" xr:uid="{75131C92-2F6F-43B7-A890-F85CB7DEE9A1}">
      <text>
        <r>
          <rPr>
            <b/>
            <sz val="9"/>
            <color indexed="81"/>
            <rFont val="Tahoma"/>
            <family val="2"/>
          </rPr>
          <t>Day, Travis:</t>
        </r>
        <r>
          <rPr>
            <sz val="9"/>
            <color indexed="81"/>
            <rFont val="Tahoma"/>
            <family val="2"/>
          </rPr>
          <t xml:space="preserve">
Insert spacing in formula to make it easier to read.</t>
        </r>
      </text>
    </comment>
    <comment ref="I17" authorId="0" shapeId="0" xr:uid="{A84677AF-295B-4A07-BC97-CACBF959BA83}">
      <text>
        <r>
          <rPr>
            <b/>
            <sz val="9"/>
            <color indexed="81"/>
            <rFont val="Tahoma"/>
            <family val="2"/>
          </rPr>
          <t>Day, Travis:</t>
        </r>
        <r>
          <rPr>
            <sz val="9"/>
            <color indexed="81"/>
            <rFont val="Tahoma"/>
            <family val="2"/>
          </rPr>
          <t xml:space="preserve">
Some people insert line breaks (Alt+Enter) in formulas to make them easier to read.  
However, this requires expanding the formula bar to see entire formula (Ctrl+Shift+U).
Also, line breaks can make it difficult to troubleshoot formulas with the Function Arguments window (Shift+F3).  So I prefer not to use line breaks in formmulas.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E10" authorId="0" shapeId="0" xr:uid="{6F3A2DE4-F1DB-48DE-9972-9AC9A59E0775}">
      <text>
        <r>
          <rPr>
            <sz val="9"/>
            <color indexed="81"/>
            <rFont val="Tahoma"/>
            <family val="2"/>
          </rPr>
          <t>Reference table</t>
        </r>
      </text>
    </comment>
    <comment ref="D12" authorId="0" shapeId="0" xr:uid="{391692FB-AEC6-4B63-ACF1-AF5B6423BC43}">
      <text>
        <r>
          <rPr>
            <sz val="9"/>
            <color indexed="81"/>
            <rFont val="Tahoma"/>
            <family val="2"/>
          </rPr>
          <t xml:space="preserve">First column contains the data to be looked up (the key data)
</t>
        </r>
      </text>
    </comment>
    <comment ref="C19" authorId="0" shapeId="0" xr:uid="{BA9E7273-C448-4281-9F4F-C41BBA0AA0AA}">
      <text>
        <r>
          <rPr>
            <sz val="9"/>
            <color indexed="81"/>
            <rFont val="Tahoma"/>
            <family val="2"/>
          </rPr>
          <t>Determines the Unit Shipping Cost</t>
        </r>
      </text>
    </comment>
    <comment ref="G19" authorId="0" shapeId="0" xr:uid="{76FAA6CA-E7A3-4DE6-B6F3-0BFC8769D62E}">
      <text>
        <r>
          <rPr>
            <b/>
            <sz val="9"/>
            <color indexed="81"/>
            <rFont val="Tahoma"/>
            <family val="2"/>
          </rPr>
          <t>Nested IF</t>
        </r>
        <r>
          <rPr>
            <sz val="9"/>
            <color indexed="81"/>
            <rFont val="Tahoma"/>
            <family val="2"/>
          </rPr>
          <t xml:space="preserve">
If Shipping Method = Truck, $0.25
  If Shipping Method = Rail, $0.20
    If Shipping Method = Ship, $0.15
      If Shipping Method = Customer, $0.00.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E10" authorId="0" shapeId="0" xr:uid="{C9180C45-D62A-4A74-B3BE-D734DB6C3E90}">
      <text>
        <r>
          <rPr>
            <sz val="9"/>
            <color indexed="81"/>
            <rFont val="Tahoma"/>
            <family val="2"/>
          </rPr>
          <t>Reference table</t>
        </r>
      </text>
    </comment>
    <comment ref="C19" authorId="0" shapeId="0" xr:uid="{3635C0CD-8918-4813-A129-045B892DB815}">
      <text>
        <r>
          <rPr>
            <sz val="9"/>
            <color indexed="81"/>
            <rFont val="Tahoma"/>
            <family val="2"/>
          </rPr>
          <t>Determines the Unit Shipping Cost</t>
        </r>
      </text>
    </comment>
    <comment ref="G19" authorId="0" shapeId="0" xr:uid="{A21C104F-D603-440B-948E-409312DD92B1}">
      <text>
        <r>
          <rPr>
            <b/>
            <sz val="9"/>
            <color indexed="81"/>
            <rFont val="Tahoma"/>
            <family val="2"/>
          </rPr>
          <t>IFS</t>
        </r>
        <r>
          <rPr>
            <sz val="9"/>
            <color indexed="81"/>
            <rFont val="Tahoma"/>
            <family val="2"/>
          </rPr>
          <t xml:space="preserve">
If Shipping Method = Truck, cost is $0.25,
  If Shipping Method = Rail, cost is $0.20,
    If Shipping Method = Ship, cost is $0.15,
      If Shipping Method = Customer, cost is $0.00,
        Otherwise, display "N/A".</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C10" authorId="0" shapeId="0" xr:uid="{84FC599E-DF1C-4CBF-99A4-34004D81C1EB}">
      <text>
        <r>
          <rPr>
            <sz val="9"/>
            <color indexed="81"/>
            <rFont val="Tahoma"/>
            <family val="2"/>
          </rPr>
          <t>Reference table</t>
        </r>
      </text>
    </comment>
    <comment ref="D19" authorId="0" shapeId="0" xr:uid="{324F8B65-6DC5-4866-A084-936DE2F00046}">
      <text>
        <r>
          <rPr>
            <sz val="9"/>
            <color indexed="81"/>
            <rFont val="Tahoma"/>
            <family val="2"/>
          </rPr>
          <t>Determines the Unit Price</t>
        </r>
      </text>
    </comment>
    <comment ref="E19" authorId="0" shapeId="0" xr:uid="{5B921A03-27DE-48DC-87BA-6DE6808DDF69}">
      <text>
        <r>
          <rPr>
            <b/>
            <sz val="9"/>
            <color indexed="81"/>
            <rFont val="Tahoma"/>
            <family val="2"/>
          </rPr>
          <t>Nested IF</t>
        </r>
        <r>
          <rPr>
            <sz val="9"/>
            <color indexed="81"/>
            <rFont val="Tahoma"/>
            <family val="2"/>
          </rPr>
          <t xml:space="preserve">
If the quantity ordered is greater than or equal to 0 but less than 60, charge $2.45 per unit,
 If the quantity ordered is greater than or equal to 60 but less than 120, charge $2.27 per unit,
  If the quantity ordered is greater than or equal to 120 but less than 240, charge $2.12 per unit,
   If the quantity ordered is greater than or equal to 240, charge $2.00 per unit,
     Otherwise, display "N/A".</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C10" authorId="0" shapeId="0" xr:uid="{844795B6-A4FD-4A0E-9CDA-DA361B90C035}">
      <text>
        <r>
          <rPr>
            <sz val="9"/>
            <color indexed="81"/>
            <rFont val="Tahoma"/>
            <family val="2"/>
          </rPr>
          <t>Reference table</t>
        </r>
      </text>
    </comment>
    <comment ref="A15" authorId="0" shapeId="0" xr:uid="{C1960271-E368-49D3-B293-A28115279B50}">
      <text>
        <r>
          <rPr>
            <sz val="9"/>
            <color indexed="81"/>
            <rFont val="Tahoma"/>
            <family val="2"/>
          </rPr>
          <t>First column contains the data to be loooked up (the key data)</t>
        </r>
      </text>
    </comment>
    <comment ref="D19" authorId="0" shapeId="0" xr:uid="{5496DCD7-A4C8-4F77-8ABF-927A102181B0}">
      <text>
        <r>
          <rPr>
            <sz val="9"/>
            <color indexed="81"/>
            <rFont val="Tahoma"/>
            <family val="2"/>
          </rPr>
          <t>Determines the Unit Price</t>
        </r>
      </text>
    </comment>
    <comment ref="E19" authorId="0" shapeId="0" xr:uid="{F044C40E-9FF2-4119-BA39-D6B5B090C9C2}">
      <text>
        <r>
          <rPr>
            <b/>
            <sz val="9"/>
            <color indexed="81"/>
            <rFont val="Tahoma"/>
            <family val="2"/>
          </rPr>
          <t>Nested IF</t>
        </r>
        <r>
          <rPr>
            <sz val="9"/>
            <color indexed="81"/>
            <rFont val="Tahoma"/>
            <family val="2"/>
          </rPr>
          <t xml:space="preserve">
If the quantity ordered is less than 0, display "N/A",
 If the quantity ordered is less than 60, charge $2.45 per unit,
  If the quantity ordered is less than 120, charge $2.27 per unit,
   If the quantity ordered is less than 240, charge $2.12 per unit,
    Otherwise, (the quantity ordered is greater than or equal to 240...) charge $2.00 per unit.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D19" authorId="0" shapeId="0" xr:uid="{09814998-8185-46FE-AE3E-3F5D7B8D96CD}">
      <text>
        <r>
          <rPr>
            <sz val="9"/>
            <color indexed="81"/>
            <rFont val="Tahoma"/>
            <family val="2"/>
          </rPr>
          <t>Determines the Unit Price</t>
        </r>
      </text>
    </comment>
    <comment ref="E19" authorId="0" shapeId="0" xr:uid="{78072275-5C46-4A91-86EA-4E532E658228}">
      <text>
        <r>
          <rPr>
            <b/>
            <sz val="9"/>
            <color indexed="81"/>
            <rFont val="Tahoma"/>
            <family val="2"/>
          </rPr>
          <t>Nested IF</t>
        </r>
        <r>
          <rPr>
            <sz val="9"/>
            <color indexed="81"/>
            <rFont val="Tahoma"/>
            <family val="2"/>
          </rPr>
          <t xml:space="preserve">
If the quantity ordered is greater than or equal to 240, charge $2.00 per unit.
 If the quantity ordered is greater than or equal to 120, charge $2.12 per unit,
  If the quantity ordered is greater than or equal to 60, charge $2.27 per unit, 
    If the quantity ordered is greater than or equal to 0, charge $2.45 per unit,
     Otherwise, (the quantity ordered is less than 0), display "N/A".</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C10" authorId="0" shapeId="0" xr:uid="{4D409CB0-BF21-4690-99D8-E1A147CF6E7D}">
      <text>
        <r>
          <rPr>
            <sz val="9"/>
            <color indexed="81"/>
            <rFont val="Tahoma"/>
            <family val="2"/>
          </rPr>
          <t>Reference table</t>
        </r>
      </text>
    </comment>
    <comment ref="D19" authorId="0" shapeId="0" xr:uid="{A6D0CF9F-EA58-41FE-8090-DD4297CAD6CE}">
      <text>
        <r>
          <rPr>
            <sz val="9"/>
            <color indexed="81"/>
            <rFont val="Tahoma"/>
            <family val="2"/>
          </rPr>
          <t>Determines the Unit Price</t>
        </r>
      </text>
    </comment>
    <comment ref="E19" authorId="0" shapeId="0" xr:uid="{0DFA2CCB-64D5-4F8A-B57F-C3496B5EB6F2}">
      <text>
        <r>
          <rPr>
            <b/>
            <sz val="9"/>
            <color indexed="81"/>
            <rFont val="Tahoma"/>
            <family val="2"/>
          </rPr>
          <t>IFS</t>
        </r>
        <r>
          <rPr>
            <sz val="9"/>
            <color indexed="81"/>
            <rFont val="Tahoma"/>
            <family val="2"/>
          </rPr>
          <t xml:space="preserve">
If the quantity ordered is less than 0, enter "Invalid"
 If the quantity ordered is less than 60, charge $2.45 per unit
  If the quantity ordered is less than 120, charge $2.27 per unit
   If the quantity ordered is less than 240, charge $2.12 per unit
    Otherwise, (the quantity ordered is greater than or equal to 240...) charge $2.00 per unit.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C10" authorId="0" shapeId="0" xr:uid="{BBE57333-E0E8-4E65-B1E1-8DB3C34BCB7E}">
      <text>
        <r>
          <rPr>
            <sz val="9"/>
            <color indexed="81"/>
            <rFont val="Tahoma"/>
            <family val="2"/>
          </rPr>
          <t>Reference table</t>
        </r>
      </text>
    </comment>
    <comment ref="D19" authorId="0" shapeId="0" xr:uid="{26D53A66-046E-479C-9D30-DB2C16198CDD}">
      <text>
        <r>
          <rPr>
            <sz val="9"/>
            <color indexed="81"/>
            <rFont val="Tahoma"/>
            <family val="2"/>
          </rPr>
          <t>Determines the Unit Price</t>
        </r>
      </text>
    </comment>
    <comment ref="E19" authorId="0" shapeId="0" xr:uid="{708A3C6B-B09F-4B7C-B8AC-2F39DFFF55B9}">
      <text>
        <r>
          <rPr>
            <b/>
            <sz val="9"/>
            <color indexed="81"/>
            <rFont val="Tahoma"/>
            <family val="2"/>
          </rPr>
          <t>IFS</t>
        </r>
        <r>
          <rPr>
            <sz val="9"/>
            <color indexed="81"/>
            <rFont val="Tahoma"/>
            <family val="2"/>
          </rPr>
          <t xml:space="preserve">
If the quantity ordered is less than 0, display "N/A",
 If the quantity ordered is less than 60, charge $2.45 per unit
  If the quantity ordered is less than 120, charge $2.27 per unit
   If the quantity ordered is less than 240, charge $2.12 per unit
    Otherwise, (the quantity ordered is greater than or equal to 240...) charge $2.00 per unit.</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Day, Travis</author>
    <author>Travis Day</author>
  </authors>
  <commentList>
    <comment ref="B11" authorId="0" shapeId="0" xr:uid="{D5223033-F06B-480A-AAD3-712AB9A3B7D6}">
      <text>
        <r>
          <rPr>
            <sz val="9"/>
            <color indexed="81"/>
            <rFont val="Tahoma"/>
            <family val="2"/>
          </rPr>
          <t>Freeze panes above and to the left of this cell.</t>
        </r>
      </text>
    </comment>
    <comment ref="D11" authorId="1" shapeId="0" xr:uid="{4B13CA86-7DE9-426A-BFC5-1E70C140FDF4}">
      <text>
        <r>
          <rPr>
            <sz val="8"/>
            <color indexed="81"/>
            <rFont val="Tahoma"/>
            <family val="2"/>
          </rPr>
          <t>Use comma format for large numbers</t>
        </r>
      </text>
    </comment>
    <comment ref="F11" authorId="1" shapeId="0" xr:uid="{EF1CA93E-6DC2-4A44-B152-13F32A97DE55}">
      <text>
        <r>
          <rPr>
            <b/>
            <sz val="8"/>
            <color indexed="81"/>
            <rFont val="Tahoma"/>
            <family val="2"/>
          </rPr>
          <t>ABS</t>
        </r>
        <r>
          <rPr>
            <sz val="8"/>
            <color indexed="81"/>
            <rFont val="Tahoma"/>
            <family val="2"/>
          </rPr>
          <t xml:space="preserve"> (absolute value) returns the difference between two values, but with the difference always showing up as a positive amount.</t>
        </r>
      </text>
    </comment>
    <comment ref="C16" authorId="1" shapeId="0" xr:uid="{DFA55D40-7BC4-4DE2-9F68-C027FD110EEE}">
      <text>
        <r>
          <rPr>
            <sz val="8"/>
            <color indexed="81"/>
            <rFont val="Tahoma"/>
            <family val="2"/>
          </rPr>
          <t>Conditional formatting for all cells in this column.</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Day, Travis</author>
    <author>Travis Day</author>
  </authors>
  <commentList>
    <comment ref="B11" authorId="0" shapeId="0" xr:uid="{FE02E555-ED88-4502-9CF7-BFA6F5CF9D34}">
      <text>
        <r>
          <rPr>
            <sz val="9"/>
            <color indexed="81"/>
            <rFont val="Tahoma"/>
            <family val="2"/>
          </rPr>
          <t>Freeze panes above and to the left of this cell.</t>
        </r>
      </text>
    </comment>
    <comment ref="D11" authorId="1" shapeId="0" xr:uid="{3A5AC6BE-BE3E-44FF-934B-89393E40D991}">
      <text>
        <r>
          <rPr>
            <sz val="8"/>
            <color indexed="81"/>
            <rFont val="Tahoma"/>
            <family val="2"/>
          </rPr>
          <t>Use comma format for large numbers</t>
        </r>
      </text>
    </comment>
    <comment ref="F11" authorId="1" shapeId="0" xr:uid="{8E423243-6718-4408-8478-62C2403FB2C5}">
      <text>
        <r>
          <rPr>
            <b/>
            <sz val="8"/>
            <color indexed="81"/>
            <rFont val="Tahoma"/>
            <family val="2"/>
          </rPr>
          <t>ABS</t>
        </r>
        <r>
          <rPr>
            <sz val="8"/>
            <color indexed="81"/>
            <rFont val="Tahoma"/>
            <family val="2"/>
          </rPr>
          <t xml:space="preserve"> (absolute value) returns the difference between two values, but with the difference always showing up as a positive amount.</t>
        </r>
      </text>
    </comment>
    <comment ref="C16" authorId="1" shapeId="0" xr:uid="{1B1B5F4A-FD95-4FDA-9365-14EE0B2339EA}">
      <text>
        <r>
          <rPr>
            <sz val="8"/>
            <color indexed="81"/>
            <rFont val="Tahoma"/>
            <family val="2"/>
          </rPr>
          <t>Conditional formatting for all cells in this column.</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Day, Travis</author>
    <author>Travis Day</author>
  </authors>
  <commentList>
    <comment ref="B11" authorId="0" shapeId="0" xr:uid="{70E77AED-6120-4698-ACAB-18DB737E9B25}">
      <text>
        <r>
          <rPr>
            <sz val="9"/>
            <color indexed="81"/>
            <rFont val="Tahoma"/>
            <family val="2"/>
          </rPr>
          <t>Freeze panes above and to the left of this cell.</t>
        </r>
      </text>
    </comment>
    <comment ref="D11" authorId="1" shapeId="0" xr:uid="{9A0D8F64-FE90-4B87-B744-1B8CFE81A017}">
      <text>
        <r>
          <rPr>
            <sz val="8"/>
            <color indexed="81"/>
            <rFont val="Tahoma"/>
            <family val="2"/>
          </rPr>
          <t>Use comma format for large numbers</t>
        </r>
      </text>
    </comment>
    <comment ref="F11" authorId="1" shapeId="0" xr:uid="{92A28B3A-C413-4ECE-8133-ED141E2F711F}">
      <text>
        <r>
          <rPr>
            <b/>
            <sz val="8"/>
            <color indexed="81"/>
            <rFont val="Tahoma"/>
            <family val="2"/>
          </rPr>
          <t>ABS</t>
        </r>
        <r>
          <rPr>
            <sz val="8"/>
            <color indexed="81"/>
            <rFont val="Tahoma"/>
            <family val="2"/>
          </rPr>
          <t xml:space="preserve"> (absolute value) returns the difference between two values, but with the difference always showing up as a positive amount.</t>
        </r>
      </text>
    </comment>
    <comment ref="C16" authorId="1" shapeId="0" xr:uid="{7BB5B46B-3B49-4BA5-90EE-30509B754213}">
      <text>
        <r>
          <rPr>
            <sz val="8"/>
            <color indexed="81"/>
            <rFont val="Tahoma"/>
            <family val="2"/>
          </rPr>
          <t>Conditional formatting for all cells in this column.</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N27" authorId="0" shapeId="0" xr:uid="{C1143B8C-FCA1-40D3-B30A-234CE154D10E}">
      <text>
        <r>
          <rPr>
            <b/>
            <sz val="9"/>
            <color indexed="81"/>
            <rFont val="Tahoma"/>
            <family val="2"/>
          </rPr>
          <t>Day, Travis:</t>
        </r>
        <r>
          <rPr>
            <sz val="9"/>
            <color indexed="81"/>
            <rFont val="Tahoma"/>
            <family val="2"/>
          </rPr>
          <t xml:space="preserve">
Nested IF's and multiple  operators (including "None of" and "Only" constructs) are used to determine the result desired.
=IF(None of the rules are TRUE, "Reject",
    IF(OR(only Rule #1 is TRUE, either Rule #2 and/or Rule #3 is TRUE 
      but not Rule #1), "Further Evaluate",
      otherwise (Rule#1 and at least one other rule is TRUE therefore "Accept"))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<sst xmlns="http://schemas.openxmlformats.org/spreadsheetml/2006/main" count="2726" uniqueCount="774">
  <si>
    <t>Pricing Information for Tennis Balls</t>
  </si>
  <si>
    <t>TheZone Equipment Division</t>
  </si>
  <si>
    <t>Unit Pricing 
Tennis Balls</t>
  </si>
  <si>
    <t>Shipping Costs</t>
  </si>
  <si>
    <t>Qty</t>
  </si>
  <si>
    <t>$/each</t>
  </si>
  <si>
    <t>Method</t>
  </si>
  <si>
    <t>Shipping Discount</t>
  </si>
  <si>
    <t>Truck</t>
  </si>
  <si>
    <t>Total Price:</t>
  </si>
  <si>
    <t>Rail</t>
  </si>
  <si>
    <t>Shipping Discount 1</t>
  </si>
  <si>
    <t>Ship</t>
  </si>
  <si>
    <t>Shipping Discount 2</t>
  </si>
  <si>
    <t>Customer</t>
  </si>
  <si>
    <t>Order #</t>
  </si>
  <si>
    <t>Cust ID</t>
  </si>
  <si>
    <t>Shipping</t>
  </si>
  <si>
    <t>Quantity</t>
  </si>
  <si>
    <t>Unit 
Price</t>
  </si>
  <si>
    <t>Total Price</t>
  </si>
  <si>
    <t>Unit Shipping</t>
  </si>
  <si>
    <t>Total Shipping</t>
  </si>
  <si>
    <t>Grand Total</t>
  </si>
  <si>
    <t>A0243</t>
  </si>
  <si>
    <t>MH394</t>
  </si>
  <si>
    <t>R903</t>
  </si>
  <si>
    <t>X271</t>
  </si>
  <si>
    <t>N271</t>
  </si>
  <si>
    <t>CD031</t>
  </si>
  <si>
    <t>TheZone Pricing Equipment Division</t>
  </si>
  <si>
    <t>Additional Discount</t>
  </si>
  <si>
    <t>Item#</t>
  </si>
  <si>
    <t>Description</t>
  </si>
  <si>
    <t>Price/item</t>
  </si>
  <si>
    <t>FlexPro Backpack - One Size</t>
  </si>
  <si>
    <t>Alpha Stringing Machine</t>
  </si>
  <si>
    <t>Grommet Set</t>
  </si>
  <si>
    <t>ExoRacket Graphite - Oversize</t>
  </si>
  <si>
    <t>ExoRacket Graphite - Mid+, Plus Length</t>
  </si>
  <si>
    <t>ExoRacket Graphite - Mid+, Regular Length</t>
  </si>
  <si>
    <t>ExoRacket Graphite - Junior Size</t>
  </si>
  <si>
    <t>FlexPro Racket - Junior Pro</t>
  </si>
  <si>
    <t>FlexPro Racket - Standard</t>
  </si>
  <si>
    <t>FlexPro Racket - Oversize</t>
  </si>
  <si>
    <t>Racket Bag - One Size</t>
  </si>
  <si>
    <t>Touring Bag - One Size</t>
  </si>
  <si>
    <t>String Pack - Synthetic</t>
  </si>
  <si>
    <t>String Pack - Gut</t>
  </si>
  <si>
    <t>String Reel - Gut Bulk</t>
  </si>
  <si>
    <t>Tennis Products Order Form</t>
  </si>
  <si>
    <t>Shipping weight</t>
  </si>
  <si>
    <t xml:space="preserve">Region number </t>
  </si>
  <si>
    <t>Shipping method</t>
  </si>
  <si>
    <t>Customer type</t>
  </si>
  <si>
    <t>Total</t>
  </si>
  <si>
    <t>Total Order</t>
  </si>
  <si>
    <t>Discount</t>
  </si>
  <si>
    <t xml:space="preserve">                            </t>
  </si>
  <si>
    <t>Total Order Value</t>
  </si>
  <si>
    <t>Less than $5000, no discount</t>
  </si>
  <si>
    <t>At least $5000 but less than $10,000, $150 discount</t>
  </si>
  <si>
    <t>At least $10,000 but less than $25,000, $400 discount</t>
  </si>
  <si>
    <t>$25,000 or more, $1000 discount</t>
  </si>
  <si>
    <t xml:space="preserve">Shipping Method - Standard  </t>
  </si>
  <si>
    <t>Region</t>
  </si>
  <si>
    <t>NA</t>
  </si>
  <si>
    <t xml:space="preserve">Shipping Method - Preferred </t>
  </si>
  <si>
    <t xml:space="preserve">Shipping Method - Most Preferred </t>
  </si>
  <si>
    <t>Product Information for Tennis Equipment</t>
  </si>
  <si>
    <t>TheZone Equipment Division December</t>
  </si>
  <si>
    <t>Price Schedule</t>
  </si>
  <si>
    <t>Ship Weight</t>
  </si>
  <si>
    <t>Tennis Balls - Bulk</t>
  </si>
  <si>
    <t>TheZone Sports Equipment
Order Form</t>
  </si>
  <si>
    <t>Customer Name:</t>
  </si>
  <si>
    <t>Ship to State Abbreviation</t>
  </si>
  <si>
    <t>CO</t>
  </si>
  <si>
    <t>Shipping Method (truck, rail, air, boat)</t>
  </si>
  <si>
    <t>Preferred</t>
  </si>
  <si>
    <t>Ship Wt. (lbs.)</t>
  </si>
  <si>
    <t>Unit Price</t>
  </si>
  <si>
    <t>Price List for Tennis Products
Fixed-Price Items</t>
  </si>
  <si>
    <t>Price List for Tennis Balls
Variable-Priced Items</t>
  </si>
  <si>
    <t>Shipping Charges
by Customer Type, Region, and Method</t>
  </si>
  <si>
    <t>Shipping Method - Standard</t>
  </si>
  <si>
    <t>Air</t>
  </si>
  <si>
    <t>Boat</t>
  </si>
  <si>
    <t>Name</t>
  </si>
  <si>
    <t>Abbreviation</t>
  </si>
  <si>
    <t>Region#</t>
  </si>
  <si>
    <t>Alabama</t>
  </si>
  <si>
    <t>AL</t>
  </si>
  <si>
    <t>SE</t>
  </si>
  <si>
    <t>Alaska</t>
  </si>
  <si>
    <t>AK</t>
  </si>
  <si>
    <t>W</t>
  </si>
  <si>
    <t xml:space="preserve">Arizona </t>
  </si>
  <si>
    <t>AZ</t>
  </si>
  <si>
    <t>SW</t>
  </si>
  <si>
    <t>Arkansas</t>
  </si>
  <si>
    <t>AR</t>
  </si>
  <si>
    <t xml:space="preserve">California </t>
  </si>
  <si>
    <t>CA</t>
  </si>
  <si>
    <t xml:space="preserve">Colorado </t>
  </si>
  <si>
    <t>Connecticut</t>
  </si>
  <si>
    <t>CT</t>
  </si>
  <si>
    <t>NE</t>
  </si>
  <si>
    <t>Delaware</t>
  </si>
  <si>
    <t>DE</t>
  </si>
  <si>
    <t>District of Columbia</t>
  </si>
  <si>
    <t>DC</t>
  </si>
  <si>
    <t>Florida</t>
  </si>
  <si>
    <t>FL</t>
  </si>
  <si>
    <t>Georgia</t>
  </si>
  <si>
    <t>GA</t>
  </si>
  <si>
    <t>Hawaii</t>
  </si>
  <si>
    <t>HI</t>
  </si>
  <si>
    <t>Idaho</t>
  </si>
  <si>
    <t>ID</t>
  </si>
  <si>
    <t>Illinois</t>
  </si>
  <si>
    <t>IL</t>
  </si>
  <si>
    <t>MW</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</si>
  <si>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</si>
  <si>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</si>
  <si>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</si>
  <si>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</si>
  <si>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</si>
  <si>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</si>
  <si>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</si>
  <si>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</si>
  <si>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</si>
  <si>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</si>
  <si>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</si>
  <si>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</si>
  <si>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</si>
  <si>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</si>
  <si>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</si>
  <si>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</si>
  <si>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</si>
  <si>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</si>
  <si>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</si>
  <si>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</si>
  <si>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</si>
  <si>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</si>
  <si>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</si>
  <si>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</si>
  <si>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</si>
  <si>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</si>
  <si>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</si>
  <si>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</si>
  <si>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</si>
  <si>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</si>
  <si>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</si>
  <si>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</si>
  <si>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</si>
  <si>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</si>
  <si>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</si>
  <si>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</si>
  <si>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</si>
  <si>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</si>
  <si>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</si>
  <si>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</si>
  <si>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</si>
  <si>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</si>
  <si>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</si>
  <si>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</si>
  <si>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</si>
  <si>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</si>
  <si>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</si>
  <si>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</si>
  <si>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</si>
  <si>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</si>
  <si>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</si>
  <si>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</si>
  <si>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</si>
  <si>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</si>
  <si>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</si>
  <si>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</si>
  <si>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</si>
  <si>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</si>
  <si>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</si>
  <si>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</si>
  <si>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</si>
  <si>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</si>
  <si>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</si>
  <si>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 xml:space="preserve">Virginia </t>
  </si>
  <si>
    <t>VA</t>
  </si>
  <si>
    <t>Washington</t>
  </si>
  <si>
    <t>WA</t>
  </si>
  <si>
    <t>West Virginia</t>
  </si>
  <si>
    <t>WV</t>
  </si>
  <si>
    <t>Wisconsin</t>
  </si>
  <si>
    <t>WI</t>
  </si>
  <si>
    <t>Wyoming</t>
  </si>
  <si>
    <t>WY</t>
  </si>
  <si>
    <r>
      <t>Freight Customer Type (</t>
    </r>
    <r>
      <rPr>
        <sz val="8"/>
        <rFont val="Arial"/>
        <family val="2"/>
      </rPr>
      <t>regular, preferred, most preferred</t>
    </r>
    <r>
      <rPr>
        <sz val="10"/>
        <rFont val="Arial"/>
        <family val="2"/>
      </rPr>
      <t xml:space="preserve">) </t>
    </r>
  </si>
  <si>
    <t>3-</t>
  </si>
  <si>
    <t>Worksheet Name</t>
  </si>
  <si>
    <t>or more</t>
  </si>
  <si>
    <t>Ship By Region</t>
  </si>
  <si>
    <t>Created by</t>
  </si>
  <si>
    <t>Travis Day</t>
  </si>
  <si>
    <t>Last Modified</t>
  </si>
  <si>
    <t>Workbook Description</t>
  </si>
  <si>
    <t>Accounts Receivable Department - Customer Credit Analysis</t>
  </si>
  <si>
    <t>Customer Name</t>
  </si>
  <si>
    <t>Current Credit Limit</t>
  </si>
  <si>
    <t>Previous Year's Sales</t>
  </si>
  <si>
    <t>Current Year's Sales</t>
  </si>
  <si>
    <t>Past Due Balance</t>
  </si>
  <si>
    <t>Net Worth in (000)</t>
  </si>
  <si>
    <t>D&amp;B Credit Rating Class</t>
  </si>
  <si>
    <t>D&amp;B Composite Credit Appraisal (1 Best)</t>
  </si>
  <si>
    <t>D&amp;B PAYDEX (100 Best)</t>
  </si>
  <si>
    <t>D&amp;B Stress Risk Class 
(1 Best)</t>
  </si>
  <si>
    <t>Rule#1</t>
  </si>
  <si>
    <t>Rule#2</t>
  </si>
  <si>
    <t>Rule#3</t>
  </si>
  <si>
    <t>Final Recommendation</t>
  </si>
  <si>
    <t>Athletic Gear Corp.</t>
  </si>
  <si>
    <t>BA</t>
  </si>
  <si>
    <t>Baltimore O's</t>
  </si>
  <si>
    <t>3A</t>
  </si>
  <si>
    <t>Baseball &amp; More</t>
  </si>
  <si>
    <t>4A</t>
  </si>
  <si>
    <t>Canadian Ski Club</t>
  </si>
  <si>
    <t>Concord Pro Shop</t>
  </si>
  <si>
    <t>Everything Golf</t>
  </si>
  <si>
    <t>Lake Pro Shops</t>
  </si>
  <si>
    <t>Mars Dept. Store</t>
  </si>
  <si>
    <t>BB</t>
  </si>
  <si>
    <t>RG Bradley</t>
  </si>
  <si>
    <t>RX for Sports</t>
  </si>
  <si>
    <t>2A</t>
  </si>
  <si>
    <t>School Sports Supply</t>
  </si>
  <si>
    <t>Ski World</t>
  </si>
  <si>
    <t>Sneaker Kingdom</t>
  </si>
  <si>
    <t>Sports &amp; Stuff</t>
  </si>
  <si>
    <t>Toy Kingdom</t>
  </si>
  <si>
    <t>Under the Sea</t>
  </si>
  <si>
    <t>CB</t>
  </si>
  <si>
    <t>US Olympic Team</t>
  </si>
  <si>
    <t>WWW Sports Inc.</t>
  </si>
  <si>
    <t>5A</t>
  </si>
  <si>
    <t>Zip &amp; Sons</t>
  </si>
  <si>
    <t>1A</t>
  </si>
  <si>
    <t>Do any meet the rule?</t>
  </si>
  <si>
    <t>Do none meet the rule?</t>
  </si>
  <si>
    <t>Alternate Scheme Data Inputs:</t>
  </si>
  <si>
    <t>Base Penalty Fee</t>
  </si>
  <si>
    <t>90-Day Past Due penalty</t>
  </si>
  <si>
    <t>Minimum 90-Day Balance for Surcharge</t>
  </si>
  <si>
    <t>60-Day Past Due penalty</t>
  </si>
  <si>
    <t>Minimum Surcharge</t>
  </si>
  <si>
    <t>30-Day Past Due penalty</t>
  </si>
  <si>
    <t>Surcharge Percentage</t>
  </si>
  <si>
    <t>TheZone Customer Accounts - Credit &amp; Payment Status</t>
  </si>
  <si>
    <t>Customer Type</t>
  </si>
  <si>
    <t>Current Balance Due</t>
  </si>
  <si>
    <t>30-Days Past Due</t>
  </si>
  <si>
    <t>60-Days Past Due</t>
  </si>
  <si>
    <t>90-Days Past Due</t>
  </si>
  <si>
    <t>Total Past Due Balance</t>
  </si>
  <si>
    <t>Current Credit Status</t>
  </si>
  <si>
    <t>Current Credit Status Detail</t>
  </si>
  <si>
    <t>Total Balance including Finance Charge</t>
  </si>
  <si>
    <t>90-Day Past Due Surcharge</t>
  </si>
  <si>
    <t>Alternate Penalty Scheme</t>
  </si>
  <si>
    <t>A</t>
  </si>
  <si>
    <t>B</t>
  </si>
  <si>
    <t>C</t>
  </si>
  <si>
    <t>Operator</t>
  </si>
  <si>
    <t>=</t>
  </si>
  <si>
    <t>&lt;&gt;</t>
  </si>
  <si>
    <t>Not equal to</t>
  </si>
  <si>
    <t>&lt;</t>
  </si>
  <si>
    <t>Less than</t>
  </si>
  <si>
    <t>&gt;</t>
  </si>
  <si>
    <t>Greater than</t>
  </si>
  <si>
    <t>&lt;=</t>
  </si>
  <si>
    <t>Less than or equal to</t>
  </si>
  <si>
    <t>&gt;=</t>
  </si>
  <si>
    <t>Greater than or equal to</t>
  </si>
  <si>
    <t>Using Relational Operators to Compare Two Values</t>
  </si>
  <si>
    <t>Writing Simple IF Functions</t>
  </si>
  <si>
    <t>Writing Clear &amp; Flexible IF Functions (by isolating assumptions)</t>
  </si>
  <si>
    <t>Example</t>
  </si>
  <si>
    <t>Resulting Value</t>
  </si>
  <si>
    <t>Equal to</t>
  </si>
  <si>
    <t>AA</t>
  </si>
  <si>
    <t>Evaluating More Complex Criteria</t>
  </si>
  <si>
    <t>Min 90-day balance for Surcharge</t>
  </si>
  <si>
    <t>90-day past due penalty</t>
  </si>
  <si>
    <t>60-day past due penalty</t>
  </si>
  <si>
    <t>30-day past due penalty</t>
  </si>
  <si>
    <t>Good</t>
  </si>
  <si>
    <t>Bad</t>
  </si>
  <si>
    <t>credit approved</t>
  </si>
  <si>
    <t>credit denied</t>
  </si>
  <si>
    <t>Alternate Penalty Scheme Data Inputs:</t>
  </si>
  <si>
    <t>Nested IF's with =</t>
  </si>
  <si>
    <t>Nested IF's with &gt;= (or &lt;)</t>
  </si>
  <si>
    <t>AND</t>
  </si>
  <si>
    <t>NOT</t>
  </si>
  <si>
    <t>"Only Rule #2 or #3" Construct</t>
  </si>
  <si>
    <t>"None of" construct</t>
  </si>
  <si>
    <t>Election 2000 - The Closest in History</t>
  </si>
  <si>
    <t>Gore</t>
  </si>
  <si>
    <t>Bush</t>
  </si>
  <si>
    <t>Popular total</t>
  </si>
  <si>
    <t>Electoral total</t>
  </si>
  <si>
    <t>State</t>
  </si>
  <si>
    <t>Electoral Votes</t>
  </si>
  <si>
    <t>Winner</t>
  </si>
  <si>
    <t>Difference</t>
  </si>
  <si>
    <t>Percentage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</si>
  <si>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</si>
  <si>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</si>
  <si>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</si>
  <si>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</si>
  <si>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</si>
  <si>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</si>
  <si>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</si>
  <si>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</si>
  <si>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</si>
  <si>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</si>
  <si>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</si>
  <si>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</si>
  <si>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</si>
  <si>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</si>
  <si>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</si>
  <si>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</si>
  <si>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</si>
  <si>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</si>
  <si>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</si>
  <si>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</si>
  <si>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</si>
  <si>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</si>
  <si>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</si>
  <si>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</si>
  <si>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</si>
  <si>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</si>
  <si>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</si>
  <si>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</si>
  <si>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</si>
  <si>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</si>
  <si>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</si>
  <si>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</si>
  <si>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</si>
  <si>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</si>
  <si>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</si>
  <si>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</si>
  <si>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</si>
  <si>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</si>
  <si>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</si>
  <si>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</si>
  <si>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</si>
  <si>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</si>
  <si>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</si>
  <si>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</si>
  <si>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</si>
  <si>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</si>
  <si>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</si>
  <si>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</si>
  <si>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</si>
  <si>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</si>
  <si>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</si>
  <si>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Today's Date</t>
  </si>
  <si>
    <t># of Days in a Year</t>
  </si>
  <si>
    <t>My Birthdate</t>
  </si>
  <si>
    <t>My Age Now</t>
  </si>
  <si>
    <t>Date of Election</t>
  </si>
  <si>
    <t>My Age at Election</t>
  </si>
  <si>
    <t xml:space="preserve"> "Any of" construct</t>
  </si>
  <si>
    <t>"Only" construct</t>
  </si>
  <si>
    <t>show them the door</t>
  </si>
  <si>
    <t xml:space="preserve"> "All of" construct</t>
  </si>
  <si>
    <t>Do all meet the rule?</t>
  </si>
  <si>
    <t>Applying Conditional Formatting - Order of Rules 1 (Conditions)</t>
  </si>
  <si>
    <t>NOT(OR)</t>
  </si>
  <si>
    <t>AND(…,NOT(OR))</t>
  </si>
  <si>
    <t>Changes a single TRUE value to FALSE or a single FALSE value to TRUE.</t>
  </si>
  <si>
    <t>Using Relational Operators to Evaluate Text Labels</t>
  </si>
  <si>
    <t>Hello</t>
  </si>
  <si>
    <t>Goodbye</t>
  </si>
  <si>
    <t>=C3="Hello"</t>
  </si>
  <si>
    <t>=C3&lt;&gt;"Hello"</t>
  </si>
  <si>
    <t>="Goodbye"&gt;"Hello"</t>
  </si>
  <si>
    <t xml:space="preserve">When counting, you count 1, 2, 3, etc.  3 comes after 1, therefore 3 &gt; 1. 
With dates, 1/1/2007 comes after 12/31/2006, and therefore the later date is “greater than” the earlier date.
With the alphabet, you “count” A, B, C.    C comes after A and therefore C is “greater than” A and  AC is greater than AA (just like 13 &gt; 11).
</t>
  </si>
  <si>
    <t>=Goodbye&gt;Hello</t>
  </si>
  <si>
    <t>=5&gt;3</t>
  </si>
  <si>
    <t>=Bye&gt;Hi</t>
  </si>
  <si>
    <t>=B4&gt;C4</t>
  </si>
  <si>
    <t>Range names not specifed</t>
  </si>
  <si>
    <t>Text phrases must be within quotes</t>
  </si>
  <si>
    <t>Using values</t>
  </si>
  <si>
    <t>Using cell references</t>
  </si>
  <si>
    <t>Using range names</t>
  </si>
  <si>
    <t>Evalutating text phrases</t>
  </si>
  <si>
    <t>Invalid Name Error</t>
  </si>
  <si>
    <t>=C3=Hello</t>
  </si>
  <si>
    <t>=Hi=3</t>
  </si>
  <si>
    <r>
      <t xml:space="preserve">Used to determine if </t>
    </r>
    <r>
      <rPr>
        <b/>
        <i/>
        <sz val="10"/>
        <color rgb="FF000000"/>
        <rFont val="Arial"/>
        <family val="2"/>
      </rPr>
      <t>all</t>
    </r>
    <r>
      <rPr>
        <sz val="10"/>
        <color rgb="FF000000"/>
        <rFont val="Arial"/>
        <family val="2"/>
      </rPr>
      <t xml:space="preserve"> arguments are TRUE</t>
    </r>
  </si>
  <si>
    <r>
      <t xml:space="preserve">Used to determine if </t>
    </r>
    <r>
      <rPr>
        <b/>
        <i/>
        <sz val="10"/>
        <color rgb="FF000000"/>
        <rFont val="Arial"/>
        <family val="2"/>
      </rPr>
      <t>any</t>
    </r>
    <r>
      <rPr>
        <sz val="10"/>
        <color rgb="FF000000"/>
        <rFont val="Arial"/>
        <family val="2"/>
      </rPr>
      <t xml:space="preserve"> argument(s) is/are TRUE</t>
    </r>
  </si>
  <si>
    <t>Figure 4.3: AND truth table</t>
  </si>
  <si>
    <r>
      <rPr>
        <b/>
        <sz val="10"/>
        <rFont val="Arial"/>
        <family val="2"/>
      </rPr>
      <t>AND</t>
    </r>
    <r>
      <rPr>
        <sz val="10"/>
        <rFont val="Arial"/>
        <family val="2"/>
      </rPr>
      <t xml:space="preserve"> Condition #2 is</t>
    </r>
  </si>
  <si>
    <t>If Condition #1 is</t>
  </si>
  <si>
    <t>Figure 4.4: OR truth table</t>
  </si>
  <si>
    <r>
      <rPr>
        <b/>
        <sz val="10"/>
        <rFont val="Arial"/>
        <family val="2"/>
      </rPr>
      <t>OR</t>
    </r>
    <r>
      <rPr>
        <sz val="10"/>
        <rFont val="Arial"/>
        <family val="2"/>
      </rPr>
      <t xml:space="preserve"> Condition #2 is</t>
    </r>
  </si>
  <si>
    <t>If Condition is</t>
  </si>
  <si>
    <t>Resulting value is</t>
  </si>
  <si>
    <t>Using Relational Operators to Evaluate Simple Criteria</t>
  </si>
  <si>
    <t>Using Error-checking Functions (IFERROR) to Prevent Errors in Cells</t>
  </si>
  <si>
    <t>Using the OR Function to Evaluate Criteria</t>
  </si>
  <si>
    <t>Do any customers meet the rule?</t>
  </si>
  <si>
    <t>Do any customers have a PAYDEX score over 90?</t>
  </si>
  <si>
    <t>=OR(I6&gt;90,I7&gt;90,I8&gt;90,I9&gt;90,I10&gt;90,I11&gt;90,I12&gt;90,I13&gt;90,I14&gt;90,I15&gt;90,I16&gt;90,I17&gt;90,I18&gt;90,I19&gt;90,I20&gt;90,I21&gt;90,I22&gt;90,I23&gt;90,I24&gt;90)</t>
  </si>
  <si>
    <t>=OR(I6:I24&gt;90)</t>
  </si>
  <si>
    <t>{=OR(I6:I24&gt;90)}</t>
  </si>
  <si>
    <r>
      <rPr>
        <b/>
        <sz val="10"/>
        <rFont val="Arial"/>
        <family val="2"/>
      </rPr>
      <t>Array</t>
    </r>
    <r>
      <rPr>
        <sz val="10"/>
        <rFont val="Arial"/>
        <family val="2"/>
      </rPr>
      <t xml:space="preserve"> formula. This formula essentially works the same as the previous (cumbersome) formula, but without having to type all the individual comparisons.</t>
    </r>
  </si>
  <si>
    <r>
      <t xml:space="preserve">Rule #1
</t>
    </r>
    <r>
      <rPr>
        <b/>
        <sz val="10"/>
        <color rgb="FFFF0000"/>
        <rFont val="Arial"/>
        <family val="2"/>
      </rPr>
      <t>Simple</t>
    </r>
  </si>
  <si>
    <r>
      <t xml:space="preserve">Rule #2
</t>
    </r>
    <r>
      <rPr>
        <b/>
        <sz val="10"/>
        <color rgb="FFFF0000"/>
        <rFont val="Arial"/>
        <family val="2"/>
      </rPr>
      <t>OR</t>
    </r>
  </si>
  <si>
    <r>
      <t xml:space="preserve">Rule #3
</t>
    </r>
    <r>
      <rPr>
        <b/>
        <sz val="10"/>
        <color rgb="FFFF0000"/>
        <rFont val="Arial"/>
        <family val="2"/>
      </rPr>
      <t>AND</t>
    </r>
  </si>
  <si>
    <r>
      <t xml:space="preserve">Do </t>
    </r>
    <r>
      <rPr>
        <b/>
        <i/>
        <sz val="10"/>
        <rFont val="Arial"/>
        <family val="2"/>
      </rPr>
      <t>any</t>
    </r>
    <r>
      <rPr>
        <sz val="10"/>
        <rFont val="Arial"/>
        <family val="2"/>
      </rPr>
      <t xml:space="preserve"> customers meet the rule?</t>
    </r>
  </si>
  <si>
    <r>
      <t xml:space="preserve">Do </t>
    </r>
    <r>
      <rPr>
        <b/>
        <i/>
        <sz val="10"/>
        <rFont val="Arial"/>
        <family val="2"/>
      </rPr>
      <t>all</t>
    </r>
    <r>
      <rPr>
        <sz val="10"/>
        <rFont val="Arial"/>
        <family val="2"/>
      </rPr>
      <t xml:space="preserve"> customers meet the rule?</t>
    </r>
  </si>
  <si>
    <r>
      <t xml:space="preserve">Do </t>
    </r>
    <r>
      <rPr>
        <b/>
        <i/>
        <sz val="10"/>
        <rFont val="Arial"/>
        <family val="2"/>
      </rPr>
      <t>all</t>
    </r>
    <r>
      <rPr>
        <sz val="10"/>
        <rFont val="Arial"/>
        <family val="2"/>
      </rPr>
      <t xml:space="preserve"> customers have a PAYDEX score over 90?</t>
    </r>
  </si>
  <si>
    <t>Cumbersome AND</t>
  </si>
  <si>
    <t>Array AND</t>
  </si>
  <si>
    <t>Figure 4.5: NOT truth table</t>
  </si>
  <si>
    <r>
      <rPr>
        <b/>
        <i/>
        <sz val="10"/>
        <rFont val="Arial"/>
        <family val="2"/>
      </rPr>
      <t xml:space="preserve">Not all </t>
    </r>
    <r>
      <rPr>
        <sz val="10"/>
        <rFont val="Arial"/>
        <family val="2"/>
      </rPr>
      <t>the customers meet the rule?</t>
    </r>
  </si>
  <si>
    <r>
      <rPr>
        <b/>
        <i/>
        <sz val="10"/>
        <rFont val="Arial"/>
        <family val="2"/>
      </rPr>
      <t>All</t>
    </r>
    <r>
      <rPr>
        <sz val="10"/>
        <rFont val="Arial"/>
        <family val="2"/>
      </rPr>
      <t xml:space="preserve"> customers meet the rule?</t>
    </r>
  </si>
  <si>
    <r>
      <rPr>
        <b/>
        <i/>
        <sz val="10"/>
        <rFont val="Arial"/>
        <family val="2"/>
      </rPr>
      <t>Any</t>
    </r>
    <r>
      <rPr>
        <sz val="10"/>
        <rFont val="Arial"/>
        <family val="2"/>
      </rPr>
      <t xml:space="preserve"> customers meet the rule?</t>
    </r>
  </si>
  <si>
    <r>
      <rPr>
        <b/>
        <i/>
        <sz val="10"/>
        <rFont val="Arial"/>
        <family val="2"/>
      </rPr>
      <t xml:space="preserve">None of </t>
    </r>
    <r>
      <rPr>
        <sz val="10"/>
        <rFont val="Arial"/>
        <family val="2"/>
      </rPr>
      <t>the customers meet the rule?</t>
    </r>
  </si>
  <si>
    <t>NOT(AND)</t>
  </si>
  <si>
    <t>More Flexible Formulas</t>
  </si>
  <si>
    <t>Rule #2</t>
  </si>
  <si>
    <t>Rule #3</t>
  </si>
  <si>
    <t>Minimum Past Due Balance (% of Total Sales)</t>
  </si>
  <si>
    <t>PAYDEX Score Must Be Above</t>
  </si>
  <si>
    <t>Minimum Net Worth</t>
  </si>
  <si>
    <t>Lowest Accepted Composite Credit Appraisal Value (1=Best)</t>
  </si>
  <si>
    <t>Lowest Accepted Stress Risk Value (1=Best)</t>
  </si>
  <si>
    <t>Using the NOT Function to Evaluate Criteria</t>
  </si>
  <si>
    <t>Applying Conditional Formatting - Order of Rules 2 (Conditions)</t>
  </si>
  <si>
    <t>Applying Conditional Formatting Using Preset Formats</t>
  </si>
  <si>
    <t>Applying Conditional Formatting Based on Cell Value</t>
  </si>
  <si>
    <t>Applying Conditional Formatting to a Worksheet</t>
  </si>
  <si>
    <t>Applying Conditional Formatting to Top or Bottom Ranked Values</t>
  </si>
  <si>
    <t>Applying Conditional Formatting Using Color Scales</t>
  </si>
  <si>
    <t>Applying Conditional Formatting Based on the Results of a Formula</t>
  </si>
  <si>
    <t>Applying Conditional Formatting to Find Duplicate or Unique Values</t>
  </si>
  <si>
    <t>?</t>
  </si>
  <si>
    <t>Writing an IF Function with a Logical Test That Evaluates TRUE/FALSE Values</t>
  </si>
  <si>
    <t>What if instead of conditionally formatting the values in the Net Worth column, you wanted to format the Customer Name based on the values in the Net Worth column.  You want the font of the Customer Name with the highest Net Worth to be bold and green, and the Customer Name with the lowest Net Worth to be bold and red.
For this example, you cannot use the "top or bottom ranked" functionality.  If you need to conditionally format a cell or cells based on the content in a separate cell or cells (elsewhere in your spreadsheet), then you must "Use a formula to determine which cells to format." In this case, you would use a formula such as:  =$F6=MAX($F$6:$F$24).</t>
  </si>
  <si>
    <t>Rather than "hard-coding" the numbers in the formulas for the Rules, this spreadsheet is MUCH more flexible and easier to interpret if assumptions for these values are placed at the top of the spreadsheet, and all the formulas  use cell references to refer to these assumptions.</t>
  </si>
  <si>
    <t>The cells in columns K:M use conditional formatting which format the cell font as bold only if the cells contain the value TRUE.</t>
  </si>
  <si>
    <t>The cells in column A use conditional formatting to find Duplicate values.</t>
  </si>
  <si>
    <t xml:space="preserve">
The cells in column J use conditional formatting to find Unique values.</t>
  </si>
  <si>
    <t>The cells in the Net Worth column use a Graded Color Scale</t>
  </si>
  <si>
    <t>All cells in the table use conditional formatting that formats the cell background of the cells in each row based upon the Net Worth value in column F.  (Note the use of mixed references within the conditional formatting formula.)  
Please note: The spreadsheet could be made more flexible if the conditional formatting threshhold values had used a cell reference rather than hard-coding the values within the conditional formatting formula.</t>
  </si>
  <si>
    <t>When applying multiple conditional format rules, the order of the rules makes a difference.  In this example, the order of the rules is causing the cells to format improperly.</t>
  </si>
  <si>
    <r>
      <rPr>
        <b/>
        <sz val="10"/>
        <color rgb="FFFF0000"/>
        <rFont val="Arial"/>
        <family val="2"/>
      </rPr>
      <t>All</t>
    </r>
    <r>
      <rPr>
        <b/>
        <sz val="10"/>
        <rFont val="Arial"/>
        <family val="2"/>
      </rPr>
      <t xml:space="preserve"> of the Rules are TRUE</t>
    </r>
  </si>
  <si>
    <r>
      <rPr>
        <b/>
        <sz val="10"/>
        <color rgb="FFFF0000"/>
        <rFont val="Arial"/>
        <family val="2"/>
      </rPr>
      <t>Any</t>
    </r>
    <r>
      <rPr>
        <b/>
        <sz val="10"/>
        <rFont val="Arial"/>
        <family val="2"/>
      </rPr>
      <t xml:space="preserve"> of the Rules are TRUE</t>
    </r>
  </si>
  <si>
    <r>
      <rPr>
        <b/>
        <sz val="10"/>
        <color rgb="FFFF0000"/>
        <rFont val="Arial"/>
        <family val="2"/>
      </rPr>
      <t>None of</t>
    </r>
    <r>
      <rPr>
        <b/>
        <sz val="10"/>
        <rFont val="Arial"/>
        <family val="2"/>
      </rPr>
      <t xml:space="preserve"> the Rules are TRUE</t>
    </r>
  </si>
  <si>
    <r>
      <rPr>
        <b/>
        <sz val="10"/>
        <color rgb="FFFF0000"/>
        <rFont val="Arial"/>
        <family val="2"/>
      </rPr>
      <t>Only</t>
    </r>
    <r>
      <rPr>
        <b/>
        <sz val="10"/>
        <rFont val="Arial"/>
        <family val="2"/>
      </rPr>
      <t xml:space="preserve"> Rule #1 is TRUE</t>
    </r>
  </si>
  <si>
    <r>
      <rPr>
        <sz val="10"/>
        <color rgb="FFFF0000"/>
        <rFont val="Arial"/>
        <family val="2"/>
      </rPr>
      <t>All</t>
    </r>
    <r>
      <rPr>
        <sz val="10"/>
        <rFont val="Arial"/>
        <family val="2"/>
      </rPr>
      <t xml:space="preserve"> meet the rule</t>
    </r>
  </si>
  <si>
    <r>
      <rPr>
        <sz val="10"/>
        <color rgb="FFFF0000"/>
        <rFont val="Arial"/>
        <family val="2"/>
      </rPr>
      <t>Any</t>
    </r>
    <r>
      <rPr>
        <sz val="10"/>
        <rFont val="Arial"/>
        <family val="2"/>
      </rPr>
      <t xml:space="preserve"> meet the rule</t>
    </r>
  </si>
  <si>
    <r>
      <rPr>
        <sz val="10"/>
        <color rgb="FFFF0000"/>
        <rFont val="Arial"/>
        <family val="2"/>
      </rPr>
      <t>None</t>
    </r>
    <r>
      <rPr>
        <sz val="10"/>
        <rFont val="Arial"/>
        <family val="2"/>
      </rPr>
      <t xml:space="preserve"> meet the rule</t>
    </r>
  </si>
  <si>
    <r>
      <rPr>
        <sz val="10"/>
        <color rgb="FFFF0000"/>
        <rFont val="Arial"/>
        <family val="2"/>
      </rPr>
      <t>Only</t>
    </r>
    <r>
      <rPr>
        <sz val="10"/>
        <rFont val="Arial"/>
        <family val="2"/>
      </rPr>
      <t xml:space="preserve"> Ski World meets the rule?</t>
    </r>
  </si>
  <si>
    <r>
      <t xml:space="preserve">Rule#1
</t>
    </r>
    <r>
      <rPr>
        <b/>
        <sz val="10"/>
        <color rgb="FFFF0000"/>
        <rFont val="Arial"/>
        <family val="2"/>
      </rPr>
      <t>Simple</t>
    </r>
  </si>
  <si>
    <r>
      <t xml:space="preserve">Rule#2
</t>
    </r>
    <r>
      <rPr>
        <b/>
        <sz val="10"/>
        <color rgb="FFFF0000"/>
        <rFont val="Arial"/>
        <family val="2"/>
      </rPr>
      <t>OR</t>
    </r>
  </si>
  <si>
    <r>
      <t xml:space="preserve">Rule#3
</t>
    </r>
    <r>
      <rPr>
        <b/>
        <sz val="10"/>
        <color rgb="FFFF0000"/>
        <rFont val="Arial"/>
        <family val="2"/>
      </rPr>
      <t>AND</t>
    </r>
  </si>
  <si>
    <r>
      <t xml:space="preserve">A </t>
    </r>
    <r>
      <rPr>
        <b/>
        <sz val="10"/>
        <rFont val="Arial"/>
        <family val="2"/>
      </rPr>
      <t>NOT</t>
    </r>
    <r>
      <rPr>
        <sz val="10"/>
        <rFont val="Arial"/>
        <family val="2"/>
      </rPr>
      <t xml:space="preserve"> function results in a TRUE value if the Condition is FALSE.
A </t>
    </r>
    <r>
      <rPr>
        <b/>
        <sz val="10"/>
        <rFont val="Arial"/>
        <family val="2"/>
      </rPr>
      <t>NOT</t>
    </r>
    <r>
      <rPr>
        <sz val="10"/>
        <rFont val="Arial"/>
        <family val="2"/>
      </rPr>
      <t xml:space="preserve"> function results in a FALSE value if the Condition is TRUE.  </t>
    </r>
  </si>
  <si>
    <r>
      <t xml:space="preserve">An </t>
    </r>
    <r>
      <rPr>
        <b/>
        <sz val="10"/>
        <rFont val="Arial"/>
        <family val="2"/>
      </rPr>
      <t>AND</t>
    </r>
    <r>
      <rPr>
        <sz val="10"/>
        <rFont val="Arial"/>
        <family val="2"/>
      </rPr>
      <t xml:space="preserve"> function only results in a </t>
    </r>
    <r>
      <rPr>
        <b/>
        <sz val="10"/>
        <rFont val="Arial"/>
        <family val="2"/>
      </rPr>
      <t>TRUE</t>
    </r>
    <r>
      <rPr>
        <sz val="10"/>
        <rFont val="Arial"/>
        <family val="2"/>
      </rPr>
      <t xml:space="preserve"> value if </t>
    </r>
    <r>
      <rPr>
        <b/>
        <sz val="10"/>
        <rFont val="Arial"/>
        <family val="2"/>
      </rPr>
      <t>both</t>
    </r>
    <r>
      <rPr>
        <sz val="10"/>
        <rFont val="Arial"/>
        <family val="2"/>
      </rPr>
      <t xml:space="preserve"> Condition #1 </t>
    </r>
    <r>
      <rPr>
        <b/>
        <sz val="10"/>
        <rFont val="Arial"/>
        <family val="2"/>
      </rPr>
      <t>and</t>
    </r>
    <r>
      <rPr>
        <sz val="10"/>
        <rFont val="Arial"/>
        <family val="2"/>
      </rPr>
      <t xml:space="preserve"> Condition #2 are TRUE.  
An </t>
    </r>
    <r>
      <rPr>
        <b/>
        <sz val="10"/>
        <rFont val="Arial"/>
        <family val="2"/>
      </rPr>
      <t>AND</t>
    </r>
    <r>
      <rPr>
        <sz val="10"/>
        <rFont val="Arial"/>
        <family val="2"/>
      </rPr>
      <t xml:space="preserve"> function results in a </t>
    </r>
    <r>
      <rPr>
        <b/>
        <sz val="10"/>
        <rFont val="Arial"/>
        <family val="2"/>
      </rPr>
      <t>FALSE</t>
    </r>
    <r>
      <rPr>
        <sz val="10"/>
        <rFont val="Arial"/>
        <family val="2"/>
      </rPr>
      <t xml:space="preserve"> value if </t>
    </r>
    <r>
      <rPr>
        <b/>
        <sz val="10"/>
        <rFont val="Arial"/>
        <family val="2"/>
      </rPr>
      <t>either</t>
    </r>
    <r>
      <rPr>
        <sz val="10"/>
        <rFont val="Arial"/>
        <family val="2"/>
      </rPr>
      <t xml:space="preserve"> Condition #1 </t>
    </r>
    <r>
      <rPr>
        <b/>
        <sz val="10"/>
        <rFont val="Arial"/>
        <family val="2"/>
      </rPr>
      <t>or</t>
    </r>
    <r>
      <rPr>
        <sz val="10"/>
        <rFont val="Arial"/>
        <family val="2"/>
      </rPr>
      <t xml:space="preserve"> Condition #2 is FALSE.</t>
    </r>
  </si>
  <si>
    <r>
      <t xml:space="preserve">An </t>
    </r>
    <r>
      <rPr>
        <b/>
        <sz val="10"/>
        <rFont val="Arial"/>
        <family val="2"/>
      </rPr>
      <t>OR</t>
    </r>
    <r>
      <rPr>
        <sz val="10"/>
        <rFont val="Arial"/>
        <family val="2"/>
      </rPr>
      <t xml:space="preserve"> function only results in a </t>
    </r>
    <r>
      <rPr>
        <b/>
        <sz val="10"/>
        <rFont val="Arial"/>
        <family val="2"/>
      </rPr>
      <t>TRUE</t>
    </r>
    <r>
      <rPr>
        <sz val="10"/>
        <rFont val="Arial"/>
        <family val="2"/>
      </rPr>
      <t xml:space="preserve"> value if </t>
    </r>
    <r>
      <rPr>
        <b/>
        <sz val="10"/>
        <rFont val="Arial"/>
        <family val="2"/>
      </rPr>
      <t>either</t>
    </r>
    <r>
      <rPr>
        <sz val="10"/>
        <rFont val="Arial"/>
        <family val="2"/>
      </rPr>
      <t xml:space="preserve"> Condition #1 </t>
    </r>
    <r>
      <rPr>
        <b/>
        <sz val="10"/>
        <rFont val="Arial"/>
        <family val="2"/>
      </rPr>
      <t>or</t>
    </r>
    <r>
      <rPr>
        <sz val="10"/>
        <rFont val="Arial"/>
        <family val="2"/>
      </rPr>
      <t xml:space="preserve"> Condition #2 is TRUE.  
An </t>
    </r>
    <r>
      <rPr>
        <b/>
        <sz val="10"/>
        <rFont val="Arial"/>
        <family val="2"/>
      </rPr>
      <t>OR</t>
    </r>
    <r>
      <rPr>
        <sz val="10"/>
        <rFont val="Arial"/>
        <family val="2"/>
      </rPr>
      <t xml:space="preserve"> function only results in a </t>
    </r>
    <r>
      <rPr>
        <b/>
        <sz val="10"/>
        <rFont val="Arial"/>
        <family val="2"/>
      </rPr>
      <t>FALSE</t>
    </r>
    <r>
      <rPr>
        <sz val="10"/>
        <rFont val="Arial"/>
        <family val="2"/>
      </rPr>
      <t xml:space="preserve"> value if </t>
    </r>
    <r>
      <rPr>
        <b/>
        <sz val="10"/>
        <rFont val="Arial"/>
        <family val="2"/>
      </rPr>
      <t>both</t>
    </r>
    <r>
      <rPr>
        <sz val="10"/>
        <rFont val="Arial"/>
        <family val="2"/>
      </rPr>
      <t xml:space="preserve"> Condition #1 </t>
    </r>
    <r>
      <rPr>
        <b/>
        <sz val="10"/>
        <rFont val="Arial"/>
        <family val="2"/>
      </rPr>
      <t>and</t>
    </r>
    <r>
      <rPr>
        <sz val="10"/>
        <rFont val="Arial"/>
        <family val="2"/>
      </rPr>
      <t xml:space="preserve"> Condition #2 are FALSE.</t>
    </r>
  </si>
  <si>
    <t>When applying multiple conditional format rules, the order of the rules makes a difference.</t>
  </si>
  <si>
    <t>This example  maintains the same order of rules as in the previous sheet.  But it shows conditional formatting being correclty applied after disabling the conditional format rule to "Stop if true."</t>
  </si>
  <si>
    <t>Examples of various IF function uses are shown in the cells in columns I:L.  
You cannot use two operators (&lt;=, &gt;=, =, etc.) within the same logical_test argument of an IF function unless you also use OR or AND.</t>
  </si>
  <si>
    <r>
      <t xml:space="preserve">Note:  The "error alert" indicators (green triangles) in column G should be removed.  In this example, Excel is alerting you that the SUM functions in column G are omitting adjacent cells (column C) that contain numbers.  However, this is NOT a mistake in our formula--we do not want the SUM function to include column C values; therefore  </t>
    </r>
    <r>
      <rPr>
        <b/>
        <i/>
        <sz val="10"/>
        <rFont val="Arial"/>
        <family val="2"/>
      </rPr>
      <t>remove</t>
    </r>
    <r>
      <rPr>
        <sz val="10"/>
        <rFont val="Arial"/>
        <family val="2"/>
      </rPr>
      <t xml:space="preserve"> the error alert indicators .  To remove the error alert triangles, highlight  ALL of the cells containing the error alerts, then click the smart tag (exclamation road sign) or press Alt+Shift+F10 (to activate te the error alert "Smart tag") and press i to </t>
    </r>
    <r>
      <rPr>
        <b/>
        <i/>
        <sz val="10"/>
        <rFont val="Arial"/>
        <family val="2"/>
      </rPr>
      <t xml:space="preserve">Ignore Error.  </t>
    </r>
  </si>
  <si>
    <t>You should avoid “hard-coding” text phrases in IF functions and Conditional formatting rules.  The formulas columns I:L are much more flexible than those on the previous sheet.</t>
  </si>
  <si>
    <t>Using Nested IF's the formulas in column I can accommodate 3 different Credit Status choices and still accommodate possible errors.</t>
  </si>
  <si>
    <t>https://www.ablebits.com/office-addins-blog/2016/12/07/nested-if-excel-multiple-conditions/</t>
  </si>
  <si>
    <t>Mistake #1</t>
  </si>
  <si>
    <t>Mistake #2</t>
  </si>
  <si>
    <t>Mistake #3</t>
  </si>
  <si>
    <t>Conditional Formatting Rules</t>
  </si>
  <si>
    <t>Correct</t>
  </si>
  <si>
    <t>Conditional Formatting</t>
  </si>
  <si>
    <t>IF</t>
  </si>
  <si>
    <t>Comparing Items in a Long List to the Same Value</t>
  </si>
  <si>
    <t>Comparing Items in a Long List to the Same Value - Helper Column</t>
  </si>
  <si>
    <t>Comparing Items in a Long List to the Same Value - Array Formulas</t>
  </si>
  <si>
    <t>Worksheet Title</t>
  </si>
  <si>
    <t>In previous versions of Excel, this formula was NOT valid.</t>
  </si>
  <si>
    <t>Implicit intersection operator: @</t>
  </si>
  <si>
    <t>The implicit intersection operator was introduced as part of substantial upgrade to Excel's formula language to support dynamic arrays. Dynamic arrays bring significant new calculation ability and functionality to Excel.</t>
  </si>
  <si>
    <t>Upgraded Formula Language</t>
  </si>
  <si>
    <t>What is implicit intersection?</t>
  </si>
  <si>
    <t>Implicit intersection logic reduces many values to a single value. Excel did this to force a formula to return a single value, since a cell could only contain a single value. If your formula was returning a single value, then implicit intersection did nothing (even though it was technically being done in the background). The logic works as follows:</t>
  </si>
  <si>
    <t>If the value is a single item, then return the item.</t>
  </si>
  <si>
    <t>If the value is a range, then return the value from the cell on the same row or column as the formula.</t>
  </si>
  <si>
    <t>If the value is an array, then pick the top-left value.</t>
  </si>
  <si>
    <t>With the advent of dynamic arrays, Excel is no longer limited to returning single values from formulas, so silent implicit intersection is no longer necessary. Where an old formula could invisibly trigger implicit intersection, dynamic array enabled Excel shows where it would have occurred with the @.  </t>
  </si>
  <si>
    <t>Why the @ symbol? </t>
  </si>
  <si>
    <t>The @ symbol is already used in table references to indicate implicit intersection. Consider the following formula in a table =[@Column1]. Here the @ indicates that the formula should use implicit intersection to retrieve the value on the same row from [Column1].  </t>
  </si>
  <si>
    <t>Can you remove the @? </t>
  </si>
  <si>
    <t>If it returns a range or array, removing the @ will cause it to spillto the neighboring cells.</t>
  </si>
  <si>
    <t>If you remove an automatically added @ and later open the workbook in an older version of Excel, it will appear as alegacy array formula (wrapped with braces {}), this is done to ensure the older version will not trigger implicit intersection.</t>
  </si>
  <si>
    <t>When do we add the @ to old formulas? </t>
  </si>
  <si>
    <t>Generally speaking, functions that return multi-cell ranges or arrays will be prefixed with @ if they were authored in an older version of Excel. It's important to note that there is no change to the way your formula behaves — you can just see the previously invisible implicit intersection now. Common functions that could return multi-cell ranges include INDEX, OFFSET, and User Defined Functions (UDFs).  A common exception is if they are wrapped in a function that accepts an array or range (e.g. SUM() or AVERAGE()). </t>
  </si>
  <si>
    <t>See Excel functions that return ranges or arrays for more details.</t>
  </si>
  <si>
    <t>Now, this fomrula works.</t>
  </si>
  <si>
    <t>https://support.office.com/en-us/article/implicit-intersection-operator-ce3be07b-0101-4450-a24e-c1c999be2b34</t>
  </si>
  <si>
    <t>The following info is from:</t>
  </si>
  <si>
    <t>Dynamic arrays</t>
  </si>
  <si>
    <t>Hidden</t>
  </si>
  <si>
    <t>Visibility</t>
  </si>
  <si>
    <t>Use Nested IF Functions When There Are More Than 2 Choices</t>
  </si>
  <si>
    <t>Writing an IF Function That Performs a Simple Calculation</t>
  </si>
  <si>
    <t xml:space="preserve"> </t>
  </si>
  <si>
    <t>UNC_DAYT_EXCEL_2.6.1_LECTURE_RELATIONAL_OPERATORS.mp4</t>
  </si>
  <si>
    <t>Using Boolean Logical Functions to Evaluate a List of Values and Determine a Single True or False Value</t>
  </si>
  <si>
    <t>UNC_DAYT_EXCEL_2.6.2_LECTURE_RANGE_NAMES.mp4</t>
  </si>
  <si>
    <t>UNC_DAYT_EXCEL_2.6.3_LECTURE_BOOLEAN_LOGICAL_FUNCTIONS_OR_AND_NOT_IFERROR.mp4</t>
  </si>
  <si>
    <t>UNC_DAYT_EXCEL_2.6.4_LECTURE_OR_&amp;_ARRAY_FORMULAS.mp4</t>
  </si>
  <si>
    <t>UNC_DAYT_EXCEL_2.6.5_LECTURE_AND_NOT_FLEXIBLE_FORMULAS_GROUPING_ROWS.mp4</t>
  </si>
  <si>
    <t>UNC_DAYT_EXCEL_2.7.1_LECTURE_CONDITIONAL_FORMATTING.mp4</t>
  </si>
  <si>
    <t>UNC_DAYT_EXCEL_2.7.2_LECTURE_CONDITIONAL_FORMATTING_USE_A_FORMULA.mp4</t>
  </si>
  <si>
    <t>UNC_DAYT_EXCEL_2.7.3_LECTURE_IF.mp4</t>
  </si>
  <si>
    <t>UNC_DAYT_EXCEL_2.7.4_LECTURE_FLEXIBLE_IF_FORMULAS.mp4</t>
  </si>
  <si>
    <t>UNC_DAYT_EXCEL_2.7.5_LECTURE_NESTED_IF.mp4</t>
  </si>
  <si>
    <t>UNC_DAYT_EXCEL_2.7.6_LECTURE_IFS_&amp;_COMPLEX_CRITERIA.mp4</t>
  </si>
  <si>
    <t>Video Link</t>
  </si>
  <si>
    <t xml:space="preserve">1 IF results in 2 outcomes:  </t>
  </si>
  <si>
    <t xml:space="preserve">value_if_true,  </t>
  </si>
  <si>
    <t>value_if_false</t>
  </si>
  <si>
    <t xml:space="preserve">value_if_true1,  </t>
  </si>
  <si>
    <t xml:space="preserve">value_if_true2,  </t>
  </si>
  <si>
    <t>value_if_true2,</t>
  </si>
  <si>
    <t xml:space="preserve">value_if_true3,  </t>
  </si>
  <si>
    <t>= IF( logical_test,      value_if_true,     value_if_false )</t>
  </si>
  <si>
    <t>Use Nested IF Functions for Error Checking</t>
  </si>
  <si>
    <t>*</t>
  </si>
  <si>
    <t>More info:</t>
  </si>
  <si>
    <t>Super</t>
  </si>
  <si>
    <t>Horrible</t>
  </si>
  <si>
    <t>= IF( logical_test1,   value_if_true1,   IF( logical_test2,  value_if_true2,  value_if_false ) )</t>
  </si>
  <si>
    <t>= IF( logical_test1,  value_if_true1,   IF( logical_test2,  value_if_true2,  value_if_anything_else) )</t>
  </si>
  <si>
    <t>= IF( logical_test1,  value_if_true1,
   IF( logical_test2,  value_if_true2,
                             value_if_anything_else  ) )</t>
  </si>
  <si>
    <r>
      <t xml:space="preserve">= IFS( logical_test1,  value_if_true1,   logical_test1_is false,   </t>
    </r>
    <r>
      <rPr>
        <sz val="10"/>
        <color rgb="FF0070C0"/>
        <rFont val="Arial"/>
        <family val="2"/>
      </rPr>
      <t>value_if_true2</t>
    </r>
    <r>
      <rPr>
        <sz val="10"/>
        <rFont val="Arial"/>
        <family val="2"/>
      </rPr>
      <t>, ...)</t>
    </r>
  </si>
  <si>
    <t>or</t>
  </si>
  <si>
    <t>2 IF functions result in 2 outcomes with error checking</t>
  </si>
  <si>
    <r>
      <t xml:space="preserve">= IFS( logical_test1,  value_if_true1,          TRUE,                  </t>
    </r>
    <r>
      <rPr>
        <sz val="10"/>
        <color rgb="FF0070C0"/>
        <rFont val="Arial"/>
        <family val="2"/>
      </rPr>
      <t>value_if_logical_test1_is_false</t>
    </r>
    <r>
      <rPr>
        <sz val="10"/>
        <rFont val="Arial"/>
        <family val="2"/>
      </rPr>
      <t xml:space="preserve">, ...)      </t>
    </r>
  </si>
  <si>
    <r>
      <t xml:space="preserve">= IFS( logical_test1,  value_if_true1,      logical_test2,            </t>
    </r>
    <r>
      <rPr>
        <sz val="10"/>
        <color rgb="FF0070C0"/>
        <rFont val="Arial"/>
        <family val="2"/>
      </rPr>
      <t>value_if_true2</t>
    </r>
    <r>
      <rPr>
        <sz val="10"/>
        <rFont val="Arial"/>
        <family val="2"/>
      </rPr>
      <t>, ...)</t>
    </r>
  </si>
  <si>
    <r>
      <t xml:space="preserve">= IFS( logical_test1,  value_if_true1,          TRUE,                  </t>
    </r>
    <r>
      <rPr>
        <sz val="10"/>
        <color rgb="FF0070C0"/>
        <rFont val="Arial"/>
        <family val="2"/>
      </rPr>
      <t>value_if_true2</t>
    </r>
    <r>
      <rPr>
        <sz val="10"/>
        <rFont val="Arial"/>
        <family val="2"/>
      </rPr>
      <t xml:space="preserve">, ...)      </t>
    </r>
  </si>
  <si>
    <r>
      <t xml:space="preserve">= IF  ( logical_test,    value_if_true,                                      </t>
    </r>
    <r>
      <rPr>
        <sz val="10"/>
        <color rgb="FF0070C0"/>
        <rFont val="Arial"/>
        <family val="2"/>
      </rPr>
      <t>value_if_false</t>
    </r>
    <r>
      <rPr>
        <sz val="10"/>
        <rFont val="Arial"/>
        <family val="2"/>
      </rPr>
      <t xml:space="preserve"> )</t>
    </r>
  </si>
  <si>
    <t>Use a Single IFS as an Alternative to Nested IF Functions</t>
  </si>
  <si>
    <t>3 outcomes with error checking</t>
  </si>
  <si>
    <t>3 IF functions</t>
  </si>
  <si>
    <t>= IF  ( logical_test1,  value_if_true1, IF( logical_test2,  value_if_true2,  IF( logical_test3,   value_if_true3,                        value_if_false )  ) )</t>
  </si>
  <si>
    <t>= IFS( logical_test1,  value_if_true1,     logical_test2,  value_if_true2,       logical_test3,   value_if_true3,   logical_test4,  value_if_true4)</t>
  </si>
  <si>
    <t>2 outcomes with error checking</t>
  </si>
  <si>
    <t>2 IF functions</t>
  </si>
  <si>
    <t>1 IFS function</t>
  </si>
  <si>
    <t>(with 4 pairs of logical_test/value_if_true arguments)</t>
  </si>
  <si>
    <r>
      <t xml:space="preserve">= IFS( logical_test1,  value_if_true1,
          logical_test2,  value_if_true2,
          logical_test3,  value_if_true3,
          logical_test4,  </t>
    </r>
    <r>
      <rPr>
        <sz val="10"/>
        <color rgb="FFFF0000"/>
        <rFont val="Arial"/>
        <family val="2"/>
      </rPr>
      <t>value_if_true4</t>
    </r>
    <r>
      <rPr>
        <sz val="10"/>
        <rFont val="Arial"/>
        <family val="2"/>
      </rPr>
      <t xml:space="preserve"> ) ) )</t>
    </r>
  </si>
  <si>
    <r>
      <t xml:space="preserve">= IFS( logical_test1,  value_if_true1,
          logical_test2,  value_if_true2,
          logical_test3,  value_if_true3,
          logical_test4,  </t>
    </r>
    <r>
      <rPr>
        <sz val="10"/>
        <color rgb="FFFF0000"/>
        <rFont val="Arial"/>
        <family val="2"/>
      </rPr>
      <t>value_if_anything_else</t>
    </r>
    <r>
      <rPr>
        <sz val="10"/>
        <rFont val="Arial"/>
        <family val="2"/>
      </rPr>
      <t xml:space="preserve"> ) ) )</t>
    </r>
  </si>
  <si>
    <r>
      <t xml:space="preserve">= IFS( logical_test1,  value_if_true1,
          logical_test2,  value_if_true2,
          logical_test3,  value_if_true3,
          </t>
    </r>
    <r>
      <rPr>
        <sz val="10"/>
        <color rgb="FFFF0000"/>
        <rFont val="Arial"/>
        <family val="2"/>
      </rPr>
      <t>TRUE</t>
    </r>
    <r>
      <rPr>
        <sz val="10"/>
        <rFont val="Arial"/>
        <family val="2"/>
      </rPr>
      <t xml:space="preserve">,            </t>
    </r>
    <r>
      <rPr>
        <sz val="10"/>
        <color rgb="FFFF0000"/>
        <rFont val="Arial"/>
        <family val="2"/>
      </rPr>
      <t>value_if_anything_else</t>
    </r>
    <r>
      <rPr>
        <sz val="10"/>
        <rFont val="Arial"/>
        <family val="2"/>
      </rPr>
      <t xml:space="preserve"> ) ) )</t>
    </r>
  </si>
  <si>
    <t>1 IF Function</t>
  </si>
  <si>
    <t>Outcomes</t>
  </si>
  <si>
    <t>2 Outcomes</t>
  </si>
  <si>
    <t>2 Outcomes with error checking</t>
  </si>
  <si>
    <t>3 Outcomes with error checking</t>
  </si>
  <si>
    <r>
      <t xml:space="preserve">= IFS( logical_test1,              value_if_true1,
          logical_test2,               value_if_true2,
          logical_test3,               value_if_true3,
          </t>
    </r>
    <r>
      <rPr>
        <sz val="10"/>
        <color rgb="FFFF0000"/>
        <rFont val="Arial"/>
        <family val="2"/>
      </rPr>
      <t>prev_tests_are_false</t>
    </r>
    <r>
      <rPr>
        <sz val="10"/>
        <rFont val="Arial"/>
        <family val="2"/>
      </rPr>
      <t xml:space="preserve">,    </t>
    </r>
    <r>
      <rPr>
        <sz val="10"/>
        <color rgb="FFFF0000"/>
        <rFont val="Arial"/>
        <family val="2"/>
      </rPr>
      <t>value_if_prev_tests_are_false</t>
    </r>
    <r>
      <rPr>
        <sz val="10"/>
        <rFont val="Arial"/>
        <family val="2"/>
      </rPr>
      <t xml:space="preserve"> ) ) )</t>
    </r>
  </si>
  <si>
    <t>Shipping Method</t>
  </si>
  <si>
    <t>Unit Shipping Cost</t>
  </si>
  <si>
    <t>Please note:  In the next Chapter we'll learn to use a better alternative to the Nested IF shown in this example.  However, it is still important to understand how to use Nested IF.</t>
  </si>
  <si>
    <t>Please note:  In the next Chapter we'll learn to use a better alternative to the IFS shown in this example.  However, it is still important to understand how to use IFS.</t>
  </si>
  <si>
    <t>Please note:  In the next Chapter we'll learn to use a better alternative to the IFS shown in this example.  However, it is still important to understand how to use IFS since sometimes it must be used.</t>
  </si>
  <si>
    <t>With stragic of ordering of logical tests and proper use of &lt; vs &gt;, the use of AND can be avoided.</t>
  </si>
  <si>
    <t>Nested IF with &lt;</t>
  </si>
  <si>
    <t>Using IFS Instead of Nested IF with &lt;</t>
  </si>
  <si>
    <t>Using IFS Instead of Nested IF with =</t>
  </si>
  <si>
    <t>Nested IF with the AND function</t>
  </si>
  <si>
    <t>This is not the best way to tackle this problem.  This formula is more comlicated than needed.</t>
  </si>
  <si>
    <t>Nested IF with &gt;=</t>
  </si>
  <si>
    <t>This method may not be as intuitive because it requires starting at the bottom of the Unit Pricing table and working back up.</t>
  </si>
  <si>
    <t>The IFS function does not have a “Value_if_false” argument.</t>
  </si>
  <si>
    <t>(since it only “kicks in” and gets activated when none of the other logical_tests are TRUE).</t>
  </si>
  <si>
    <t>So the final pair of  “logical_test#, value_if_true#” arguments essentially serves as a “value_if_false” argument</t>
  </si>
  <si>
    <t>FILTER function</t>
  </si>
  <si>
    <t>RANDARRAY function</t>
  </si>
  <si>
    <t>SEQUENCE function</t>
  </si>
  <si>
    <t>SORT function</t>
  </si>
  <si>
    <t>SORTBY function</t>
  </si>
  <si>
    <t>UNIQUE function</t>
  </si>
  <si>
    <t>#SPILL! errors in Excel</t>
  </si>
  <si>
    <t>Dynamic arrays and spilled array behavior</t>
  </si>
  <si>
    <t>New functions...</t>
  </si>
  <si>
    <t>https://support.office.com/en-us/f1/topic/sort-function-22f63bd0-ccc8-492f-953d-c20e8e44b86c</t>
  </si>
  <si>
    <t>https://support.office.com/en-us/f1/topic/unique-function-c5ab87fd-30a3-4ce9-9d1a-40204fb85e1e</t>
  </si>
  <si>
    <t>https://support.office.com/en-us/f1/topic/sortby-function-cd2d7a62-1b93-435c-b561-d6a35134f28</t>
  </si>
  <si>
    <t>https://support.office.com/en-us/f1/topic/sequence-function-57467a98-57e0-4817-9f14-2eb78519ca90</t>
  </si>
  <si>
    <t>https://support.office.com/en-us/f1/topic/randarray-function-21261e55-3bec-4885-86a6-8b0a47fd4d33</t>
  </si>
  <si>
    <t>https://support.office.com/en-us/f1/topic/filter-function-f4f7cb66-82eb-4767-8f7c-4877ad80c759</t>
  </si>
  <si>
    <t>Spilling</t>
  </si>
  <si>
    <t>(The following info is from Microsoft's Help.)</t>
  </si>
  <si>
    <t>Dynamic array formulas and spilled array behavior</t>
  </si>
  <si>
    <r>
      <t xml:space="preserve">Excel formulas that return a set of values, also known as an array, return these values to neighboring cells. This behavior is called </t>
    </r>
    <r>
      <rPr>
        <sz val="11"/>
        <color rgb="FF363636"/>
        <rFont val="Segoe UI"/>
        <family val="2"/>
      </rPr>
      <t>spilling</t>
    </r>
    <r>
      <rPr>
        <sz val="11"/>
        <color rgb="FF363636"/>
        <rFont val="Segoe UI"/>
        <family val="2"/>
      </rPr>
      <t>.</t>
    </r>
  </si>
  <si>
    <r>
      <t xml:space="preserve">Formulas that can return arrays of variable size are called </t>
    </r>
    <r>
      <rPr>
        <sz val="11"/>
        <color rgb="FF363636"/>
        <rFont val="Segoe UI"/>
        <family val="2"/>
      </rPr>
      <t xml:space="preserve">dynamic array </t>
    </r>
    <r>
      <rPr>
        <sz val="11"/>
        <color rgb="FF363636"/>
        <rFont val="Segoe UI"/>
        <family val="2"/>
      </rPr>
      <t xml:space="preserve">formulas. Formulas that are currently returning arrays that are successfully spilling can be referred to as  </t>
    </r>
    <r>
      <rPr>
        <sz val="11"/>
        <color rgb="FF363636"/>
        <rFont val="Segoe UI"/>
        <family val="2"/>
      </rPr>
      <t xml:space="preserve">spilled array </t>
    </r>
    <r>
      <rPr>
        <sz val="11"/>
        <color rgb="FF363636"/>
        <rFont val="Segoe UI"/>
        <family val="2"/>
      </rPr>
      <t>formulas. </t>
    </r>
  </si>
  <si>
    <t>Following are some notes to help you understand and use these type of formulas. </t>
  </si>
  <si>
    <t>What does spill mean?</t>
  </si>
  <si>
    <r>
      <t>Note:</t>
    </r>
    <r>
      <rPr>
        <sz val="11"/>
        <color rgb="FF363636"/>
        <rFont val="Segoe UI"/>
        <family val="2"/>
      </rPr>
      <t xml:space="preserve"> Older array formulas, known as </t>
    </r>
    <r>
      <rPr>
        <sz val="11"/>
        <color rgb="FF363636"/>
        <rFont val="Segoe UI"/>
        <family val="2"/>
      </rPr>
      <t>legacy array</t>
    </r>
    <r>
      <rPr>
        <sz val="11"/>
        <color rgb="FF363636"/>
        <rFont val="Segoe UI"/>
        <family val="2"/>
      </rPr>
      <t xml:space="preserve"> formulas, always return a fixed-size result - they always spill into the same number of cells. The spilling behavior described in this topic does not apply to legacy array formulas.</t>
    </r>
  </si>
  <si>
    <r>
      <t xml:space="preserve">Spill means that a formula has resulted in multiple values, and those values have been placed in the neighboring cells. For example, </t>
    </r>
    <r>
      <rPr>
        <sz val="11"/>
        <color rgb="FF363636"/>
        <rFont val="Segoe UI"/>
        <family val="2"/>
      </rPr>
      <t>=SORT(D2:D11,1,-1),</t>
    </r>
    <r>
      <rPr>
        <sz val="11"/>
        <color rgb="FF363636"/>
        <rFont val="Segoe UI"/>
        <family val="2"/>
      </rPr>
      <t xml:space="preserve"> which sorts an array in descending order, would return a corresponding array that's 10 rows tall. But you only need to enter the formula in the top left cell, or F2 in this case, and it will automatically spill down to cell F11.</t>
    </r>
  </si>
  <si>
    <t>Key points</t>
  </si>
  <si>
    <t>﻿When you press Enter to confirm your formula, Excel will dynamically size the output range for you, and place the results into each cell within that range.</t>
  </si>
  <si>
    <t>If you are writing a dynamic array formula to act on a list of data, it can be useful to place it in an Excel table, then use structured references to refer to the data. This is because structured references automatically adjust as rows are added or removed from the table.</t>
  </si>
  <si>
    <t>Spilled array formulas are not supported in Excel tables themselves, so you should place them in the grid outside of the Table. Tables are best suited to holding rows and columns of independent data.</t>
  </si>
  <si>
    <t>Once you enter a spilled array formula, when you select any cell within the spill area, Excel will place a highlighted border around the range. The border will disappear when you select a cell outside of the area.</t>
  </si>
  <si>
    <r>
      <t xml:space="preserve">Only the first cell in the spill area is editable. If you select another cell in the spill area, the formula will be visible in the formula bar, but the text is "ghosted", and can't be changed. If you need to update the formula, you should select the top-left cell in the array range, change it as needed, then Excel will automatically update the rest of the spill area for you when you press </t>
    </r>
    <r>
      <rPr>
        <sz val="11"/>
        <color rgb="FF363636"/>
        <rFont val="Segoe UI"/>
        <family val="2"/>
      </rPr>
      <t>Enter</t>
    </r>
    <r>
      <rPr>
        <sz val="11"/>
        <color rgb="FF363636"/>
        <rFont val="Segoe UI"/>
        <family val="2"/>
      </rPr>
      <t>.</t>
    </r>
  </si>
  <si>
    <r>
      <t xml:space="preserve">Formula overlap - Array formulas can't be input if there is anything blocking the output range. and if this happens, Excel will return a </t>
    </r>
    <r>
      <rPr>
        <sz val="11"/>
        <color rgb="FF363636"/>
        <rFont val="Segoe UI"/>
        <family val="2"/>
      </rPr>
      <t>#SPILL!</t>
    </r>
    <r>
      <rPr>
        <sz val="11"/>
        <color rgb="FF363636"/>
        <rFont val="Segoe UI"/>
        <family val="2"/>
      </rPr>
      <t xml:space="preserve"> error indicating that there is a blockage. If you remove the blockage, the formula will spill as expected. In the example below, the formula's output range overlaps another range with data, and is shown with a dotted border overlapping cells with values indicating that it can't spill. Remove the blocking data, or copy it somewhere else, and the formula will spill as expected.</t>
    </r>
  </si>
  <si>
    <r>
      <t xml:space="preserve">Legacy array formulas entered via CTRL+SHIFT+ENTER (CSE) are still supported for back compatibility reasons, but should no longer be used. If you like, you can convert legacy array formulas to dynamic array formulas by locating the first cell in the array range, copy the text of the formula, delete the entire range of the legacy array, and then re-enter the formula in the top left cell. Before upgrading legacy array formulas to dynamic array formulas, you should be aware of some </t>
    </r>
    <r>
      <rPr>
        <i/>
        <sz val="11"/>
        <color rgb="FF363636"/>
        <rFont val="Segoe UI"/>
        <family val="2"/>
      </rPr>
      <t>calculation differences</t>
    </r>
    <r>
      <rPr>
        <sz val="11"/>
        <color rgb="FF363636"/>
        <rFont val="Segoe UI"/>
        <family val="2"/>
      </rPr>
      <t xml:space="preserve"> between the two.</t>
    </r>
  </si>
  <si>
    <t>(calculation differences)</t>
  </si>
  <si>
    <r>
      <t xml:space="preserve">Excel has limited support for dynamic arrays between workbooks, and this scenario is only supported when both workbooks are open. If you close the source workbook, any linked dynamic array formulas will return a </t>
    </r>
    <r>
      <rPr>
        <i/>
        <sz val="11"/>
        <color rgb="FF363636"/>
        <rFont val="Segoe UI"/>
        <family val="2"/>
      </rPr>
      <t>#REF! error</t>
    </r>
    <r>
      <rPr>
        <sz val="11"/>
        <color rgb="FF363636"/>
        <rFont val="Segoe UI"/>
        <family val="2"/>
      </rPr>
      <t xml:space="preserve"> when they are refreshed.</t>
    </r>
  </si>
  <si>
    <t>(#REF! error)</t>
  </si>
  <si>
    <t>Need more help?</t>
  </si>
  <si>
    <t>You can always ask an expert in the Excel Tech Community, get support in the Answers community, or suggest a new feature or improvement on Excel User Voice.</t>
  </si>
  <si>
    <t>See Also</t>
  </si>
  <si>
    <t>Functions Covered in this Chapter</t>
  </si>
  <si>
    <t>IFERROR</t>
  </si>
  <si>
    <t>IFS</t>
  </si>
  <si>
    <t>IS Functions</t>
  </si>
  <si>
    <t>ISBLANK</t>
  </si>
  <si>
    <t>ISERR</t>
  </si>
  <si>
    <t>ISERROR</t>
  </si>
  <si>
    <t>ISLOGICAL</t>
  </si>
  <si>
    <t>ISNA</t>
  </si>
  <si>
    <t>ISNONTEXT</t>
  </si>
  <si>
    <t>ISNUMBER</t>
  </si>
  <si>
    <t>ISREF</t>
  </si>
  <si>
    <t>ISTEXT</t>
  </si>
  <si>
    <t>Value refers to a number</t>
  </si>
  <si>
    <t>Value refers to a reference</t>
  </si>
  <si>
    <t>Value refers to text</t>
  </si>
  <si>
    <t>IS Function</t>
  </si>
  <si>
    <t>ISEVEN</t>
  </si>
  <si>
    <t>ISFORMULA</t>
  </si>
  <si>
    <t>ISODD</t>
  </si>
  <si>
    <t>Value refers to any error value except #N/A.</t>
  </si>
  <si>
    <t>Value refers to a logical value.</t>
  </si>
  <si>
    <t>Value refers to the #N/A (value not available) error value.</t>
  </si>
  <si>
    <t>Value refers to any item that is not text.
(Note that this function returns TRUE if the value refers to a blank cell.)</t>
  </si>
  <si>
    <t>Number is even, or FALSE if number is odd.</t>
  </si>
  <si>
    <t>Number is odd, or FALSE if number is even.</t>
  </si>
  <si>
    <t>Returns TRUE if...</t>
  </si>
  <si>
    <t>Note:  These functions are introduced in Chapter 5 of the textbook.</t>
  </si>
  <si>
    <t>Value refers to an empty cell.</t>
  </si>
  <si>
    <t>Notes</t>
  </si>
  <si>
    <t>Value refers to any error value.
(#N/A, #VALUE!, #REF!, #DIV/0!, #NUM!, #NAME?, OR #NULL!)</t>
  </si>
  <si>
    <r>
      <t xml:space="preserve">Can also be accomplished with  </t>
    </r>
    <r>
      <rPr>
        <sz val="10"/>
        <color rgb="FFFF0000"/>
        <rFont val="Arial"/>
        <family val="2"/>
      </rPr>
      <t xml:space="preserve">=""  </t>
    </r>
  </si>
  <si>
    <t>Cell contains a formula.</t>
  </si>
  <si>
    <t>Result</t>
  </si>
  <si>
    <t>Sample Formula</t>
  </si>
  <si>
    <t>"TRUE"</t>
  </si>
  <si>
    <t>Sample Data</t>
  </si>
  <si>
    <t>xyz1</t>
  </si>
  <si>
    <t>https://support.microsoft.com/en-us/office/is-functions-0f2d7971-6019-40a0-a171-f2d869135665</t>
  </si>
  <si>
    <t>IS Functions:</t>
  </si>
  <si>
    <t>Dynamic Arrays</t>
  </si>
  <si>
    <t>Sort your data</t>
  </si>
  <si>
    <t>Names</t>
  </si>
  <si>
    <t>Peter</t>
  </si>
  <si>
    <t>John</t>
  </si>
  <si>
    <t>Simon</t>
  </si>
  <si>
    <t>Charles</t>
  </si>
  <si>
    <t>Jame</t>
  </si>
  <si>
    <t>Alison</t>
  </si>
  <si>
    <t>Sorted</t>
  </si>
  <si>
    <t>Mary</t>
  </si>
  <si>
    <t>Clean your data</t>
  </si>
  <si>
    <t>No Dup</t>
  </si>
  <si>
    <t>Jane</t>
  </si>
  <si>
    <t>Filter your data</t>
  </si>
  <si>
    <t>Choice</t>
  </si>
  <si>
    <t>Meat</t>
  </si>
  <si>
    <t>Veg</t>
  </si>
  <si>
    <t>Veg Only</t>
  </si>
  <si>
    <t>https://techcommunity.microsoft.com/t5/excel-blog/preview-of-dynamic-arrays-in-excel/ba-p/252944</t>
  </si>
  <si>
    <t>Spill range blocked</t>
  </si>
  <si>
    <t>New Functions</t>
  </si>
  <si>
    <t>Here is the full set of functions that will be accompanying dynamic arrays.</t>
  </si>
  <si>
    <t>FILTER </t>
  </si>
  <si>
    <t xml:space="preserve"> filters an array of data based on criteria you define.</t>
  </si>
  <si>
    <t>UNIQUE </t>
  </si>
  <si>
    <t xml:space="preserve"> returns a list of unique values from a list or range.</t>
  </si>
  <si>
    <t>SORT </t>
  </si>
  <si>
    <t xml:space="preserve"> sorts an array of values.</t>
  </si>
  <si>
    <t>SORTBY </t>
  </si>
  <si>
    <t xml:space="preserve"> sorts an array based on a corresponding array.</t>
  </si>
  <si>
    <t>SEQUENCE </t>
  </si>
  <si>
    <t xml:space="preserve"> generates a list of sequential numbers, such as 1, 2, 3, 4.</t>
  </si>
  <si>
    <t>RANDARRAY </t>
  </si>
  <si>
    <t xml:space="preserve"> returns an array of random numbers between 0 and 1.</t>
  </si>
  <si>
    <t>Learn More</t>
  </si>
  <si>
    <t>You can learn more about dynamic arrays from these resources:</t>
  </si>
  <si>
    <t>the spilled range operator and how to use it</t>
  </si>
  <si>
    <t>the various dynamic array behaviors </t>
  </si>
  <si>
    <t>how dynamic arrays compare to legacy array formulas</t>
  </si>
  <si>
    <t>new #SPILL error and scenarios that can trigger it</t>
  </si>
  <si>
    <t>implicit intersection and dynamic arrays</t>
  </si>
  <si>
    <t>dynamic arrays in prior versions of Excel</t>
  </si>
  <si>
    <t>Native to Excel</t>
  </si>
  <si>
    <t>Numbers</t>
  </si>
  <si>
    <t>Repeat</t>
  </si>
  <si>
    <t>Sqrt</t>
  </si>
  <si>
    <t>Multiplication Table</t>
  </si>
  <si>
    <t>https://techcommunity.microsoft.com/t5/excel-blog/excel-dynamic-array-improvements/ba-p/332070</t>
  </si>
  <si>
    <t>Referencing the spill range</t>
  </si>
  <si>
    <t>Sales Table</t>
  </si>
  <si>
    <t>Product</t>
  </si>
  <si>
    <t>Banana</t>
  </si>
  <si>
    <t>Orange</t>
  </si>
  <si>
    <t>Pear</t>
  </si>
  <si>
    <t>Apple</t>
  </si>
  <si>
    <t>Video Length</t>
  </si>
  <si>
    <t>Segment</t>
  </si>
  <si>
    <t>= IF( logical_test,    value_if_true,   value_if_false )</t>
  </si>
  <si>
    <t>Dynamic Arrays 2</t>
  </si>
  <si>
    <t>Relational Operators &amp; Boolean Functions</t>
  </si>
  <si>
    <t xml:space="preserve">  (value_if_anything_else)</t>
  </si>
  <si>
    <t>IF &amp; Nested IF</t>
  </si>
  <si>
    <t>% Difference</t>
  </si>
  <si>
    <t>Purple State</t>
  </si>
  <si>
    <t>Recount</t>
  </si>
  <si>
    <t>Applying Conditional Formatting - "Stop if True" Rule Option</t>
  </si>
  <si>
    <r>
      <t xml:space="preserve">Rule #2
</t>
    </r>
    <r>
      <rPr>
        <b/>
        <sz val="10"/>
        <color rgb="FFFF0000"/>
        <rFont val="Arial"/>
        <family val="2"/>
      </rPr>
      <t>OR</t>
    </r>
  </si>
  <si>
    <r>
      <t xml:space="preserve">Rule #3
</t>
    </r>
    <r>
      <rPr>
        <b/>
        <sz val="10"/>
        <color rgb="FFFF0000"/>
        <rFont val="Arial"/>
        <family val="2"/>
      </rPr>
      <t>AND</t>
    </r>
  </si>
  <si>
    <r>
      <t xml:space="preserve">Rule #1
</t>
    </r>
    <r>
      <rPr>
        <b/>
        <sz val="10"/>
        <color rgb="FFFF0000"/>
        <rFont val="Arial"/>
        <family val="2"/>
      </rPr>
      <t>Simple</t>
    </r>
  </si>
  <si>
    <t>FILTER</t>
  </si>
  <si>
    <t>RANDARRAY</t>
  </si>
  <si>
    <t>SEQUENCE</t>
  </si>
  <si>
    <t>SORT</t>
  </si>
  <si>
    <t>SORTBY</t>
  </si>
  <si>
    <t>UNIQUE</t>
  </si>
  <si>
    <t>Excel's upgraded formula language is almost identical to the old language, except that it uses the @ operator to indicate where implicit intersection could occur, whereas the old language did this silently. As a result, you may notice @'s appear in some formulas when opened in dynamic array Excel. It's important to note that your formulas will continue to calculate the same way they always have.  </t>
  </si>
  <si>
    <t>Often you can. It depends on what the part of the formula to the right of the @ returns:  
 If it returns a single value (the most common case), there will be no change by removing the @.</t>
  </si>
  <si>
    <t>Rule #1</t>
  </si>
  <si>
    <t xml:space="preserve">Changes a single TRUE value to FALSE </t>
  </si>
  <si>
    <t>or a single FALSE value to TRUE.</t>
  </si>
  <si>
    <r>
      <t xml:space="preserve">The cells in the Net Worth column use conditional formatting's </t>
    </r>
    <r>
      <rPr>
        <b/>
        <sz val="10"/>
        <rFont val="Arial"/>
        <family val="2"/>
      </rPr>
      <t>Format only top or bottom ranked values</t>
    </r>
    <r>
      <rPr>
        <sz val="10"/>
        <rFont val="Arial"/>
        <family val="2"/>
      </rPr>
      <t xml:space="preserve"> option to format the  font of the highest net worth bold and green, and the lowest net worth as bold and red.</t>
    </r>
  </si>
  <si>
    <t>Mistake #4</t>
  </si>
  <si>
    <t>Examples of various IF function uses are shown in the cells in columns I:L.  
You cannot use two operators (&lt;=, &gt;=, =, etc.) within the same logical_test argument of an IF function unless you also use OR or AND.</t>
  </si>
  <si>
    <t>Even though there appear to be only 2 choices for the Current Credit Status, your formulas need to be able to consider blank or erroneous data.</t>
  </si>
  <si>
    <t xml:space="preserve">   IF( logical_test2,  value_if_true2,</t>
  </si>
  <si>
    <t xml:space="preserve">   IF( logical_test3,  value_if_true3,</t>
  </si>
  <si>
    <t xml:space="preserve">                             value_if_false ) ) )</t>
  </si>
  <si>
    <t xml:space="preserve">                             value_if_anything_else ) ) )</t>
  </si>
  <si>
    <t>= IF( logical_test1,  value_if_true1,</t>
  </si>
  <si>
    <t>= IF( logical_test1,   value_if_true1,   
    IF( logical_test2,    value_if_true2,    
    IF( logical_test3,   value_if_true3,   value_if_false )  ) )</t>
  </si>
  <si>
    <t>= IF( logical_test1,   value_if_true1,  
    IF( logical_test2,  value_if_true2,  value_if_false ) )</t>
  </si>
  <si>
    <t xml:space="preserve">Rather than =IF(ISERROR(...)), </t>
  </si>
  <si>
    <t xml:space="preserve">  it is simpler to use =IFERROR(...)</t>
  </si>
  <si>
    <t>INVALID USE OF OPERATORS</t>
  </si>
  <si>
    <t>Between</t>
  </si>
  <si>
    <t>The use of multiple operators for multiple comparisons is NOT possible!!</t>
  </si>
  <si>
    <t>OR cannot be used for a "Between" calculation</t>
  </si>
  <si>
    <t>VALID USE OF AND for "Between"</t>
  </si>
  <si>
    <t>INVALID USE OF OR for "Between"</t>
  </si>
  <si>
    <t>More Practice with Conditional Formatting Rules</t>
  </si>
  <si>
    <t>Election 2000 - With IFS</t>
  </si>
  <si>
    <t>Election 2000 - Nested IF Functions</t>
  </si>
  <si>
    <t>Total Video Length</t>
  </si>
  <si>
    <t>Applying Logic in Decision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</si>
</sst>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_(&quot;$&quot;* #,##0.00_);_(&quot;$&quot;* \(#,##0.00\);_(&quot;$&quot;* &quot;0&quot;??_);_(@_)"/>
    <numFmt numFmtId="166" formatCode="_(* #,##0.0_);_(* \(#,##0.0\);_(* &quot;-&quot;??_);_(@_)"/>
    <numFmt numFmtId="167" formatCode="_(* #,##0_);_(* \(#,##0\);_(* &quot;-&quot;??_);_(@_)"/>
    <numFmt numFmtId="168" formatCode="&quot;- &quot;General"/>
    <numFmt numFmtId="169" formatCode="m/d/yyyy\ h:mm\ AM/PM"/>
    <numFmt numFmtId="170" formatCode="&quot;$&quot;_(* #,##0_);&quot;$&quot;_(* \(#,##0\);&quot;$&quot;_(* 0_);_(@_)"/>
    <numFmt numFmtId="171" formatCode="_$#,##0"/>
    <numFmt numFmtId="172" formatCode="_(* #,##0_);_(* \(#,##0\);_(* 0_);_(@_)"/>
    <numFmt numFmtId="173" formatCode="_(&quot;$&quot;* #,##0_);_(&quot;$&quot;* \(#,##0\);_(&quot;$&quot;* 0_);_(@_)"/>
    <numFmt numFmtId="174" formatCode="&quot;$&quot;#,##0"/>
    <numFmt numFmtId="175" formatCode="&quot; &quot;@* &quot; &quot;"/>
    <numFmt numFmtId="176" formatCode="0.0000"/>
    <numFmt numFmtId="177" formatCode="&quot;to &quot;General"/>
    <numFmt numFmtId="178" formatCode="[&lt;0.0415]m&quot;m&quot;\ s&quot;s&quot;;[h]&quot;h&quot;\ m&quot;m&quot;\ s&quot;s&quot;;@"/>
    <numFmt numFmtId="179" formatCode="[&lt;0.0415]m&quot;min&quot;\ s&quot;sec&quot;;[h]&quot;hr&quot;\ m&quot;min&quot;\ s&quot;sec&quot;;@"/>
    <numFmt numFmtId="180" formatCode="&quot;&lt;=&quot;0.00%"/>
  </numFmts>
  <fonts count="60" x14ac:knownFonts="1">
    <font>
      <sz val="10"/>
      <name val="Arial"/>
    </font>
    <font>
      <sz val="10"/>
      <name val="Arial"/>
      <family val="2"/>
    </font>
    <font>
      <sz val="8"/>
      <name val="Arial"/>
      <family val="2"/>
    </font>
    <font>
      <b/>
      <sz val="10"/>
      <name val="Arial"/>
      <family val="2"/>
    </font>
    <font>
      <u/>
      <sz val="10"/>
      <color indexed="12"/>
      <name val="Arial"/>
      <family val="2"/>
    </font>
    <font>
      <b/>
      <sz val="12"/>
      <name val="Arial"/>
      <family val="2"/>
    </font>
    <font>
      <sz val="10"/>
      <name val="Arial"/>
      <family val="2"/>
    </font>
    <font>
      <sz val="12"/>
      <name val="Arial"/>
      <family val="2"/>
    </font>
    <font>
      <sz val="9"/>
      <name val="Arial"/>
      <family val="2"/>
    </font>
    <font>
      <b/>
      <sz val="14"/>
      <name val="Arial"/>
      <family val="2"/>
    </font>
    <font>
      <sz val="10"/>
      <color indexed="12"/>
      <name val="Arial"/>
      <family val="2"/>
    </font>
    <font>
      <sz val="8"/>
      <color indexed="81"/>
      <name val="Tahoma"/>
      <family val="2"/>
    </font>
    <font>
      <b/>
      <i/>
      <sz val="10"/>
      <color rgb="FF000000"/>
      <name val="Arial"/>
      <family val="2"/>
    </font>
    <font>
      <sz val="10"/>
      <color rgb="FF000000"/>
      <name val="Arial"/>
      <family val="2"/>
    </font>
    <font>
      <b/>
      <sz val="10"/>
      <color indexed="12"/>
      <name val="Arial"/>
      <family val="2"/>
    </font>
    <font>
      <b/>
      <sz val="10"/>
      <color indexed="10"/>
      <name val="Arial"/>
      <family val="2"/>
    </font>
    <font>
      <sz val="10"/>
      <color rgb="FF000000"/>
      <name val="Calibri"/>
      <family val="2"/>
    </font>
    <font>
      <sz val="9"/>
      <color indexed="81"/>
      <name val="Tahoma"/>
      <family val="2"/>
    </font>
    <font>
      <b/>
      <sz val="9"/>
      <color indexed="81"/>
      <name val="Tahoma"/>
      <family val="2"/>
    </font>
    <font>
      <b/>
      <sz val="8"/>
      <color indexed="81"/>
      <name val="Tahoma"/>
      <family val="2"/>
    </font>
    <font>
      <b/>
      <sz val="10"/>
      <color rgb="FF000000"/>
      <name val="Arial"/>
      <family val="2"/>
    </font>
    <font>
      <b/>
      <sz val="10"/>
      <color rgb="FFFF0000"/>
      <name val="Arial"/>
      <family val="2"/>
    </font>
    <font>
      <sz val="10"/>
      <color rgb="FFFF0000"/>
      <name val="Arial"/>
      <family val="2"/>
    </font>
    <font>
      <b/>
      <i/>
      <sz val="10"/>
      <name val="Arial"/>
      <family val="2"/>
    </font>
    <font>
      <sz val="10"/>
      <color indexed="8"/>
      <name val="Calibri"/>
      <family val="2"/>
    </font>
    <font>
      <sz val="10"/>
      <color rgb="FF0070C0"/>
      <name val="Arial"/>
      <family val="2"/>
    </font>
    <font>
      <sz val="10"/>
      <name val="Calibri"/>
      <family val="2"/>
    </font>
    <font>
      <sz val="10"/>
      <name val="Arial"/>
      <family val="2"/>
    </font>
    <font>
      <sz val="11"/>
      <color rgb="FF363636"/>
      <name val="Segoe UI"/>
      <family val="2"/>
    </font>
    <font>
      <sz val="10"/>
      <name val="Arial"/>
      <family val="2"/>
    </font>
    <font>
      <sz val="11"/>
      <name val="Calibri"/>
      <family val="2"/>
    </font>
    <font>
      <b/>
      <u/>
      <sz val="10"/>
      <name val="Arial"/>
      <family val="2"/>
    </font>
    <font>
      <u/>
      <sz val="10"/>
      <color rgb="FF3333FF"/>
      <name val="Arial"/>
      <family val="2"/>
    </font>
    <font>
      <sz val="10"/>
      <color theme="1"/>
      <name val="Arial"/>
      <family val="2"/>
    </font>
    <font>
      <b/>
      <sz val="16"/>
      <color theme="1"/>
      <name val="Arial"/>
      <family val="2"/>
    </font>
    <font>
      <sz val="12"/>
      <color rgb="FF000000"/>
      <name val="Segoe UI"/>
      <family val="2"/>
    </font>
    <font>
      <sz val="11"/>
      <color rgb="FF000000"/>
      <name val="Segoe UI"/>
      <family val="2"/>
    </font>
    <font>
      <i/>
      <sz val="11"/>
      <color rgb="FF363636"/>
      <name val="Segoe UI"/>
      <family val="2"/>
    </font>
    <font>
      <u/>
      <sz val="10"/>
      <color theme="10"/>
      <name val="Arial"/>
      <family val="2"/>
    </font>
    <font>
      <b/>
      <sz val="11"/>
      <color theme="1"/>
      <name val="Arial"/>
      <family val="2"/>
    </font>
    <font>
      <sz val="11"/>
      <color theme="1"/>
      <name val="Arial"/>
      <family val="2"/>
    </font>
    <font>
      <u/>
      <sz val="11"/>
      <color theme="1"/>
      <name val="Arial"/>
      <family val="2"/>
    </font>
    <font>
      <b/>
      <sz val="11"/>
      <color rgb="FF363636"/>
      <name val="Segoe UI"/>
      <family val="2"/>
    </font>
    <font>
      <sz val="12"/>
      <color rgb="FF333333"/>
      <name val="Arial"/>
      <family val="2"/>
    </font>
    <font>
      <b/>
      <sz val="12"/>
      <color rgb="FF333333"/>
      <name val="Arial"/>
      <family val="2"/>
    </font>
    <font>
      <b/>
      <sz val="11"/>
      <color rgb="FF333333"/>
      <name val="Arial"/>
      <family val="2"/>
    </font>
    <font>
      <sz val="11"/>
      <color rgb="FF333333"/>
      <name val="Arial"/>
      <family val="2"/>
    </font>
    <font>
      <u/>
      <sz val="11"/>
      <color indexed="12"/>
      <name val="Arial"/>
      <family val="2"/>
    </font>
    <font>
      <b/>
      <u/>
      <sz val="11"/>
      <color theme="1"/>
      <name val="Arial"/>
      <family val="2"/>
    </font>
    <font>
      <b/>
      <u/>
      <sz val="10"/>
      <color indexed="12"/>
      <name val="Arial"/>
      <family val="2"/>
    </font>
    <font>
      <b/>
      <u/>
      <sz val="10"/>
      <color rgb="FF3333FF"/>
      <name val="Arial"/>
      <family val="2"/>
    </font>
    <font>
      <b/>
      <sz val="11"/>
      <color rgb="FF0070C0"/>
      <name val="Arial"/>
      <family val="2"/>
    </font>
    <font>
      <sz val="11"/>
      <color rgb="FF0070C0"/>
      <name val="Arial"/>
      <family val="2"/>
    </font>
    <font>
      <sz val="10"/>
      <color indexed="8"/>
      <name val="Arial"/>
      <family val="2"/>
    </font>
    <font>
      <b/>
      <sz val="10"/>
      <color rgb="FF7030A0"/>
      <name val="Arial"/>
      <family val="2"/>
    </font>
    <font>
      <b/>
      <sz val="10"/>
      <color rgb="FF000000"/>
      <name val="Segoe UI"/>
      <family val="2"/>
    </font>
    <font>
      <sz val="10"/>
      <color rgb="FF363636"/>
      <name val="Segoe UI"/>
      <family val="2"/>
    </font>
    <font>
      <b/>
      <sz val="10"/>
      <color rgb="FF0070C0"/>
      <name val="Arial"/>
      <family val="2"/>
    </font>
    <font>
      <b/>
      <sz val="10"/>
      <color rgb="FF0000FF"/>
      <name val="Arial"/>
      <family val="2"/>
    </font>
    <font>
      <b/>
      <sz val="10"/>
      <color indexed="8"/>
      <name val="Arial"/>
      <family val="2"/>
    </font>
  </fonts>
  <fills count="13">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31"/>
        <bgColor indexed="64"/>
      </patternFill>
    </fill>
    <fill>
      <patternFill patternType="solid">
        <fgColor indexed="13"/>
        <bgColor indexed="64"/>
      </patternFill>
    </fill>
    <fill>
      <patternFill patternType="gray0625">
        <fgColor indexed="9"/>
        <bgColor indexed="26"/>
      </patternFill>
    </fill>
    <fill>
      <patternFill patternType="solid">
        <fgColor indexed="26"/>
        <bgColor indexed="26"/>
      </patternFill>
    </fill>
    <fill>
      <patternFill patternType="solid">
        <fgColor indexed="43"/>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4" tint="0.79998168889431442"/>
        <bgColor indexed="64"/>
      </patternFill>
    </fill>
    <fill>
      <patternFill patternType="solid">
        <fgColor rgb="FFCCECFF"/>
        <bgColor indexed="64"/>
      </patternFill>
    </fill>
  </fills>
  <borders count="5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10"/>
      </bottom>
      <diagonal/>
    </border>
    <border>
      <left style="thick">
        <color indexed="17"/>
      </left>
      <right style="thick">
        <color indexed="17"/>
      </right>
      <top/>
      <bottom/>
      <diagonal/>
    </border>
    <border>
      <left style="thick">
        <color indexed="17"/>
      </left>
      <right style="thick">
        <color indexed="17"/>
      </right>
      <top/>
      <bottom style="thick">
        <color indexed="17"/>
      </bottom>
      <diagonal/>
    </border>
    <border>
      <left style="thick">
        <color indexed="17"/>
      </left>
      <right style="thick">
        <color indexed="17"/>
      </right>
      <top style="thick">
        <color indexed="17"/>
      </top>
      <bottom style="thick">
        <color indexed="17"/>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ck">
        <color rgb="FF000000"/>
      </left>
      <right/>
      <top style="thick">
        <color rgb="FF000000"/>
      </top>
      <bottom style="medium">
        <color rgb="FF000000"/>
      </bottom>
      <diagonal/>
    </border>
    <border>
      <left style="thick">
        <color rgb="FF000000"/>
      </left>
      <right/>
      <top style="medium">
        <color rgb="FF000000"/>
      </top>
      <bottom style="medium">
        <color rgb="FF000000"/>
      </bottom>
      <diagonal/>
    </border>
    <border>
      <left style="thick">
        <color rgb="FF000000"/>
      </left>
      <right/>
      <top style="medium">
        <color rgb="FF000000"/>
      </top>
      <bottom style="thick">
        <color rgb="FF000000"/>
      </bottom>
      <diagonal/>
    </border>
    <border>
      <left style="thin">
        <color indexed="64"/>
      </left>
      <right/>
      <top/>
      <bottom style="thin">
        <color indexed="64"/>
      </bottom>
      <diagonal/>
    </border>
    <border>
      <left/>
      <right style="thin">
        <color indexed="64"/>
      </right>
      <top/>
      <bottom style="thin">
        <color indexed="64"/>
      </bottom>
      <diagonal/>
    </border>
    <border>
      <left style="medium">
        <color rgb="FFFF0000"/>
      </left>
      <right style="medium">
        <color rgb="FFFF0000"/>
      </right>
      <top style="medium">
        <color rgb="FFFF0000"/>
      </top>
      <bottom style="medium">
        <color rgb="FFFF0000"/>
      </bottom>
      <diagonal/>
    </border>
    <border>
      <left style="thin">
        <color indexed="64"/>
      </left>
      <right/>
      <top style="thin">
        <color indexed="64"/>
      </top>
      <bottom style="medium">
        <color indexed="10"/>
      </bottom>
      <diagonal/>
    </border>
    <border>
      <left style="medium">
        <color indexed="10"/>
      </left>
      <right style="thin">
        <color indexed="64"/>
      </right>
      <top style="medium">
        <color indexed="10"/>
      </top>
      <bottom/>
      <diagonal/>
    </border>
    <border>
      <left style="thin">
        <color indexed="64"/>
      </left>
      <right style="medium">
        <color indexed="10"/>
      </right>
      <top style="medium">
        <color indexed="10"/>
      </top>
      <bottom/>
      <diagonal/>
    </border>
    <border>
      <left style="medium">
        <color indexed="10"/>
      </left>
      <right style="thin">
        <color indexed="64"/>
      </right>
      <top/>
      <bottom/>
      <diagonal/>
    </border>
    <border>
      <left style="thin">
        <color indexed="64"/>
      </left>
      <right style="medium">
        <color indexed="10"/>
      </right>
      <top/>
      <bottom/>
      <diagonal/>
    </border>
    <border>
      <left style="medium">
        <color indexed="10"/>
      </left>
      <right style="thin">
        <color indexed="64"/>
      </right>
      <top/>
      <bottom style="medium">
        <color indexed="10"/>
      </bottom>
      <diagonal/>
    </border>
    <border>
      <left style="thin">
        <color indexed="64"/>
      </left>
      <right style="medium">
        <color indexed="10"/>
      </right>
      <top/>
      <bottom style="medium">
        <color indexed="10"/>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24">
    <xf numFmtId="0" fontId="0" fillId="0" borderId="0"/>
    <xf numFmtId="43" fontId="1" fillId="0" borderId="0" applyFont="0" applyFill="0" applyBorder="0" applyAlignment="0" applyProtection="0"/>
    <xf numFmtId="44" fontId="1" fillId="0" borderId="0" applyFont="0" applyFill="0" applyBorder="0" applyAlignment="0" applyProtection="0"/>
    <xf numFmtId="171" fontId="2" fillId="0" borderId="0"/>
    <xf numFmtId="0" fontId="4" fillId="0" borderId="0" applyNumberFormat="0" applyFill="0" applyBorder="0" applyAlignment="0" applyProtection="0">
      <alignment vertical="top"/>
      <protection locked="0"/>
    </xf>
    <xf numFmtId="0" fontId="1" fillId="2" borderId="0" applyNumberFormat="0" applyFont="0" applyBorder="0" applyAlignment="0" applyProtection="0"/>
    <xf numFmtId="0" fontId="1" fillId="3" borderId="0" applyNumberFormat="0" applyFont="0" applyBorder="0" applyAlignment="0" applyProtection="0"/>
    <xf numFmtId="9" fontId="1" fillId="0" borderId="0" applyFont="0" applyFill="0" applyBorder="0" applyAlignment="0" applyProtection="0"/>
    <xf numFmtId="0" fontId="9" fillId="0" borderId="0" applyNumberFormat="0" applyFill="0" applyBorder="0" applyProtection="0">
      <alignment horizontal="centerContinuous"/>
    </xf>
    <xf numFmtId="0" fontId="6" fillId="0" borderId="0"/>
    <xf numFmtId="0" fontId="1" fillId="0" borderId="0"/>
    <xf numFmtId="0" fontId="1" fillId="0" borderId="0" applyNumberFormat="0" applyFont="0" applyFill="0" applyBorder="0" applyProtection="0">
      <alignment horizontal="centerContinuous"/>
    </xf>
    <xf numFmtId="0" fontId="1" fillId="0" borderId="0" applyNumberFormat="0" applyFont="0" applyFill="0" applyBorder="0" applyProtection="0">
      <alignment horizontal="centerContinuous"/>
    </xf>
    <xf numFmtId="44" fontId="1" fillId="0" borderId="0" applyFont="0" applyFill="0" applyBorder="0" applyAlignment="0" applyProtection="0"/>
    <xf numFmtId="44" fontId="1" fillId="0" borderId="0" applyFont="0" applyFill="0" applyBorder="0" applyAlignment="0" applyProtection="0"/>
    <xf numFmtId="0" fontId="10" fillId="0" borderId="0" applyNumberFormat="0" applyFill="0" applyBorder="0" applyAlignment="0" applyProtection="0">
      <alignment vertical="top"/>
      <protection locked="0"/>
    </xf>
    <xf numFmtId="0" fontId="1" fillId="0" borderId="0" applyNumberFormat="0" applyFont="0" applyFill="0" applyBorder="0" applyProtection="0">
      <alignment wrapText="1"/>
    </xf>
    <xf numFmtId="0" fontId="8" fillId="0" borderId="0" applyNumberFormat="0" applyFont="0" applyFill="0" applyBorder="0" applyProtection="0">
      <alignment wrapText="1"/>
    </xf>
    <xf numFmtId="175" fontId="2" fillId="0" borderId="0" applyFont="0" applyFill="0" applyBorder="0" applyProtection="0">
      <alignment horizontal="centerContinuous" wrapText="1"/>
    </xf>
    <xf numFmtId="41" fontId="27" fillId="0" borderId="0" applyFont="0" applyFill="0" applyBorder="0" applyAlignment="0" applyProtection="0"/>
    <xf numFmtId="42" fontId="29" fillId="0" borderId="0" applyFont="0" applyFill="0" applyBorder="0" applyAlignment="0" applyProtection="0"/>
    <xf numFmtId="0" fontId="33" fillId="0" borderId="0"/>
    <xf numFmtId="0" fontId="38" fillId="0" borderId="0" applyNumberFormat="0" applyFill="0" applyBorder="0" applyAlignment="0" applyProtection="0"/>
    <xf numFmtId="0" fontId="38" fillId="0" borderId="0" applyNumberFormat="0" applyFill="0" applyBorder="0" applyAlignment="0" applyProtection="0"/>
  </cellStyleXfs>
  <cellXfs count="418">
    <xf numFmtId="0" fontId="0" fillId="0" borderId="0" xfId="0"/>
    <xf numFmtId="0" fontId="3" fillId="4" borderId="0" xfId="0" applyFont="1" applyFill="1" applyAlignment="1">
      <alignment horizontal="centerContinuous" vertical="center"/>
    </xf>
    <xf numFmtId="0" fontId="0" fillId="4" borderId="0" xfId="0" applyFill="1" applyAlignment="1">
      <alignment horizontal="centerContinuous" vertical="center"/>
    </xf>
    <xf numFmtId="0" fontId="0" fillId="5" borderId="1" xfId="0" applyFill="1" applyBorder="1" applyAlignment="1">
      <alignment horizontal="center" wrapText="1"/>
    </xf>
    <xf numFmtId="0" fontId="0" fillId="0" borderId="2" xfId="0" applyBorder="1" applyAlignment="1">
      <alignment horizontal="center"/>
    </xf>
    <xf numFmtId="0" fontId="0" fillId="0" borderId="2" xfId="0" applyBorder="1"/>
    <xf numFmtId="44" fontId="1" fillId="0" borderId="2" xfId="2" applyBorder="1"/>
    <xf numFmtId="9" fontId="1" fillId="0" borderId="2" xfId="7" applyBorder="1"/>
    <xf numFmtId="44" fontId="1" fillId="0" borderId="0" xfId="2"/>
    <xf numFmtId="0" fontId="0" fillId="5" borderId="0" xfId="0" applyFill="1" applyAlignment="1">
      <alignment horizontal="center"/>
    </xf>
    <xf numFmtId="0" fontId="0" fillId="5" borderId="0" xfId="0" applyFill="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0" borderId="2" xfId="0" applyBorder="1" applyAlignment="1">
      <alignment horizontal="left"/>
    </xf>
    <xf numFmtId="44" fontId="1" fillId="0" borderId="2" xfId="2" applyBorder="1" applyAlignment="1">
      <alignment horizontal="center"/>
    </xf>
    <xf numFmtId="44" fontId="0" fillId="0" borderId="0" xfId="0" applyNumberFormat="1"/>
    <xf numFmtId="0" fontId="0" fillId="0" borderId="6" xfId="0" applyBorder="1"/>
    <xf numFmtId="0" fontId="0" fillId="0" borderId="7" xfId="0" applyBorder="1"/>
    <xf numFmtId="0" fontId="0" fillId="5" borderId="2" xfId="0" applyFill="1" applyBorder="1" applyAlignment="1">
      <alignment horizontal="center"/>
    </xf>
    <xf numFmtId="44" fontId="6" fillId="0" borderId="2" xfId="0" applyNumberFormat="1" applyFont="1" applyBorder="1"/>
    <xf numFmtId="0" fontId="0" fillId="0" borderId="8" xfId="0" applyBorder="1"/>
    <xf numFmtId="44" fontId="6" fillId="0" borderId="8" xfId="0" applyNumberFormat="1" applyFont="1" applyBorder="1"/>
    <xf numFmtId="0" fontId="3" fillId="5" borderId="2" xfId="0" applyFont="1" applyFill="1" applyBorder="1"/>
    <xf numFmtId="0" fontId="3" fillId="5" borderId="8" xfId="0" applyFont="1" applyFill="1" applyBorder="1" applyAlignment="1">
      <alignment horizontal="center"/>
    </xf>
    <xf numFmtId="42" fontId="1" fillId="0" borderId="2" xfId="2" applyNumberFormat="1" applyBorder="1"/>
    <xf numFmtId="0" fontId="3" fillId="5" borderId="2" xfId="0" applyFont="1" applyFill="1" applyBorder="1" applyAlignment="1">
      <alignment horizontal="centerContinuous"/>
    </xf>
    <xf numFmtId="0" fontId="3" fillId="5" borderId="2" xfId="0" applyFont="1" applyFill="1" applyBorder="1" applyAlignment="1">
      <alignment horizontal="center"/>
    </xf>
    <xf numFmtId="0" fontId="0" fillId="0" borderId="0" xfId="0" applyAlignment="1">
      <alignment vertical="center"/>
    </xf>
    <xf numFmtId="0" fontId="6" fillId="5" borderId="2" xfId="0" applyFont="1" applyFill="1" applyBorder="1" applyAlignment="1">
      <alignment horizontal="center"/>
    </xf>
    <xf numFmtId="0" fontId="6" fillId="0" borderId="2" xfId="1" applyNumberFormat="1" applyFont="1" applyBorder="1" applyAlignment="1">
      <alignment horizontal="center"/>
    </xf>
    <xf numFmtId="166" fontId="6" fillId="0" borderId="2" xfId="1" applyNumberFormat="1" applyFont="1" applyBorder="1" applyAlignment="1">
      <alignment horizontal="center"/>
    </xf>
    <xf numFmtId="0" fontId="3" fillId="0" borderId="0" xfId="0" applyFont="1"/>
    <xf numFmtId="0" fontId="6" fillId="0" borderId="9" xfId="0" applyFont="1" applyBorder="1"/>
    <xf numFmtId="0" fontId="7" fillId="0" borderId="10" xfId="0" applyFont="1" applyBorder="1"/>
    <xf numFmtId="0" fontId="0" fillId="3" borderId="11" xfId="0" applyFill="1" applyBorder="1"/>
    <xf numFmtId="0" fontId="0" fillId="3" borderId="12" xfId="0" applyFill="1" applyBorder="1"/>
    <xf numFmtId="0" fontId="0" fillId="3" borderId="13" xfId="0" applyFill="1" applyBorder="1"/>
    <xf numFmtId="0" fontId="0" fillId="0" borderId="14" xfId="0" applyBorder="1"/>
    <xf numFmtId="0" fontId="0" fillId="6" borderId="15" xfId="0" applyFill="1" applyBorder="1" applyAlignment="1">
      <alignment horizontal="center"/>
    </xf>
    <xf numFmtId="0" fontId="0" fillId="6" borderId="16" xfId="0" applyFill="1" applyBorder="1" applyAlignment="1">
      <alignment horizontal="center"/>
    </xf>
    <xf numFmtId="0" fontId="0" fillId="0" borderId="17" xfId="0" applyBorder="1"/>
    <xf numFmtId="0" fontId="0" fillId="0" borderId="18" xfId="0" applyBorder="1"/>
    <xf numFmtId="0" fontId="0" fillId="6" borderId="19" xfId="0" applyFill="1" applyBorder="1" applyAlignment="1">
      <alignment horizontal="center"/>
    </xf>
    <xf numFmtId="0" fontId="0" fillId="3" borderId="14" xfId="0" applyFill="1" applyBorder="1"/>
    <xf numFmtId="0" fontId="0" fillId="3" borderId="0" xfId="0" applyFill="1"/>
    <xf numFmtId="0" fontId="0" fillId="3" borderId="20" xfId="0" applyFill="1" applyBorder="1"/>
    <xf numFmtId="0" fontId="3" fillId="0" borderId="21" xfId="0" applyFont="1" applyBorder="1" applyAlignment="1">
      <alignment horizontal="center"/>
    </xf>
    <xf numFmtId="0" fontId="3" fillId="0" borderId="2" xfId="0" applyFont="1" applyBorder="1" applyAlignment="1">
      <alignment horizontal="center"/>
    </xf>
    <xf numFmtId="0" fontId="3" fillId="0" borderId="16" xfId="0" applyFont="1" applyBorder="1" applyAlignment="1">
      <alignment horizontal="center"/>
    </xf>
    <xf numFmtId="0" fontId="0" fillId="6" borderId="21" xfId="0" applyFill="1" applyBorder="1"/>
    <xf numFmtId="0" fontId="6" fillId="0" borderId="2" xfId="0" applyFont="1" applyBorder="1"/>
    <xf numFmtId="0" fontId="0" fillId="7" borderId="5" xfId="0" applyFill="1" applyBorder="1"/>
    <xf numFmtId="44" fontId="6" fillId="0" borderId="16" xfId="0" applyNumberFormat="1" applyFont="1" applyBorder="1"/>
    <xf numFmtId="0" fontId="0" fillId="6" borderId="22" xfId="0" applyFill="1" applyBorder="1"/>
    <xf numFmtId="0" fontId="0" fillId="6" borderId="5" xfId="0" applyFill="1" applyBorder="1"/>
    <xf numFmtId="0" fontId="0" fillId="3" borderId="5" xfId="0" applyFill="1" applyBorder="1"/>
    <xf numFmtId="44" fontId="1" fillId="3" borderId="20" xfId="2" applyFill="1" applyBorder="1"/>
    <xf numFmtId="44" fontId="0" fillId="0" borderId="2" xfId="0" applyNumberFormat="1" applyBorder="1"/>
    <xf numFmtId="44" fontId="1" fillId="0" borderId="23" xfId="2" applyBorder="1"/>
    <xf numFmtId="0" fontId="0" fillId="0" borderId="23" xfId="0" applyBorder="1"/>
    <xf numFmtId="44" fontId="1" fillId="0" borderId="16" xfId="2" quotePrefix="1" applyBorder="1"/>
    <xf numFmtId="0" fontId="0" fillId="3" borderId="24" xfId="0" applyFill="1" applyBorder="1"/>
    <xf numFmtId="44" fontId="0" fillId="0" borderId="25" xfId="0" applyNumberFormat="1" applyBorder="1"/>
    <xf numFmtId="0" fontId="0" fillId="0" borderId="25" xfId="0" applyBorder="1"/>
    <xf numFmtId="44" fontId="1" fillId="0" borderId="19" xfId="2" quotePrefix="1" applyBorder="1"/>
    <xf numFmtId="0" fontId="3" fillId="4" borderId="0" xfId="0" applyFont="1" applyFill="1" applyAlignment="1">
      <alignment horizontal="centerContinuous" vertical="center" wrapText="1"/>
    </xf>
    <xf numFmtId="0" fontId="6" fillId="4" borderId="0" xfId="0" applyFont="1" applyFill="1" applyAlignment="1">
      <alignment horizontal="centerContinuous" vertical="center" wrapText="1"/>
    </xf>
    <xf numFmtId="0" fontId="6" fillId="0" borderId="0" xfId="0" applyFont="1"/>
    <xf numFmtId="0" fontId="6" fillId="5" borderId="3" xfId="0" applyFont="1" applyFill="1" applyBorder="1" applyAlignment="1">
      <alignment horizontal="center"/>
    </xf>
    <xf numFmtId="0" fontId="6" fillId="5" borderId="26" xfId="0" applyFont="1" applyFill="1" applyBorder="1" applyAlignment="1">
      <alignment horizontal="center" wrapText="1"/>
    </xf>
    <xf numFmtId="44" fontId="6" fillId="0" borderId="2" xfId="2" applyFont="1" applyBorder="1" applyAlignment="1">
      <alignment horizontal="center"/>
    </xf>
    <xf numFmtId="0" fontId="6" fillId="5" borderId="2" xfId="0" applyFont="1" applyFill="1" applyBorder="1" applyAlignment="1">
      <alignment horizontal="center" wrapText="1"/>
    </xf>
    <xf numFmtId="44" fontId="6" fillId="0" borderId="2" xfId="2" applyFont="1" applyBorder="1"/>
    <xf numFmtId="0" fontId="6" fillId="5" borderId="2" xfId="0" applyFont="1" applyFill="1" applyBorder="1"/>
    <xf numFmtId="165" fontId="6" fillId="0" borderId="2" xfId="2" applyNumberFormat="1" applyFont="1" applyBorder="1"/>
    <xf numFmtId="164" fontId="6" fillId="0" borderId="2" xfId="2" applyNumberFormat="1" applyFont="1" applyBorder="1"/>
    <xf numFmtId="0" fontId="0" fillId="0" borderId="9" xfId="0" applyBorder="1"/>
    <xf numFmtId="0" fontId="3" fillId="5" borderId="27" xfId="0" applyFont="1" applyFill="1" applyBorder="1" applyAlignment="1">
      <alignment horizontal="centerContinuous"/>
    </xf>
    <xf numFmtId="0" fontId="3" fillId="5" borderId="10" xfId="0" applyFont="1" applyFill="1" applyBorder="1" applyAlignment="1">
      <alignment horizontal="centerContinuous"/>
    </xf>
    <xf numFmtId="0" fontId="3" fillId="5" borderId="28" xfId="0" applyFont="1" applyFill="1" applyBorder="1" applyAlignment="1">
      <alignment horizontal="centerContinuous"/>
    </xf>
    <xf numFmtId="0" fontId="3" fillId="5" borderId="21" xfId="0" applyFont="1" applyFill="1" applyBorder="1" applyAlignment="1">
      <alignment horizontal="center"/>
    </xf>
    <xf numFmtId="0" fontId="0" fillId="0" borderId="16" xfId="0" applyBorder="1" applyAlignment="1">
      <alignment horizontal="center"/>
    </xf>
    <xf numFmtId="0" fontId="0" fillId="0" borderId="21" xfId="0" applyBorder="1"/>
    <xf numFmtId="44" fontId="1" fillId="0" borderId="16" xfId="2" applyBorder="1" applyAlignment="1">
      <alignment horizontal="center"/>
    </xf>
    <xf numFmtId="0" fontId="0" fillId="0" borderId="29" xfId="0" applyBorder="1"/>
    <xf numFmtId="44" fontId="1" fillId="0" borderId="30" xfId="2" applyBorder="1" applyAlignment="1">
      <alignment horizontal="center"/>
    </xf>
    <xf numFmtId="44" fontId="1" fillId="0" borderId="19" xfId="2" applyBorder="1" applyAlignment="1">
      <alignment horizontal="center"/>
    </xf>
    <xf numFmtId="0" fontId="0" fillId="0" borderId="31" xfId="0" applyBorder="1"/>
    <xf numFmtId="0" fontId="3" fillId="5" borderId="32" xfId="0" applyFont="1" applyFill="1" applyBorder="1" applyAlignment="1">
      <alignment horizontal="centerContinuous"/>
    </xf>
    <xf numFmtId="0" fontId="3" fillId="5" borderId="33" xfId="0" applyFont="1" applyFill="1" applyBorder="1" applyAlignment="1">
      <alignment horizontal="centerContinuous"/>
    </xf>
    <xf numFmtId="0" fontId="8" fillId="0" borderId="2" xfId="0" applyFont="1" applyBorder="1" applyAlignment="1">
      <alignment vertical="top" wrapText="1"/>
    </xf>
    <xf numFmtId="0" fontId="6" fillId="0" borderId="2" xfId="0" applyFont="1" applyBorder="1" applyAlignment="1">
      <alignment horizontal="center" vertical="top" wrapText="1"/>
    </xf>
    <xf numFmtId="0" fontId="6" fillId="0" borderId="2" xfId="0" applyFont="1" applyBorder="1" applyAlignment="1">
      <alignment horizontal="center"/>
    </xf>
    <xf numFmtId="0" fontId="6" fillId="0" borderId="2" xfId="0" applyFont="1" applyBorder="1" applyAlignment="1">
      <alignment vertical="top" wrapText="1"/>
    </xf>
    <xf numFmtId="0" fontId="6" fillId="0" borderId="2" xfId="0" applyFont="1" applyBorder="1" applyAlignment="1">
      <alignment vertical="top"/>
    </xf>
    <xf numFmtId="0" fontId="9" fillId="0" borderId="0" xfId="8">
      <alignment horizontal="centerContinuous"/>
    </xf>
    <xf numFmtId="0" fontId="3" fillId="2" borderId="37" xfId="0" applyFont="1" applyFill="1" applyBorder="1"/>
    <xf numFmtId="0" fontId="9" fillId="0" borderId="0" xfId="0" applyFont="1"/>
    <xf numFmtId="0" fontId="1" fillId="0" borderId="35" xfId="0" quotePrefix="1" applyFont="1" applyBorder="1" applyAlignment="1">
      <alignment vertical="top" wrapText="1"/>
    </xf>
    <xf numFmtId="0" fontId="1" fillId="0" borderId="36" xfId="0" quotePrefix="1" applyFont="1" applyBorder="1" applyAlignment="1">
      <alignment vertical="top" wrapText="1"/>
    </xf>
    <xf numFmtId="0" fontId="1" fillId="0" borderId="0" xfId="10"/>
    <xf numFmtId="0" fontId="1" fillId="0" borderId="39" xfId="0" applyFont="1" applyBorder="1"/>
    <xf numFmtId="0" fontId="13" fillId="0" borderId="38" xfId="0" applyFont="1" applyBorder="1" applyAlignment="1">
      <alignment horizontal="left" vertical="top"/>
    </xf>
    <xf numFmtId="0" fontId="14" fillId="0" borderId="0" xfId="10" applyFont="1" applyAlignment="1">
      <alignment horizontal="center"/>
    </xf>
    <xf numFmtId="0" fontId="15" fillId="0" borderId="0" xfId="10" applyFont="1" applyAlignment="1">
      <alignment horizontal="center"/>
    </xf>
    <xf numFmtId="0" fontId="1" fillId="0" borderId="0" xfId="10" applyAlignment="1">
      <alignment horizontal="center"/>
    </xf>
    <xf numFmtId="0" fontId="3" fillId="0" borderId="0" xfId="10" applyFont="1"/>
    <xf numFmtId="3" fontId="1" fillId="0" borderId="0" xfId="10" applyNumberFormat="1"/>
    <xf numFmtId="0" fontId="3" fillId="0" borderId="0" xfId="10" applyFont="1" applyAlignment="1">
      <alignment horizontal="center"/>
    </xf>
    <xf numFmtId="167" fontId="1" fillId="0" borderId="0" xfId="10" applyNumberFormat="1"/>
    <xf numFmtId="10" fontId="1" fillId="0" borderId="0" xfId="10" applyNumberFormat="1"/>
    <xf numFmtId="14" fontId="1" fillId="0" borderId="0" xfId="10" applyNumberFormat="1" applyAlignment="1">
      <alignment horizontal="center"/>
    </xf>
    <xf numFmtId="0" fontId="10" fillId="0" borderId="0" xfId="10" applyFont="1" applyAlignment="1">
      <alignment horizontal="center"/>
    </xf>
    <xf numFmtId="14" fontId="10" fillId="0" borderId="0" xfId="10" applyNumberFormat="1" applyFont="1" applyAlignment="1">
      <alignment horizontal="center"/>
    </xf>
    <xf numFmtId="3" fontId="1" fillId="0" borderId="0" xfId="10" applyNumberFormat="1" applyAlignment="1">
      <alignment horizontal="center"/>
    </xf>
    <xf numFmtId="0" fontId="1" fillId="0" borderId="0" xfId="0" applyFont="1"/>
    <xf numFmtId="0" fontId="1" fillId="0" borderId="0" xfId="0" applyFont="1" applyAlignment="1">
      <alignment horizontal="center"/>
    </xf>
    <xf numFmtId="0" fontId="3" fillId="2" borderId="37" xfId="0" applyFont="1" applyFill="1" applyBorder="1" applyAlignment="1">
      <alignment wrapText="1"/>
    </xf>
    <xf numFmtId="0" fontId="1" fillId="0" borderId="36" xfId="0" applyFont="1" applyBorder="1" applyAlignment="1">
      <alignment vertical="top"/>
    </xf>
    <xf numFmtId="0" fontId="1" fillId="0" borderId="35" xfId="0" applyFont="1" applyBorder="1" applyAlignment="1">
      <alignment vertical="top"/>
    </xf>
    <xf numFmtId="0" fontId="12" fillId="0" borderId="42" xfId="0" applyFont="1" applyBorder="1" applyAlignment="1">
      <alignment horizontal="center" vertical="top"/>
    </xf>
    <xf numFmtId="0" fontId="12" fillId="0" borderId="43" xfId="0" applyFont="1" applyBorder="1" applyAlignment="1">
      <alignment horizontal="center" vertical="top"/>
    </xf>
    <xf numFmtId="0" fontId="12" fillId="0" borderId="44" xfId="0" applyFont="1" applyBorder="1" applyAlignment="1">
      <alignment horizontal="center" vertical="top"/>
    </xf>
    <xf numFmtId="0" fontId="20" fillId="0" borderId="0" xfId="0" applyFont="1" applyAlignment="1">
      <alignment horizontal="left" vertical="top"/>
    </xf>
    <xf numFmtId="0" fontId="3" fillId="9" borderId="2" xfId="0" applyFont="1" applyFill="1" applyBorder="1"/>
    <xf numFmtId="0" fontId="1" fillId="10" borderId="2" xfId="0" applyFont="1" applyFill="1" applyBorder="1"/>
    <xf numFmtId="0" fontId="3" fillId="10" borderId="2" xfId="0" applyFont="1" applyFill="1" applyBorder="1" applyAlignment="1">
      <alignment horizontal="left"/>
    </xf>
    <xf numFmtId="0" fontId="1" fillId="9" borderId="4" xfId="0" applyFont="1" applyFill="1" applyBorder="1"/>
    <xf numFmtId="0" fontId="9" fillId="0" borderId="0" xfId="0" applyFont="1" applyAlignment="1">
      <alignment horizontal="centerContinuous" wrapText="1"/>
    </xf>
    <xf numFmtId="0" fontId="21" fillId="0" borderId="0" xfId="0" applyFont="1" applyAlignment="1">
      <alignment horizontal="center"/>
    </xf>
    <xf numFmtId="0" fontId="1" fillId="0" borderId="0" xfId="0" applyFont="1" applyAlignment="1">
      <alignment horizontal="right"/>
    </xf>
    <xf numFmtId="0" fontId="22" fillId="0" borderId="0" xfId="0" applyFont="1"/>
    <xf numFmtId="0" fontId="1" fillId="0" borderId="0" xfId="0" quotePrefix="1" applyFont="1"/>
    <xf numFmtId="0" fontId="3" fillId="0" borderId="1" xfId="0" applyFont="1" applyBorder="1" applyAlignment="1">
      <alignment horizontal="justify"/>
    </xf>
    <xf numFmtId="0" fontId="3" fillId="0" borderId="1" xfId="0" applyFont="1" applyBorder="1" applyAlignment="1">
      <alignment horizontal="center" wrapText="1"/>
    </xf>
    <xf numFmtId="0" fontId="21" fillId="0" borderId="0" xfId="0" applyFont="1"/>
    <xf numFmtId="0" fontId="23" fillId="0" borderId="0" xfId="0" applyFont="1"/>
    <xf numFmtId="0" fontId="1" fillId="0" borderId="0" xfId="0" applyFont="1" applyAlignment="1">
      <alignment horizontal="left" vertical="top" wrapText="1"/>
    </xf>
    <xf numFmtId="0" fontId="1" fillId="0" borderId="4" xfId="0" applyFont="1" applyBorder="1"/>
    <xf numFmtId="0" fontId="1" fillId="0" borderId="1" xfId="0" applyFont="1" applyBorder="1"/>
    <xf numFmtId="0" fontId="1" fillId="0" borderId="12" xfId="0" applyFont="1" applyBorder="1"/>
    <xf numFmtId="164" fontId="9" fillId="0" borderId="0" xfId="2" applyNumberFormat="1" applyFont="1"/>
    <xf numFmtId="0" fontId="25" fillId="0" borderId="0" xfId="0" applyFont="1"/>
    <xf numFmtId="9" fontId="25" fillId="8" borderId="12" xfId="0" applyNumberFormat="1" applyFont="1" applyFill="1" applyBorder="1"/>
    <xf numFmtId="0" fontId="25" fillId="8" borderId="0" xfId="0" applyFont="1" applyFill="1"/>
    <xf numFmtId="174" fontId="25" fillId="8" borderId="4" xfId="0" applyNumberFormat="1" applyFont="1" applyFill="1" applyBorder="1"/>
    <xf numFmtId="0" fontId="25" fillId="8" borderId="1" xfId="0" applyFont="1" applyFill="1" applyBorder="1"/>
    <xf numFmtId="44" fontId="1" fillId="0" borderId="47" xfId="6" applyNumberFormat="1" applyFill="1" applyBorder="1" applyAlignment="1">
      <alignment horizontal="right"/>
    </xf>
    <xf numFmtId="0" fontId="25" fillId="0" borderId="0" xfId="0" applyFont="1" applyAlignment="1">
      <alignment horizontal="center"/>
    </xf>
    <xf numFmtId="44" fontId="1" fillId="0" borderId="0" xfId="6" applyNumberFormat="1" applyFill="1"/>
    <xf numFmtId="43" fontId="1" fillId="0" borderId="0" xfId="6" applyNumberFormat="1" applyFill="1" applyAlignment="1">
      <alignment horizontal="right"/>
    </xf>
    <xf numFmtId="0" fontId="25" fillId="0" borderId="47" xfId="0" applyFont="1" applyBorder="1" applyAlignment="1">
      <alignment horizontal="center"/>
    </xf>
    <xf numFmtId="0" fontId="3" fillId="11" borderId="0" xfId="0" applyFont="1" applyFill="1" applyAlignment="1">
      <alignment horizontal="centerContinuous" vertical="center"/>
    </xf>
    <xf numFmtId="0" fontId="25" fillId="0" borderId="0" xfId="5" applyFont="1" applyFill="1"/>
    <xf numFmtId="44" fontId="25" fillId="0" borderId="0" xfId="5" applyNumberFormat="1" applyFont="1" applyFill="1"/>
    <xf numFmtId="168" fontId="1" fillId="0" borderId="0" xfId="5" applyNumberFormat="1" applyFill="1" applyAlignment="1">
      <alignment horizontal="left"/>
    </xf>
    <xf numFmtId="0" fontId="1" fillId="0" borderId="0" xfId="5" applyFill="1"/>
    <xf numFmtId="43" fontId="25" fillId="0" borderId="0" xfId="5" applyNumberFormat="1" applyFont="1" applyFill="1"/>
    <xf numFmtId="43" fontId="1" fillId="0" borderId="0" xfId="6" applyNumberFormat="1" applyFill="1"/>
    <xf numFmtId="44" fontId="1" fillId="0" borderId="47" xfId="6" applyNumberFormat="1" applyFill="1" applyBorder="1"/>
    <xf numFmtId="0" fontId="25" fillId="0" borderId="47" xfId="0" applyFont="1" applyBorder="1"/>
    <xf numFmtId="0" fontId="25" fillId="0" borderId="0" xfId="10" applyFont="1"/>
    <xf numFmtId="0" fontId="25" fillId="0" borderId="0" xfId="10" applyFont="1" applyAlignment="1">
      <alignment horizontal="center"/>
    </xf>
    <xf numFmtId="3" fontId="25" fillId="0" borderId="0" xfId="10" applyNumberFormat="1" applyFont="1"/>
    <xf numFmtId="0" fontId="25" fillId="8" borderId="49" xfId="5" applyFont="1" applyFill="1" applyBorder="1"/>
    <xf numFmtId="44" fontId="25" fillId="8" borderId="50" xfId="5" applyNumberFormat="1" applyFont="1" applyFill="1" applyBorder="1"/>
    <xf numFmtId="0" fontId="25" fillId="8" borderId="51" xfId="5" applyFont="1" applyFill="1" applyBorder="1"/>
    <xf numFmtId="43" fontId="25" fillId="8" borderId="52" xfId="5" applyNumberFormat="1" applyFont="1" applyFill="1" applyBorder="1"/>
    <xf numFmtId="0" fontId="25" fillId="8" borderId="53" xfId="5" applyFont="1" applyFill="1" applyBorder="1"/>
    <xf numFmtId="43" fontId="25" fillId="8" borderId="54" xfId="5" applyNumberFormat="1" applyFont="1" applyFill="1" applyBorder="1"/>
    <xf numFmtId="0" fontId="25" fillId="0" borderId="35" xfId="0" applyFont="1" applyBorder="1" applyAlignment="1">
      <alignment vertical="top"/>
    </xf>
    <xf numFmtId="0" fontId="25" fillId="0" borderId="35" xfId="0" applyFont="1" applyBorder="1" applyAlignment="1">
      <alignment horizontal="center" vertical="top"/>
    </xf>
    <xf numFmtId="0" fontId="25" fillId="0" borderId="36" xfId="0" applyFont="1" applyBorder="1" applyAlignment="1">
      <alignment vertical="top"/>
    </xf>
    <xf numFmtId="0" fontId="25" fillId="0" borderId="36" xfId="0" applyFont="1" applyBorder="1" applyAlignment="1">
      <alignment horizontal="center" vertical="top"/>
    </xf>
    <xf numFmtId="0" fontId="24" fillId="0" borderId="0" xfId="0" applyFont="1" applyAlignment="1">
      <alignment horizontal="left" vertical="top" wrapText="1"/>
    </xf>
    <xf numFmtId="0" fontId="16"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centerContinuous" wrapText="1"/>
    </xf>
    <xf numFmtId="164" fontId="25" fillId="0" borderId="0" xfId="2" applyNumberFormat="1" applyFont="1"/>
    <xf numFmtId="170" fontId="25" fillId="0" borderId="0" xfId="3" applyNumberFormat="1" applyFont="1" applyAlignment="1">
      <alignment horizontal="right"/>
    </xf>
    <xf numFmtId="167" fontId="25" fillId="0" borderId="0" xfId="1" applyNumberFormat="1" applyFont="1"/>
    <xf numFmtId="172" fontId="25" fillId="0" borderId="0" xfId="1" applyNumberFormat="1" applyFont="1"/>
    <xf numFmtId="0" fontId="26" fillId="0" borderId="0" xfId="0" applyFont="1"/>
    <xf numFmtId="0" fontId="23" fillId="0" borderId="0" xfId="0" applyFont="1" applyAlignment="1">
      <alignment horizontal="left"/>
    </xf>
    <xf numFmtId="0" fontId="3" fillId="0" borderId="0" xfId="0" applyFont="1" applyAlignment="1">
      <alignment horizontal="center" wrapText="1"/>
    </xf>
    <xf numFmtId="0" fontId="3" fillId="0" borderId="0" xfId="10" applyFont="1" applyAlignment="1">
      <alignment horizontal="centerContinuous" vertical="center"/>
    </xf>
    <xf numFmtId="0" fontId="3" fillId="0" borderId="0" xfId="8" applyFont="1">
      <alignment horizontal="centerContinuous"/>
    </xf>
    <xf numFmtId="0" fontId="1" fillId="11" borderId="0" xfId="0" applyFont="1" applyFill="1" applyAlignment="1">
      <alignment horizontal="centerContinuous" vertical="center"/>
    </xf>
    <xf numFmtId="0" fontId="1" fillId="11" borderId="1" xfId="0" applyFont="1" applyFill="1" applyBorder="1" applyAlignment="1">
      <alignment horizontal="centerContinuous" wrapText="1"/>
    </xf>
    <xf numFmtId="0" fontId="1" fillId="11" borderId="1" xfId="0" applyFont="1" applyFill="1" applyBorder="1" applyAlignment="1">
      <alignment horizontal="centerContinuous"/>
    </xf>
    <xf numFmtId="0" fontId="1" fillId="11" borderId="3" xfId="0" applyFont="1" applyFill="1" applyBorder="1" applyAlignment="1">
      <alignment horizontal="centerContinuous"/>
    </xf>
    <xf numFmtId="0" fontId="1" fillId="11" borderId="26" xfId="0" applyFont="1" applyFill="1" applyBorder="1" applyAlignment="1">
      <alignment horizontal="centerContinuous"/>
    </xf>
    <xf numFmtId="0" fontId="1" fillId="11" borderId="23" xfId="0" applyFont="1" applyFill="1" applyBorder="1" applyAlignment="1">
      <alignment horizontal="center"/>
    </xf>
    <xf numFmtId="0" fontId="1" fillId="11" borderId="0" xfId="0" applyFont="1" applyFill="1" applyAlignment="1">
      <alignment horizontal="center"/>
    </xf>
    <xf numFmtId="0" fontId="1" fillId="11" borderId="0" xfId="0" applyFont="1" applyFill="1" applyAlignment="1">
      <alignment horizontal="center" wrapText="1"/>
    </xf>
    <xf numFmtId="0" fontId="1" fillId="11" borderId="34" xfId="0" applyFont="1" applyFill="1" applyBorder="1" applyAlignment="1">
      <alignment horizontal="center"/>
    </xf>
    <xf numFmtId="0" fontId="1" fillId="11" borderId="48" xfId="0" applyFont="1" applyFill="1" applyBorder="1" applyAlignment="1">
      <alignment horizontal="center"/>
    </xf>
    <xf numFmtId="164" fontId="1" fillId="0" borderId="0" xfId="2" applyNumberFormat="1"/>
    <xf numFmtId="0" fontId="3" fillId="0" borderId="1" xfId="2" applyNumberFormat="1" applyFont="1" applyBorder="1" applyAlignment="1">
      <alignment horizontal="center" wrapText="1"/>
    </xf>
    <xf numFmtId="0" fontId="3" fillId="0" borderId="1" xfId="2" applyNumberFormat="1" applyFont="1" applyBorder="1" applyAlignment="1">
      <alignment horizontal="centerContinuous" wrapText="1"/>
    </xf>
    <xf numFmtId="0" fontId="1" fillId="0" borderId="0" xfId="2" applyNumberFormat="1" applyAlignment="1">
      <alignment wrapText="1"/>
    </xf>
    <xf numFmtId="173" fontId="25" fillId="8" borderId="0" xfId="2" applyNumberFormat="1" applyFont="1" applyFill="1"/>
    <xf numFmtId="0" fontId="25" fillId="8" borderId="0" xfId="0" applyFont="1" applyFill="1" applyAlignment="1">
      <alignment horizontal="center"/>
    </xf>
    <xf numFmtId="0" fontId="25" fillId="8" borderId="0" xfId="0" applyFont="1" applyFill="1" applyAlignment="1">
      <alignment horizontal="centerContinuous"/>
    </xf>
    <xf numFmtId="0" fontId="1" fillId="0" borderId="0" xfId="2" applyNumberFormat="1"/>
    <xf numFmtId="41" fontId="25" fillId="8" borderId="0" xfId="2" applyNumberFormat="1" applyFont="1" applyFill="1"/>
    <xf numFmtId="9" fontId="25" fillId="8" borderId="0" xfId="7" applyFont="1" applyFill="1"/>
    <xf numFmtId="164" fontId="1" fillId="0" borderId="0" xfId="2" applyNumberFormat="1" applyAlignment="1">
      <alignment wrapText="1"/>
    </xf>
    <xf numFmtId="164" fontId="23" fillId="0" borderId="0" xfId="2" applyNumberFormat="1" applyFont="1" applyAlignment="1">
      <alignment horizontal="left"/>
    </xf>
    <xf numFmtId="0" fontId="3" fillId="0" borderId="1" xfId="2" applyNumberFormat="1" applyFont="1" applyBorder="1"/>
    <xf numFmtId="0" fontId="25" fillId="0" borderId="0" xfId="2" applyNumberFormat="1" applyFont="1"/>
    <xf numFmtId="172" fontId="1" fillId="0" borderId="0" xfId="1" applyNumberFormat="1"/>
    <xf numFmtId="0" fontId="9" fillId="0" borderId="0" xfId="10" applyFont="1" applyAlignment="1">
      <alignment horizontal="centerContinuous" vertical="center"/>
    </xf>
    <xf numFmtId="0" fontId="1" fillId="0" borderId="40" xfId="0" applyFont="1" applyBorder="1"/>
    <xf numFmtId="0" fontId="1" fillId="0" borderId="3" xfId="0" applyFont="1" applyBorder="1"/>
    <xf numFmtId="0" fontId="1" fillId="9" borderId="26" xfId="0" applyFont="1" applyFill="1" applyBorder="1"/>
    <xf numFmtId="0" fontId="1" fillId="0" borderId="2" xfId="0" applyFont="1" applyBorder="1"/>
    <xf numFmtId="0" fontId="1" fillId="0" borderId="0" xfId="0" applyFont="1" applyAlignment="1">
      <alignment horizontal="centerContinuous"/>
    </xf>
    <xf numFmtId="169" fontId="1" fillId="0" borderId="0" xfId="0" applyNumberFormat="1" applyFont="1" applyAlignment="1">
      <alignment horizontal="left" vertical="top" wrapText="1"/>
    </xf>
    <xf numFmtId="0" fontId="1" fillId="0" borderId="0" xfId="0" applyFont="1" applyAlignment="1">
      <alignment vertical="top"/>
    </xf>
    <xf numFmtId="164" fontId="4" fillId="0" borderId="0" xfId="4" applyNumberFormat="1" applyAlignment="1" applyProtection="1"/>
    <xf numFmtId="22" fontId="1" fillId="0" borderId="0" xfId="0" applyNumberFormat="1" applyFont="1"/>
    <xf numFmtId="0" fontId="3" fillId="0" borderId="0" xfId="0" applyFont="1" applyFill="1" applyBorder="1" applyAlignment="1">
      <alignment horizontal="center" wrapText="1"/>
    </xf>
    <xf numFmtId="0" fontId="3" fillId="0" borderId="0" xfId="0" applyFont="1" applyAlignment="1">
      <alignment horizontal="centerContinuous"/>
    </xf>
    <xf numFmtId="164" fontId="1" fillId="0" borderId="0" xfId="0" applyNumberFormat="1" applyFont="1"/>
    <xf numFmtId="41" fontId="1" fillId="0" borderId="0" xfId="19" applyFont="1"/>
    <xf numFmtId="0" fontId="4" fillId="0" borderId="0" xfId="4" applyAlignment="1" applyProtection="1"/>
    <xf numFmtId="0" fontId="1" fillId="0" borderId="0" xfId="0" applyFont="1" applyAlignment="1">
      <alignment wrapText="1"/>
    </xf>
    <xf numFmtId="0" fontId="1" fillId="0" borderId="0" xfId="0" applyFont="1" applyAlignment="1"/>
    <xf numFmtId="0" fontId="4" fillId="0" borderId="0" xfId="4" applyAlignment="1" applyProtection="1">
      <alignment horizontal="left"/>
    </xf>
    <xf numFmtId="164" fontId="23" fillId="0" borderId="0" xfId="2" applyNumberFormat="1" applyFont="1" applyAlignment="1">
      <alignment horizontal="left"/>
    </xf>
    <xf numFmtId="0" fontId="30" fillId="0" borderId="0" xfId="0" applyFont="1" applyAlignment="1">
      <alignment vertical="center"/>
    </xf>
    <xf numFmtId="0" fontId="30" fillId="0" borderId="0" xfId="0" quotePrefix="1" applyFont="1" applyAlignment="1">
      <alignment vertical="center"/>
    </xf>
    <xf numFmtId="41" fontId="25" fillId="0" borderId="0" xfId="19" applyFont="1"/>
    <xf numFmtId="41" fontId="25" fillId="0" borderId="0" xfId="19" applyFont="1" applyAlignment="1">
      <alignment horizontal="center"/>
    </xf>
    <xf numFmtId="41" fontId="1" fillId="0" borderId="0" xfId="19" applyFont="1" applyAlignment="1">
      <alignment horizontal="center"/>
    </xf>
    <xf numFmtId="42" fontId="25" fillId="0" borderId="0" xfId="20" applyFont="1"/>
    <xf numFmtId="42" fontId="1" fillId="0" borderId="0" xfId="20" applyFont="1"/>
    <xf numFmtId="42" fontId="25" fillId="0" borderId="0" xfId="20" applyFont="1" applyAlignment="1">
      <alignment horizontal="center"/>
    </xf>
    <xf numFmtId="42" fontId="1" fillId="0" borderId="0" xfId="20" applyFont="1" applyAlignment="1">
      <alignment horizontal="center"/>
    </xf>
    <xf numFmtId="164" fontId="1" fillId="0" borderId="0" xfId="2" applyNumberFormat="1" applyAlignment="1">
      <alignment horizontal="right"/>
    </xf>
    <xf numFmtId="0" fontId="0" fillId="0" borderId="0" xfId="0" applyAlignment="1">
      <alignment horizontal="left" vertical="top"/>
    </xf>
    <xf numFmtId="0" fontId="1" fillId="0" borderId="0" xfId="0" applyFont="1" applyAlignment="1">
      <alignment horizontal="left" vertical="top"/>
    </xf>
    <xf numFmtId="164" fontId="1" fillId="0" borderId="0" xfId="2" applyNumberFormat="1" applyFont="1"/>
    <xf numFmtId="0" fontId="1" fillId="0" borderId="0" xfId="0" quotePrefix="1" applyFont="1" applyAlignment="1">
      <alignment vertical="center"/>
    </xf>
    <xf numFmtId="0" fontId="1" fillId="0" borderId="0" xfId="0" applyFont="1" applyAlignment="1">
      <alignment vertical="center"/>
    </xf>
    <xf numFmtId="0" fontId="1" fillId="0" borderId="0" xfId="0" applyFont="1" applyAlignment="1">
      <alignment horizontal="left" vertical="center" indent="1"/>
    </xf>
    <xf numFmtId="0" fontId="1" fillId="0" borderId="0" xfId="0" quotePrefix="1" applyFont="1" applyAlignment="1">
      <alignment horizontal="left" vertical="center" indent="1"/>
    </xf>
    <xf numFmtId="0" fontId="3" fillId="0" borderId="0" xfId="2" applyNumberFormat="1" applyFont="1"/>
    <xf numFmtId="0" fontId="3" fillId="0" borderId="0" xfId="2" applyNumberFormat="1" applyFont="1" applyAlignment="1">
      <alignment horizontal="left" indent="1"/>
    </xf>
    <xf numFmtId="0" fontId="31" fillId="0" borderId="0" xfId="2" applyNumberFormat="1" applyFont="1"/>
    <xf numFmtId="0" fontId="31" fillId="0" borderId="0" xfId="0" applyFont="1" applyAlignment="1">
      <alignment vertical="center"/>
    </xf>
    <xf numFmtId="0" fontId="3" fillId="0" borderId="0" xfId="0" quotePrefix="1" applyFont="1" applyAlignment="1">
      <alignment horizontal="left" vertical="center" indent="1"/>
    </xf>
    <xf numFmtId="0" fontId="4" fillId="0" borderId="0" xfId="4" applyFill="1" applyAlignment="1" applyProtection="1">
      <alignment horizontal="left"/>
    </xf>
    <xf numFmtId="0" fontId="1" fillId="0" borderId="0" xfId="0" applyFont="1" applyFill="1" applyAlignment="1">
      <alignment horizontal="centerContinuous" vertical="center"/>
    </xf>
    <xf numFmtId="0" fontId="1" fillId="0" borderId="0" xfId="0" applyFont="1" applyFill="1"/>
    <xf numFmtId="0" fontId="32" fillId="0" borderId="0" xfId="0" applyFont="1"/>
    <xf numFmtId="0" fontId="1" fillId="0" borderId="0" xfId="0" applyFont="1" applyAlignment="1">
      <alignment vertical="center" wrapText="1"/>
    </xf>
    <xf numFmtId="0" fontId="34" fillId="0" borderId="0" xfId="21" applyFont="1"/>
    <xf numFmtId="0" fontId="33" fillId="0" borderId="0" xfId="21"/>
    <xf numFmtId="0" fontId="35" fillId="0" borderId="0" xfId="21" applyFont="1" applyAlignment="1">
      <alignment vertical="center"/>
    </xf>
    <xf numFmtId="0" fontId="28" fillId="0" borderId="0" xfId="21" applyFont="1" applyAlignment="1">
      <alignment vertical="center" wrapText="1"/>
    </xf>
    <xf numFmtId="0" fontId="36" fillId="0" borderId="0" xfId="21" applyFont="1" applyAlignment="1">
      <alignment vertical="center" wrapText="1"/>
    </xf>
    <xf numFmtId="0" fontId="28" fillId="0" borderId="0" xfId="21" applyFont="1" applyAlignment="1">
      <alignment vertical="center"/>
    </xf>
    <xf numFmtId="0" fontId="28" fillId="0" borderId="0" xfId="21" applyFont="1" applyAlignment="1">
      <alignment horizontal="left" vertical="center" wrapText="1"/>
    </xf>
    <xf numFmtId="0" fontId="28" fillId="0" borderId="0" xfId="21" applyFont="1" applyAlignment="1">
      <alignment horizontal="left" vertical="center" indent="1"/>
    </xf>
    <xf numFmtId="0" fontId="28" fillId="0" borderId="0" xfId="21" applyFont="1" applyAlignment="1">
      <alignment horizontal="left" vertical="center" wrapText="1" indent="1"/>
    </xf>
    <xf numFmtId="0" fontId="38" fillId="0" borderId="0" xfId="22" applyAlignment="1">
      <alignment horizontal="left" vertical="center" wrapText="1" indent="1"/>
    </xf>
    <xf numFmtId="0" fontId="36" fillId="0" borderId="0" xfId="21" applyFont="1" applyAlignment="1">
      <alignment vertical="center"/>
    </xf>
    <xf numFmtId="0" fontId="38" fillId="0" borderId="0" xfId="22" applyAlignment="1">
      <alignment vertical="center"/>
    </xf>
    <xf numFmtId="0" fontId="9" fillId="0" borderId="0" xfId="10" applyFont="1"/>
    <xf numFmtId="0" fontId="38" fillId="0" borderId="0" xfId="23" applyFont="1" applyFill="1" applyBorder="1" applyAlignment="1">
      <alignment horizontal="left" vertical="center" wrapText="1"/>
    </xf>
    <xf numFmtId="0" fontId="4" fillId="0" borderId="0" xfId="4" applyFill="1" applyBorder="1" applyAlignment="1" applyProtection="1">
      <alignment horizontal="left" vertical="center" wrapText="1"/>
    </xf>
    <xf numFmtId="0" fontId="30" fillId="0" borderId="0" xfId="0" applyFont="1"/>
    <xf numFmtId="0" fontId="0" fillId="0" borderId="0" xfId="0" applyFill="1"/>
    <xf numFmtId="0" fontId="0" fillId="0" borderId="0" xfId="0" applyFill="1" applyAlignment="1">
      <alignment vertical="center"/>
    </xf>
    <xf numFmtId="0" fontId="0" fillId="0" borderId="0" xfId="0" applyAlignment="1">
      <alignment horizontal="center"/>
    </xf>
    <xf numFmtId="0" fontId="3" fillId="0" borderId="0" xfId="0" applyFont="1" applyAlignment="1">
      <alignment horizontal="center"/>
    </xf>
    <xf numFmtId="0" fontId="9"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3" fillId="0" borderId="0" xfId="0" applyFont="1" applyFill="1"/>
    <xf numFmtId="0" fontId="39" fillId="0" borderId="0" xfId="21" applyFont="1"/>
    <xf numFmtId="0" fontId="40" fillId="0" borderId="0" xfId="21" applyFont="1"/>
    <xf numFmtId="0" fontId="40" fillId="12" borderId="0" xfId="21" applyFont="1" applyFill="1" applyAlignment="1">
      <alignment horizontal="centerContinuous"/>
    </xf>
    <xf numFmtId="0" fontId="42" fillId="0" borderId="0" xfId="21" applyFont="1" applyAlignment="1">
      <alignment horizontal="left" vertical="center" indent="1"/>
    </xf>
    <xf numFmtId="0" fontId="46" fillId="0" borderId="0" xfId="0" applyFont="1" applyAlignment="1">
      <alignment horizontal="left" vertical="center"/>
    </xf>
    <xf numFmtId="0" fontId="45" fillId="0" borderId="0" xfId="0" applyFont="1" applyAlignment="1">
      <alignment horizontal="left" vertical="center"/>
    </xf>
    <xf numFmtId="0" fontId="47" fillId="0" borderId="0" xfId="4" applyFont="1" applyAlignment="1" applyProtection="1">
      <alignment horizontal="left" vertical="center"/>
    </xf>
    <xf numFmtId="0" fontId="44" fillId="0" borderId="0" xfId="0" applyFont="1" applyAlignment="1">
      <alignment horizontal="left" vertical="center"/>
    </xf>
    <xf numFmtId="0" fontId="43" fillId="0" borderId="0" xfId="0" applyFont="1" applyAlignment="1">
      <alignment horizontal="left" vertical="center"/>
    </xf>
    <xf numFmtId="0" fontId="4" fillId="0" borderId="0" xfId="4" applyAlignment="1" applyProtection="1">
      <alignment horizontal="left" vertical="center"/>
    </xf>
    <xf numFmtId="0" fontId="40" fillId="12" borderId="0" xfId="21" applyFont="1" applyFill="1" applyAlignment="1">
      <alignment horizontal="center"/>
    </xf>
    <xf numFmtId="0" fontId="28" fillId="0" borderId="0" xfId="21" applyFont="1" applyAlignment="1">
      <alignment horizontal="center" vertical="center" wrapText="1"/>
    </xf>
    <xf numFmtId="0" fontId="40" fillId="0" borderId="0" xfId="21" applyFont="1" applyAlignment="1">
      <alignment horizontal="center"/>
    </xf>
    <xf numFmtId="176" fontId="40" fillId="0" borderId="0" xfId="21" applyNumberFormat="1" applyFont="1" applyAlignment="1">
      <alignment horizontal="center"/>
    </xf>
    <xf numFmtId="0" fontId="41" fillId="0" borderId="0" xfId="21" applyFont="1" applyAlignment="1">
      <alignment horizontal="center"/>
    </xf>
    <xf numFmtId="0" fontId="36" fillId="0" borderId="0" xfId="21" applyFont="1" applyAlignment="1">
      <alignment horizontal="center" vertical="center"/>
    </xf>
    <xf numFmtId="0" fontId="36" fillId="0" borderId="0" xfId="21" applyFont="1" applyAlignment="1">
      <alignment horizontal="center" vertical="center" wrapText="1"/>
    </xf>
    <xf numFmtId="0" fontId="28" fillId="0" borderId="0" xfId="21" applyFont="1" applyAlignment="1">
      <alignment horizontal="center" vertical="center"/>
    </xf>
    <xf numFmtId="0" fontId="40" fillId="0" borderId="1" xfId="21" applyFont="1" applyBorder="1" applyAlignment="1">
      <alignment horizontal="center"/>
    </xf>
    <xf numFmtId="0" fontId="40" fillId="0" borderId="7" xfId="21" applyFont="1" applyBorder="1"/>
    <xf numFmtId="0" fontId="39" fillId="12" borderId="0" xfId="21" applyFont="1" applyFill="1" applyAlignment="1">
      <alignment horizontal="centerContinuous"/>
    </xf>
    <xf numFmtId="0" fontId="48" fillId="0" borderId="0" xfId="21" applyFont="1" applyAlignment="1">
      <alignment horizontal="center"/>
    </xf>
    <xf numFmtId="177" fontId="1" fillId="0" borderId="0" xfId="5" applyNumberFormat="1" applyFill="1" applyAlignment="1">
      <alignment horizontal="left"/>
    </xf>
    <xf numFmtId="177" fontId="1" fillId="0" borderId="0" xfId="5" applyNumberFormat="1" applyFill="1"/>
    <xf numFmtId="178" fontId="0" fillId="0" borderId="0" xfId="0" applyNumberFormat="1" applyAlignment="1">
      <alignment horizontal="left" wrapText="1"/>
    </xf>
    <xf numFmtId="179" fontId="32" fillId="0" borderId="0" xfId="0" applyNumberFormat="1" applyFont="1"/>
    <xf numFmtId="179" fontId="0" fillId="0" borderId="0" xfId="0" applyNumberFormat="1"/>
    <xf numFmtId="0" fontId="49" fillId="0" borderId="0" xfId="4" applyFont="1" applyAlignment="1" applyProtection="1"/>
    <xf numFmtId="0" fontId="4" fillId="0" borderId="0" xfId="4" applyAlignment="1" applyProtection="1">
      <alignment horizontal="left" indent="1"/>
    </xf>
    <xf numFmtId="0" fontId="50" fillId="0" borderId="0" xfId="0" applyFont="1"/>
    <xf numFmtId="164" fontId="1" fillId="0" borderId="0" xfId="2" applyNumberFormat="1" applyFont="1" applyAlignment="1">
      <alignment horizontal="left" vertical="top" wrapText="1"/>
    </xf>
    <xf numFmtId="0" fontId="1" fillId="0" borderId="0" xfId="0" quotePrefix="1" applyFont="1" applyAlignment="1">
      <alignment vertical="top" wrapText="1"/>
    </xf>
    <xf numFmtId="0" fontId="25" fillId="0" borderId="0" xfId="21" applyFont="1"/>
    <xf numFmtId="0" fontId="51" fillId="0" borderId="0" xfId="21" applyFont="1"/>
    <xf numFmtId="0" fontId="52" fillId="0" borderId="0" xfId="21" applyFont="1"/>
    <xf numFmtId="21" fontId="25" fillId="0" borderId="0" xfId="10" applyNumberFormat="1" applyFont="1"/>
    <xf numFmtId="21" fontId="25" fillId="0" borderId="0" xfId="0" applyNumberFormat="1" applyFont="1"/>
    <xf numFmtId="0" fontId="53" fillId="0" borderId="0" xfId="4" applyFont="1" applyAlignment="1" applyProtection="1">
      <alignment horizontal="left"/>
    </xf>
    <xf numFmtId="46" fontId="25" fillId="0" borderId="0" xfId="0" applyNumberFormat="1" applyFont="1"/>
    <xf numFmtId="0" fontId="53" fillId="0" borderId="0" xfId="10" applyFont="1"/>
    <xf numFmtId="0" fontId="54" fillId="0" borderId="0" xfId="10" applyFont="1" applyAlignment="1">
      <alignment horizontal="right"/>
    </xf>
    <xf numFmtId="0" fontId="0" fillId="2" borderId="0" xfId="0" applyFill="1" applyAlignment="1">
      <alignment horizontal="right"/>
    </xf>
    <xf numFmtId="0" fontId="0" fillId="0" borderId="0" xfId="0" applyAlignment="1">
      <alignment horizontal="left" vertical="top" wrapText="1"/>
    </xf>
    <xf numFmtId="0" fontId="4" fillId="0" borderId="0" xfId="4" applyAlignment="1" applyProtection="1">
      <alignment horizontal="left" vertical="top"/>
    </xf>
    <xf numFmtId="0" fontId="1" fillId="0" borderId="0" xfId="0" applyFont="1" applyAlignment="1">
      <alignment wrapText="1"/>
    </xf>
    <xf numFmtId="0" fontId="1" fillId="0" borderId="0" xfId="0" applyFont="1" applyAlignment="1">
      <alignment vertical="top" wrapText="1"/>
    </xf>
    <xf numFmtId="0" fontId="1" fillId="0" borderId="0" xfId="0" quotePrefix="1" applyFont="1" applyAlignment="1">
      <alignment vertical="center" wrapText="1"/>
    </xf>
    <xf numFmtId="0" fontId="3" fillId="11" borderId="0" xfId="10" applyFont="1" applyFill="1" applyAlignment="1">
      <alignment horizontal="center"/>
    </xf>
    <xf numFmtId="0" fontId="1" fillId="11" borderId="0" xfId="10" applyFill="1"/>
    <xf numFmtId="0" fontId="1" fillId="11" borderId="0" xfId="10" applyFill="1" applyAlignment="1">
      <alignment horizontal="center"/>
    </xf>
    <xf numFmtId="180" fontId="53" fillId="2" borderId="0" xfId="10" applyNumberFormat="1" applyFont="1" applyFill="1" applyAlignment="1">
      <alignment horizontal="center"/>
    </xf>
    <xf numFmtId="180" fontId="54" fillId="0" borderId="0" xfId="10" applyNumberFormat="1" applyFont="1" applyAlignment="1">
      <alignment horizontal="center"/>
    </xf>
    <xf numFmtId="0" fontId="31" fillId="0" borderId="0" xfId="0" applyFont="1"/>
    <xf numFmtId="179" fontId="31" fillId="0" borderId="0" xfId="0" applyNumberFormat="1" applyFont="1"/>
    <xf numFmtId="0" fontId="24" fillId="0" borderId="0" xfId="0" applyFont="1" applyAlignment="1">
      <alignment horizontal="left"/>
    </xf>
    <xf numFmtId="0" fontId="13" fillId="0" borderId="17" xfId="0" applyFont="1" applyBorder="1" applyAlignment="1">
      <alignment horizontal="left" vertical="top"/>
    </xf>
    <xf numFmtId="0" fontId="12" fillId="0" borderId="55" xfId="0" applyFont="1" applyBorder="1" applyAlignment="1">
      <alignment horizontal="center" vertical="top"/>
    </xf>
    <xf numFmtId="0" fontId="3" fillId="0" borderId="0" xfId="0" applyFont="1" applyAlignment="1">
      <alignment wrapText="1"/>
    </xf>
    <xf numFmtId="0" fontId="3" fillId="0" borderId="0" xfId="0" applyFont="1" applyAlignment="1">
      <alignment horizontal="left" wrapText="1"/>
    </xf>
    <xf numFmtId="0" fontId="4" fillId="0" borderId="0" xfId="4" applyFont="1" applyAlignment="1" applyProtection="1">
      <alignment horizontal="left" vertical="top"/>
    </xf>
    <xf numFmtId="0" fontId="55" fillId="0" borderId="0" xfId="0" applyFont="1" applyAlignment="1">
      <alignment vertical="center"/>
    </xf>
    <xf numFmtId="0" fontId="1" fillId="0" borderId="0" xfId="0" applyFont="1" applyFill="1" applyAlignment="1">
      <alignment horizontal="left" vertical="top" wrapText="1"/>
    </xf>
    <xf numFmtId="0" fontId="56" fillId="0" borderId="0" xfId="0" applyFont="1" applyAlignment="1">
      <alignment horizontal="left" vertical="top" wrapText="1"/>
    </xf>
    <xf numFmtId="0" fontId="4" fillId="0" borderId="0" xfId="4" applyFont="1" applyAlignment="1" applyProtection="1">
      <alignment vertical="center"/>
    </xf>
    <xf numFmtId="0" fontId="56" fillId="0" borderId="0" xfId="0" applyFont="1" applyAlignment="1">
      <alignment horizontal="left" vertical="center" indent="1"/>
    </xf>
    <xf numFmtId="0" fontId="4" fillId="0" borderId="0" xfId="4" applyFont="1" applyAlignment="1" applyProtection="1"/>
    <xf numFmtId="0" fontId="1" fillId="0" borderId="0" xfId="0" applyFont="1" applyAlignment="1">
      <alignment horizontal="left" indent="1"/>
    </xf>
    <xf numFmtId="0" fontId="4" fillId="0" borderId="0" xfId="4" applyFont="1" applyAlignment="1" applyProtection="1">
      <alignment horizontal="right"/>
    </xf>
    <xf numFmtId="0" fontId="13" fillId="0" borderId="55" xfId="0" applyFont="1" applyBorder="1" applyAlignment="1">
      <alignment horizontal="left" vertical="top"/>
    </xf>
    <xf numFmtId="178" fontId="1" fillId="0" borderId="0" xfId="0" applyNumberFormat="1" applyFont="1" applyAlignment="1">
      <alignment horizontal="left" wrapText="1"/>
    </xf>
    <xf numFmtId="0" fontId="1" fillId="0" borderId="18" xfId="0" applyFont="1" applyBorder="1"/>
    <xf numFmtId="0" fontId="1" fillId="0" borderId="56" xfId="0" applyFont="1" applyBorder="1"/>
    <xf numFmtId="0" fontId="12" fillId="0" borderId="57" xfId="0" applyFont="1" applyBorder="1" applyAlignment="1">
      <alignment horizontal="center" vertical="top"/>
    </xf>
    <xf numFmtId="0" fontId="13" fillId="0" borderId="9" xfId="0" applyFont="1" applyBorder="1" applyAlignment="1">
      <alignment horizontal="left" vertical="top"/>
    </xf>
    <xf numFmtId="0" fontId="1" fillId="0" borderId="10" xfId="0" applyFont="1" applyBorder="1"/>
    <xf numFmtId="0" fontId="1" fillId="0" borderId="28" xfId="0" applyFont="1" applyBorder="1"/>
    <xf numFmtId="41" fontId="1" fillId="0" borderId="0" xfId="19" quotePrefix="1" applyFont="1"/>
    <xf numFmtId="0" fontId="25" fillId="0" borderId="0" xfId="0" applyFont="1" applyAlignment="1">
      <alignment horizontal="center" vertical="top" wrapText="1"/>
    </xf>
    <xf numFmtId="164" fontId="1" fillId="0" borderId="0" xfId="2" quotePrefix="1" applyNumberFormat="1" applyFont="1"/>
    <xf numFmtId="0" fontId="1" fillId="0" borderId="0" xfId="0" applyFont="1" applyAlignment="1">
      <alignment horizontal="left" vertical="center"/>
    </xf>
    <xf numFmtId="0" fontId="53" fillId="0" borderId="35" xfId="0" applyFont="1" applyBorder="1" applyAlignment="1">
      <alignment horizontal="center" vertical="top"/>
    </xf>
    <xf numFmtId="0" fontId="53" fillId="0" borderId="36" xfId="0" applyFont="1" applyBorder="1" applyAlignment="1">
      <alignment horizontal="center" vertical="top"/>
    </xf>
    <xf numFmtId="0" fontId="3" fillId="2" borderId="37" xfId="0" applyFont="1" applyFill="1" applyBorder="1" applyAlignment="1">
      <alignment horizontal="center"/>
    </xf>
    <xf numFmtId="0" fontId="53" fillId="0" borderId="0" xfId="0" applyFont="1" applyFill="1" applyBorder="1" applyAlignment="1">
      <alignment horizontal="center" vertical="top"/>
    </xf>
    <xf numFmtId="0" fontId="25" fillId="0" borderId="0" xfId="0" applyFont="1" applyFill="1" applyBorder="1" applyAlignment="1">
      <alignment vertical="top"/>
    </xf>
    <xf numFmtId="0" fontId="57" fillId="0" borderId="0" xfId="0" applyFont="1" applyFill="1" applyBorder="1" applyAlignment="1">
      <alignment vertical="top"/>
    </xf>
    <xf numFmtId="14" fontId="25" fillId="0" borderId="0" xfId="0" applyNumberFormat="1" applyFont="1" applyAlignment="1">
      <alignment horizontal="center"/>
    </xf>
    <xf numFmtId="0" fontId="1" fillId="0" borderId="0" xfId="10" applyAlignment="1">
      <alignment horizontal="centerContinuous"/>
    </xf>
    <xf numFmtId="0" fontId="15" fillId="11" borderId="0" xfId="10" applyFont="1" applyFill="1" applyAlignment="1">
      <alignment horizontal="center"/>
    </xf>
    <xf numFmtId="0" fontId="58" fillId="11" borderId="0" xfId="10" applyFont="1" applyFill="1" applyAlignment="1">
      <alignment horizontal="center"/>
    </xf>
    <xf numFmtId="0" fontId="1" fillId="0" borderId="0" xfId="0" applyFont="1"/>
    <xf numFmtId="179" fontId="59" fillId="0" borderId="0" xfId="0" applyNumberFormat="1" applyFont="1" applyAlignment="1">
      <alignment horizontal="center"/>
    </xf>
    <xf numFmtId="179" fontId="3" fillId="0" borderId="0" xfId="0" applyNumberFormat="1" applyFont="1" applyAlignment="1">
      <alignment vertical="center"/>
    </xf>
    <xf numFmtId="0" fontId="1" fillId="0" borderId="0" xfId="0" applyFont="1" applyAlignment="1">
      <alignment horizontal="left" vertical="top" wrapText="1"/>
    </xf>
    <xf numFmtId="0" fontId="1" fillId="0" borderId="24" xfId="0" applyFont="1" applyBorder="1" applyAlignment="1">
      <alignment vertical="center" wrapText="1"/>
    </xf>
    <xf numFmtId="0" fontId="1" fillId="0" borderId="12"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6" xfId="0" applyFont="1" applyBorder="1" applyAlignment="1">
      <alignment vertical="center" wrapText="1"/>
    </xf>
    <xf numFmtId="0" fontId="1" fillId="0" borderId="6" xfId="0" applyFont="1" applyBorder="1" applyAlignment="1">
      <alignment vertical="center" wrapText="1"/>
    </xf>
    <xf numFmtId="0" fontId="1" fillId="0" borderId="0" xfId="0" applyFont="1" applyAlignment="1">
      <alignment vertical="center" wrapText="1"/>
    </xf>
    <xf numFmtId="0" fontId="1" fillId="0" borderId="7" xfId="0" applyFont="1" applyBorder="1" applyAlignment="1">
      <alignment vertical="center" wrapText="1"/>
    </xf>
    <xf numFmtId="0" fontId="1" fillId="0" borderId="45" xfId="0" applyFont="1" applyBorder="1" applyAlignment="1">
      <alignment vertical="center" wrapText="1"/>
    </xf>
    <xf numFmtId="0" fontId="1" fillId="0" borderId="1" xfId="0" applyFont="1" applyBorder="1" applyAlignment="1">
      <alignment vertical="center" wrapText="1"/>
    </xf>
    <xf numFmtId="0" fontId="1" fillId="0" borderId="46" xfId="0" applyFont="1" applyBorder="1" applyAlignment="1">
      <alignment vertical="center" wrapText="1"/>
    </xf>
    <xf numFmtId="0" fontId="56" fillId="0" borderId="0" xfId="0" applyFont="1" applyAlignment="1">
      <alignment horizontal="left" vertical="top" wrapText="1"/>
    </xf>
    <xf numFmtId="0" fontId="55" fillId="0" borderId="0" xfId="0" applyFont="1" applyAlignment="1">
      <alignment vertical="center"/>
    </xf>
    <xf numFmtId="0" fontId="56" fillId="0" borderId="0" xfId="0" applyFont="1" applyAlignment="1">
      <alignment vertical="top" wrapText="1"/>
    </xf>
    <xf numFmtId="0" fontId="4" fillId="0" borderId="0" xfId="4" applyFont="1" applyAlignment="1" applyProtection="1">
      <alignment horizontal="left" vertical="center" indent="1"/>
    </xf>
    <xf numFmtId="0" fontId="4" fillId="0" borderId="0" xfId="4" applyFont="1" applyAlignment="1" applyProtection="1">
      <alignment horizontal="left" vertical="center" wrapText="1" indent="1"/>
    </xf>
    <xf numFmtId="0" fontId="1" fillId="0" borderId="0" xfId="0" applyFont="1"/>
    <xf numFmtId="0" fontId="4" fillId="0" borderId="0" xfId="4" applyFont="1" applyAlignment="1" applyProtection="1">
      <alignment vertical="center"/>
    </xf>
    <xf numFmtId="0" fontId="1" fillId="0" borderId="0" xfId="0" applyFont="1" applyAlignment="1">
      <alignment vertical="top" wrapText="1"/>
    </xf>
    <xf numFmtId="0" fontId="1" fillId="0" borderId="0" xfId="0" applyFont="1" applyAlignment="1">
      <alignment wrapText="1"/>
    </xf>
    <xf numFmtId="164" fontId="23" fillId="0" borderId="0" xfId="2" applyNumberFormat="1" applyFont="1" applyAlignment="1">
      <alignment horizontal="left"/>
    </xf>
    <xf numFmtId="164" fontId="1" fillId="0" borderId="0" xfId="2" applyNumberFormat="1" applyAlignment="1">
      <alignment horizontal="left" vertical="top" wrapText="1"/>
    </xf>
    <xf numFmtId="0" fontId="0" fillId="0" borderId="0" xfId="0" applyAlignment="1">
      <alignment horizontal="left" vertical="top" wrapText="1"/>
    </xf>
    <xf numFmtId="0" fontId="1" fillId="0" borderId="0" xfId="2" applyNumberFormat="1" applyAlignment="1">
      <alignment horizontal="left" vertical="top" wrapText="1"/>
    </xf>
    <xf numFmtId="0" fontId="1" fillId="0" borderId="0" xfId="0" quotePrefix="1" applyFont="1" applyAlignment="1">
      <alignment vertical="center" wrapText="1"/>
    </xf>
    <xf numFmtId="0" fontId="3" fillId="0" borderId="0" xfId="10" applyFont="1" applyAlignment="1">
      <alignment horizontal="center" wrapText="1"/>
    </xf>
    <xf numFmtId="0" fontId="23" fillId="0" borderId="0" xfId="0" applyFont="1" applyAlignment="1">
      <alignment horizontal="left"/>
    </xf>
    <xf numFmtId="0" fontId="0" fillId="5" borderId="1" xfId="0" applyFill="1" applyBorder="1" applyAlignment="1">
      <alignment horizontal="center" wrapText="1"/>
    </xf>
    <xf numFmtId="0" fontId="0" fillId="5" borderId="1" xfId="0" applyFill="1" applyBorder="1" applyAlignment="1">
      <alignment horizontal="center"/>
    </xf>
    <xf numFmtId="0" fontId="5" fillId="5" borderId="30" xfId="0" applyFont="1" applyFill="1" applyBorder="1" applyAlignment="1">
      <alignment horizontal="center"/>
    </xf>
    <xf numFmtId="0" fontId="3" fillId="5" borderId="2" xfId="0" applyFont="1" applyFill="1" applyBorder="1" applyAlignment="1">
      <alignment horizontal="center"/>
    </xf>
    <xf numFmtId="0" fontId="0" fillId="5" borderId="2" xfId="0" applyFill="1" applyBorder="1" applyAlignment="1">
      <alignment horizontal="center"/>
    </xf>
    <xf numFmtId="0" fontId="5" fillId="5" borderId="38" xfId="0" applyFont="1" applyFill="1" applyBorder="1" applyAlignment="1">
      <alignment horizontal="center" vertical="center" wrapText="1"/>
    </xf>
    <xf numFmtId="0" fontId="5" fillId="5" borderId="39" xfId="0" applyFont="1" applyFill="1" applyBorder="1" applyAlignment="1">
      <alignment horizontal="center" vertical="center" wrapText="1"/>
    </xf>
    <xf numFmtId="0" fontId="5" fillId="5" borderId="40" xfId="0" applyFont="1" applyFill="1" applyBorder="1" applyAlignment="1">
      <alignment horizontal="center" vertical="center" wrapText="1"/>
    </xf>
    <xf numFmtId="0" fontId="0" fillId="6" borderId="41" xfId="0" applyFill="1" applyBorder="1" applyAlignment="1">
      <alignment horizontal="center"/>
    </xf>
    <xf numFmtId="0" fontId="0" fillId="6" borderId="10" xfId="0" applyFill="1" applyBorder="1" applyAlignment="1">
      <alignment horizontal="center"/>
    </xf>
    <xf numFmtId="0" fontId="0" fillId="6" borderId="28" xfId="0" applyFill="1" applyBorder="1" applyAlignment="1">
      <alignment horizontal="center"/>
    </xf>
  </cellXfs>
  <cellStyles count="24">
    <cellStyle name="Center Across" xfId="11" xr:uid="{00000000-0005-0000-0000-000000000000}"/>
    <cellStyle name="CenterAcross" xfId="12" xr:uid="{00000000-0005-0000-0000-000001000000}"/>
    <cellStyle name="Comma" xfId="1" builtinId="3"/>
    <cellStyle name="Comma [0]" xfId="19" builtinId="6"/>
    <cellStyle name="Currency" xfId="2" builtinId="4"/>
    <cellStyle name="Currency [0]" xfId="20" builtinId="7"/>
    <cellStyle name="Currency 2" xfId="13" xr:uid="{00000000-0005-0000-0000-000004000000}"/>
    <cellStyle name="Currency 3" xfId="14" xr:uid="{00000000-0005-0000-0000-000005000000}"/>
    <cellStyle name="currencywithzero" xfId="3" xr:uid="{00000000-0005-0000-0000-000006000000}"/>
    <cellStyle name="Hyperlink" xfId="4" builtinId="8"/>
    <cellStyle name="Hyperlink 2" xfId="15" xr:uid="{00000000-0005-0000-0000-000008000000}"/>
    <cellStyle name="Hyperlink 2 2" xfId="22" xr:uid="{260E3605-9EC5-4865-B7FB-C69508C04E08}"/>
    <cellStyle name="Hyperlink 3" xfId="23" xr:uid="{CF0D7EB4-8C4D-4630-A530-6AC30BBB5882}"/>
    <cellStyle name="Input" xfId="5" builtinId="20" customBuiltin="1"/>
    <cellStyle name="Left Across" xfId="18" xr:uid="{8C9FA647-A440-464E-99D7-548BED59E4B5}"/>
    <cellStyle name="Normal" xfId="0" builtinId="0"/>
    <cellStyle name="Normal 2" xfId="9" xr:uid="{00000000-0005-0000-0000-00000B000000}"/>
    <cellStyle name="Normal 3" xfId="10" xr:uid="{00000000-0005-0000-0000-00000C000000}"/>
    <cellStyle name="Normal 4" xfId="21" xr:uid="{02892F37-E433-4659-ABD5-8C734E269F60}"/>
    <cellStyle name="Output" xfId="6" builtinId="21" customBuiltin="1"/>
    <cellStyle name="Percent" xfId="7" builtinId="5"/>
    <cellStyle name="Title" xfId="8" builtinId="15" customBuiltin="1"/>
    <cellStyle name="WrapText" xfId="16" xr:uid="{00000000-0005-0000-0000-000010000000}"/>
    <cellStyle name="WrapText 2" xfId="17" xr:uid="{00000000-0005-0000-0000-000011000000}"/>
  </cellStyles>
  <dxfs count="32">
    <dxf>
      <font>
        <b/>
        <i/>
        <condense val="0"/>
        <extend val="0"/>
        <color auto="1"/>
      </font>
    </dxf>
    <dxf>
      <font>
        <b/>
        <i val="0"/>
        <color rgb="FF0000FF"/>
      </font>
    </dxf>
    <dxf>
      <font>
        <b/>
        <i val="0"/>
        <color rgb="FFFF0000"/>
      </font>
    </dxf>
    <dxf>
      <font>
        <b/>
        <i val="0"/>
        <color rgb="FF7030A0"/>
      </font>
    </dxf>
    <dxf>
      <fill>
        <patternFill>
          <bgColor rgb="FFCCFFCC"/>
        </patternFill>
      </fill>
    </dxf>
    <dxf>
      <font>
        <b/>
        <i val="0"/>
        <condense val="0"/>
        <extend val="0"/>
        <color indexed="12"/>
      </font>
    </dxf>
    <dxf>
      <font>
        <b/>
        <i val="0"/>
        <condense val="0"/>
        <extend val="0"/>
        <color indexed="10"/>
      </font>
    </dxf>
    <dxf>
      <font>
        <b/>
        <i val="0"/>
        <condense val="0"/>
        <extend val="0"/>
        <color indexed="12"/>
      </font>
    </dxf>
    <dxf>
      <font>
        <b/>
        <i val="0"/>
        <condense val="0"/>
        <extend val="0"/>
        <color indexed="10"/>
      </font>
    </dxf>
    <dxf>
      <font>
        <b/>
        <i val="0"/>
        <condense val="0"/>
        <extend val="0"/>
        <color indexed="12"/>
      </font>
    </dxf>
    <dxf>
      <font>
        <b/>
        <i val="0"/>
        <condense val="0"/>
        <extend val="0"/>
        <color indexed="10"/>
      </font>
    </dxf>
    <dxf>
      <font>
        <b/>
        <i val="0"/>
        <condense val="0"/>
        <extend val="0"/>
      </font>
    </dxf>
    <dxf>
      <fill>
        <patternFill patternType="gray0625">
          <bgColor indexed="22"/>
        </patternFill>
      </fill>
    </dxf>
    <dxf>
      <fill>
        <patternFill>
          <bgColor indexed="22"/>
        </patternFill>
      </fill>
    </dxf>
    <dxf>
      <fill>
        <patternFill patternType="gray0625">
          <bgColor indexed="22"/>
        </patternFill>
      </fill>
    </dxf>
    <dxf>
      <fill>
        <patternFill>
          <bgColor indexed="22"/>
        </patternFill>
      </fill>
    </dxf>
    <dxf>
      <font>
        <b/>
        <i val="0"/>
        <condense val="0"/>
        <extend val="0"/>
      </font>
    </dxf>
    <dxf>
      <font>
        <b/>
        <i val="0"/>
        <condense val="0"/>
        <extend val="0"/>
      </font>
    </dxf>
    <dxf>
      <fill>
        <patternFill patternType="gray0625">
          <bgColor indexed="22"/>
        </patternFill>
      </fill>
    </dxf>
    <dxf>
      <fill>
        <patternFill>
          <bgColor indexed="22"/>
        </patternFill>
      </fill>
    </dxf>
    <dxf>
      <fill>
        <patternFill patternType="gray0625">
          <bgColor indexed="22"/>
        </patternFill>
      </fill>
    </dxf>
    <dxf>
      <fill>
        <patternFill>
          <bgColor indexed="22"/>
        </patternFill>
      </fill>
    </dxf>
    <dxf>
      <font>
        <b/>
        <i val="0"/>
        <color rgb="FF00B050"/>
      </font>
    </dxf>
    <dxf>
      <font>
        <b/>
        <i val="0"/>
        <color rgb="FFFF0000"/>
      </font>
    </dxf>
    <dxf>
      <font>
        <b/>
        <i val="0"/>
        <strike val="0"/>
        <color rgb="FF00B050"/>
      </font>
    </dxf>
    <dxf>
      <font>
        <b/>
        <i val="0"/>
        <color rgb="FFFF0000"/>
      </font>
    </dxf>
    <dxf>
      <font>
        <color rgb="FF9C0006"/>
      </font>
      <fill>
        <patternFill>
          <bgColor rgb="FFFFC7CE"/>
        </patternFill>
      </fill>
    </dxf>
    <dxf>
      <font>
        <color rgb="FF9C0006"/>
      </font>
      <fill>
        <patternFill>
          <bgColor rgb="FFFFC7CE"/>
        </patternFill>
      </fill>
    </dxf>
    <dxf>
      <font>
        <b/>
        <i val="0"/>
        <condense val="0"/>
        <extend val="0"/>
      </font>
    </dxf>
    <dxf>
      <font>
        <b/>
        <i val="0"/>
        <condense val="0"/>
        <extend val="0"/>
      </font>
    </dxf>
    <dxf>
      <fill>
        <patternFill patternType="gray0625">
          <bgColor indexed="22"/>
        </patternFill>
      </fill>
    </dxf>
    <dxf>
      <fill>
        <patternFill>
          <bgColor theme="0" tint="-0.24994659260841701"/>
        </patternFill>
      </fill>
    </dxf>
  </dxfs>
  <tableStyles count="0" defaultTableStyle="TableStyleMedium9" defaultPivotStyle="PivotStyleLight16"/>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externalLink" Target="externalLinks/externalLink2.xml"/><Relationship Id="rId74" Type="http://schemas.microsoft.com/office/2017/06/relationships/rdRichValueTypes" Target="richData/rdRichValueTyp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77"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72" Type="http://schemas.microsoft.com/office/2017/06/relationships/rdRichValue" Target="richData/rdrichvalu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75"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1.xml"/><Relationship Id="rId73" Type="http://schemas.microsoft.com/office/2017/06/relationships/rdRichValueStructure" Target="richData/rdrichvaluestructure.xml"/><Relationship Id="rId78"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10</xdr:col>
      <xdr:colOff>84185</xdr:colOff>
      <xdr:row>7</xdr:row>
      <xdr:rowOff>79109</xdr:rowOff>
    </xdr:from>
    <xdr:to>
      <xdr:col>19</xdr:col>
      <xdr:colOff>592470</xdr:colOff>
      <xdr:row>23</xdr:row>
      <xdr:rowOff>137950</xdr:rowOff>
    </xdr:to>
    <xdr:pic>
      <xdr:nvPicPr>
        <xdr:cNvPr id="2" name="Picture 1" descr="Screen shot 2013-04-11 at 7.20.34 PM.png">
          <a:extLst>
            <a:ext uri="{FF2B5EF4-FFF2-40B4-BE49-F238E27FC236}">
              <a16:creationId xmlns:a16="http://schemas.microsoft.com/office/drawing/2014/main" id="{00000000-0008-0000-0D00-000002000000}"/>
            </a:ext>
          </a:extLst>
        </xdr:cNvPr>
        <xdr:cNvPicPr>
          <a:picLocks noChangeAspect="1"/>
        </xdr:cNvPicPr>
      </xdr:nvPicPr>
      <xdr:blipFill rotWithShape="1">
        <a:blip xmlns:r="http://schemas.openxmlformats.org/officeDocument/2006/relationships" r:embed="rId1" cstate="print"/>
        <a:srcRect b="4995"/>
        <a:stretch/>
      </xdr:blipFill>
      <xdr:spPr>
        <a:xfrm>
          <a:off x="6587461" y="1773902"/>
          <a:ext cx="5572958" cy="26864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470296</xdr:colOff>
      <xdr:row>0</xdr:row>
      <xdr:rowOff>115461</xdr:rowOff>
    </xdr:from>
    <xdr:to>
      <xdr:col>15</xdr:col>
      <xdr:colOff>418444</xdr:colOff>
      <xdr:row>12</xdr:row>
      <xdr:rowOff>74856</xdr:rowOff>
    </xdr:to>
    <xdr:pic>
      <xdr:nvPicPr>
        <xdr:cNvPr id="3" name="Picture 2" descr="Screen shot 2013-04-11 at 7.24.09 PM.png">
          <a:extLst>
            <a:ext uri="{FF2B5EF4-FFF2-40B4-BE49-F238E27FC236}">
              <a16:creationId xmlns:a16="http://schemas.microsoft.com/office/drawing/2014/main" id="{00000000-0008-0000-1A00-000003000000}"/>
            </a:ext>
          </a:extLst>
        </xdr:cNvPr>
        <xdr:cNvPicPr>
          <a:picLocks noChangeAspect="1"/>
        </xdr:cNvPicPr>
      </xdr:nvPicPr>
      <xdr:blipFill rotWithShape="1">
        <a:blip xmlns:r="http://schemas.openxmlformats.org/officeDocument/2006/relationships" r:embed="rId1" cstate="print"/>
        <a:srcRect t="1" b="5044"/>
        <a:stretch/>
      </xdr:blipFill>
      <xdr:spPr>
        <a:xfrm>
          <a:off x="6721077" y="115461"/>
          <a:ext cx="3823633" cy="19536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190500</xdr:colOff>
      <xdr:row>3</xdr:row>
      <xdr:rowOff>123825</xdr:rowOff>
    </xdr:from>
    <xdr:ext cx="1901071" cy="2809875"/>
    <xdr:pic>
      <xdr:nvPicPr>
        <xdr:cNvPr id="2" name="Picture 1" descr="Sort the values in cells D2:D11 with =SORT(D2:D11,1,-1)">
          <a:extLst>
            <a:ext uri="{FF2B5EF4-FFF2-40B4-BE49-F238E27FC236}">
              <a16:creationId xmlns:a16="http://schemas.microsoft.com/office/drawing/2014/main" id="{89A52D7E-87EF-49CE-B0F6-00C3B173D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01225" y="704850"/>
          <a:ext cx="1901071" cy="28098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247650</xdr:colOff>
      <xdr:row>16</xdr:row>
      <xdr:rowOff>228600</xdr:rowOff>
    </xdr:from>
    <xdr:ext cx="2714625" cy="1162050"/>
    <xdr:pic>
      <xdr:nvPicPr>
        <xdr:cNvPr id="3" name="Picture 2" descr="Array formula with the output range highlighted with a blue border">
          <a:extLst>
            <a:ext uri="{FF2B5EF4-FFF2-40B4-BE49-F238E27FC236}">
              <a16:creationId xmlns:a16="http://schemas.microsoft.com/office/drawing/2014/main" id="{E6955675-CC6C-4FF5-B05A-0503EBBE8C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58375" y="4238625"/>
          <a:ext cx="2714625" cy="11620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104775</xdr:colOff>
      <xdr:row>21</xdr:row>
      <xdr:rowOff>76200</xdr:rowOff>
    </xdr:from>
    <xdr:ext cx="3067050" cy="371475"/>
    <xdr:pic>
      <xdr:nvPicPr>
        <xdr:cNvPr id="4" name="Picture 3" descr="Image of a ghosted array formula, meaning it's not editable, since it's not the first cell in the array range">
          <a:extLst>
            <a:ext uri="{FF2B5EF4-FFF2-40B4-BE49-F238E27FC236}">
              <a16:creationId xmlns:a16="http://schemas.microsoft.com/office/drawing/2014/main" id="{BE31FDCA-C761-420C-A257-9D17FC12F58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15500" y="5972175"/>
          <a:ext cx="3067050" cy="3714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171450</xdr:colOff>
      <xdr:row>23</xdr:row>
      <xdr:rowOff>114300</xdr:rowOff>
    </xdr:from>
    <xdr:ext cx="3467100" cy="1628775"/>
    <xdr:pic>
      <xdr:nvPicPr>
        <xdr:cNvPr id="5" name="Picture 4" descr="Image of a #SPILL! error indicating that an array formula output is experiencing a blockage that prevents it from spilling.">
          <a:extLst>
            <a:ext uri="{FF2B5EF4-FFF2-40B4-BE49-F238E27FC236}">
              <a16:creationId xmlns:a16="http://schemas.microsoft.com/office/drawing/2014/main" id="{E35B5B88-A14B-4948-A4E3-CEB69CDFBA7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82175" y="6848475"/>
          <a:ext cx="3467100" cy="1628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ount"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hipping"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ricing_Schedule_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oun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ping"/>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ing_Schedule_1"/>
    </sheetNames>
    <sheetDataSet>
      <sheetData sheetId="0"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18</v>
    <v>1</v>
  </rv>
  <rv s="0">
    <v>0</v>
    <v>8</v>
    <v>6</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triangl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triangl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8" Type="http://schemas.openxmlformats.org/officeDocument/2006/relationships/hyperlink" Target="https://support.office.com/en-us/f1/topic/sequence-function-57467a98-57e0-4817-9f14-2eb78519ca90?NS=EXCEL&amp;Version=90" TargetMode="External"/><Relationship Id="rId13" Type="http://schemas.openxmlformats.org/officeDocument/2006/relationships/hyperlink" Target="https://support.office.com/en-us/f1/topic/dynamic-array-formulas-and-spilled-array-behavior-205c6b06-03ba-4151-89a1-87a7eb36e531?NS=EXCEL&amp;Version=90" TargetMode="External"/><Relationship Id="rId18" Type="http://schemas.openxmlformats.org/officeDocument/2006/relationships/hyperlink" Target="https://support.office.com/en-us/f1/topic/sequence-function-57467a98-57e0-4817-9f14-2eb78519ca90" TargetMode="External"/><Relationship Id="rId3" Type="http://schemas.openxmlformats.org/officeDocument/2006/relationships/hyperlink" Target="https://support.office.com/en-us/f1/topic/excel-functions-that-return-ranges-or-arrays-7d1970e2-cbaa-4279-b59c-b9dd3900fc69?NS=EXCEL&amp;Version=90" TargetMode="External"/><Relationship Id="rId21" Type="http://schemas.openxmlformats.org/officeDocument/2006/relationships/printerSettings" Target="../printerSettings/printerSettings8.bin"/><Relationship Id="rId7" Type="http://schemas.openxmlformats.org/officeDocument/2006/relationships/hyperlink" Target="https://support.office.com/en-us/f1/topic/randarray-function-21261e55-3bec-4885-86a6-8b0a47fd4d33?NS=EXCEL&amp;Version=90" TargetMode="External"/><Relationship Id="rId12" Type="http://schemas.openxmlformats.org/officeDocument/2006/relationships/hyperlink" Target="https://support.office.com/en-us/f1/topic/-spill-errors-in-excel-ffe0f555-b479-4a17-a6e2-ef9cc9ad4023?NS=EXCEL&amp;Version=90" TargetMode="External"/><Relationship Id="rId17" Type="http://schemas.openxmlformats.org/officeDocument/2006/relationships/hyperlink" Target="https://support.office.com/en-us/f1/topic/sortby-function-cd2d7a62-1b93-435c-b561-d6a35134f28" TargetMode="External"/><Relationship Id="rId2" Type="http://schemas.openxmlformats.org/officeDocument/2006/relationships/hyperlink" Target="https://support.office.com/en-us/f1/topic/dynamic-array-formulas-vs-legacy-cse-array-formulas-ca421f1b-fbb2-4c99-9924-df571bd4f1b4?NS=EXCEL&amp;Version=90" TargetMode="External"/><Relationship Id="rId16" Type="http://schemas.openxmlformats.org/officeDocument/2006/relationships/hyperlink" Target="https://support.office.com/en-us/f1/topic/unique-function-c5ab87fd-30a3-4ce9-9d1a-40204fb85e1e" TargetMode="External"/><Relationship Id="rId20" Type="http://schemas.openxmlformats.org/officeDocument/2006/relationships/hyperlink" Target="https://support.office.com/en-us/f1/topic/filter-function-f4f7cb66-82eb-4767-8f7c-4877ad80c759" TargetMode="External"/><Relationship Id="rId1" Type="http://schemas.openxmlformats.org/officeDocument/2006/relationships/hyperlink" Target="https://support.office.com/en-us/f1/topic/dynamic-array-formulas-and-spilled-array-behavior-205c6b06-03ba-4151-89a1-87a7eb36e531?NS=EXCEL&amp;Version=90" TargetMode="External"/><Relationship Id="rId6" Type="http://schemas.openxmlformats.org/officeDocument/2006/relationships/hyperlink" Target="https://support.office.com/en-us/f1/topic/filter-function-f4f7cb66-82eb-4767-8f7c-4877ad80c759?NS=EXCEL&amp;Version=90" TargetMode="External"/><Relationship Id="rId11" Type="http://schemas.openxmlformats.org/officeDocument/2006/relationships/hyperlink" Target="https://support.office.com/en-us/f1/topic/unique-function-c5ab87fd-30a3-4ce9-9d1a-40204fb85e1e?NS=EXCEL&amp;Version=90" TargetMode="External"/><Relationship Id="rId5" Type="http://schemas.openxmlformats.org/officeDocument/2006/relationships/hyperlink" Target="https://support.office.com/en-us/f1/topic/dynamic-array-formulas-and-spilled-array-behavior-205c6b06-03ba-4151-89a1-87a7eb36e531?NS=EXCEL&amp;Version=90" TargetMode="External"/><Relationship Id="rId15" Type="http://schemas.openxmlformats.org/officeDocument/2006/relationships/hyperlink" Target="https://support.office.com/en-us/f1/topic/sort-function-22f63bd0-ccc8-492f-953d-c20e8e44b86c" TargetMode="External"/><Relationship Id="rId10" Type="http://schemas.openxmlformats.org/officeDocument/2006/relationships/hyperlink" Target="https://support.office.com/en-us/f1/topic/sortby-function-cd2d7a62-1b93-435c-b561-d6a35134f28f?NS=EXCEL&amp;Version=90" TargetMode="External"/><Relationship Id="rId19" Type="http://schemas.openxmlformats.org/officeDocument/2006/relationships/hyperlink" Target="https://support.office.com/en-us/f1/topic/randarray-function-21261e55-3bec-4885-86a6-8b0a47fd4d33" TargetMode="External"/><Relationship Id="rId4" Type="http://schemas.openxmlformats.org/officeDocument/2006/relationships/hyperlink" Target="https://support.office.com/en-us/article/implicit-intersection-operator-ce3be07b-0101-4450-a24e-c1c999be2b34" TargetMode="External"/><Relationship Id="rId9" Type="http://schemas.openxmlformats.org/officeDocument/2006/relationships/hyperlink" Target="https://support.office.com/en-us/f1/topic/sort-function-22f63bd0-ccc8-492f-953d-c20e8e44b86c?NS=EXCEL&amp;Version=90" TargetMode="External"/><Relationship Id="rId14" Type="http://schemas.openxmlformats.org/officeDocument/2006/relationships/hyperlink" Target="https://support.office.com/en-us/f1/topic/implicit-intersection-operator-ce3be07b-0101-4450-a24e-c1c999be2b34?NS=EXCEL&amp;Version=90"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xml"/><Relationship Id="rId1" Type="http://schemas.openxmlformats.org/officeDocument/2006/relationships/printerSettings" Target="../printerSettings/printerSettings14.bin"/><Relationship Id="rId4" Type="http://schemas.openxmlformats.org/officeDocument/2006/relationships/comments" Target="../comments13.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36.xml.rels><?xml version="1.0" encoding="UTF-8" standalone="yes"?>
<Relationships xmlns="http://schemas.openxmlformats.org/package/2006/relationships"><Relationship Id="rId1" Type="http://schemas.openxmlformats.org/officeDocument/2006/relationships/hyperlink" Target="https://www.ablebits.com/office-addins-blog/2016/12/07/nested-if-excel-multiple-conditions/" TargetMode="External"/></Relationships>
</file>

<file path=xl/worksheets/_rels/sheet37.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38.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49.xml.rels><?xml version="1.0" encoding="UTF-8" standalone="yes"?>
<Relationships xmlns="http://schemas.openxmlformats.org/package/2006/relationships"><Relationship Id="rId3" Type="http://schemas.openxmlformats.org/officeDocument/2006/relationships/hyperlink" Target="https://support.microsoft.com/en-us/office/isodd-function-1208a56d-4f10-4f44-a5fc-648cafd6c07a" TargetMode="External"/><Relationship Id="rId2" Type="http://schemas.openxmlformats.org/officeDocument/2006/relationships/hyperlink" Target="https://support.microsoft.com/en-us/office/isformula-function-e4d1355f-7121-4ef2-801e-3839bfd6b1e5" TargetMode="External"/><Relationship Id="rId1" Type="http://schemas.openxmlformats.org/officeDocument/2006/relationships/hyperlink" Target="https://support.microsoft.com/en-us/office/iseven-function-aa15929a-d77b-4fbb-92f4-2f479af55356" TargetMode="External"/><Relationship Id="rId4" Type="http://schemas.openxmlformats.org/officeDocument/2006/relationships/hyperlink" Target="https://support.microsoft.com/en-us/office/is-functions-0f2d7971-6019-40a0-a171-f2d869135665"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https://support.office.com/article/3dd5899f-bca2-4b9d-a172-3eae9ac22efd" TargetMode="External"/><Relationship Id="rId13" Type="http://schemas.openxmlformats.org/officeDocument/2006/relationships/hyperlink" Target="https://support.office.com/article/696e164e-306b-4282-ae9d-aa88f5502fa2" TargetMode="External"/><Relationship Id="rId3" Type="http://schemas.openxmlformats.org/officeDocument/2006/relationships/hyperlink" Target="https://support.office.com/article/c5ab87fd-30a3-4ce9-9d1a-40204fb85e1e" TargetMode="External"/><Relationship Id="rId7" Type="http://schemas.openxmlformats.org/officeDocument/2006/relationships/hyperlink" Target="https://support.office.com/article/21261e55-3bec-4885-86a6-8b0a47fd4d33" TargetMode="External"/><Relationship Id="rId12" Type="http://schemas.openxmlformats.org/officeDocument/2006/relationships/hyperlink" Target="https://support.office.com/article/7c21bf05-72f9-4261-822b-b26767efbd13" TargetMode="External"/><Relationship Id="rId2" Type="http://schemas.openxmlformats.org/officeDocument/2006/relationships/hyperlink" Target="https://support.office.com/article/f4f7cb66-82eb-4767-8f7c-4877ad80c759" TargetMode="External"/><Relationship Id="rId1" Type="http://schemas.openxmlformats.org/officeDocument/2006/relationships/hyperlink" Target="https://techcommunity.microsoft.com/t5/excel-blog/preview-of-dynamic-arrays-in-excel/ba-p/252944" TargetMode="External"/><Relationship Id="rId6" Type="http://schemas.openxmlformats.org/officeDocument/2006/relationships/hyperlink" Target="https://support.office.com/article/57467a98-57e0-4817-9f14-2eb78519ca90" TargetMode="External"/><Relationship Id="rId11" Type="http://schemas.openxmlformats.org/officeDocument/2006/relationships/hyperlink" Target="https://support.office.com/article/ffe0f555-b479-4a17-a6e2-ef9cc9ad4023" TargetMode="External"/><Relationship Id="rId5" Type="http://schemas.openxmlformats.org/officeDocument/2006/relationships/hyperlink" Target="https://support.office.com/article/cd2d7a62-1b93-435c-b561-d6a35134f28f" TargetMode="External"/><Relationship Id="rId10" Type="http://schemas.openxmlformats.org/officeDocument/2006/relationships/hyperlink" Target="https://support.office.com/article/ca421f1b-fbb2-4c99-9924-df571bd4f1b4" TargetMode="External"/><Relationship Id="rId4" Type="http://schemas.openxmlformats.org/officeDocument/2006/relationships/hyperlink" Target="https://support.office.com/article/22f63bd0-ccc8-492f-953d-c20e8e44b86c" TargetMode="External"/><Relationship Id="rId9" Type="http://schemas.openxmlformats.org/officeDocument/2006/relationships/hyperlink" Target="https://support.office.com/article/205c6b06-03ba-4151-89a1-87a7eb36e531" TargetMode="External"/><Relationship Id="rId14" Type="http://schemas.openxmlformats.org/officeDocument/2006/relationships/hyperlink" Target="https://techcommunity.microsoft.com/t5/excel-blog/excel-dynamic-array-improvements/ba-p/332070" TargetMode="External"/></Relationships>
</file>

<file path=xl/worksheets/_rels/sheet51.xml.rels><?xml version="1.0" encoding="UTF-8" standalone="yes"?>
<Relationships xmlns="http://schemas.openxmlformats.org/package/2006/relationships"><Relationship Id="rId8" Type="http://schemas.openxmlformats.org/officeDocument/2006/relationships/hyperlink" Target="https://support.office.com/article/205c6b06-03ba-4151-89a1-87a7eb36e531" TargetMode="External"/><Relationship Id="rId3" Type="http://schemas.openxmlformats.org/officeDocument/2006/relationships/hyperlink" Target="https://support.office.com/article/22f63bd0-ccc8-492f-953d-c20e8e44b86c" TargetMode="External"/><Relationship Id="rId7" Type="http://schemas.openxmlformats.org/officeDocument/2006/relationships/hyperlink" Target="https://support.office.com/article/3dd5899f-bca2-4b9d-a172-3eae9ac22efd" TargetMode="External"/><Relationship Id="rId12" Type="http://schemas.openxmlformats.org/officeDocument/2006/relationships/hyperlink" Target="https://support.office.com/article/696e164e-306b-4282-ae9d-aa88f5502fa2" TargetMode="External"/><Relationship Id="rId2" Type="http://schemas.openxmlformats.org/officeDocument/2006/relationships/hyperlink" Target="https://support.office.com/article/c5ab87fd-30a3-4ce9-9d1a-40204fb85e1e" TargetMode="External"/><Relationship Id="rId1" Type="http://schemas.openxmlformats.org/officeDocument/2006/relationships/hyperlink" Target="https://support.office.com/article/f4f7cb66-82eb-4767-8f7c-4877ad80c759" TargetMode="External"/><Relationship Id="rId6" Type="http://schemas.openxmlformats.org/officeDocument/2006/relationships/hyperlink" Target="https://support.office.com/article/21261e55-3bec-4885-86a6-8b0a47fd4d33" TargetMode="External"/><Relationship Id="rId11" Type="http://schemas.openxmlformats.org/officeDocument/2006/relationships/hyperlink" Target="https://support.office.com/article/7c21bf05-72f9-4261-822b-b26767efbd13" TargetMode="External"/><Relationship Id="rId5" Type="http://schemas.openxmlformats.org/officeDocument/2006/relationships/hyperlink" Target="https://support.office.com/article/57467a98-57e0-4817-9f14-2eb78519ca90" TargetMode="External"/><Relationship Id="rId10" Type="http://schemas.openxmlformats.org/officeDocument/2006/relationships/hyperlink" Target="https://support.office.com/article/ffe0f555-b479-4a17-a6e2-ef9cc9ad4023" TargetMode="External"/><Relationship Id="rId4" Type="http://schemas.openxmlformats.org/officeDocument/2006/relationships/hyperlink" Target="https://support.office.com/article/cd2d7a62-1b93-435c-b561-d6a35134f28f" TargetMode="External"/><Relationship Id="rId9" Type="http://schemas.openxmlformats.org/officeDocument/2006/relationships/hyperlink" Target="https://support.office.com/article/ca421f1b-fbb2-4c99-9924-df571bd4f1b4"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https://support.office.com/en-us/f1/topic/implicit-intersection-operator-ce3be07b-0101-4450-a24e-c1c999be2b34?NS=EXCEL&amp;Version=90" TargetMode="External"/><Relationship Id="rId3" Type="http://schemas.openxmlformats.org/officeDocument/2006/relationships/hyperlink" Target="https://support.office.com/en-us/f1/topic/sequence-function-57467a98-57e0-4817-9f14-2eb78519ca90?NS=EXCEL&amp;Version=90" TargetMode="External"/><Relationship Id="rId7" Type="http://schemas.openxmlformats.org/officeDocument/2006/relationships/hyperlink" Target="https://support.office.com/en-us/f1/topic/-spill-errors-in-excel-ffe0f555-b479-4a17-a6e2-ef9cc9ad4023?NS=EXCEL&amp;Version=90" TargetMode="External"/><Relationship Id="rId2" Type="http://schemas.openxmlformats.org/officeDocument/2006/relationships/hyperlink" Target="https://support.office.com/en-us/f1/topic/randarray-function-21261e55-3bec-4885-86a6-8b0a47fd4d33?NS=EXCEL&amp;Version=90" TargetMode="External"/><Relationship Id="rId1" Type="http://schemas.openxmlformats.org/officeDocument/2006/relationships/hyperlink" Target="https://support.office.com/en-us/f1/topic/filter-function-f4f7cb66-82eb-4767-8f7c-4877ad80c759?NS=EXCEL&amp;Version=90" TargetMode="External"/><Relationship Id="rId6" Type="http://schemas.openxmlformats.org/officeDocument/2006/relationships/hyperlink" Target="https://support.office.com/en-us/f1/topic/unique-function-c5ab87fd-30a3-4ce9-9d1a-40204fb85e1e?NS=EXCEL&amp;Version=90" TargetMode="External"/><Relationship Id="rId5" Type="http://schemas.openxmlformats.org/officeDocument/2006/relationships/hyperlink" Target="https://support.office.com/en-us/f1/topic/sortby-function-cd2d7a62-1b93-435c-b561-d6a35134f28f?NS=EXCEL&amp;Version=90" TargetMode="External"/><Relationship Id="rId10" Type="http://schemas.openxmlformats.org/officeDocument/2006/relationships/drawing" Target="../drawings/drawing3.xml"/><Relationship Id="rId4" Type="http://schemas.openxmlformats.org/officeDocument/2006/relationships/hyperlink" Target="https://support.office.com/en-us/f1/topic/sort-function-22f63bd0-ccc8-492f-953d-c20e8e44b86c?NS=EXCEL&amp;Version=90" TargetMode="External"/><Relationship Id="rId9" Type="http://schemas.openxmlformats.org/officeDocument/2006/relationships/hyperlink" Target="https://support.office.com/en-us/f1/topic/dynamic-array-formulas-vs-legacy-cse-array-formulas-ca421f1b-fbb2-4c99-9924-df571bd4f1b4?NS=EXCEL&amp;Version=90" TargetMode="External"/></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8" filterMode="1">
    <outlinePr summaryBelow="0" summaryRight="0"/>
  </sheetPr>
  <dimension ref="A1:I73"/>
  <sheetViews>
    <sheetView tabSelected="1" zoomScale="115" zoomScaleNormal="115" workbookViewId="0">
      <pane xSplit="1" ySplit="8" topLeftCell="B9" activePane="bottomRight" state="frozen"/>
      <selection pane="topRight" activeCell="B1" sqref="B1"/>
      <selection pane="bottomLeft" activeCell="A9" sqref="A9"/>
      <selection pane="bottomRight" activeCell="B4" sqref="B4"/>
    </sheetView>
  </sheetViews>
  <sheetFormatPr defaultRowHeight="12.75" outlineLevelRow="1" outlineLevelCol="1" x14ac:dyDescent="0.2"/>
  <cols>
    <col min="1" max="1" width="27.42578125" style="116" bestFit="1" customWidth="1"/>
    <col min="2" max="2" width="90.5703125" style="138" bestFit="1" customWidth="1"/>
    <col min="3" max="3" width="15.5703125" style="310" bestFit="1" customWidth="1" outlineLevel="1"/>
    <col min="4" max="4" width="91.85546875" style="258" customWidth="1" outlineLevel="1"/>
    <col min="5" max="5" width="2.7109375" style="116" customWidth="1" collapsed="1"/>
    <col min="6" max="6" width="36.5703125" style="116" hidden="1" customWidth="1" outlineLevel="1"/>
    <col min="7" max="7" width="8.7109375" style="116" hidden="1" customWidth="1" outlineLevel="1"/>
    <col min="8" max="16384" width="9.140625" style="116"/>
  </cols>
  <sheetData>
    <row r="1" spans="1:9" ht="18" x14ac:dyDescent="0.25">
      <c r="A1" s="98" t="str">
        <f ca="1">SUBSTITUTE(MID(CELL("filename",A1),FIND("[",CELL("filename",A1),1)+1,FIND("]",CELL("filename",A1),1)-FIND("[",CELL("filename",A1),1)-1),".xlsx","")</f>
        <v>4_Applying_Logic_Notes</v>
      </c>
    </row>
    <row r="3" spans="1:9" outlineLevel="1" x14ac:dyDescent="0.2">
      <c r="A3" s="116" t="s">
        <v>201</v>
      </c>
      <c r="B3" s="138" t="s">
        <v>202</v>
      </c>
    </row>
    <row r="4" spans="1:9" outlineLevel="1" x14ac:dyDescent="0.2">
      <c r="A4" s="116" t="s">
        <v>203</v>
      </c>
      <c r="B4" s="220">
        <v>44788.364616319443</v>
      </c>
    </row>
    <row r="5" spans="1:9" outlineLevel="1" x14ac:dyDescent="0.2">
      <c r="C5" s="376" t="s">
        <v>772</v>
      </c>
    </row>
    <row r="6" spans="1:9" outlineLevel="1" x14ac:dyDescent="0.2">
      <c r="A6" s="221" t="s">
        <v>204</v>
      </c>
      <c r="B6" s="138" t="s">
        <v>773</v>
      </c>
      <c r="C6" s="377">
        <f>SUMIFS(C9:C60,D9:D60,"?*")</f>
        <v>5.9317129629629622E-2</v>
      </c>
    </row>
    <row r="7" spans="1:9" outlineLevel="1" x14ac:dyDescent="0.2"/>
    <row r="8" spans="1:9" s="32" customFormat="1" x14ac:dyDescent="0.2">
      <c r="A8" s="337" t="s">
        <v>198</v>
      </c>
      <c r="B8" s="337" t="s">
        <v>493</v>
      </c>
      <c r="C8" s="338" t="s">
        <v>725</v>
      </c>
      <c r="D8" s="32" t="s">
        <v>533</v>
      </c>
      <c r="E8" s="337" t="str">
        <f>segment_designator</f>
        <v>_</v>
      </c>
      <c r="F8" s="337" t="s">
        <v>726</v>
      </c>
      <c r="G8" s="337" t="s">
        <v>517</v>
      </c>
      <c r="H8" s="337"/>
      <c r="I8" s="337"/>
    </row>
    <row r="9" spans="1:9" x14ac:dyDescent="0.2">
      <c r="A9" s="313" t="str">
        <f ca="1">HYPERLINK("#"&amp;CELL("address",Documentation!$A$1),MID(CELL("filename",Documentation!$A$1),FIND("]",CELL("filename",Documentation!$A$1))+1,255))</f>
        <v>Documentation</v>
      </c>
      <c r="B9" t="str">
        <f ca="1">IF(Documentation!$A$1="","", Documentation!$A$1)</f>
        <v>4_Applying_Logic_Notes</v>
      </c>
      <c r="C9" s="311" t="str">
        <f>IF(Documentation!$B$2="","",Documentation!$B$2)</f>
        <v/>
      </c>
      <c r="D9" s="258" t="str">
        <f>IF(Documentation!$A$2="","",HYPERLINK(Video_website&amp;Documentation!$A$2, Documentation!$A$2))</f>
        <v/>
      </c>
      <c r="E9"/>
      <c r="F9" t="str">
        <f t="shared" ref="F9:F40" ca="1" si="0">IF(LEFT($A9,1)=segment_designator,B9,"")</f>
        <v/>
      </c>
      <c r="G9"/>
      <c r="H9"/>
      <c r="I9"/>
    </row>
    <row r="10" spans="1:9" x14ac:dyDescent="0.2">
      <c r="A10" s="313" t="str">
        <f ca="1">HYPERLINK("#"&amp;CELL("address",Functions!$A$1),MID(CELL("filename",Functions!$A$1),FIND("]",CELL("filename",Functions!$A$1))+1,255))</f>
        <v>Functions</v>
      </c>
      <c r="B10" t="str">
        <f>IF(Functions!$A$1="","", Functions!$A$1)</f>
        <v>Functions Covered in this Chapter</v>
      </c>
      <c r="C10" s="311" t="str">
        <f>IF(Functions!$B$2="","",Functions!$B$2)</f>
        <v/>
      </c>
      <c r="D10" s="258" t="str">
        <f>IF(Functions!$A$2="","",HYPERLINK(Video_website&amp;Functions!$A$2, Functions!$A$2))</f>
        <v/>
      </c>
      <c r="E10"/>
      <c r="F10" t="str">
        <f t="shared" ca="1" si="0"/>
        <v/>
      </c>
      <c r="G10"/>
      <c r="H10"/>
      <c r="I10"/>
    </row>
    <row r="11" spans="1:9" x14ac:dyDescent="0.2">
      <c r="A11" s="312" t="str">
        <f ca="1">HYPERLINK("#"&amp;CELL("address",_Boolean!$A$1),MID(CELL("filename",_Boolean!$A$1),FIND("]",CELL("filename",_Boolean!$A$1))+1,255))</f>
        <v>_Boolean</v>
      </c>
      <c r="B11" s="337" t="str">
        <f>IF(_Boolean!$A$1="","", _Boolean!$A$1)</f>
        <v>Relational Operators &amp; Boolean Functions</v>
      </c>
      <c r="C11" s="338">
        <f>IF(_Boolean!$B$2="","",_Boolean!$B$2)</f>
        <v>2.3148148148148147E-2</v>
      </c>
      <c r="D11" s="314" t="str">
        <f>IF(_Boolean!$A$2="","",HYPERLINK(Video_website&amp;_Boolean!$A$2, _Boolean!$A$2))</f>
        <v/>
      </c>
      <c r="E11" s="337"/>
      <c r="F11" s="337" t="str">
        <f t="shared" ca="1" si="0"/>
        <v>Relational Operators &amp; Boolean Functions</v>
      </c>
      <c r="G11" s="337"/>
      <c r="H11" s="337"/>
      <c r="I11" s="337"/>
    </row>
    <row r="12" spans="1:9" x14ac:dyDescent="0.2">
      <c r="A12" s="313" t="str">
        <f ca="1">HYPERLINK("#"&amp;CELL("address",Relational_Operators!$A$1),MID(CELL("filename",Relational_Operators!$A$1),FIND("]",CELL("filename",Relational_Operators!$A$1))+1,255))</f>
        <v>Relational_Operators</v>
      </c>
      <c r="B12" t="str">
        <f>IF(Relational_Operators!$A$1="","", Relational_Operators!$A$1)</f>
        <v>Using Relational Operators to Compare Two Values</v>
      </c>
      <c r="C12" s="311">
        <f>IF(Relational_Operators!$B$2="","",Relational_Operators!$B$2)</f>
        <v>2.7546296296296294E-3</v>
      </c>
      <c r="D12" s="258" t="str">
        <f>IF(Relational_Operators!$A$2="","",HYPERLINK(Video_website&amp;Relational_Operators!$A$2, Relational_Operators!$A$2))</f>
        <v>UNC_DAYT_EXCEL_2.6.1_LECTURE_RELATIONAL_OPERATORS.mp4</v>
      </c>
      <c r="E12"/>
      <c r="F12" t="str">
        <f t="shared" ca="1" si="0"/>
        <v/>
      </c>
      <c r="G12"/>
      <c r="H12"/>
      <c r="I12"/>
    </row>
    <row r="13" spans="1:9" x14ac:dyDescent="0.2">
      <c r="A13" s="313" t="str">
        <f ca="1">HYPERLINK("#"&amp;CELL("address",Range_Names!$A$1),MID(CELL("filename",Range_Names!$A$1),FIND("]",CELL("filename",Range_Names!$A$1))+1,255))</f>
        <v>Range_Names</v>
      </c>
      <c r="B13" t="str">
        <f>IF(Range_Names!$A$1="","", Range_Names!$A$1)</f>
        <v>Using Relational Operators to Evaluate Text Labels</v>
      </c>
      <c r="C13" s="311">
        <f>IF(Range_Names!$B$2="","",Range_Names!$B$2)</f>
        <v>3.4953703703703705E-3</v>
      </c>
      <c r="D13" s="258" t="str">
        <f>IF(Range_Names!$A$2="","",HYPERLINK(Video_website&amp;Range_Names!$A$2, Range_Names!$A$2))</f>
        <v>UNC_DAYT_EXCEL_2.6.2_LECTURE_RANGE_NAMES.mp4</v>
      </c>
      <c r="E13"/>
      <c r="F13" t="str">
        <f t="shared" ca="1" si="0"/>
        <v/>
      </c>
      <c r="G13"/>
      <c r="H13"/>
      <c r="I13"/>
    </row>
    <row r="14" spans="1:9" x14ac:dyDescent="0.2">
      <c r="A14" s="313" t="str">
        <f ca="1">HYPERLINK("#"&amp;CELL("address",Boolean_Functions!$A$1),MID(CELL("filename",Boolean_Functions!$A$1),FIND("]",CELL("filename",Boolean_Functions!$A$1))+1,255))</f>
        <v>Boolean_Functions</v>
      </c>
      <c r="B14" t="str">
        <f>IF(Boolean_Functions!$A$1="","", Boolean_Functions!$A$1)</f>
        <v>Using Boolean Logical Functions to Evaluate a List of Values and Determine a Single True or False Value</v>
      </c>
      <c r="C14" s="311">
        <f>IF(Boolean_Functions!$B$2="","",Boolean_Functions!$B$2)</f>
        <v>3.9699074074074072E-3</v>
      </c>
      <c r="D14" s="258" t="str">
        <f>IF(Boolean_Functions!$A$2="","",HYPERLINK(Video_website&amp;Boolean_Functions!$A$2, Boolean_Functions!$A$2))</f>
        <v>UNC_DAYT_EXCEL_2.6.3_LECTURE_BOOLEAN_LOGICAL_FUNCTIONS_OR_AND_NOT_IFERROR.mp4</v>
      </c>
      <c r="E14"/>
      <c r="F14" t="str">
        <f t="shared" ca="1" si="0"/>
        <v/>
      </c>
      <c r="G14"/>
      <c r="H14"/>
      <c r="I14"/>
    </row>
    <row r="15" spans="1:9" x14ac:dyDescent="0.2">
      <c r="A15" s="313" t="str">
        <f ca="1">HYPERLINK("#"&amp;CELL("address",Simple!$A$1),MID(CELL("filename",Simple!$A$1),FIND("]",CELL("filename",Simple!$A$1))+1,255))</f>
        <v>Simple</v>
      </c>
      <c r="B15" t="str">
        <f>IF(Simple!$A$1="","", Simple!$A$1)</f>
        <v>Using Relational Operators to Evaluate Simple Criteria</v>
      </c>
      <c r="C15" s="311" t="str">
        <f>IF(Simple!$B$2="","",Simple!$B$2)</f>
        <v/>
      </c>
      <c r="D15" s="258" t="str">
        <f>IF(Simple!$A$2="","",HYPERLINK(Video_website&amp;Simple!$A$2, Simple!$A$2))</f>
        <v/>
      </c>
      <c r="E15"/>
      <c r="F15" t="str">
        <f t="shared" ca="1" si="0"/>
        <v/>
      </c>
      <c r="G15"/>
      <c r="H15"/>
      <c r="I15"/>
    </row>
    <row r="16" spans="1:9" x14ac:dyDescent="0.2">
      <c r="A16" s="313" t="str">
        <f ca="1">HYPERLINK("#"&amp;CELL("address",IFERROR!$A$1),MID(CELL("filename",IFERROR!$A$1),FIND("]",CELL("filename",IFERROR!$A$1))+1,255))</f>
        <v>IFERROR</v>
      </c>
      <c r="B16" t="str">
        <f>IF(IFERROR!$A$1="","", IFERROR!$A$1)</f>
        <v>Using Error-checking Functions (IFERROR) to Prevent Errors in Cells</v>
      </c>
      <c r="C16" s="311" t="str">
        <f>IF(IFERROR!$B$2="","",IFERROR!$B$2)</f>
        <v/>
      </c>
      <c r="D16" s="258" t="str">
        <f>IF(IFERROR!$A$2="","",HYPERLINK(Video_website&amp;IFERROR!$A$2, IFERROR!$A$2))</f>
        <v/>
      </c>
      <c r="E16"/>
      <c r="F16" t="str">
        <f t="shared" ca="1" si="0"/>
        <v/>
      </c>
      <c r="G16"/>
      <c r="H16"/>
      <c r="I16"/>
    </row>
    <row r="17" spans="1:9" x14ac:dyDescent="0.2">
      <c r="A17" s="313" t="str">
        <f ca="1">HYPERLINK("#"&amp;CELL("address",OR!$A$1),MID(CELL("filename",OR!$A$1),FIND("]",CELL("filename",OR!$A$1))+1,255))</f>
        <v>OR</v>
      </c>
      <c r="B17" t="str">
        <f>IF(OR!$A$1="","", OR!$A$1)</f>
        <v>Using the OR Function to Evaluate Criteria</v>
      </c>
      <c r="C17" s="311">
        <f>IF(OR!$B$2="","",OR!$B$2)</f>
        <v>7.8125E-3</v>
      </c>
      <c r="D17" s="258" t="str">
        <f>IF(OR!$A$2="","",HYPERLINK(Video_website&amp;OR!$A$2, OR!$A$2))</f>
        <v>UNC_DAYT_EXCEL_2.6.4_LECTURE_OR_&amp;_ARRAY_FORMULAS.mp4</v>
      </c>
      <c r="E17"/>
      <c r="F17" t="str">
        <f t="shared" ca="1" si="0"/>
        <v/>
      </c>
      <c r="G17"/>
      <c r="H17"/>
      <c r="I17"/>
    </row>
    <row r="18" spans="1:9" x14ac:dyDescent="0.2">
      <c r="A18" s="313" t="str">
        <f ca="1">HYPERLINK("#"&amp;CELL("address",Long_List!$A$1),MID(CELL("filename",Long_List!$A$1),FIND("]",CELL("filename",Long_List!$A$1))+1,255))</f>
        <v>Long_List</v>
      </c>
      <c r="B18" t="str">
        <f>IF(Long_List!$A$1="","", Long_List!$A$1)</f>
        <v>Comparing Items in a Long List to the Same Value</v>
      </c>
      <c r="C18" s="311" t="str">
        <f>IF(Long_List!$B$2="","",Long_List!$B$2)</f>
        <v/>
      </c>
      <c r="D18" s="258" t="str">
        <f>IF(Long_List!$A$2="","",HYPERLINK(Video_website&amp;Long_List!$A$2, Long_List!$A$2))</f>
        <v/>
      </c>
      <c r="E18"/>
      <c r="F18" t="str">
        <f t="shared" ca="1" si="0"/>
        <v/>
      </c>
      <c r="G18"/>
      <c r="H18"/>
      <c r="I18"/>
    </row>
    <row r="19" spans="1:9" x14ac:dyDescent="0.2">
      <c r="A19" s="313" t="str">
        <f ca="1">HYPERLINK("#"&amp;CELL("address",Language!$A$1),MID(CELL("filename",Language!$A$1),FIND("]",CELL("filename",Language!$A$1))+1,255))</f>
        <v>Language</v>
      </c>
      <c r="B19" t="str">
        <f>IF(Language!$A$1="","", Language!$A$1)</f>
        <v>Comparing Items in a Long List to the Same Value</v>
      </c>
      <c r="C19" s="311" t="str">
        <f>IF(Language!$B$2="","",Language!$B$2)</f>
        <v/>
      </c>
      <c r="D19" s="258" t="str">
        <f>IF(Language!$A$2="","",HYPERLINK(Video_website&amp;Language!$A$2, Language!$A$2))</f>
        <v/>
      </c>
      <c r="E19"/>
      <c r="F19" t="str">
        <f t="shared" ca="1" si="0"/>
        <v/>
      </c>
      <c r="G19"/>
      <c r="H19"/>
      <c r="I19"/>
    </row>
    <row r="20" spans="1:9" x14ac:dyDescent="0.2">
      <c r="A20" s="313" t="str">
        <f ca="1">HYPERLINK("#"&amp;CELL("address",'2-step'!$A$1),MID(CELL("filename",'2-step'!$A$1),FIND("]",CELL("filename",'2-step'!$A$1))+1,255))</f>
        <v>2-step</v>
      </c>
      <c r="B20" t="str">
        <f>IF('2-step'!$A$1="","", '2-step'!$A$1)</f>
        <v>Comparing Items in a Long List to the Same Value - Helper Column</v>
      </c>
      <c r="C20" s="311" t="str">
        <f>IF('2-step'!$B$2="","",'2-step'!$B$2)</f>
        <v/>
      </c>
      <c r="D20" s="258" t="str">
        <f>IF('2-step'!$A$2="","",HYPERLINK(Video_website&amp;'2-step'!$A$2, '2-step'!$A$2))</f>
        <v/>
      </c>
      <c r="E20"/>
      <c r="F20" t="str">
        <f t="shared" ca="1" si="0"/>
        <v/>
      </c>
      <c r="G20"/>
      <c r="H20"/>
      <c r="I20"/>
    </row>
    <row r="21" spans="1:9" x14ac:dyDescent="0.2">
      <c r="A21" s="313" t="str">
        <f ca="1">HYPERLINK("#"&amp;CELL("address",Array!$A$1),MID(CELL("filename",Array!$A$1),FIND("]",CELL("filename",Array!$A$1))+1,255))</f>
        <v>Array</v>
      </c>
      <c r="B21" t="str">
        <f>IF(Array!$A$1="","", Array!$A$1)</f>
        <v>Comparing Items in a Long List to the Same Value - Array Formulas</v>
      </c>
      <c r="C21" s="311" t="str">
        <f>IF(Array!$B$2="","",Array!$B$2)</f>
        <v/>
      </c>
      <c r="D21" s="258" t="str">
        <f>IF(Array!$A$2="","",HYPERLINK(Video_website&amp;Array!$A$2, Array!$A$2))</f>
        <v/>
      </c>
      <c r="E21"/>
      <c r="F21" t="str">
        <f t="shared" ca="1" si="0"/>
        <v/>
      </c>
      <c r="G21"/>
      <c r="H21"/>
      <c r="I21"/>
    </row>
    <row r="22" spans="1:9" x14ac:dyDescent="0.2">
      <c r="A22" s="313" t="str">
        <f ca="1">HYPERLINK("#"&amp;CELL("address",AND!$A$1),MID(CELL("filename",AND!$A$1),FIND("]",CELL("filename",AND!$A$1))+1,255))</f>
        <v>AND</v>
      </c>
      <c r="B22" t="str">
        <f>IF(AND!$A$1="","", AND!$A$1)</f>
        <v>Using the OR Function to Evaluate Criteria</v>
      </c>
      <c r="C22" s="311">
        <f>IF(AND!$B$2="","",AND!$B$2)</f>
        <v>5.115740740740741E-3</v>
      </c>
      <c r="D22" s="258" t="str">
        <f>IF(AND!$A$2="","",HYPERLINK(Video_website&amp;AND!$A$2, AND!$A$2))</f>
        <v>UNC_DAYT_EXCEL_2.6.5_LECTURE_AND_NOT_FLEXIBLE_FORMULAS_GROUPING_ROWS.mp4</v>
      </c>
      <c r="E22"/>
      <c r="F22" t="str">
        <f t="shared" ca="1" si="0"/>
        <v/>
      </c>
      <c r="G22"/>
      <c r="H22"/>
      <c r="I22"/>
    </row>
    <row r="23" spans="1:9" x14ac:dyDescent="0.2">
      <c r="A23" s="313" t="str">
        <f ca="1">HYPERLINK("#"&amp;CELL("address",Between!$A$1),MID(CELL("filename",Between!$A$1),FIND("]",CELL("filename",Between!$A$1))+1,255))</f>
        <v>Between</v>
      </c>
      <c r="B23" t="str">
        <f>IF(Between!$A$1="","", Between!$A$1)</f>
        <v>Using Relational Operators to Compare Two Values</v>
      </c>
      <c r="C23" s="311" t="str">
        <f>IF(Between!$B$2="","",Between!$B$2)</f>
        <v/>
      </c>
      <c r="D23" s="258" t="str">
        <f>IF(Between!$A$2="","",HYPERLINK(Video_website&amp;Between!$A$2, Between!$A$2))</f>
        <v/>
      </c>
      <c r="E23"/>
      <c r="F23" t="str">
        <f t="shared" ca="1" si="0"/>
        <v/>
      </c>
      <c r="G23"/>
      <c r="H23"/>
      <c r="I23"/>
    </row>
    <row r="24" spans="1:9" x14ac:dyDescent="0.2">
      <c r="A24" s="313" t="str">
        <f ca="1">HYPERLINK("#"&amp;CELL("address",NOT!$A$1),MID(CELL("filename",NOT!$A$1),FIND("]",CELL("filename",NOT!$A$1))+1,255))</f>
        <v>NOT</v>
      </c>
      <c r="B24" t="str">
        <f>IF(NOT!$A$1="","", NOT!$A$1)</f>
        <v>Using the NOT Function to Evaluate Criteria</v>
      </c>
      <c r="C24" s="311" t="str">
        <f>IF(NOT!$B$2="","",NOT!$B$2)</f>
        <v/>
      </c>
      <c r="D24" s="258" t="str">
        <f>IF(NOT!$A$2="","",HYPERLINK(Video_website&amp;NOT!$A$2, NOT!$A$2))</f>
        <v/>
      </c>
      <c r="E24"/>
      <c r="F24" t="str">
        <f t="shared" ca="1" si="0"/>
        <v/>
      </c>
      <c r="G24"/>
      <c r="H24"/>
      <c r="I24"/>
    </row>
    <row r="25" spans="1:9" x14ac:dyDescent="0.2">
      <c r="A25" s="313" t="str">
        <f ca="1">HYPERLINK("#"&amp;CELL("address",Flexible!$A$1),MID(CELL("filename",Flexible!$A$1),FIND("]",CELL("filename",Flexible!$A$1))+1,255))</f>
        <v>Flexible</v>
      </c>
      <c r="B25" t="str">
        <f>IF(Flexible!$A$1="","", Flexible!$A$1)</f>
        <v>More Flexible Formulas</v>
      </c>
      <c r="C25" s="311" t="str">
        <f>IF(Flexible!$B$2="","",Flexible!$B$2)</f>
        <v/>
      </c>
      <c r="D25" s="258" t="str">
        <f>IF(Flexible!$A$2="","",HYPERLINK(Video_website&amp;Flexible!$A$2, Flexible!$A$2))</f>
        <v/>
      </c>
      <c r="E25"/>
      <c r="F25" t="str">
        <f t="shared" ca="1" si="0"/>
        <v/>
      </c>
      <c r="G25"/>
      <c r="H25"/>
      <c r="I25"/>
    </row>
    <row r="26" spans="1:9" x14ac:dyDescent="0.2">
      <c r="A26" s="312" t="str">
        <f ca="1">HYPERLINK("#"&amp;CELL("address",'_Conditional Formatting'!$A$1),MID(CELL("filename",'_Conditional Formatting'!$A$1),FIND("]",CELL("filename",'_Conditional Formatting'!$A$1))+1,255))</f>
        <v>_Conditional Formatting</v>
      </c>
      <c r="B26" s="337" t="str">
        <f>IF('_Conditional Formatting'!$A$1="","", '_Conditional Formatting'!$A$1)</f>
        <v>Conditional Formatting</v>
      </c>
      <c r="C26" s="338">
        <f>IF('_Conditional Formatting'!$B$2="","",'_Conditional Formatting'!$B$2)</f>
        <v>1.5497685185185186E-2</v>
      </c>
      <c r="D26" s="314" t="str">
        <f>IF('_Conditional Formatting'!$A$2="","",HYPERLINK(Video_website&amp;'_Conditional Formatting'!$A$2, '_Conditional Formatting'!$A$2))</f>
        <v/>
      </c>
      <c r="E26" s="337"/>
      <c r="F26" s="337" t="str">
        <f t="shared" ca="1" si="0"/>
        <v>Conditional Formatting</v>
      </c>
      <c r="G26" s="337"/>
      <c r="H26" s="337"/>
      <c r="I26" s="337"/>
    </row>
    <row r="27" spans="1:9" x14ac:dyDescent="0.2">
      <c r="A27" s="313" t="str">
        <f ca="1">HYPERLINK("#"&amp;CELL("address",Applying!$A$1),MID(CELL("filename",Applying!$A$1),FIND("]",CELL("filename",Applying!$A$1))+1,255))</f>
        <v>Applying</v>
      </c>
      <c r="B27" t="str">
        <f>IF(Applying!$A$1="","", Applying!$A$1)</f>
        <v>Applying Conditional Formatting to a Worksheet</v>
      </c>
      <c r="C27" s="311">
        <f>IF(Applying!$B$2="","",Applying!$B$2)</f>
        <v>5.4282407407407404E-3</v>
      </c>
      <c r="D27" s="258" t="str">
        <f>IF(Applying!$A$2="","",HYPERLINK(Video_website&amp;Applying!$A$2, Applying!$A$2))</f>
        <v>UNC_DAYT_EXCEL_2.7.1_LECTURE_CONDITIONAL_FORMATTING.mp4</v>
      </c>
      <c r="E27"/>
      <c r="F27" t="str">
        <f t="shared" ca="1" si="0"/>
        <v/>
      </c>
      <c r="G27"/>
      <c r="H27"/>
      <c r="I27"/>
    </row>
    <row r="28" spans="1:9" x14ac:dyDescent="0.2">
      <c r="A28" s="313" t="str">
        <f ca="1">HYPERLINK("#"&amp;CELL("address",Preset!$A$1),MID(CELL("filename",Preset!$A$1),FIND("]",CELL("filename",Preset!$A$1))+1,255))</f>
        <v>Preset</v>
      </c>
      <c r="B28" t="str">
        <f>IF(Preset!$A$1="","", Preset!$A$1)</f>
        <v>Applying Conditional Formatting Using Preset Formats</v>
      </c>
      <c r="C28" s="311" t="str">
        <f>IF(Preset!$B$2="","",Preset!$B$2)</f>
        <v/>
      </c>
      <c r="D28" s="258" t="str">
        <f>IF(Preset!$A$2="","",HYPERLINK(Video_website&amp;Preset!$A$2, Preset!$A$2))</f>
        <v/>
      </c>
      <c r="E28"/>
      <c r="F28" t="str">
        <f t="shared" ca="1" si="0"/>
        <v/>
      </c>
      <c r="G28"/>
      <c r="H28"/>
      <c r="I28"/>
    </row>
    <row r="29" spans="1:9" x14ac:dyDescent="0.2">
      <c r="A29" s="313" t="str">
        <f ca="1">HYPERLINK("#"&amp;CELL("address",Cells_Value!$A$1),MID(CELL("filename",Cells_Value!$A$1),FIND("]",CELL("filename",Cells_Value!$A$1))+1,255))</f>
        <v>Cells_Value</v>
      </c>
      <c r="B29" t="str">
        <f>IF(Cells_Value!$A$1="","", Cells_Value!$A$1)</f>
        <v>Applying Conditional Formatting Based on Cell Value</v>
      </c>
      <c r="C29" s="311" t="str">
        <f>IF(Cells_Value!$B$2="","",Cells_Value!$B$2)</f>
        <v/>
      </c>
      <c r="D29" s="258" t="str">
        <f>IF(Cells_Value!$A$2="","",HYPERLINK(Video_website&amp;Cells_Value!$A$2, Cells_Value!$A$2))</f>
        <v/>
      </c>
      <c r="E29"/>
      <c r="F29" t="str">
        <f t="shared" ca="1" si="0"/>
        <v/>
      </c>
      <c r="G29"/>
      <c r="H29"/>
      <c r="I29"/>
    </row>
    <row r="30" spans="1:9" x14ac:dyDescent="0.2">
      <c r="A30" s="313" t="str">
        <f ca="1">HYPERLINK("#"&amp;CELL("address",Duplicate_Unique!$A$1),MID(CELL("filename",Duplicate_Unique!$A$1),FIND("]",CELL("filename",Duplicate_Unique!$A$1))+1,255))</f>
        <v>Duplicate_Unique</v>
      </c>
      <c r="B30" t="str">
        <f>IF(Duplicate_Unique!$A$1="","", Duplicate_Unique!$A$1)</f>
        <v>Applying Conditional Formatting to Find Duplicate or Unique Values</v>
      </c>
      <c r="C30" s="311" t="str">
        <f>IF(Duplicate_Unique!$B$2="","",Duplicate_Unique!$B$2)</f>
        <v/>
      </c>
      <c r="D30" s="258" t="str">
        <f>IF(Duplicate_Unique!$A$2="","",HYPERLINK(Video_website&amp;Duplicate_Unique!$A$2, Duplicate_Unique!$A$2))</f>
        <v/>
      </c>
      <c r="E30"/>
      <c r="F30" t="str">
        <f t="shared" ca="1" si="0"/>
        <v/>
      </c>
      <c r="G30"/>
      <c r="H30"/>
      <c r="I30"/>
    </row>
    <row r="31" spans="1:9" x14ac:dyDescent="0.2">
      <c r="A31" s="313" t="str">
        <f ca="1">HYPERLINK("#"&amp;CELL("address",Color_Scales!$A$1),MID(CELL("filename",Color_Scales!$A$1),FIND("]",CELL("filename",Color_Scales!$A$1))+1,255))</f>
        <v>Color_Scales</v>
      </c>
      <c r="B31" t="str">
        <f>IF(Color_Scales!$A$1="","", Color_Scales!$A$1)</f>
        <v>Applying Conditional Formatting Using Color Scales</v>
      </c>
      <c r="C31" s="311" t="str">
        <f>IF(Color_Scales!$B$2="","",Color_Scales!$B$2)</f>
        <v/>
      </c>
      <c r="D31" s="258" t="str">
        <f>IF(Color_Scales!$A$2="","",HYPERLINK(Video_website&amp;Color_Scales!$A$2, Color_Scales!$A$2))</f>
        <v/>
      </c>
      <c r="E31"/>
      <c r="F31" t="str">
        <f t="shared" ca="1" si="0"/>
        <v/>
      </c>
      <c r="G31"/>
      <c r="H31"/>
      <c r="I31"/>
    </row>
    <row r="32" spans="1:9" x14ac:dyDescent="0.2">
      <c r="A32" s="313" t="str">
        <f ca="1">HYPERLINK("#"&amp;CELL("address",Top_Bottom_Ranked!$A$1),MID(CELL("filename",Top_Bottom_Ranked!$A$1),FIND("]",CELL("filename",Top_Bottom_Ranked!$A$1))+1,255))</f>
        <v>Top_Bottom_Ranked</v>
      </c>
      <c r="B32" t="str">
        <f>IF(Top_Bottom_Ranked!$A$1="","", Top_Bottom_Ranked!$A$1)</f>
        <v>Applying Conditional Formatting to Top or Bottom Ranked Values</v>
      </c>
      <c r="C32" s="311" t="str">
        <f>IF(Top_Bottom_Ranked!$B$2="","",Top_Bottom_Ranked!$B$2)</f>
        <v/>
      </c>
      <c r="D32" s="258" t="str">
        <f>IF(Top_Bottom_Ranked!$A$2="","",HYPERLINK(Video_website&amp;Top_Bottom_Ranked!$A$2, Top_Bottom_Ranked!$A$2))</f>
        <v/>
      </c>
      <c r="E32"/>
      <c r="F32" t="str">
        <f t="shared" ca="1" si="0"/>
        <v/>
      </c>
      <c r="G32"/>
      <c r="H32"/>
      <c r="I32"/>
    </row>
    <row r="33" spans="1:9" x14ac:dyDescent="0.2">
      <c r="A33" s="313" t="str">
        <f ca="1">HYPERLINK("#"&amp;CELL("address",Cells_Based_on_Other_Cells!$A$1),MID(CELL("filename",Cells_Based_on_Other_Cells!$A$1),FIND("]",CELL("filename",Cells_Based_on_Other_Cells!$A$1))+1,255))</f>
        <v>Cells_Based_on_Other_Cells</v>
      </c>
      <c r="B33" t="str">
        <f>IF(Cells_Based_on_Other_Cells!$A$1="","", Cells_Based_on_Other_Cells!$A$1)</f>
        <v>Applying Conditional Formatting Based on the Results of a Formula</v>
      </c>
      <c r="C33" s="311">
        <f>IF(Cells_Based_on_Other_Cells!$B$2="","",Cells_Based_on_Other_Cells!$B$2)</f>
        <v>1.0069444444444445E-2</v>
      </c>
      <c r="D33" s="258" t="str">
        <f>IF(Cells_Based_on_Other_Cells!$A$2="","",HYPERLINK(Video_website&amp;Cells_Based_on_Other_Cells!$A$2, Cells_Based_on_Other_Cells!$A$2))</f>
        <v>UNC_DAYT_EXCEL_2.7.2_LECTURE_CONDITIONAL_FORMATTING_USE_A_FORMULA.mp4</v>
      </c>
      <c r="E33"/>
      <c r="F33" t="str">
        <f t="shared" ca="1" si="0"/>
        <v/>
      </c>
      <c r="G33"/>
      <c r="H33"/>
      <c r="I33"/>
    </row>
    <row r="34" spans="1:9" x14ac:dyDescent="0.2">
      <c r="A34" s="313" t="str">
        <f ca="1">HYPERLINK("#"&amp;CELL("address",Use_Formula!$A$1),MID(CELL("filename",Use_Formula!$A$1),FIND("]",CELL("filename",Use_Formula!$A$1))+1,255))</f>
        <v>Use_Formula</v>
      </c>
      <c r="B34" t="str">
        <f>IF(Use_Formula!$A$1="","", Use_Formula!$A$1)</f>
        <v>Applying Conditional Formatting Based on the Results of a Formula</v>
      </c>
      <c r="C34" s="311" t="str">
        <f>IF(Use_Formula!$B$2="","",Use_Formula!$B$2)</f>
        <v/>
      </c>
      <c r="D34" s="258" t="str">
        <f>IF(Use_Formula!$A$2="","",HYPERLINK(Video_website&amp;Use_Formula!$A$2, Use_Formula!$A$2))</f>
        <v/>
      </c>
      <c r="E34"/>
      <c r="F34" t="str">
        <f t="shared" ca="1" si="0"/>
        <v/>
      </c>
      <c r="G34"/>
      <c r="H34"/>
      <c r="I34"/>
    </row>
    <row r="35" spans="1:9" x14ac:dyDescent="0.2">
      <c r="A35" s="313" t="str">
        <f ca="1">HYPERLINK("#"&amp;CELL("address",Rule_Order_1!$A$1),MID(CELL("filename",Rule_Order_1!$A$1),FIND("]",CELL("filename",Rule_Order_1!$A$1))+1,255))</f>
        <v>Rule_Order_1</v>
      </c>
      <c r="B35" t="str">
        <f>IF(Rule_Order_1!$A$1="","", Rule_Order_1!$A$1)</f>
        <v>Applying Conditional Formatting - Order of Rules 1 (Conditions)</v>
      </c>
      <c r="C35" s="311" t="str">
        <f>IF(Rule_Order_1!$B$2="","",Rule_Order_1!$B$2)</f>
        <v/>
      </c>
      <c r="D35" s="258" t="str">
        <f>IF(Rule_Order_1!$A$2="","",HYPERLINK(Video_website&amp;Rule_Order_1!$A$2, Rule_Order_1!$A$2))</f>
        <v/>
      </c>
      <c r="E35"/>
      <c r="F35" t="str">
        <f t="shared" ca="1" si="0"/>
        <v/>
      </c>
      <c r="G35"/>
      <c r="H35"/>
      <c r="I35"/>
    </row>
    <row r="36" spans="1:9" x14ac:dyDescent="0.2">
      <c r="A36" s="313" t="str">
        <f ca="1">HYPERLINK("#"&amp;CELL("address",Rule_Order_2!$A$1),MID(CELL("filename",Rule_Order_2!$A$1),FIND("]",CELL("filename",Rule_Order_2!$A$1))+1,255))</f>
        <v>Rule_Order_2</v>
      </c>
      <c r="B36" t="str">
        <f>IF(Rule_Order_2!$A$1="","", Rule_Order_2!$A$1)</f>
        <v>Applying Conditional Formatting - Order of Rules 2 (Conditions)</v>
      </c>
      <c r="C36" s="311" t="str">
        <f>IF(Rule_Order_2!$B$2="","",Rule_Order_2!$B$2)</f>
        <v/>
      </c>
      <c r="D36" s="258" t="str">
        <f>IF(Rule_Order_2!$A$2="","",HYPERLINK(Video_website&amp;Rule_Order_2!$A$2, Rule_Order_2!$A$2))</f>
        <v/>
      </c>
      <c r="E36"/>
      <c r="F36" t="str">
        <f t="shared" ca="1" si="0"/>
        <v/>
      </c>
      <c r="G36"/>
      <c r="H36"/>
      <c r="I36"/>
    </row>
    <row r="37" spans="1:9" x14ac:dyDescent="0.2">
      <c r="A37" s="313" t="str">
        <f ca="1">HYPERLINK("#"&amp;CELL("address",Stop_if_true!$A$1),MID(CELL("filename",Stop_if_true!$A$1),FIND("]",CELL("filename",Stop_if_true!$A$1))+1,255))</f>
        <v>Stop_if_true</v>
      </c>
      <c r="B37" t="str">
        <f>IF(Stop_if_true!$A$1="","", Stop_if_true!$A$1)</f>
        <v>Applying Conditional Formatting - "Stop if True" Rule Option</v>
      </c>
      <c r="C37" s="311" t="str">
        <f>IF(Stop_if_true!$B$2="","",Stop_if_true!$B$2)</f>
        <v/>
      </c>
      <c r="D37" s="258" t="str">
        <f>IF(Stop_if_true!$A$2="","",HYPERLINK(Video_website&amp;Stop_if_true!$A$2, Stop_if_true!$A$2))</f>
        <v/>
      </c>
      <c r="E37"/>
      <c r="F37" t="str">
        <f t="shared" ca="1" si="0"/>
        <v/>
      </c>
      <c r="G37"/>
      <c r="H37"/>
      <c r="I37"/>
    </row>
    <row r="38" spans="1:9" x14ac:dyDescent="0.2">
      <c r="A38" s="312" t="str">
        <f ca="1">HYPERLINK("#"&amp;CELL("address",_IF!$A$1),MID(CELL("filename",_IF!$A$1),FIND("]",CELL("filename",_IF!$A$1))+1,255))</f>
        <v>_IF</v>
      </c>
      <c r="B38" s="337" t="str">
        <f>IF(_IF!$A$1="","", _IF!$A$1)</f>
        <v>IF &amp; Nested IF</v>
      </c>
      <c r="C38" s="338">
        <f>IF(_IF!$B$2="","",_IF!$B$2)</f>
        <v>2.0671296296296292E-2</v>
      </c>
      <c r="D38" s="314" t="str">
        <f>IF(_IF!$A$2="","",HYPERLINK(Video_website&amp;_IF!$A$2, _IF!$A$2))</f>
        <v/>
      </c>
      <c r="E38" s="337"/>
      <c r="F38" s="337" t="str">
        <f t="shared" ca="1" si="0"/>
        <v>IF &amp; Nested IF</v>
      </c>
      <c r="G38" s="337"/>
      <c r="H38" s="337"/>
      <c r="I38" s="337"/>
    </row>
    <row r="39" spans="1:9" x14ac:dyDescent="0.2">
      <c r="A39" s="313" t="str">
        <f ca="1">HYPERLINK("#"&amp;CELL("address",IF!$A$1),MID(CELL("filename",IF!$A$1),FIND("]",CELL("filename",IF!$A$1))+1,255))</f>
        <v>IF</v>
      </c>
      <c r="B39" t="str">
        <f>IF(IF!$A$1="","", IF!$A$1)</f>
        <v>Writing Simple IF Functions</v>
      </c>
      <c r="C39" s="311">
        <f>IF(IF!$B$2="","",IF!$B$2)</f>
        <v>3.6805555555555554E-3</v>
      </c>
      <c r="D39" s="258" t="str">
        <f>IF(IF!$A$2="","",HYPERLINK(Video_website&amp;IF!$A$2, IF!$A$2))</f>
        <v>UNC_DAYT_EXCEL_2.7.3_LECTURE_IF.mp4</v>
      </c>
      <c r="E39"/>
      <c r="F39" t="str">
        <f t="shared" ca="1" si="0"/>
        <v/>
      </c>
      <c r="G39"/>
      <c r="H39"/>
      <c r="I39"/>
    </row>
    <row r="40" spans="1:9" x14ac:dyDescent="0.2">
      <c r="A40" s="313" t="str">
        <f ca="1">HYPERLINK("#"&amp;CELL("address",'True-False'!$A$1),MID(CELL("filename",'True-False'!$A$1),FIND("]",CELL("filename",'True-False'!$A$1))+1,255))</f>
        <v>True-False</v>
      </c>
      <c r="B40" t="str">
        <f>IF('True-False'!$A$1="","", 'True-False'!$A$1)</f>
        <v>Writing an IF Function with a Logical Test That Evaluates TRUE/FALSE Values</v>
      </c>
      <c r="C40" s="311" t="str">
        <f>IF('True-False'!$B$2="","",'True-False'!$B$2)</f>
        <v/>
      </c>
      <c r="D40" s="258" t="str">
        <f>IF('True-False'!$A$2="","",HYPERLINK(Video_website&amp;'True-False'!$A$2, 'True-False'!$A$2))</f>
        <v/>
      </c>
      <c r="E40"/>
      <c r="F40" t="str">
        <f t="shared" ca="1" si="0"/>
        <v/>
      </c>
      <c r="G40"/>
      <c r="H40"/>
      <c r="I40"/>
    </row>
    <row r="41" spans="1:9" x14ac:dyDescent="0.2">
      <c r="A41" s="313" t="str">
        <f ca="1">HYPERLINK("#"&amp;CELL("address",Simple_Calc!$A$1),MID(CELL("filename",Simple_Calc!$A$1),FIND("]",CELL("filename",Simple_Calc!$A$1))+1,255))</f>
        <v>Simple_Calc</v>
      </c>
      <c r="B41" t="str">
        <f>IF(Simple_Calc!$A$1="","", Simple_Calc!$A$1)</f>
        <v>Writing an IF Function That Performs a Simple Calculation</v>
      </c>
      <c r="C41" s="311" t="str">
        <f>IF(Simple_Calc!$B$2="","",Simple_Calc!$B$2)</f>
        <v/>
      </c>
      <c r="D41" s="258" t="str">
        <f>IF(Simple_Calc!$A$2="","",HYPERLINK(Video_website&amp;Simple_Calc!$A$2, Simple_Calc!$A$2))</f>
        <v/>
      </c>
      <c r="E41"/>
      <c r="F41" t="str">
        <f t="shared" ref="F41:F72" ca="1" si="1">IF(LEFT($A41,1)=segment_designator,B41,"")</f>
        <v/>
      </c>
      <c r="G41"/>
      <c r="H41"/>
      <c r="I41"/>
    </row>
    <row r="42" spans="1:9" x14ac:dyDescent="0.2">
      <c r="A42" s="313" t="str">
        <f ca="1">HYPERLINK("#"&amp;CELL("address",Flexible_IF!$A$1),MID(CELL("filename",Flexible_IF!$A$1),FIND("]",CELL("filename",Flexible_IF!$A$1))+1,255))</f>
        <v>Flexible_IF</v>
      </c>
      <c r="B42" t="str">
        <f>IF(Flexible_IF!$A$1="","", Flexible_IF!$A$1)</f>
        <v>Writing Clear &amp; Flexible IF Functions (by isolating assumptions)</v>
      </c>
      <c r="C42" s="311">
        <f>IF(Flexible_IF!$B$2="","",Flexible_IF!$B$2)</f>
        <v>3.9120370370370368E-3</v>
      </c>
      <c r="D42" s="258" t="str">
        <f>IF(Flexible_IF!$A$2="","",HYPERLINK(Video_website&amp;Flexible_IF!$A$2, Flexible_IF!$A$2))</f>
        <v>UNC_DAYT_EXCEL_2.7.4_LECTURE_FLEXIBLE_IF_FORMULAS.mp4</v>
      </c>
      <c r="E42"/>
      <c r="F42" t="str">
        <f t="shared" ca="1" si="1"/>
        <v/>
      </c>
      <c r="G42"/>
      <c r="H42"/>
      <c r="I42"/>
    </row>
    <row r="43" spans="1:9" x14ac:dyDescent="0.2">
      <c r="A43" s="313" t="str">
        <f ca="1">HYPERLINK("#"&amp;CELL("address",Error_Checking!$A$1),MID(CELL("filename",Error_Checking!$A$1),FIND("]",CELL("filename",Error_Checking!$A$1))+1,255))</f>
        <v>Error_Checking</v>
      </c>
      <c r="B43" t="str">
        <f>IF(Error_Checking!$A$1="","", Error_Checking!$A$1)</f>
        <v>Use Nested IF Functions for Error Checking</v>
      </c>
      <c r="C43" s="311">
        <f>IF(Error_Checking!$B$2="","",Error_Checking!$B$2)</f>
        <v>8.5879629629629622E-3</v>
      </c>
      <c r="D43" s="258" t="str">
        <f>IF(Error_Checking!$A$2="","",HYPERLINK(Video_website&amp;Error_Checking!$A$2, Error_Checking!$A$2))</f>
        <v>UNC_DAYT_EXCEL_2.7.5_LECTURE_NESTED_IF.mp4</v>
      </c>
      <c r="E43"/>
      <c r="F43" t="str">
        <f t="shared" ca="1" si="1"/>
        <v/>
      </c>
      <c r="G43"/>
      <c r="H43"/>
      <c r="I43"/>
    </row>
    <row r="44" spans="1:9" x14ac:dyDescent="0.2">
      <c r="A44" s="313" t="str">
        <f ca="1">HYPERLINK("#"&amp;CELL("address",Nested_IF!$A$1),MID(CELL("filename",Nested_IF!$A$1),FIND("]",CELL("filename",Nested_IF!$A$1))+1,255))</f>
        <v>Nested_IF</v>
      </c>
      <c r="B44" t="str">
        <f>IF(Nested_IF!$A$1="","", Nested_IF!$A$1)</f>
        <v>Use Nested IF Functions When There Are More Than 2 Choices</v>
      </c>
      <c r="C44" s="311" t="str">
        <f>IF(Nested_IF!$B$2="","",Nested_IF!$B$2)</f>
        <v/>
      </c>
      <c r="D44" s="258" t="str">
        <f>IF(Nested_IF!$A$2="","",HYPERLINK(Video_website&amp;Nested_IF!$A$2, Nested_IF!$A$2))</f>
        <v/>
      </c>
      <c r="E44"/>
      <c r="F44" t="str">
        <f t="shared" ca="1" si="1"/>
        <v/>
      </c>
      <c r="G44"/>
      <c r="H44"/>
      <c r="I44"/>
    </row>
    <row r="45" spans="1:9" x14ac:dyDescent="0.2">
      <c r="A45" s="313" t="str">
        <f ca="1">HYPERLINK("#"&amp;CELL("address",IFS!$A$1),MID(CELL("filename",IFS!$A$1),FIND("]",CELL("filename",IFS!$A$1))+1,255))</f>
        <v>IFS</v>
      </c>
      <c r="B45" t="str">
        <f>IF(IFS!$A$1="","", IFS!$A$1)</f>
        <v>Use a Single IFS as an Alternative to Nested IF Functions</v>
      </c>
      <c r="C45" s="311" t="str">
        <f>IF(IFS!$B$2="","",IFS!$B$2)</f>
        <v/>
      </c>
      <c r="D45" s="258" t="str">
        <f>IF(IFS!$A$2="","",HYPERLINK(Video_website&amp;IFS!$A$2, IFS!$A$2))</f>
        <v/>
      </c>
      <c r="E45"/>
      <c r="F45" t="str">
        <f t="shared" ca="1" si="1"/>
        <v/>
      </c>
      <c r="G45"/>
      <c r="H45"/>
      <c r="I45"/>
    </row>
    <row r="46" spans="1:9" x14ac:dyDescent="0.2">
      <c r="A46" s="313" t="str">
        <f ca="1">HYPERLINK("#"&amp;CELL("address",'with_='!$A$1),MID(CELL("filename",'with_='!$A$1),FIND("]",CELL("filename",'with_='!$A$1))+1,255))</f>
        <v>with_=</v>
      </c>
      <c r="B46" t="str">
        <f>IF('with_='!$A$1="","", 'with_='!$A$1)</f>
        <v>Nested IF's with =</v>
      </c>
      <c r="C46" s="311" t="str">
        <f>IF('with_='!$B$2="","",'with_='!$B$2)</f>
        <v/>
      </c>
      <c r="D46" s="258" t="str">
        <f>IF('with_='!$A$2="","",HYPERLINK(Video_website&amp;'with_='!$A$2, 'with_='!$A$2))</f>
        <v/>
      </c>
      <c r="E46"/>
      <c r="F46" t="str">
        <f t="shared" ca="1" si="1"/>
        <v/>
      </c>
      <c r="G46"/>
      <c r="H46"/>
      <c r="I46"/>
    </row>
    <row r="47" spans="1:9" x14ac:dyDescent="0.2">
      <c r="A47" s="313" t="str">
        <f ca="1">HYPERLINK("#"&amp;CELL("address",IFS_2!$A$1),MID(CELL("filename",IFS_2!$A$1),FIND("]",CELL("filename",IFS_2!$A$1))+1,255))</f>
        <v>IFS_2</v>
      </c>
      <c r="B47" t="str">
        <f>IF(IFS_2!$A$1="","", IFS_2!$A$1)</f>
        <v>Using IFS Instead of Nested IF with =</v>
      </c>
      <c r="C47" s="311" t="str">
        <f>IF(IFS_2!$B$2="","",IFS_2!$B$2)</f>
        <v/>
      </c>
      <c r="D47" s="258" t="str">
        <f>IF(IFS_2!$A$2="","",HYPERLINK(Video_website&amp;IFS_2!$A$2, IFS_2!$A$2))</f>
        <v/>
      </c>
      <c r="E47"/>
      <c r="F47" t="str">
        <f t="shared" ca="1" si="1"/>
        <v/>
      </c>
      <c r="G47"/>
      <c r="H47"/>
      <c r="I47"/>
    </row>
    <row r="48" spans="1:9" x14ac:dyDescent="0.2">
      <c r="A48" s="313" t="str">
        <f ca="1">HYPERLINK("#"&amp;CELL("address",with_AND!$A$1),MID(CELL("filename",with_AND!$A$1),FIND("]",CELL("filename",with_AND!$A$1))+1,255))</f>
        <v>with_AND</v>
      </c>
      <c r="B48" t="str">
        <f>IF(with_AND!$A$1="","", with_AND!$A$1)</f>
        <v>Nested IF with the AND function</v>
      </c>
      <c r="C48" s="311" t="str">
        <f>IF(with_AND!$B$2="","",with_AND!$B$2)</f>
        <v/>
      </c>
      <c r="D48" s="258" t="str">
        <f>IF(with_AND!$A$2="","",HYPERLINK(Video_website&amp;with_AND!$A$2, with_AND!$A$2))</f>
        <v/>
      </c>
      <c r="E48"/>
      <c r="F48" t="str">
        <f t="shared" ca="1" si="1"/>
        <v/>
      </c>
      <c r="G48"/>
      <c r="H48"/>
      <c r="I48"/>
    </row>
    <row r="49" spans="1:9" x14ac:dyDescent="0.2">
      <c r="A49" s="313" t="str">
        <f ca="1">HYPERLINK("#"&amp;CELL("address",'with_&lt;'!$A$1),MID(CELL("filename",'with_&lt;'!$A$1),FIND("]",CELL("filename",'with_&lt;'!$A$1))+1,255))</f>
        <v>with_&lt;</v>
      </c>
      <c r="B49" t="str">
        <f>IF('with_&lt;'!$A$1="","", 'with_&lt;'!$A$1)</f>
        <v>Nested IF with &lt;</v>
      </c>
      <c r="C49" s="311" t="str">
        <f>IF('with_&lt;'!$B$2="","",'with_&lt;'!$B$2)</f>
        <v/>
      </c>
      <c r="D49" s="258" t="str">
        <f>IF('with_&lt;'!$A$2="","",HYPERLINK(Video_website&amp;'with_&lt;'!$A$2, 'with_&lt;'!$A$2))</f>
        <v/>
      </c>
      <c r="E49"/>
      <c r="F49" t="str">
        <f t="shared" ca="1" si="1"/>
        <v/>
      </c>
      <c r="G49"/>
      <c r="H49"/>
      <c r="I49"/>
    </row>
    <row r="50" spans="1:9" x14ac:dyDescent="0.2">
      <c r="A50" s="313" t="str">
        <f ca="1">HYPERLINK("#"&amp;CELL("address",'with_&gt;='!$A$1),MID(CELL("filename",'with_&gt;='!$A$1),FIND("]",CELL("filename",'with_&gt;='!$A$1))+1,255))</f>
        <v>with_&gt;=</v>
      </c>
      <c r="B50" t="str">
        <f>IF('with_&gt;='!$A$1="","", 'with_&gt;='!$A$1)</f>
        <v>Nested IF with &gt;=</v>
      </c>
      <c r="C50" s="311" t="str">
        <f>IF('with_&gt;='!$B$2="","",'with_&gt;='!$B$2)</f>
        <v/>
      </c>
      <c r="D50" s="258" t="str">
        <f>IF('with_&gt;='!$A$2="","",HYPERLINK(Video_website&amp;'with_&gt;='!$A$2, 'with_&gt;='!$A$2))</f>
        <v/>
      </c>
      <c r="E50"/>
      <c r="F50" t="str">
        <f t="shared" ca="1" si="1"/>
        <v/>
      </c>
      <c r="G50"/>
      <c r="H50"/>
      <c r="I50"/>
    </row>
    <row r="51" spans="1:9" hidden="1" x14ac:dyDescent="0.2">
      <c r="A51" s="313" t="str">
        <f ca="1">HYPERLINK("#"&amp;CELL("address",IFS_3_AND!$A$1),MID(CELL("filename",IFS_3_AND!$A$1),FIND("]",CELL("filename",IFS_3_AND!$A$1))+1,255))</f>
        <v>IFS_3_AND</v>
      </c>
      <c r="B51" t="str">
        <f>IF(IFS_3_AND!$A$1="","", IFS_3_AND!$A$1)</f>
        <v>Nested IF's with &gt;= (or &lt;)</v>
      </c>
      <c r="C51" s="311" t="str">
        <f>IF(IFS_3_AND!$B$2="","",IFS_3_AND!$B$2)</f>
        <v/>
      </c>
      <c r="D51" s="258" t="str">
        <f>IF(IFS_3_AND!$A$2="","",HYPERLINK(Video_website&amp;IFS_3_AND!$A$2, IFS_3_AND!$A$2))</f>
        <v/>
      </c>
      <c r="E51"/>
      <c r="F51" t="str">
        <f t="shared" ca="1" si="1"/>
        <v/>
      </c>
      <c r="G51" t="s">
        <v>516</v>
      </c>
      <c r="H51"/>
      <c r="I51"/>
    </row>
    <row r="52" spans="1:9" x14ac:dyDescent="0.2">
      <c r="A52" s="313" t="str">
        <f ca="1">HYPERLINK("#"&amp;CELL("address",IFS_3!$A$1),MID(CELL("filename",IFS_3!$A$1),FIND("]",CELL("filename",IFS_3!$A$1))+1,255))</f>
        <v>IFS_3</v>
      </c>
      <c r="B52" t="str">
        <f>IF(IFS_3!$A$1="","", IFS_3!$A$1)</f>
        <v>Using IFS Instead of Nested IF with &lt;</v>
      </c>
      <c r="C52" s="311" t="str">
        <f>IF(IFS_3!$B$2="","",IFS_3!$B$2)</f>
        <v/>
      </c>
      <c r="D52" s="258" t="str">
        <f>IF(IFS_3!$A$2="","",HYPERLINK(Video_website&amp;IFS_3!$A$2, IFS_3!$A$2))</f>
        <v/>
      </c>
      <c r="E52"/>
      <c r="F52" t="str">
        <f t="shared" ca="1" si="1"/>
        <v/>
      </c>
      <c r="G52"/>
      <c r="H52"/>
      <c r="I52"/>
    </row>
    <row r="53" spans="1:9" x14ac:dyDescent="0.2">
      <c r="A53" s="313" t="str">
        <f ca="1">HYPERLINK("#"&amp;CELL("address",Required_Nested_IF!$A$1),MID(CELL("filename",Required_Nested_IF!$A$1),FIND("]",CELL("filename",Required_Nested_IF!$A$1))+1,255))</f>
        <v>Required_Nested_IF</v>
      </c>
      <c r="B53" t="str">
        <f>IF(Required_Nested_IF!$A$1="","", Required_Nested_IF!$A$1)</f>
        <v>Election 2000 - Nested IF Functions</v>
      </c>
      <c r="C53" s="311" t="str">
        <f>IF(Required_Nested_IF!$B$2="","",Required_Nested_IF!$B$2)</f>
        <v/>
      </c>
      <c r="D53" s="258" t="str">
        <f>IF(Required_Nested_IF!$A$2="","",HYPERLINK(Video_website&amp;Required_Nested_IF!$A$2, Required_Nested_IF!$A$2))</f>
        <v/>
      </c>
      <c r="E53"/>
      <c r="F53" t="str">
        <f t="shared" ca="1" si="1"/>
        <v/>
      </c>
      <c r="G53"/>
      <c r="H53"/>
      <c r="I53"/>
    </row>
    <row r="54" spans="1:9" x14ac:dyDescent="0.2">
      <c r="A54" s="313" t="str">
        <f ca="1">HYPERLINK("#"&amp;CELL("address",IFS_4!$A$1),MID(CELL("filename",IFS_4!$A$1),FIND("]",CELL("filename",IFS_4!$A$1))+1,255))</f>
        <v>IFS_4</v>
      </c>
      <c r="B54" t="str">
        <f>IF(IFS_4!$A$1="","", IFS_4!$A$1)</f>
        <v>Election 2000 - With IFS</v>
      </c>
      <c r="C54" s="311">
        <f>IF(IFS_4!$B$2="","",IFS_4!$B$2)</f>
        <v>4.4907407407407405E-3</v>
      </c>
      <c r="D54" s="258" t="str">
        <f>IF(IFS_4!$A$2="","",HYPERLINK(Video_website&amp;IFS_4!$A$2, IFS_4!$A$2))</f>
        <v>UNC_DAYT_EXCEL_2.7.6_LECTURE_IFS_&amp;_COMPLEX_CRITERIA.mp4</v>
      </c>
      <c r="E54"/>
      <c r="F54" t="str">
        <f t="shared" ca="1" si="1"/>
        <v/>
      </c>
      <c r="G54"/>
      <c r="H54"/>
      <c r="I54"/>
    </row>
    <row r="55" spans="1:9" hidden="1" x14ac:dyDescent="0.2">
      <c r="A55" s="313" t="str">
        <f ca="1">HYPERLINK("#"&amp;CELL("address",Conditional_2!$A$1),MID(CELL("filename",Conditional_2!$A$1),FIND("]",CELL("filename",Conditional_2!$A$1))+1,255))</f>
        <v>Conditional_2</v>
      </c>
      <c r="B55" t="str">
        <f>IF(Conditional_2!$A$1="","", Conditional_2!$A$1)</f>
        <v>More Practice with Conditional Formatting Rules</v>
      </c>
      <c r="C55" s="311" t="str">
        <f>IF(Conditional_2!$B$2="","",Conditional_2!$B$2)</f>
        <v/>
      </c>
      <c r="D55" s="258" t="str">
        <f>IF(Conditional_2!$A$2="","",HYPERLINK(Video_website&amp;Conditional_2!$A$2, Conditional_2!$A$2))</f>
        <v/>
      </c>
      <c r="E55"/>
      <c r="F55" t="str">
        <f t="shared" ca="1" si="1"/>
        <v/>
      </c>
      <c r="G55" t="s">
        <v>516</v>
      </c>
      <c r="H55"/>
      <c r="I55"/>
    </row>
    <row r="56" spans="1:9" x14ac:dyDescent="0.2">
      <c r="A56" s="313" t="str">
        <f ca="1">HYPERLINK("#"&amp;CELL("address",Complex!$A$1),MID(CELL("filename",Complex!$A$1),FIND("]",CELL("filename",Complex!$A$1))+1,255))</f>
        <v>Complex</v>
      </c>
      <c r="B56" t="str">
        <f>IF(Complex!$A$1="","", Complex!$A$1)</f>
        <v>Evaluating More Complex Criteria</v>
      </c>
      <c r="C56" s="311" t="str">
        <f>IF(Complex!$B$2="","",Complex!$B$2)</f>
        <v/>
      </c>
      <c r="D56" s="258" t="str">
        <f>IF(Complex!$A$2="","",HYPERLINK(Video_website&amp;Complex!$A$2, Complex!$A$2))</f>
        <v/>
      </c>
      <c r="E56"/>
      <c r="F56" t="str">
        <f t="shared" ca="1" si="1"/>
        <v/>
      </c>
      <c r="G56"/>
      <c r="H56"/>
      <c r="I56"/>
    </row>
    <row r="57" spans="1:9" x14ac:dyDescent="0.2">
      <c r="A57" s="313" t="str">
        <f ca="1">HYPERLINK("#"&amp;CELL("address",IS!$A$1),MID(CELL("filename",IS!$A$1),FIND("]",CELL("filename",IS!$A$1))+1,255))</f>
        <v>IS</v>
      </c>
      <c r="B57" t="str">
        <f>IF(IS!$A$1="","", IS!$A$1)</f>
        <v>IS Functions</v>
      </c>
      <c r="C57" s="311" t="str">
        <f>IF(IS!$B$2="","",IS!$B$2)</f>
        <v/>
      </c>
      <c r="D57" s="258" t="str">
        <f>IF(IS!$A$2="","",HYPERLINK(Video_website&amp;IS!$A$2, IS!$A$2))</f>
        <v/>
      </c>
      <c r="E57"/>
      <c r="F57" t="str">
        <f t="shared" ca="1" si="1"/>
        <v/>
      </c>
      <c r="G57"/>
      <c r="H57"/>
      <c r="I57"/>
    </row>
    <row r="58" spans="1:9" x14ac:dyDescent="0.2">
      <c r="A58" s="313" t="str">
        <f ca="1">HYPERLINK("#"&amp;CELL("address",Dynamic_Arrays!$A$1),MID(CELL("filename",Dynamic_Arrays!$A$1),FIND("]",CELL("filename",Dynamic_Arrays!$A$1))+1,255))</f>
        <v>Dynamic_Arrays</v>
      </c>
      <c r="B58" t="str">
        <f>IF(Dynamic_Arrays!$A$1="","", Dynamic_Arrays!$A$1)</f>
        <v>Dynamic Arrays</v>
      </c>
      <c r="C58" s="311" t="str">
        <f>IF(Dynamic_Arrays!$B$2="","",Dynamic_Arrays!$B$2)</f>
        <v/>
      </c>
      <c r="D58" s="258" t="str">
        <f>IF(Dynamic_Arrays!$A$2="","",HYPERLINK(Video_website&amp;Dynamic_Arrays!$A$2, Dynamic_Arrays!$A$2))</f>
        <v/>
      </c>
      <c r="E58"/>
      <c r="F58" t="str">
        <f t="shared" ca="1" si="1"/>
        <v/>
      </c>
      <c r="G58"/>
      <c r="H58"/>
      <c r="I58"/>
    </row>
    <row r="59" spans="1:9" x14ac:dyDescent="0.2">
      <c r="A59" s="313" t="str">
        <f ca="1">HYPERLINK("#"&amp;CELL("address",Dynamic_Arrays_2!$A$1),MID(CELL("filename",Dynamic_Arrays_2!$A$1),FIND("]",CELL("filename",Dynamic_Arrays_2!$A$1))+1,255))</f>
        <v>Dynamic_Arrays_2</v>
      </c>
      <c r="B59" t="str">
        <f>IF(Dynamic_Arrays_2!$A$1="","", Dynamic_Arrays_2!$A$1)</f>
        <v>Dynamic Arrays 2</v>
      </c>
      <c r="C59" s="311" t="str">
        <f>IF(Dynamic_Arrays_2!$B$2="","",Dynamic_Arrays_2!$B$2)</f>
        <v/>
      </c>
      <c r="D59" s="258" t="str">
        <f>IF(Dynamic_Arrays_2!$A$2="","",HYPERLINK(Video_website&amp;Dynamic_Arrays_2!$A$2, Dynamic_Arrays_2!$A$2))</f>
        <v/>
      </c>
      <c r="E59"/>
      <c r="F59" t="str">
        <f t="shared" ca="1" si="1"/>
        <v/>
      </c>
      <c r="G59"/>
      <c r="H59"/>
      <c r="I59"/>
    </row>
    <row r="60" spans="1:9" x14ac:dyDescent="0.2">
      <c r="A60" s="313" t="str">
        <f ca="1">HYPERLINK("#"&amp;CELL("address",Spilling!$A$1),MID(CELL("filename",Spilling!$A$1),FIND("]",CELL("filename",Spilling!$A$1))+1,255))</f>
        <v>Spilling</v>
      </c>
      <c r="B60" t="str">
        <f>IF(Spilling!$A$1="","", Spilling!$A$1)</f>
        <v>Spilling</v>
      </c>
      <c r="C60" s="311" t="str">
        <f>IF(Spilling!$B$2="","",Spilling!$B$2)</f>
        <v/>
      </c>
      <c r="D60" s="258" t="str">
        <f>IF(Spilling!$A$2="","",HYPERLINK(Video_website&amp;Spilling!$A$2, Spilling!$A$2))</f>
        <v/>
      </c>
      <c r="E60"/>
      <c r="F60" t="str">
        <f t="shared" ca="1" si="1"/>
        <v/>
      </c>
      <c r="G60"/>
      <c r="H60"/>
      <c r="I60"/>
    </row>
    <row r="61" spans="1:9" hidden="1" x14ac:dyDescent="0.2">
      <c r="A61" s="313" t="str">
        <f ca="1">HYPERLINK("#"&amp;CELL("address",'2-Tennis Balls'!$A$1),MID(CELL("filename",'2-Tennis Balls'!$A$1),FIND("]",CELL("filename",'2-Tennis Balls'!$A$1))+1,255))</f>
        <v>2-Tennis Balls</v>
      </c>
      <c r="B61" t="str">
        <f>IF('2-Tennis Balls'!$A$1="","", '2-Tennis Balls'!$A$1)</f>
        <v>Pricing Information for Tennis Balls</v>
      </c>
      <c r="C61" s="311" t="str">
        <f>IF('2-Tennis Balls'!$B$2="","",'2-Tennis Balls'!$B$2)</f>
        <v/>
      </c>
      <c r="D61" s="258" t="str">
        <f>IF('2-Tennis Balls'!$A$2="","",HYPERLINK(Video_website&amp;'2-Tennis Balls'!$A$2, '2-Tennis Balls'!$A$2))</f>
        <v>TheZone Pricing Equipment Division</v>
      </c>
      <c r="E61"/>
      <c r="F61" t="str">
        <f t="shared" ca="1" si="1"/>
        <v/>
      </c>
      <c r="G61" t="s">
        <v>516</v>
      </c>
      <c r="H61"/>
      <c r="I61"/>
    </row>
    <row r="62" spans="1:9" hidden="1" x14ac:dyDescent="0.2">
      <c r="A62" s="313" t="str">
        <f ca="1">HYPERLINK("#"&amp;CELL("address",'2-Costs'!$A$1),MID(CELL("filename",'2-Costs'!$A$1),FIND("]",CELL("filename",'2-Costs'!$A$1))+1,255))</f>
        <v>2-Costs</v>
      </c>
      <c r="B62" t="str">
        <f>IF('2-Costs'!$A$1="","", '2-Costs'!$A$1)</f>
        <v/>
      </c>
      <c r="C62" s="311" t="str">
        <f>IF('2-Costs'!$B$2="","",'2-Costs'!$B$2)</f>
        <v/>
      </c>
      <c r="D62" s="258" t="str">
        <f>IF('2-Costs'!$A$2="","",HYPERLINK(Video_website&amp;'2-Costs'!$A$2, '2-Costs'!$A$2))</f>
        <v/>
      </c>
      <c r="E62"/>
      <c r="F62" t="str">
        <f t="shared" ca="1" si="1"/>
        <v/>
      </c>
      <c r="G62" t="s">
        <v>516</v>
      </c>
      <c r="H62"/>
      <c r="I62"/>
    </row>
    <row r="63" spans="1:9" hidden="1" x14ac:dyDescent="0.2">
      <c r="A63" s="313" t="str">
        <f ca="1">HYPERLINK("#"&amp;CELL("address",'2-Orders'!$A$1),MID(CELL("filename",'2-Orders'!$A$1),FIND("]",CELL("filename",'2-Orders'!$A$1))+1,255))</f>
        <v>2-Orders</v>
      </c>
      <c r="B63" t="str">
        <f>IF('2-Orders'!$A$1="","", '2-Orders'!$A$1)</f>
        <v>Tennis Products Order Form</v>
      </c>
      <c r="C63" s="311" t="str">
        <f>IF('2-Orders'!$B$2="","",'2-Orders'!$B$2)</f>
        <v/>
      </c>
      <c r="D63" s="258" t="str">
        <f>IF('2-Orders'!$A$2="","",HYPERLINK(Video_website&amp;'2-Orders'!$A$2, '2-Orders'!$A$2))</f>
        <v/>
      </c>
      <c r="E63"/>
      <c r="F63" t="str">
        <f t="shared" ca="1" si="1"/>
        <v/>
      </c>
      <c r="G63" t="s">
        <v>516</v>
      </c>
      <c r="H63"/>
      <c r="I63"/>
    </row>
    <row r="64" spans="1:9" hidden="1" x14ac:dyDescent="0.2">
      <c r="A64" s="313" t="str">
        <f ca="1">HYPERLINK("#"&amp;CELL("address",'2-Discount'!$A$1),MID(CELL("filename",'2-Discount'!$A$1),FIND("]",CELL("filename",'2-Discount'!$A$1))+1,255))</f>
        <v>2-Discount</v>
      </c>
      <c r="B64" t="str">
        <f>IF('2-Discount'!$A$1="","", '2-Discount'!$A$1)</f>
        <v/>
      </c>
      <c r="C64" s="311" t="str">
        <f>IF('2-Discount'!$B$2="","",'2-Discount'!$B$2)</f>
        <v/>
      </c>
      <c r="D64" s="258" t="str">
        <f>IF('2-Discount'!$A$2="","",HYPERLINK(Video_website&amp;'2-Discount'!$A$2, '2-Discount'!$A$2))</f>
        <v/>
      </c>
      <c r="E64"/>
      <c r="F64" t="str">
        <f t="shared" ca="1" si="1"/>
        <v/>
      </c>
      <c r="G64" t="s">
        <v>516</v>
      </c>
      <c r="H64"/>
      <c r="I64"/>
    </row>
    <row r="65" spans="1:9" hidden="1" x14ac:dyDescent="0.2">
      <c r="A65" s="313" t="str">
        <f ca="1">HYPERLINK("#"&amp;CELL("address",'2-ShipByRegion'!$A$1),MID(CELL("filename",'2-ShipByRegion'!$A$1),FIND("]",CELL("filename",'2-ShipByRegion'!$A$1))+1,255))</f>
        <v>2-ShipByRegion</v>
      </c>
      <c r="B65" t="str">
        <f>IF('2-ShipByRegion'!$A$1="","", '2-ShipByRegion'!$A$1)</f>
        <v>Ship By Region</v>
      </c>
      <c r="C65" s="311" t="str">
        <f>IF('2-ShipByRegion'!$B$2="","",'2-ShipByRegion'!$B$2)</f>
        <v/>
      </c>
      <c r="D65" s="258" t="str">
        <f>IF('2-ShipByRegion'!$A$2="","",HYPERLINK(Video_website&amp;'2-ShipByRegion'!$A$2, '2-ShipByRegion'!$A$2))</f>
        <v/>
      </c>
      <c r="E65"/>
      <c r="F65" t="str">
        <f t="shared" ca="1" si="1"/>
        <v/>
      </c>
      <c r="G65" t="s">
        <v>516</v>
      </c>
      <c r="H65"/>
      <c r="I65"/>
    </row>
    <row r="66" spans="1:9" hidden="1" x14ac:dyDescent="0.2">
      <c r="A66" s="313" t="str">
        <f ca="1">HYPERLINK("#"&amp;CELL("address",'3-Products'!$A$1),MID(CELL("filename",'3-Products'!$A$1),FIND("]",CELL("filename",'3-Products'!$A$1))+1,255))</f>
        <v>3-Products</v>
      </c>
      <c r="B66" t="str">
        <f>IF('3-Products'!$A$1="","", '3-Products'!$A$1)</f>
        <v>Product Information for Tennis Equipment</v>
      </c>
      <c r="C66" s="311" t="str">
        <f>IF('3-Products'!$B$2="","",'3-Products'!$B$2)</f>
        <v/>
      </c>
      <c r="D66" s="258" t="str">
        <f>IF('3-Products'!$A$2="","",HYPERLINK(Video_website&amp;'3-Products'!$A$2, '3-Products'!$A$2))</f>
        <v>TheZone Equipment Division December</v>
      </c>
      <c r="E66"/>
      <c r="F66" t="str">
        <f t="shared" ca="1" si="1"/>
        <v/>
      </c>
      <c r="G66" t="s">
        <v>516</v>
      </c>
      <c r="H66"/>
      <c r="I66"/>
    </row>
    <row r="67" spans="1:9" hidden="1" x14ac:dyDescent="0.2">
      <c r="A67" s="313" t="str">
        <f ca="1">HYPERLINK("#"&amp;CELL("address",'3-Orders'!$A$1),MID(CELL("filename",'3-Orders'!$A$1),FIND("]",CELL("filename",'3-Orders'!$A$1))+1,255))</f>
        <v>3-Orders</v>
      </c>
      <c r="B67" t="str">
        <f>IF('3-Orders'!$A$1="","", '3-Orders'!$A$1)</f>
        <v>TheZone Sports Equipment
Order Form</v>
      </c>
      <c r="C67" s="311" t="str">
        <f>IF('3-Orders'!$B$2="","",'3-Orders'!$B$2)</f>
        <v/>
      </c>
      <c r="D67" s="258" t="str">
        <f>IF('3-Orders'!$A$2="","",HYPERLINK(Video_website&amp;'3-Orders'!$A$2, '3-Orders'!$A$2))</f>
        <v/>
      </c>
      <c r="E67"/>
      <c r="F67" t="str">
        <f t="shared" ca="1" si="1"/>
        <v/>
      </c>
      <c r="G67" t="s">
        <v>516</v>
      </c>
      <c r="H67"/>
      <c r="I67"/>
    </row>
    <row r="68" spans="1:9" hidden="1" x14ac:dyDescent="0.2">
      <c r="A68" s="313" t="str">
        <f ca="1">HYPERLINK("#"&amp;CELL("address",'3-Pricing Schedule 1'!$A$1),MID(CELL("filename",'3-Pricing Schedule 1'!$A$1),FIND("]",CELL("filename",'3-Pricing Schedule 1'!$A$1))+1,255))</f>
        <v>3-Pricing Schedule 1</v>
      </c>
      <c r="B68" t="str">
        <f>IF('3-Pricing Schedule 1'!$A$1="","", '3-Pricing Schedule 1'!$A$1)</f>
        <v>Price List for Tennis Products
Fixed-Price Items</v>
      </c>
      <c r="C68" s="311" t="str">
        <f>IF('3-Pricing Schedule 1'!$B$2="","",'3-Pricing Schedule 1'!$B$2)</f>
        <v/>
      </c>
      <c r="D68" s="258" t="str">
        <f>IF('3-Pricing Schedule 1'!$A$2="","",HYPERLINK(Video_website&amp;'3-Pricing Schedule 1'!$A$2, '3-Pricing Schedule 1'!$A$2))</f>
        <v/>
      </c>
      <c r="E68"/>
      <c r="F68" t="str">
        <f t="shared" ca="1" si="1"/>
        <v/>
      </c>
      <c r="G68" t="s">
        <v>516</v>
      </c>
      <c r="H68"/>
      <c r="I68"/>
    </row>
    <row r="69" spans="1:9" hidden="1" x14ac:dyDescent="0.2">
      <c r="A69" s="313" t="str">
        <f ca="1">HYPERLINK("#"&amp;CELL("address",'3-Pricing Schedule 2'!$A$1),MID(CELL("filename",'3-Pricing Schedule 2'!$A$1),FIND("]",CELL("filename",'3-Pricing Schedule 2'!$A$1))+1,255))</f>
        <v>3-Pricing Schedule 2</v>
      </c>
      <c r="B69" t="str">
        <f>IF('3-Pricing Schedule 2'!$A$1="","", '3-Pricing Schedule 2'!$A$1)</f>
        <v>Price List for Tennis Balls
Variable-Priced Items</v>
      </c>
      <c r="C69" s="311" t="str">
        <f>IF('3-Pricing Schedule 2'!$B$2="","",'3-Pricing Schedule 2'!$B$2)</f>
        <v/>
      </c>
      <c r="D69" s="258" t="str">
        <f>IF('3-Pricing Schedule 2'!$A$2="","",HYPERLINK(Video_website&amp;'3-Pricing Schedule 2'!$A$2, '3-Pricing Schedule 2'!$A$2))</f>
        <v/>
      </c>
      <c r="E69"/>
      <c r="F69" t="str">
        <f t="shared" ca="1" si="1"/>
        <v/>
      </c>
      <c r="G69" t="s">
        <v>516</v>
      </c>
      <c r="H69"/>
      <c r="I69"/>
    </row>
    <row r="70" spans="1:9" hidden="1" x14ac:dyDescent="0.2">
      <c r="A70" s="313" t="str">
        <f ca="1">HYPERLINK("#"&amp;CELL("address",'3-Discount'!$A$1),MID(CELL("filename",'3-Discount'!$A$1),FIND("]",CELL("filename",'3-Discount'!$A$1))+1,255))</f>
        <v>3-Discount</v>
      </c>
      <c r="B70" t="str">
        <f>IF('3-Discount'!$A$1="","", '3-Discount'!$A$1)</f>
        <v/>
      </c>
      <c r="C70" s="311" t="str">
        <f>IF('3-Discount'!$B$2="","",'3-Discount'!$B$2)</f>
        <v/>
      </c>
      <c r="D70" s="258" t="str">
        <f>IF('3-Discount'!$A$2="","",HYPERLINK(Video_website&amp;'3-Discount'!$A$2, '3-Discount'!$A$2))</f>
        <v/>
      </c>
      <c r="E70"/>
      <c r="F70" t="str">
        <f t="shared" ca="1" si="1"/>
        <v/>
      </c>
      <c r="G70" t="s">
        <v>516</v>
      </c>
      <c r="H70"/>
      <c r="I70"/>
    </row>
    <row r="71" spans="1:9" hidden="1" x14ac:dyDescent="0.2">
      <c r="A71" s="313" t="str">
        <f ca="1">HYPERLINK("#"&amp;CELL("address",'3-Shipping'!$A$1),MID(CELL("filename",'3-Shipping'!$A$1),FIND("]",CELL("filename",'3-Shipping'!$A$1))+1,255))</f>
        <v>3-Shipping</v>
      </c>
      <c r="B71" t="str">
        <f>IF('3-Shipping'!$A$1="","", '3-Shipping'!$A$1)</f>
        <v>Shipping Charges
by Customer Type, Region, and Method</v>
      </c>
      <c r="C71" s="311" t="str">
        <f>IF('3-Shipping'!$B$2="","",'3-Shipping'!$B$2)</f>
        <v/>
      </c>
      <c r="D71" s="258" t="str">
        <f>IF('3-Shipping'!$A$2="","",HYPERLINK(Video_website&amp;'3-Shipping'!$A$2, '3-Shipping'!$A$2))</f>
        <v/>
      </c>
      <c r="E71"/>
      <c r="F71" t="str">
        <f t="shared" ca="1" si="1"/>
        <v/>
      </c>
      <c r="G71" t="s">
        <v>516</v>
      </c>
      <c r="H71"/>
      <c r="I71"/>
    </row>
    <row r="72" spans="1:9" hidden="1" x14ac:dyDescent="0.2">
      <c r="A72" s="313" t="str">
        <f ca="1">HYPERLINK("#"&amp;CELL("address",'3-States'!$A$1),MID(CELL("filename",'3-States'!$A$1),FIND("]",CELL("filename",'3-States'!$A$1))+1,255))</f>
        <v>3-States</v>
      </c>
      <c r="B72" t="str">
        <f>IF('3-States'!$A$1="","", '3-States'!$A$1)</f>
        <v/>
      </c>
      <c r="C72" s="311" t="str">
        <f>IF('3-States'!$B$2="","",'3-States'!$B$2)</f>
        <v/>
      </c>
      <c r="D72" s="258" t="str">
        <f>IF('3-States'!$A$2="","",HYPERLINK(Video_website&amp;'3-States'!$A$2, '3-States'!$A$2))</f>
        <v/>
      </c>
      <c r="E72"/>
      <c r="F72" t="str">
        <f t="shared" ca="1" si="1"/>
        <v/>
      </c>
      <c r="G72" t="s">
        <v>516</v>
      </c>
      <c r="H72"/>
      <c r="I72"/>
    </row>
    <row r="73" spans="1:9" x14ac:dyDescent="0.2">
      <c r="A73"/>
      <c r="B73"/>
      <c r="C73" s="311"/>
      <c r="E73"/>
      <c r="F73"/>
      <c r="G73"/>
      <c r="H73"/>
      <c r="I73"/>
    </row>
  </sheetData>
  <autoFilter ref="A8:I73" xr:uid="{00000000-0001-0000-0000-000000000000}">
    <filterColumn colId="6">
      <filters blank="1"/>
    </filterColumn>
  </autoFilter>
  <phoneticPr fontId="2"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23C3-486D-4AE0-BB84-44993F4C7069}">
  <sheetPr codeName="Sheet48">
    <pageSetUpPr autoPageBreaks="0"/>
  </sheetPr>
  <dimension ref="A1:A11"/>
  <sheetViews>
    <sheetView zoomScale="160" zoomScaleNormal="160" workbookViewId="0">
      <selection activeCell="A2" sqref="A2"/>
    </sheetView>
  </sheetViews>
  <sheetFormatPr defaultRowHeight="12.75" x14ac:dyDescent="0.2"/>
  <cols>
    <col min="1" max="16384" width="9.140625" style="101"/>
  </cols>
  <sheetData>
    <row r="1" spans="1:1" ht="18" x14ac:dyDescent="0.25">
      <c r="A1" s="272" t="s">
        <v>629</v>
      </c>
    </row>
    <row r="2" spans="1:1" s="162" customFormat="1" hidden="1" x14ac:dyDescent="0.2"/>
    <row r="3" spans="1:1" x14ac:dyDescent="0.2">
      <c r="A3" s="231" t="str">
        <f>IF(A2="","",IF(Disable_Video_Hyperlinks,A2,HYPERLINK(Video_website&amp;A2,A2)))</f>
        <v/>
      </c>
    </row>
    <row r="4" spans="1:1" x14ac:dyDescent="0.2">
      <c r="A4" s="309" t="str">
        <f>IF(B2="","",B2)</f>
        <v/>
      </c>
    </row>
    <row r="6" spans="1:1" x14ac:dyDescent="0.2">
      <c r="A6" s="101" t="s">
        <v>303</v>
      </c>
    </row>
    <row r="7" spans="1:1" x14ac:dyDescent="0.2">
      <c r="A7" s="101" t="s">
        <v>489</v>
      </c>
    </row>
    <row r="8" spans="1:1" x14ac:dyDescent="0.2">
      <c r="A8" s="101" t="s">
        <v>630</v>
      </c>
    </row>
    <row r="9" spans="1:1" x14ac:dyDescent="0.2">
      <c r="A9" s="101" t="s">
        <v>631</v>
      </c>
    </row>
    <row r="10" spans="1:1" x14ac:dyDescent="0.2">
      <c r="A10" s="101" t="s">
        <v>304</v>
      </c>
    </row>
    <row r="11" spans="1:1" x14ac:dyDescent="0.2">
      <c r="A11" s="101" t="s">
        <v>169</v>
      </c>
    </row>
  </sheetData>
  <pageMargins left="0.75" right="0.75" top="1" bottom="1" header="0.5" footer="0.5"/>
  <pageSetup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E616B-A4A1-41E9-9DE4-47168ACAA989}">
  <sheetPr codeName="Sheet47"/>
  <dimension ref="A1:B4"/>
  <sheetViews>
    <sheetView zoomScale="160" zoomScaleNormal="160" workbookViewId="0">
      <selection activeCell="A2" sqref="A2"/>
    </sheetView>
  </sheetViews>
  <sheetFormatPr defaultRowHeight="12.75" x14ac:dyDescent="0.2"/>
  <sheetData>
    <row r="1" spans="1:2" ht="18" x14ac:dyDescent="0.25">
      <c r="A1" s="98" t="s">
        <v>729</v>
      </c>
    </row>
    <row r="2" spans="1:2" s="143" customFormat="1" hidden="1" x14ac:dyDescent="0.2">
      <c r="B2" s="323">
        <f>SUM(Relational_Operators:Flexible!B2)</f>
        <v>2.3148148148148147E-2</v>
      </c>
    </row>
    <row r="3" spans="1:2" x14ac:dyDescent="0.2">
      <c r="A3" s="322" t="str">
        <f>Video_Lengths_Description</f>
        <v xml:space="preserve">Length of video clips in this segement: </v>
      </c>
    </row>
    <row r="4" spans="1:2" x14ac:dyDescent="0.2">
      <c r="A4" s="309">
        <f>IF(B2="","",B2)</f>
        <v>2.3148148148148147E-2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3"/>
  <dimension ref="A1:E27"/>
  <sheetViews>
    <sheetView zoomScale="160" zoomScaleNormal="160" workbookViewId="0">
      <selection activeCell="C20" sqref="C20"/>
    </sheetView>
  </sheetViews>
  <sheetFormatPr defaultRowHeight="12.75" x14ac:dyDescent="0.2"/>
  <cols>
    <col min="1" max="1" width="21.140625" style="116" customWidth="1"/>
    <col min="2" max="2" width="10" style="116" customWidth="1"/>
    <col min="3" max="3" width="19.85546875" style="116" customWidth="1"/>
    <col min="4" max="4" width="15.85546875" style="116" customWidth="1"/>
    <col min="5" max="16384" width="9.140625" style="116"/>
  </cols>
  <sheetData>
    <row r="1" spans="1:4" ht="18" x14ac:dyDescent="0.25">
      <c r="A1" s="98" t="s">
        <v>284</v>
      </c>
    </row>
    <row r="2" spans="1:4" s="143" customFormat="1" hidden="1" x14ac:dyDescent="0.2">
      <c r="A2" s="143" t="s">
        <v>521</v>
      </c>
      <c r="B2" s="321">
        <v>2.7546296296296294E-3</v>
      </c>
    </row>
    <row r="3" spans="1:4" x14ac:dyDescent="0.2">
      <c r="A3" s="231" t="str">
        <f>IF(A2="","",IF(Disable_Video_Hyperlinks,A2,HYPERLINK(Video_website&amp;A2,A2)))</f>
        <v>UNC_DAYT_EXCEL_2.6.1_LECTURE_RELATIONAL_OPERATORS.mp4</v>
      </c>
    </row>
    <row r="4" spans="1:4" x14ac:dyDescent="0.2">
      <c r="A4" s="309">
        <f>IF(B2="","",B2)</f>
        <v>2.7546296296296294E-3</v>
      </c>
    </row>
    <row r="6" spans="1:4" x14ac:dyDescent="0.2">
      <c r="B6" s="149">
        <v>5</v>
      </c>
      <c r="C6" s="149">
        <v>3</v>
      </c>
    </row>
    <row r="7" spans="1:4" x14ac:dyDescent="0.2">
      <c r="B7" s="371">
        <v>39083</v>
      </c>
      <c r="C7" s="371">
        <v>39082</v>
      </c>
    </row>
    <row r="8" spans="1:4" x14ac:dyDescent="0.2">
      <c r="B8" s="149" t="s">
        <v>290</v>
      </c>
      <c r="C8" s="149" t="s">
        <v>231</v>
      </c>
    </row>
    <row r="9" spans="1:4" ht="13.5" thickBot="1" x14ac:dyDescent="0.25"/>
    <row r="10" spans="1:4" ht="14.25" thickTop="1" thickBot="1" x14ac:dyDescent="0.25">
      <c r="A10" s="97" t="s">
        <v>33</v>
      </c>
      <c r="B10" s="97" t="s">
        <v>272</v>
      </c>
      <c r="C10" s="367" t="s">
        <v>287</v>
      </c>
      <c r="D10" s="97" t="s">
        <v>288</v>
      </c>
    </row>
    <row r="11" spans="1:4" ht="13.5" thickTop="1" x14ac:dyDescent="0.2">
      <c r="A11" s="171" t="s">
        <v>289</v>
      </c>
      <c r="B11" s="172" t="s">
        <v>273</v>
      </c>
      <c r="C11" s="365" t="str">
        <f t="shared" ref="C11:C13" ca="1" si="0">_xlfn.FORMULATEXT(D11)</f>
        <v>=3+5=8</v>
      </c>
      <c r="D11" s="99" t="b">
        <f>3+5=8</f>
        <v>1</v>
      </c>
    </row>
    <row r="12" spans="1:4" x14ac:dyDescent="0.2">
      <c r="A12" s="171" t="s">
        <v>275</v>
      </c>
      <c r="B12" s="172" t="s">
        <v>274</v>
      </c>
      <c r="C12" s="365" t="str">
        <f t="shared" ca="1" si="0"/>
        <v>=SUM(3,7)&lt;&gt;10</v>
      </c>
      <c r="D12" s="99" t="b">
        <f>SUM(3,7)&lt;&gt;10</f>
        <v>0</v>
      </c>
    </row>
    <row r="13" spans="1:4" x14ac:dyDescent="0.2">
      <c r="A13" s="171" t="s">
        <v>279</v>
      </c>
      <c r="B13" s="172" t="s">
        <v>278</v>
      </c>
      <c r="C13" s="365" t="str">
        <f t="shared" ca="1" si="0"/>
        <v>=100&gt;MAX(5,10,20)</v>
      </c>
      <c r="D13" s="99" t="b">
        <f>100&gt;MAX(5,10,20)</f>
        <v>1</v>
      </c>
    </row>
    <row r="14" spans="1:4" x14ac:dyDescent="0.2">
      <c r="A14" s="171" t="s">
        <v>277</v>
      </c>
      <c r="B14" s="172" t="s">
        <v>276</v>
      </c>
      <c r="C14" s="365" t="str">
        <f ca="1">_xlfn.FORMULATEXT(D14)</f>
        <v>=B6&lt;C6</v>
      </c>
      <c r="D14" s="99" t="b">
        <f>B6&lt;C6</f>
        <v>0</v>
      </c>
    </row>
    <row r="15" spans="1:4" x14ac:dyDescent="0.2">
      <c r="A15" s="171" t="s">
        <v>283</v>
      </c>
      <c r="B15" s="172" t="s">
        <v>282</v>
      </c>
      <c r="C15" s="365" t="str">
        <f t="shared" ref="C15:C16" ca="1" si="1">_xlfn.FORMULATEXT(D15)</f>
        <v>=B7&gt;=C7</v>
      </c>
      <c r="D15" s="99" t="b">
        <f>B7&gt;=C7</f>
        <v>1</v>
      </c>
    </row>
    <row r="16" spans="1:4" ht="13.5" thickBot="1" x14ac:dyDescent="0.25">
      <c r="A16" s="173" t="s">
        <v>281</v>
      </c>
      <c r="B16" s="174" t="s">
        <v>280</v>
      </c>
      <c r="C16" s="366" t="str">
        <f t="shared" ca="1" si="1"/>
        <v>=B8&lt;=C8</v>
      </c>
      <c r="D16" s="100" t="b">
        <f>B8&lt;=C8</f>
        <v>1</v>
      </c>
    </row>
    <row r="17" spans="1:5" ht="13.5" thickTop="1" x14ac:dyDescent="0.2"/>
    <row r="18" spans="1:5" x14ac:dyDescent="0.2">
      <c r="A18" s="370" t="s">
        <v>763</v>
      </c>
    </row>
    <row r="19" spans="1:5" x14ac:dyDescent="0.2">
      <c r="A19" s="369" t="s">
        <v>764</v>
      </c>
      <c r="C19" s="116" t="str">
        <f t="shared" ref="C19:C20" ca="1" si="2">_xlfn.FORMULATEXT(D19)</f>
        <v>=$B$6&lt;=E19&lt;=$C$6</v>
      </c>
      <c r="D19" s="368" t="b">
        <f>$B$6&lt;=E19&lt;=$C$6</f>
        <v>0</v>
      </c>
      <c r="E19" s="149">
        <v>4</v>
      </c>
    </row>
    <row r="20" spans="1:5" x14ac:dyDescent="0.2">
      <c r="A20" s="369" t="s">
        <v>764</v>
      </c>
      <c r="C20" s="116" t="str">
        <f t="shared" ca="1" si="2"/>
        <v>=$B$6&lt;=E20&lt;=$C$6</v>
      </c>
      <c r="D20" s="368" t="b">
        <f>$B$6&lt;=E20&lt;=$C$6</f>
        <v>0</v>
      </c>
      <c r="E20" s="149">
        <v>2</v>
      </c>
    </row>
    <row r="21" spans="1:5" x14ac:dyDescent="0.2">
      <c r="A21" s="116" t="s">
        <v>765</v>
      </c>
    </row>
    <row r="24" spans="1:5" ht="95.25" customHeight="1" x14ac:dyDescent="0.2">
      <c r="A24" s="378" t="s">
        <v>389</v>
      </c>
      <c r="B24" s="378"/>
      <c r="C24" s="378"/>
      <c r="D24" s="378"/>
    </row>
    <row r="25" spans="1:5" x14ac:dyDescent="0.2">
      <c r="A25" s="177"/>
      <c r="B25" s="177"/>
      <c r="C25" s="177"/>
      <c r="D25" s="177"/>
    </row>
    <row r="26" spans="1:5" x14ac:dyDescent="0.2">
      <c r="A26" s="177"/>
      <c r="B26" s="177"/>
      <c r="C26" s="177"/>
      <c r="D26" s="177"/>
    </row>
    <row r="27" spans="1:5" x14ac:dyDescent="0.2">
      <c r="A27" s="177"/>
      <c r="B27" s="177"/>
      <c r="C27" s="177"/>
      <c r="D27" s="177"/>
    </row>
  </sheetData>
  <mergeCells count="1">
    <mergeCell ref="A24:D24"/>
  </mergeCells>
  <phoneticPr fontId="2" type="noConversion"/>
  <pageMargins left="0.75" right="0.75" top="1" bottom="1" header="0.5" footer="0.5"/>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C19"/>
  <sheetViews>
    <sheetView zoomScale="160" zoomScaleNormal="160" workbookViewId="0">
      <selection activeCell="A2" sqref="A2"/>
    </sheetView>
  </sheetViews>
  <sheetFormatPr defaultRowHeight="12.75" x14ac:dyDescent="0.2"/>
  <cols>
    <col min="1" max="1" width="30.42578125" style="116" customWidth="1"/>
    <col min="2" max="2" width="18" style="116" customWidth="1"/>
    <col min="3" max="3" width="19.85546875" style="116" customWidth="1"/>
    <col min="4" max="4" width="15.85546875" style="116" customWidth="1"/>
    <col min="5" max="16384" width="9.140625" style="116"/>
  </cols>
  <sheetData>
    <row r="1" spans="1:3" ht="18" x14ac:dyDescent="0.25">
      <c r="A1" s="98" t="s">
        <v>383</v>
      </c>
    </row>
    <row r="2" spans="1:3" s="143" customFormat="1" hidden="1" x14ac:dyDescent="0.2">
      <c r="A2" s="143" t="s">
        <v>523</v>
      </c>
      <c r="B2" s="321">
        <v>3.4953703703703705E-3</v>
      </c>
    </row>
    <row r="3" spans="1:3" x14ac:dyDescent="0.2">
      <c r="A3" s="231" t="str">
        <f>IF(A2="","",IF(Disable_Video_Hyperlinks,A2,HYPERLINK(Video_website&amp;A2,A2)))</f>
        <v>UNC_DAYT_EXCEL_2.6.2_LECTURE_RANGE_NAMES.mp4</v>
      </c>
    </row>
    <row r="4" spans="1:3" x14ac:dyDescent="0.2">
      <c r="A4" s="309">
        <f>IF(B2="","",B2)</f>
        <v>3.4953703703703705E-3</v>
      </c>
    </row>
    <row r="5" spans="1:3" x14ac:dyDescent="0.2">
      <c r="A5" s="231"/>
    </row>
    <row r="6" spans="1:3" x14ac:dyDescent="0.2">
      <c r="A6" s="231"/>
      <c r="B6" s="117" t="s">
        <v>385</v>
      </c>
      <c r="C6" s="117" t="s">
        <v>384</v>
      </c>
    </row>
    <row r="7" spans="1:3" x14ac:dyDescent="0.2">
      <c r="B7" s="117">
        <v>5</v>
      </c>
      <c r="C7" s="117">
        <v>3</v>
      </c>
    </row>
    <row r="8" spans="1:3" ht="13.5" thickBot="1" x14ac:dyDescent="0.25"/>
    <row r="9" spans="1:3" ht="14.25" thickTop="1" thickBot="1" x14ac:dyDescent="0.25">
      <c r="A9" s="97" t="s">
        <v>33</v>
      </c>
      <c r="B9" s="118" t="s">
        <v>287</v>
      </c>
      <c r="C9" s="118" t="s">
        <v>288</v>
      </c>
    </row>
    <row r="10" spans="1:3" ht="13.5" thickTop="1" x14ac:dyDescent="0.2">
      <c r="A10" s="120" t="s">
        <v>399</v>
      </c>
      <c r="B10" s="99" t="s">
        <v>386</v>
      </c>
      <c r="C10" s="99" t="b">
        <f>C6="Hello"</f>
        <v>1</v>
      </c>
    </row>
    <row r="11" spans="1:3" x14ac:dyDescent="0.2">
      <c r="A11" s="120" t="s">
        <v>399</v>
      </c>
      <c r="B11" s="99" t="s">
        <v>387</v>
      </c>
      <c r="C11" s="99" t="b">
        <f>C6&lt;&gt;"Hello"</f>
        <v>0</v>
      </c>
    </row>
    <row r="12" spans="1:3" x14ac:dyDescent="0.2">
      <c r="A12" s="120" t="s">
        <v>400</v>
      </c>
      <c r="B12" s="99" t="s">
        <v>401</v>
      </c>
      <c r="C12" s="99" t="e">
        <f>C6=Hello</f>
        <v>#NAME?</v>
      </c>
    </row>
    <row r="13" spans="1:3" x14ac:dyDescent="0.2">
      <c r="A13" s="120" t="s">
        <v>395</v>
      </c>
      <c r="B13" s="99" t="s">
        <v>388</v>
      </c>
      <c r="C13" s="99" t="b">
        <f>"Goodbye"&gt;"Hello"</f>
        <v>0</v>
      </c>
    </row>
    <row r="14" spans="1:3" x14ac:dyDescent="0.2">
      <c r="A14" s="120" t="s">
        <v>394</v>
      </c>
      <c r="B14" s="99" t="s">
        <v>390</v>
      </c>
      <c r="C14" s="99" t="e">
        <f>Goodbye&gt;Hello</f>
        <v>#NAME?</v>
      </c>
    </row>
    <row r="15" spans="1:3" x14ac:dyDescent="0.2">
      <c r="A15" s="120" t="s">
        <v>398</v>
      </c>
      <c r="B15" s="99" t="s">
        <v>402</v>
      </c>
      <c r="C15" s="99" t="b">
        <f>Hi=3</f>
        <v>1</v>
      </c>
    </row>
    <row r="16" spans="1:3" x14ac:dyDescent="0.2">
      <c r="A16" s="120" t="s">
        <v>396</v>
      </c>
      <c r="B16" s="99" t="s">
        <v>391</v>
      </c>
      <c r="C16" s="99" t="b">
        <f>5&gt;3</f>
        <v>1</v>
      </c>
    </row>
    <row r="17" spans="1:3" x14ac:dyDescent="0.2">
      <c r="A17" s="120" t="s">
        <v>397</v>
      </c>
      <c r="B17" s="99" t="s">
        <v>393</v>
      </c>
      <c r="C17" s="99" t="b">
        <f>B7&gt;C7</f>
        <v>1</v>
      </c>
    </row>
    <row r="18" spans="1:3" ht="13.5" thickBot="1" x14ac:dyDescent="0.25">
      <c r="A18" s="119" t="s">
        <v>398</v>
      </c>
      <c r="B18" s="100" t="s">
        <v>392</v>
      </c>
      <c r="C18" s="100" t="b">
        <f>Bye&gt;Hi</f>
        <v>1</v>
      </c>
    </row>
    <row r="19" spans="1:3" ht="13.5" thickTop="1" x14ac:dyDescent="0.2"/>
  </sheetData>
  <pageMargins left="0.75" right="0.75" top="1" bottom="1" header="0.5" footer="0.5"/>
  <headerFooter alignWithMargins="0"/>
  <ignoredErrors>
    <ignoredError sqref="C12 C14" evalError="1"/>
  </ignoredError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4"/>
  <dimension ref="A1:K32"/>
  <sheetViews>
    <sheetView zoomScale="160" zoomScaleNormal="160" workbookViewId="0">
      <selection activeCell="A2" sqref="A2"/>
    </sheetView>
  </sheetViews>
  <sheetFormatPr defaultRowHeight="12.75" x14ac:dyDescent="0.2"/>
  <cols>
    <col min="1" max="1" width="17.42578125" style="116" customWidth="1"/>
    <col min="2" max="2" width="7.7109375" style="116" bestFit="1" customWidth="1"/>
    <col min="3" max="3" width="7.85546875" style="116" bestFit="1" customWidth="1"/>
    <col min="4" max="4" width="4.7109375" style="116" customWidth="1"/>
    <col min="5" max="5" width="17.42578125" style="116" customWidth="1"/>
    <col min="6" max="6" width="7.7109375" style="116" bestFit="1" customWidth="1"/>
    <col min="7" max="7" width="7.85546875" style="116" bestFit="1" customWidth="1"/>
    <col min="8" max="8" width="4.7109375" style="116" customWidth="1"/>
    <col min="9" max="9" width="17.42578125" style="116" customWidth="1"/>
    <col min="10" max="10" width="7.7109375" style="116" bestFit="1" customWidth="1"/>
    <col min="11" max="11" width="7.85546875" style="116" bestFit="1" customWidth="1"/>
    <col min="12" max="12" width="4.7109375" style="116" customWidth="1"/>
    <col min="13" max="16384" width="9.140625" style="116"/>
  </cols>
  <sheetData>
    <row r="1" spans="1:11" ht="36" x14ac:dyDescent="0.25">
      <c r="A1" s="129" t="s">
        <v>522</v>
      </c>
      <c r="B1" s="179"/>
      <c r="C1" s="179"/>
      <c r="D1" s="179"/>
      <c r="E1" s="179"/>
      <c r="F1" s="179"/>
      <c r="G1" s="179"/>
      <c r="H1" s="179"/>
      <c r="I1" s="179"/>
      <c r="J1" s="179"/>
      <c r="K1" s="219"/>
    </row>
    <row r="2" spans="1:11" s="143" customFormat="1" hidden="1" x14ac:dyDescent="0.2">
      <c r="A2" s="143" t="s">
        <v>524</v>
      </c>
      <c r="B2" s="321">
        <v>3.9699074074074072E-3</v>
      </c>
    </row>
    <row r="3" spans="1:11" customFormat="1" x14ac:dyDescent="0.2">
      <c r="A3" s="231" t="str">
        <f>IF(A2="","",IF(Disable_Video_Hyperlinks,A2,HYPERLINK(Video_website&amp;A2,A2)))</f>
        <v>UNC_DAYT_EXCEL_2.6.3_LECTURE_BOOLEAN_LOGICAL_FUNCTIONS_OR_AND_NOT_IFERROR.mp4</v>
      </c>
    </row>
    <row r="4" spans="1:11" customFormat="1" x14ac:dyDescent="0.2">
      <c r="A4" s="309">
        <f>IF(B2="","",B2)</f>
        <v>3.9699074074074072E-3</v>
      </c>
    </row>
    <row r="5" spans="1:11" ht="13.5" thickBot="1" x14ac:dyDescent="0.25"/>
    <row r="6" spans="1:11" ht="14.25" thickTop="1" thickBot="1" x14ac:dyDescent="0.25">
      <c r="A6" s="121" t="s">
        <v>303</v>
      </c>
      <c r="B6" s="103" t="s">
        <v>403</v>
      </c>
      <c r="C6" s="102"/>
      <c r="D6" s="102"/>
      <c r="E6" s="102"/>
      <c r="F6" s="102"/>
      <c r="G6" s="102"/>
      <c r="H6" s="102"/>
      <c r="I6" s="102"/>
      <c r="J6" s="215"/>
    </row>
    <row r="7" spans="1:11" ht="13.5" thickBot="1" x14ac:dyDescent="0.25">
      <c r="A7" s="122" t="s">
        <v>169</v>
      </c>
      <c r="B7" s="103" t="s">
        <v>404</v>
      </c>
      <c r="C7" s="102"/>
      <c r="D7" s="102"/>
      <c r="E7" s="102"/>
      <c r="F7" s="102"/>
      <c r="G7" s="102"/>
      <c r="H7" s="102"/>
      <c r="I7" s="102"/>
      <c r="J7" s="215"/>
    </row>
    <row r="8" spans="1:11" ht="13.5" thickBot="1" x14ac:dyDescent="0.25">
      <c r="A8" s="123" t="s">
        <v>304</v>
      </c>
      <c r="B8" s="103" t="s">
        <v>382</v>
      </c>
      <c r="C8" s="102"/>
      <c r="D8" s="102"/>
      <c r="E8" s="102"/>
      <c r="F8" s="102"/>
      <c r="G8" s="102"/>
      <c r="H8" s="102"/>
      <c r="I8" s="102"/>
      <c r="J8" s="215"/>
    </row>
    <row r="9" spans="1:11" ht="13.5" thickTop="1" x14ac:dyDescent="0.2"/>
    <row r="11" spans="1:11" x14ac:dyDescent="0.2">
      <c r="A11" s="124" t="s">
        <v>405</v>
      </c>
      <c r="E11" s="124" t="s">
        <v>408</v>
      </c>
      <c r="I11" s="124" t="s">
        <v>429</v>
      </c>
    </row>
    <row r="12" spans="1:11" x14ac:dyDescent="0.2">
      <c r="A12" s="216"/>
      <c r="B12" s="128" t="s">
        <v>407</v>
      </c>
      <c r="C12" s="217"/>
      <c r="E12" s="216"/>
      <c r="F12" s="128" t="s">
        <v>407</v>
      </c>
      <c r="G12" s="217"/>
      <c r="I12" s="216"/>
      <c r="J12" s="128" t="s">
        <v>410</v>
      </c>
      <c r="K12" s="217"/>
    </row>
    <row r="13" spans="1:11" x14ac:dyDescent="0.2">
      <c r="A13" s="126" t="s">
        <v>406</v>
      </c>
      <c r="B13" s="125" t="b">
        <v>1</v>
      </c>
      <c r="C13" s="125" t="b">
        <v>0</v>
      </c>
      <c r="E13" s="126" t="s">
        <v>409</v>
      </c>
      <c r="F13" s="125" t="b">
        <v>1</v>
      </c>
      <c r="G13" s="125" t="b">
        <v>0</v>
      </c>
      <c r="I13" s="126"/>
      <c r="J13" s="125" t="b">
        <v>1</v>
      </c>
      <c r="K13" s="125" t="b">
        <v>0</v>
      </c>
    </row>
    <row r="14" spans="1:11" x14ac:dyDescent="0.2">
      <c r="A14" s="127" t="b">
        <v>1</v>
      </c>
      <c r="B14" s="218" t="b">
        <f>AND(B$13,$A14)</f>
        <v>1</v>
      </c>
      <c r="C14" s="218" t="b">
        <f t="shared" ref="C14:C15" si="0">AND(C$13,$A14)</f>
        <v>0</v>
      </c>
      <c r="E14" s="127" t="b">
        <v>1</v>
      </c>
      <c r="F14" s="218" t="b">
        <f>OR(F$13,$E14)</f>
        <v>1</v>
      </c>
      <c r="G14" s="218" t="b">
        <f t="shared" ref="G14:G15" si="1">OR(G$13,$E14)</f>
        <v>1</v>
      </c>
      <c r="I14" s="127" t="s">
        <v>411</v>
      </c>
      <c r="J14" s="218" t="b">
        <f>NOT(J13)</f>
        <v>0</v>
      </c>
      <c r="K14" s="218" t="b">
        <f>NOT(K13)</f>
        <v>1</v>
      </c>
    </row>
    <row r="15" spans="1:11" x14ac:dyDescent="0.2">
      <c r="A15" s="127" t="b">
        <v>0</v>
      </c>
      <c r="B15" s="218" t="b">
        <f t="shared" ref="B15" si="2">AND(B$13,$A15)</f>
        <v>0</v>
      </c>
      <c r="C15" s="218" t="b">
        <f t="shared" si="0"/>
        <v>0</v>
      </c>
      <c r="E15" s="127" t="b">
        <v>0</v>
      </c>
      <c r="F15" s="218" t="b">
        <f t="shared" ref="F15" si="3">OR(F$13,$E15)</f>
        <v>1</v>
      </c>
      <c r="G15" s="218" t="b">
        <f t="shared" si="1"/>
        <v>0</v>
      </c>
      <c r="I15" s="127"/>
      <c r="J15" s="218"/>
      <c r="K15" s="218"/>
    </row>
    <row r="16" spans="1:11" ht="91.5" customHeight="1" x14ac:dyDescent="0.2">
      <c r="A16" s="379" t="s">
        <v>474</v>
      </c>
      <c r="B16" s="380"/>
      <c r="C16" s="381"/>
      <c r="E16" s="379" t="s">
        <v>475</v>
      </c>
      <c r="F16" s="380"/>
      <c r="G16" s="381"/>
      <c r="I16" s="379" t="s">
        <v>473</v>
      </c>
      <c r="J16" s="380"/>
      <c r="K16" s="381"/>
    </row>
    <row r="32" ht="12.75" customHeight="1" x14ac:dyDescent="0.2"/>
  </sheetData>
  <mergeCells count="3">
    <mergeCell ref="A16:C16"/>
    <mergeCell ref="E16:G16"/>
    <mergeCell ref="I16:K16"/>
  </mergeCells>
  <phoneticPr fontId="2" type="noConversion"/>
  <pageMargins left="0.75" right="0.75" top="1" bottom="1" header="0.5" footer="0.5"/>
  <pageSetup orientation="portrait" horizontalDpi="120" verticalDpi="72"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U33"/>
  <sheetViews>
    <sheetView zoomScale="160" zoomScaleNormal="160" workbookViewId="0">
      <pane xSplit="1" ySplit="6" topLeftCell="B7" activePane="bottomRight" state="frozen"/>
      <selection activeCell="B2" sqref="B2"/>
      <selection pane="topRight" activeCell="B2" sqref="B2"/>
      <selection pane="bottomLeft" activeCell="B2" sqref="B2"/>
      <selection pane="bottomRight" activeCell="A2" sqref="A2"/>
    </sheetView>
  </sheetViews>
  <sheetFormatPr defaultRowHeight="12.75" x14ac:dyDescent="0.2"/>
  <cols>
    <col min="1" max="1" width="19.42578125" style="116" customWidth="1"/>
    <col min="2" max="2" width="9.140625" style="116" bestFit="1" customWidth="1"/>
    <col min="3" max="4" width="9.140625" style="116" customWidth="1"/>
    <col min="5" max="5" width="8.28515625" style="116" customWidth="1"/>
    <col min="6" max="6" width="9.140625" style="116" bestFit="1" customWidth="1"/>
    <col min="7" max="7" width="12" style="116" customWidth="1"/>
    <col min="8" max="8" width="15.7109375" style="116" customWidth="1"/>
    <col min="9" max="9" width="10.5703125" style="116" customWidth="1"/>
    <col min="10" max="10" width="12.5703125" style="116" customWidth="1"/>
    <col min="11" max="11" width="7.5703125" style="116" customWidth="1"/>
    <col min="12" max="13" width="7.42578125" style="116" customWidth="1"/>
    <col min="14" max="16384" width="9.140625" style="116"/>
  </cols>
  <sheetData>
    <row r="1" spans="1:21" ht="18" x14ac:dyDescent="0.25">
      <c r="A1" s="98" t="s">
        <v>412</v>
      </c>
    </row>
    <row r="2" spans="1:21" s="143" customFormat="1" hidden="1" x14ac:dyDescent="0.2"/>
    <row r="3" spans="1:21" x14ac:dyDescent="0.2">
      <c r="A3" s="231" t="str">
        <f>IF(A2="","",IF(Disable_Video_Hyperlinks,A2,HYPERLINK(Video_website&amp;A2,A2)))</f>
        <v/>
      </c>
      <c r="B3" s="137"/>
      <c r="C3" s="137"/>
      <c r="D3" s="137"/>
      <c r="E3" s="137"/>
      <c r="F3" s="137"/>
      <c r="G3" s="137"/>
      <c r="H3" s="137"/>
      <c r="I3" s="137"/>
      <c r="J3" s="137"/>
    </row>
    <row r="4" spans="1:21" x14ac:dyDescent="0.2">
      <c r="A4" s="309" t="str">
        <f>IF(B2="","",B2)</f>
        <v/>
      </c>
      <c r="B4" s="137"/>
      <c r="C4" s="137"/>
      <c r="D4" s="137"/>
      <c r="E4" s="137"/>
      <c r="F4" s="137"/>
      <c r="G4" s="137"/>
      <c r="H4" s="137"/>
      <c r="I4" s="137"/>
      <c r="J4" s="137"/>
    </row>
    <row r="5" spans="1:21" x14ac:dyDescent="0.2">
      <c r="A5" s="137"/>
      <c r="B5" s="137"/>
      <c r="C5" s="137"/>
      <c r="D5" s="137"/>
      <c r="E5" s="137"/>
      <c r="F5" s="137"/>
      <c r="G5" s="137"/>
      <c r="H5" s="137"/>
      <c r="I5" s="137"/>
      <c r="J5" s="137"/>
    </row>
    <row r="6" spans="1:21" ht="51" x14ac:dyDescent="0.2">
      <c r="A6" s="134" t="s">
        <v>206</v>
      </c>
      <c r="B6" s="135" t="s">
        <v>207</v>
      </c>
      <c r="C6" s="135" t="s">
        <v>208</v>
      </c>
      <c r="D6" s="135" t="s">
        <v>209</v>
      </c>
      <c r="E6" s="135" t="s">
        <v>210</v>
      </c>
      <c r="F6" s="135" t="s">
        <v>211</v>
      </c>
      <c r="G6" s="135" t="s">
        <v>212</v>
      </c>
      <c r="H6" s="135" t="s">
        <v>213</v>
      </c>
      <c r="I6" s="135" t="s">
        <v>214</v>
      </c>
      <c r="J6" s="135" t="s">
        <v>215</v>
      </c>
      <c r="K6" s="135" t="s">
        <v>738</v>
      </c>
      <c r="L6" s="342" t="s">
        <v>736</v>
      </c>
      <c r="M6" s="343" t="s">
        <v>737</v>
      </c>
      <c r="N6" s="339"/>
      <c r="O6" s="339"/>
      <c r="P6" s="339"/>
      <c r="Q6" s="339"/>
      <c r="R6" s="339"/>
      <c r="S6" s="339"/>
      <c r="T6" s="339"/>
      <c r="U6" s="339"/>
    </row>
    <row r="7" spans="1:21" x14ac:dyDescent="0.2">
      <c r="A7" s="143" t="s">
        <v>220</v>
      </c>
      <c r="B7" s="180">
        <v>9000</v>
      </c>
      <c r="C7" s="180">
        <v>15382</v>
      </c>
      <c r="D7" s="180">
        <v>11952</v>
      </c>
      <c r="E7" s="181">
        <v>0</v>
      </c>
      <c r="F7" s="180">
        <v>450</v>
      </c>
      <c r="G7" s="149" t="s">
        <v>221</v>
      </c>
      <c r="H7" s="149">
        <v>4</v>
      </c>
      <c r="I7" s="149">
        <v>15</v>
      </c>
      <c r="J7" s="149">
        <v>3</v>
      </c>
      <c r="K7" s="116" t="b">
        <f>E7/D7&lt;0.1</f>
        <v>1</v>
      </c>
    </row>
    <row r="8" spans="1:21" x14ac:dyDescent="0.2">
      <c r="A8" s="143" t="s">
        <v>222</v>
      </c>
      <c r="B8" s="182">
        <v>39000</v>
      </c>
      <c r="C8" s="182">
        <v>10033</v>
      </c>
      <c r="D8" s="182">
        <v>7789</v>
      </c>
      <c r="E8" s="183">
        <v>0</v>
      </c>
      <c r="F8" s="182">
        <v>1950</v>
      </c>
      <c r="G8" s="149" t="s">
        <v>223</v>
      </c>
      <c r="H8" s="149">
        <v>1</v>
      </c>
      <c r="I8" s="149">
        <v>51</v>
      </c>
      <c r="J8" s="149">
        <v>1</v>
      </c>
      <c r="K8" s="116" t="b">
        <f>E8/D8&lt;0.1</f>
        <v>1</v>
      </c>
    </row>
    <row r="9" spans="1:21" x14ac:dyDescent="0.2">
      <c r="A9" s="143" t="s">
        <v>224</v>
      </c>
      <c r="B9" s="182">
        <v>75000</v>
      </c>
      <c r="C9" s="182">
        <v>60009</v>
      </c>
      <c r="D9" s="182">
        <v>55342</v>
      </c>
      <c r="E9" s="183">
        <v>13892</v>
      </c>
      <c r="F9" s="182">
        <v>37500</v>
      </c>
      <c r="G9" s="149" t="s">
        <v>225</v>
      </c>
      <c r="H9" s="149">
        <v>2</v>
      </c>
      <c r="I9" s="149">
        <v>70</v>
      </c>
      <c r="J9" s="149">
        <v>1</v>
      </c>
      <c r="K9" s="116" t="b">
        <f>E9/D9&lt;0.1</f>
        <v>0</v>
      </c>
    </row>
    <row r="10" spans="1:21" x14ac:dyDescent="0.2">
      <c r="A10" s="143" t="s">
        <v>226</v>
      </c>
      <c r="B10" s="182">
        <v>33000</v>
      </c>
      <c r="C10" s="182">
        <v>35039</v>
      </c>
      <c r="D10" s="182">
        <v>50921</v>
      </c>
      <c r="E10" s="183">
        <v>495</v>
      </c>
      <c r="F10" s="182">
        <v>1650</v>
      </c>
      <c r="G10" s="149" t="s">
        <v>221</v>
      </c>
      <c r="H10" s="149">
        <v>2</v>
      </c>
      <c r="I10" s="149">
        <v>43</v>
      </c>
      <c r="J10" s="149">
        <v>1</v>
      </c>
      <c r="K10" s="116" t="b">
        <f>E10/D10&lt;0.1</f>
        <v>1</v>
      </c>
    </row>
    <row r="11" spans="1:21" x14ac:dyDescent="0.2">
      <c r="A11" s="143" t="s">
        <v>227</v>
      </c>
      <c r="B11" s="182"/>
      <c r="C11" s="182"/>
      <c r="D11" s="182"/>
      <c r="E11" s="183"/>
      <c r="F11" s="182">
        <v>10000</v>
      </c>
      <c r="G11" s="149" t="s">
        <v>225</v>
      </c>
      <c r="H11" s="149">
        <v>1</v>
      </c>
      <c r="I11" s="149">
        <v>91</v>
      </c>
      <c r="J11" s="149">
        <v>1</v>
      </c>
    </row>
    <row r="12" spans="1:21" x14ac:dyDescent="0.2">
      <c r="A12" s="143" t="s">
        <v>228</v>
      </c>
      <c r="B12" s="182">
        <v>25000</v>
      </c>
      <c r="C12" s="182">
        <v>15221</v>
      </c>
      <c r="D12" s="182">
        <v>9483</v>
      </c>
      <c r="E12" s="183">
        <v>2899</v>
      </c>
      <c r="F12" s="182">
        <v>1250</v>
      </c>
      <c r="G12" s="149" t="s">
        <v>223</v>
      </c>
      <c r="H12" s="149">
        <v>3</v>
      </c>
      <c r="I12" s="149">
        <v>76</v>
      </c>
      <c r="J12" s="149">
        <v>1</v>
      </c>
      <c r="K12" s="116" t="b">
        <f t="shared" ref="K12:K25" si="0">E12/D12&lt;0.1</f>
        <v>0</v>
      </c>
    </row>
    <row r="13" spans="1:21" x14ac:dyDescent="0.2">
      <c r="A13" s="143" t="s">
        <v>229</v>
      </c>
      <c r="B13" s="182">
        <v>42000</v>
      </c>
      <c r="C13" s="182">
        <v>80498</v>
      </c>
      <c r="D13" s="182">
        <v>81126</v>
      </c>
      <c r="E13" s="183">
        <v>0</v>
      </c>
      <c r="F13" s="182">
        <v>2100</v>
      </c>
      <c r="G13" s="149" t="s">
        <v>223</v>
      </c>
      <c r="H13" s="149">
        <v>2</v>
      </c>
      <c r="I13" s="149">
        <v>87</v>
      </c>
      <c r="J13" s="149">
        <v>1</v>
      </c>
      <c r="K13" s="116" t="b">
        <f t="shared" si="0"/>
        <v>1</v>
      </c>
    </row>
    <row r="14" spans="1:21" x14ac:dyDescent="0.2">
      <c r="A14" s="143" t="s">
        <v>230</v>
      </c>
      <c r="B14" s="182">
        <v>27000</v>
      </c>
      <c r="C14" s="182">
        <v>35354</v>
      </c>
      <c r="D14" s="182">
        <v>20666</v>
      </c>
      <c r="E14" s="183">
        <v>0</v>
      </c>
      <c r="F14" s="182">
        <v>213</v>
      </c>
      <c r="G14" s="149" t="s">
        <v>231</v>
      </c>
      <c r="H14" s="149">
        <v>3</v>
      </c>
      <c r="I14" s="149">
        <v>94</v>
      </c>
      <c r="J14" s="149">
        <v>1</v>
      </c>
      <c r="K14" s="116" t="b">
        <f t="shared" si="0"/>
        <v>1</v>
      </c>
    </row>
    <row r="15" spans="1:21" x14ac:dyDescent="0.2">
      <c r="A15" s="143" t="s">
        <v>232</v>
      </c>
      <c r="B15" s="182">
        <v>46000</v>
      </c>
      <c r="C15" s="182">
        <v>90970</v>
      </c>
      <c r="D15" s="182">
        <v>18343</v>
      </c>
      <c r="E15" s="183">
        <v>0</v>
      </c>
      <c r="F15" s="182">
        <v>2300</v>
      </c>
      <c r="G15" s="149" t="s">
        <v>223</v>
      </c>
      <c r="H15" s="149">
        <v>1</v>
      </c>
      <c r="I15" s="149">
        <v>21</v>
      </c>
      <c r="J15" s="149">
        <v>1</v>
      </c>
      <c r="K15" s="116" t="b">
        <f t="shared" si="0"/>
        <v>1</v>
      </c>
    </row>
    <row r="16" spans="1:21" x14ac:dyDescent="0.2">
      <c r="A16" s="143" t="s">
        <v>233</v>
      </c>
      <c r="B16" s="182">
        <v>15000</v>
      </c>
      <c r="C16" s="182">
        <v>5663</v>
      </c>
      <c r="D16" s="182">
        <v>3014</v>
      </c>
      <c r="E16" s="183">
        <v>0</v>
      </c>
      <c r="F16" s="182">
        <v>750</v>
      </c>
      <c r="G16" s="149" t="s">
        <v>234</v>
      </c>
      <c r="H16" s="149">
        <v>1</v>
      </c>
      <c r="I16" s="149">
        <v>59</v>
      </c>
      <c r="J16" s="149">
        <v>1</v>
      </c>
      <c r="K16" s="116" t="b">
        <f t="shared" si="0"/>
        <v>1</v>
      </c>
    </row>
    <row r="17" spans="1:11" x14ac:dyDescent="0.2">
      <c r="A17" s="143" t="s">
        <v>235</v>
      </c>
      <c r="B17" s="182">
        <v>45000</v>
      </c>
      <c r="C17" s="182">
        <v>50278</v>
      </c>
      <c r="D17" s="182">
        <v>32338</v>
      </c>
      <c r="E17" s="183">
        <v>0</v>
      </c>
      <c r="F17" s="182">
        <v>2250</v>
      </c>
      <c r="G17" s="149" t="s">
        <v>223</v>
      </c>
      <c r="H17" s="149">
        <v>3</v>
      </c>
      <c r="I17" s="149">
        <v>91</v>
      </c>
      <c r="J17" s="149">
        <v>1</v>
      </c>
      <c r="K17" s="116" t="b">
        <f t="shared" si="0"/>
        <v>1</v>
      </c>
    </row>
    <row r="18" spans="1:11" x14ac:dyDescent="0.2">
      <c r="A18" s="143" t="s">
        <v>236</v>
      </c>
      <c r="B18" s="182">
        <v>26000</v>
      </c>
      <c r="C18" s="182">
        <v>25864</v>
      </c>
      <c r="D18" s="182">
        <v>28154</v>
      </c>
      <c r="E18" s="183">
        <v>0</v>
      </c>
      <c r="F18" s="182">
        <v>300</v>
      </c>
      <c r="G18" s="149" t="s">
        <v>221</v>
      </c>
      <c r="H18" s="149">
        <v>2</v>
      </c>
      <c r="I18" s="149">
        <v>82</v>
      </c>
      <c r="J18" s="149">
        <v>1</v>
      </c>
      <c r="K18" s="116" t="b">
        <f t="shared" si="0"/>
        <v>1</v>
      </c>
    </row>
    <row r="19" spans="1:11" x14ac:dyDescent="0.2">
      <c r="A19" s="143" t="s">
        <v>237</v>
      </c>
      <c r="B19" s="182">
        <v>45000</v>
      </c>
      <c r="C19" s="182">
        <v>40157</v>
      </c>
      <c r="D19" s="182">
        <v>25379</v>
      </c>
      <c r="E19" s="183">
        <v>0</v>
      </c>
      <c r="F19" s="182">
        <v>2250</v>
      </c>
      <c r="G19" s="149" t="s">
        <v>223</v>
      </c>
      <c r="H19" s="149">
        <v>2</v>
      </c>
      <c r="I19" s="149">
        <v>71</v>
      </c>
      <c r="J19" s="149">
        <v>1</v>
      </c>
      <c r="K19" s="116" t="b">
        <f t="shared" si="0"/>
        <v>1</v>
      </c>
    </row>
    <row r="20" spans="1:11" x14ac:dyDescent="0.2">
      <c r="A20" s="143" t="s">
        <v>238</v>
      </c>
      <c r="B20" s="182">
        <v>15000</v>
      </c>
      <c r="C20" s="182">
        <v>15898</v>
      </c>
      <c r="D20" s="182">
        <v>14732</v>
      </c>
      <c r="E20" s="183">
        <v>14383</v>
      </c>
      <c r="F20" s="182">
        <v>450</v>
      </c>
      <c r="G20" s="149" t="s">
        <v>221</v>
      </c>
      <c r="H20" s="149">
        <v>1</v>
      </c>
      <c r="I20" s="149">
        <v>67</v>
      </c>
      <c r="J20" s="149">
        <v>1</v>
      </c>
      <c r="K20" s="116" t="b">
        <f t="shared" si="0"/>
        <v>0</v>
      </c>
    </row>
    <row r="21" spans="1:11" x14ac:dyDescent="0.2">
      <c r="A21" s="143" t="s">
        <v>239</v>
      </c>
      <c r="B21" s="182">
        <v>22000</v>
      </c>
      <c r="C21" s="182">
        <v>10073</v>
      </c>
      <c r="D21" s="182">
        <v>1047</v>
      </c>
      <c r="E21" s="183">
        <v>0</v>
      </c>
      <c r="F21" s="182">
        <v>1100</v>
      </c>
      <c r="G21" s="149" t="s">
        <v>223</v>
      </c>
      <c r="H21" s="149">
        <v>3</v>
      </c>
      <c r="I21" s="149">
        <v>14</v>
      </c>
      <c r="J21" s="149">
        <v>1</v>
      </c>
      <c r="K21" s="116" t="b">
        <f t="shared" si="0"/>
        <v>1</v>
      </c>
    </row>
    <row r="22" spans="1:11" x14ac:dyDescent="0.2">
      <c r="A22" s="143" t="s">
        <v>240</v>
      </c>
      <c r="B22" s="182">
        <v>45000</v>
      </c>
      <c r="C22" s="182">
        <v>95411</v>
      </c>
      <c r="D22" s="182">
        <v>64418</v>
      </c>
      <c r="E22" s="183">
        <v>0</v>
      </c>
      <c r="F22" s="182">
        <v>150</v>
      </c>
      <c r="G22" s="149" t="s">
        <v>241</v>
      </c>
      <c r="H22" s="149">
        <v>4</v>
      </c>
      <c r="I22" s="149">
        <v>79</v>
      </c>
      <c r="J22" s="149">
        <v>2</v>
      </c>
      <c r="K22" s="116" t="b">
        <f t="shared" si="0"/>
        <v>1</v>
      </c>
    </row>
    <row r="23" spans="1:11" x14ac:dyDescent="0.2">
      <c r="A23" s="143" t="s">
        <v>242</v>
      </c>
      <c r="B23" s="182">
        <v>20000</v>
      </c>
      <c r="C23" s="182">
        <v>5621</v>
      </c>
      <c r="D23" s="182">
        <v>6171</v>
      </c>
      <c r="E23" s="183">
        <v>0</v>
      </c>
      <c r="F23" s="182">
        <v>1000</v>
      </c>
      <c r="G23" s="149" t="s">
        <v>223</v>
      </c>
      <c r="H23" s="149">
        <v>1</v>
      </c>
      <c r="I23" s="149">
        <v>87</v>
      </c>
      <c r="J23" s="149">
        <v>1</v>
      </c>
      <c r="K23" s="116" t="b">
        <f t="shared" si="0"/>
        <v>1</v>
      </c>
    </row>
    <row r="24" spans="1:11" x14ac:dyDescent="0.2">
      <c r="A24" s="143" t="s">
        <v>243</v>
      </c>
      <c r="B24" s="182">
        <v>100000</v>
      </c>
      <c r="C24" s="182">
        <v>60009</v>
      </c>
      <c r="D24" s="182">
        <v>60354</v>
      </c>
      <c r="E24" s="183">
        <v>0</v>
      </c>
      <c r="F24" s="182">
        <v>500000</v>
      </c>
      <c r="G24" s="149" t="s">
        <v>244</v>
      </c>
      <c r="H24" s="149">
        <v>2</v>
      </c>
      <c r="I24" s="149">
        <v>97</v>
      </c>
      <c r="J24" s="149">
        <v>1</v>
      </c>
      <c r="K24" s="116" t="b">
        <f t="shared" si="0"/>
        <v>1</v>
      </c>
    </row>
    <row r="25" spans="1:11" x14ac:dyDescent="0.2">
      <c r="A25" s="143" t="s">
        <v>245</v>
      </c>
      <c r="B25" s="182">
        <v>10000</v>
      </c>
      <c r="C25" s="182">
        <v>15490</v>
      </c>
      <c r="D25" s="182">
        <v>22760</v>
      </c>
      <c r="E25" s="183">
        <v>0</v>
      </c>
      <c r="F25" s="182">
        <v>620</v>
      </c>
      <c r="G25" s="149" t="s">
        <v>246</v>
      </c>
      <c r="H25" s="149">
        <v>2</v>
      </c>
      <c r="I25" s="149">
        <v>96</v>
      </c>
      <c r="J25" s="149">
        <v>1</v>
      </c>
      <c r="K25" s="116" t="b">
        <f t="shared" si="0"/>
        <v>1</v>
      </c>
    </row>
    <row r="28" spans="1:11" ht="33" customHeight="1" x14ac:dyDescent="0.2"/>
    <row r="29" spans="1:11" ht="11.25" customHeight="1" x14ac:dyDescent="0.2">
      <c r="B29" s="175"/>
      <c r="C29" s="175"/>
      <c r="D29" s="175"/>
      <c r="E29" s="175"/>
      <c r="F29" s="175"/>
      <c r="G29" s="175"/>
      <c r="H29" s="175"/>
      <c r="I29" s="175"/>
      <c r="J29" s="175"/>
      <c r="K29" s="175"/>
    </row>
    <row r="30" spans="1:11" ht="11.25" customHeight="1" x14ac:dyDescent="0.2">
      <c r="B30" s="175"/>
      <c r="C30" s="175"/>
      <c r="D30" s="175"/>
      <c r="E30" s="175"/>
      <c r="F30" s="175"/>
      <c r="G30" s="175"/>
      <c r="H30" s="175"/>
      <c r="I30" s="175"/>
      <c r="J30" s="175"/>
      <c r="K30" s="175"/>
    </row>
    <row r="31" spans="1:11" ht="12.75" customHeight="1" x14ac:dyDescent="0.2"/>
    <row r="33" spans="9:17" x14ac:dyDescent="0.2">
      <c r="I33" s="177"/>
      <c r="J33" s="177"/>
      <c r="K33" s="177"/>
      <c r="L33" s="177"/>
      <c r="M33" s="177"/>
      <c r="N33" s="177"/>
      <c r="O33" s="177"/>
      <c r="P33" s="177"/>
      <c r="Q33" s="177"/>
    </row>
  </sheetData>
  <pageMargins left="0.75" right="0.75" top="1" bottom="1" header="0.5" footer="0.5"/>
  <pageSetup orientation="portrait" horizontalDpi="120" verticalDpi="72"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7"/>
  <dimension ref="A1:R33"/>
  <sheetViews>
    <sheetView zoomScale="160" zoomScaleNormal="160" workbookViewId="0">
      <pane xSplit="1" ySplit="6" topLeftCell="B7" activePane="bottomRight" state="frozen"/>
      <selection activeCell="B2" sqref="B2"/>
      <selection pane="topRight" activeCell="B2" sqref="B2"/>
      <selection pane="bottomLeft" activeCell="B2" sqref="B2"/>
      <selection pane="bottomRight" activeCell="A2" sqref="A2"/>
    </sheetView>
  </sheetViews>
  <sheetFormatPr defaultRowHeight="12.75" x14ac:dyDescent="0.2"/>
  <cols>
    <col min="1" max="1" width="19.42578125" style="116" customWidth="1"/>
    <col min="2" max="2" width="9.140625" style="116" bestFit="1" customWidth="1"/>
    <col min="3" max="4" width="9.140625" style="116" customWidth="1"/>
    <col min="5" max="5" width="8.28515625" style="116" customWidth="1"/>
    <col min="6" max="6" width="9.140625" style="116" bestFit="1" customWidth="1"/>
    <col min="7" max="7" width="12" style="116" customWidth="1"/>
    <col min="8" max="8" width="15.7109375" style="116" customWidth="1"/>
    <col min="9" max="9" width="10.5703125" style="116" customWidth="1"/>
    <col min="10" max="10" width="12.5703125" style="116" customWidth="1"/>
    <col min="11" max="11" width="7.5703125" style="116" customWidth="1"/>
    <col min="12" max="13" width="7.42578125" style="116" customWidth="1"/>
    <col min="14" max="14" width="3.42578125" style="116" customWidth="1"/>
    <col min="15" max="16384" width="9.140625" style="116"/>
  </cols>
  <sheetData>
    <row r="1" spans="1:14" ht="18" x14ac:dyDescent="0.25">
      <c r="A1" s="98" t="s">
        <v>413</v>
      </c>
    </row>
    <row r="2" spans="1:14" s="143" customFormat="1" hidden="1" x14ac:dyDescent="0.2"/>
    <row r="3" spans="1:14" x14ac:dyDescent="0.2">
      <c r="A3" s="231" t="str">
        <f>IF(A2="","",IF(Disable_Video_Hyperlinks,A2,HYPERLINK(Video_website&amp;A2,A2)))</f>
        <v/>
      </c>
      <c r="B3" s="137"/>
      <c r="C3" s="137"/>
      <c r="D3" s="137"/>
      <c r="E3" s="137"/>
      <c r="F3" s="137"/>
      <c r="G3" s="137"/>
      <c r="H3" s="137"/>
      <c r="I3" s="137"/>
      <c r="J3" s="137"/>
    </row>
    <row r="4" spans="1:14" x14ac:dyDescent="0.2">
      <c r="A4" s="309" t="str">
        <f>IF(B2="","",B2)</f>
        <v/>
      </c>
      <c r="B4" s="137"/>
      <c r="C4" s="137"/>
      <c r="D4" s="137"/>
      <c r="E4" s="137"/>
      <c r="F4" s="137"/>
      <c r="G4" s="137"/>
      <c r="H4" s="137"/>
      <c r="I4" s="137"/>
      <c r="J4" s="137"/>
    </row>
    <row r="5" spans="1:14" x14ac:dyDescent="0.2">
      <c r="A5" s="137"/>
      <c r="B5" s="137"/>
      <c r="C5" s="137"/>
      <c r="D5" s="137"/>
      <c r="E5" s="137"/>
      <c r="F5" s="137"/>
      <c r="G5" s="137"/>
      <c r="H5" s="137"/>
      <c r="I5" s="137"/>
      <c r="J5" s="137"/>
    </row>
    <row r="6" spans="1:14" ht="51" x14ac:dyDescent="0.2">
      <c r="A6" s="134" t="s">
        <v>206</v>
      </c>
      <c r="B6" s="135" t="s">
        <v>207</v>
      </c>
      <c r="C6" s="135" t="s">
        <v>208</v>
      </c>
      <c r="D6" s="135" t="s">
        <v>209</v>
      </c>
      <c r="E6" s="135" t="s">
        <v>210</v>
      </c>
      <c r="F6" s="135" t="s">
        <v>211</v>
      </c>
      <c r="G6" s="135" t="s">
        <v>212</v>
      </c>
      <c r="H6" s="135" t="s">
        <v>213</v>
      </c>
      <c r="I6" s="135" t="s">
        <v>214</v>
      </c>
      <c r="J6" s="135" t="s">
        <v>215</v>
      </c>
      <c r="K6" s="135" t="s">
        <v>738</v>
      </c>
      <c r="L6" s="342" t="s">
        <v>736</v>
      </c>
      <c r="M6" s="342" t="s">
        <v>737</v>
      </c>
      <c r="N6" s="186"/>
    </row>
    <row r="7" spans="1:14" x14ac:dyDescent="0.2">
      <c r="A7" s="143" t="s">
        <v>220</v>
      </c>
      <c r="B7" s="180">
        <v>9000</v>
      </c>
      <c r="C7" s="180">
        <v>15382</v>
      </c>
      <c r="D7" s="180">
        <v>11952</v>
      </c>
      <c r="E7" s="181">
        <v>0</v>
      </c>
      <c r="F7" s="180">
        <v>450</v>
      </c>
      <c r="G7" s="149" t="s">
        <v>221</v>
      </c>
      <c r="H7" s="149">
        <v>4</v>
      </c>
      <c r="I7" s="149">
        <v>15</v>
      </c>
      <c r="J7" s="149">
        <v>3</v>
      </c>
      <c r="K7" s="116" t="b">
        <f>IFERROR(E7/D7&lt;0.1,"")</f>
        <v>1</v>
      </c>
    </row>
    <row r="8" spans="1:14" x14ac:dyDescent="0.2">
      <c r="A8" s="143" t="s">
        <v>222</v>
      </c>
      <c r="B8" s="182">
        <v>39000</v>
      </c>
      <c r="C8" s="182">
        <v>10033</v>
      </c>
      <c r="D8" s="182">
        <v>7789</v>
      </c>
      <c r="E8" s="183">
        <v>0</v>
      </c>
      <c r="F8" s="182">
        <v>1950</v>
      </c>
      <c r="G8" s="149" t="s">
        <v>223</v>
      </c>
      <c r="H8" s="149">
        <v>1</v>
      </c>
      <c r="I8" s="149">
        <v>51</v>
      </c>
      <c r="J8" s="149">
        <v>1</v>
      </c>
      <c r="K8" s="116" t="b">
        <f t="shared" ref="K8:K25" si="0">IFERROR(E8/D8&lt;0.1,"")</f>
        <v>1</v>
      </c>
    </row>
    <row r="9" spans="1:14" x14ac:dyDescent="0.2">
      <c r="A9" s="143" t="s">
        <v>224</v>
      </c>
      <c r="B9" s="182">
        <v>75000</v>
      </c>
      <c r="C9" s="182">
        <v>60009</v>
      </c>
      <c r="D9" s="182">
        <v>55342</v>
      </c>
      <c r="E9" s="183">
        <v>13892</v>
      </c>
      <c r="F9" s="182">
        <v>37500</v>
      </c>
      <c r="G9" s="149" t="s">
        <v>225</v>
      </c>
      <c r="H9" s="149">
        <v>2</v>
      </c>
      <c r="I9" s="149">
        <v>70</v>
      </c>
      <c r="J9" s="149">
        <v>1</v>
      </c>
      <c r="K9" s="116" t="b">
        <f t="shared" si="0"/>
        <v>0</v>
      </c>
    </row>
    <row r="10" spans="1:14" x14ac:dyDescent="0.2">
      <c r="A10" s="143" t="s">
        <v>226</v>
      </c>
      <c r="B10" s="182">
        <v>33000</v>
      </c>
      <c r="C10" s="182">
        <v>35039</v>
      </c>
      <c r="D10" s="182">
        <v>50921</v>
      </c>
      <c r="E10" s="183">
        <v>495</v>
      </c>
      <c r="F10" s="182">
        <v>1650</v>
      </c>
      <c r="G10" s="149" t="s">
        <v>221</v>
      </c>
      <c r="H10" s="149">
        <v>2</v>
      </c>
      <c r="I10" s="149">
        <v>43</v>
      </c>
      <c r="J10" s="149">
        <v>1</v>
      </c>
      <c r="K10" s="116" t="b">
        <f t="shared" si="0"/>
        <v>1</v>
      </c>
    </row>
    <row r="11" spans="1:14" x14ac:dyDescent="0.2">
      <c r="A11" s="143" t="s">
        <v>227</v>
      </c>
      <c r="B11" s="182"/>
      <c r="C11" s="182"/>
      <c r="D11" s="182"/>
      <c r="E11" s="183"/>
      <c r="F11" s="182">
        <v>10000</v>
      </c>
      <c r="G11" s="149" t="s">
        <v>225</v>
      </c>
      <c r="H11" s="149">
        <v>1</v>
      </c>
      <c r="I11" s="149">
        <v>91</v>
      </c>
      <c r="J11" s="149">
        <v>1</v>
      </c>
      <c r="K11" s="116" t="str">
        <f t="shared" si="0"/>
        <v/>
      </c>
    </row>
    <row r="12" spans="1:14" x14ac:dyDescent="0.2">
      <c r="A12" s="143" t="s">
        <v>228</v>
      </c>
      <c r="B12" s="182">
        <v>25000</v>
      </c>
      <c r="C12" s="182">
        <v>15221</v>
      </c>
      <c r="D12" s="182">
        <v>9483</v>
      </c>
      <c r="E12" s="183">
        <v>2899</v>
      </c>
      <c r="F12" s="182">
        <v>1250</v>
      </c>
      <c r="G12" s="149" t="s">
        <v>223</v>
      </c>
      <c r="H12" s="149">
        <v>3</v>
      </c>
      <c r="I12" s="149">
        <v>76</v>
      </c>
      <c r="J12" s="149">
        <v>1</v>
      </c>
      <c r="K12" s="116" t="b">
        <f t="shared" si="0"/>
        <v>0</v>
      </c>
    </row>
    <row r="13" spans="1:14" x14ac:dyDescent="0.2">
      <c r="A13" s="143" t="s">
        <v>229</v>
      </c>
      <c r="B13" s="182">
        <v>42000</v>
      </c>
      <c r="C13" s="182">
        <v>80498</v>
      </c>
      <c r="D13" s="182">
        <v>81126</v>
      </c>
      <c r="E13" s="183">
        <v>0</v>
      </c>
      <c r="F13" s="182">
        <v>2100</v>
      </c>
      <c r="G13" s="149" t="s">
        <v>223</v>
      </c>
      <c r="H13" s="149">
        <v>2</v>
      </c>
      <c r="I13" s="149">
        <v>87</v>
      </c>
      <c r="J13" s="149">
        <v>1</v>
      </c>
      <c r="K13" s="116" t="b">
        <f t="shared" si="0"/>
        <v>1</v>
      </c>
    </row>
    <row r="14" spans="1:14" x14ac:dyDescent="0.2">
      <c r="A14" s="143" t="s">
        <v>230</v>
      </c>
      <c r="B14" s="182">
        <v>27000</v>
      </c>
      <c r="C14" s="182">
        <v>35354</v>
      </c>
      <c r="D14" s="182">
        <v>20666</v>
      </c>
      <c r="E14" s="183">
        <v>0</v>
      </c>
      <c r="F14" s="182">
        <v>213</v>
      </c>
      <c r="G14" s="149" t="s">
        <v>231</v>
      </c>
      <c r="H14" s="149">
        <v>3</v>
      </c>
      <c r="I14" s="149">
        <v>94</v>
      </c>
      <c r="J14" s="149">
        <v>1</v>
      </c>
      <c r="K14" s="116" t="b">
        <f t="shared" si="0"/>
        <v>1</v>
      </c>
    </row>
    <row r="15" spans="1:14" x14ac:dyDescent="0.2">
      <c r="A15" s="143" t="s">
        <v>232</v>
      </c>
      <c r="B15" s="182">
        <v>46000</v>
      </c>
      <c r="C15" s="182">
        <v>90970</v>
      </c>
      <c r="D15" s="182">
        <v>18343</v>
      </c>
      <c r="E15" s="183">
        <v>0</v>
      </c>
      <c r="F15" s="182">
        <v>2300</v>
      </c>
      <c r="G15" s="149" t="s">
        <v>223</v>
      </c>
      <c r="H15" s="149">
        <v>1</v>
      </c>
      <c r="I15" s="149">
        <v>21</v>
      </c>
      <c r="J15" s="149">
        <v>1</v>
      </c>
      <c r="K15" s="116" t="b">
        <f t="shared" si="0"/>
        <v>1</v>
      </c>
    </row>
    <row r="16" spans="1:14" x14ac:dyDescent="0.2">
      <c r="A16" s="143" t="s">
        <v>233</v>
      </c>
      <c r="B16" s="182">
        <v>15000</v>
      </c>
      <c r="C16" s="182">
        <v>5663</v>
      </c>
      <c r="D16" s="182">
        <v>3014</v>
      </c>
      <c r="E16" s="183">
        <v>0</v>
      </c>
      <c r="F16" s="182">
        <v>750</v>
      </c>
      <c r="G16" s="149" t="s">
        <v>234</v>
      </c>
      <c r="H16" s="149">
        <v>1</v>
      </c>
      <c r="I16" s="149">
        <v>59</v>
      </c>
      <c r="J16" s="149">
        <v>1</v>
      </c>
      <c r="K16" s="116" t="b">
        <f t="shared" si="0"/>
        <v>1</v>
      </c>
    </row>
    <row r="17" spans="1:18" x14ac:dyDescent="0.2">
      <c r="A17" s="143" t="s">
        <v>235</v>
      </c>
      <c r="B17" s="182">
        <v>45000</v>
      </c>
      <c r="C17" s="182">
        <v>50278</v>
      </c>
      <c r="D17" s="182">
        <v>32338</v>
      </c>
      <c r="E17" s="183">
        <v>0</v>
      </c>
      <c r="F17" s="182">
        <v>2250</v>
      </c>
      <c r="G17" s="149" t="s">
        <v>223</v>
      </c>
      <c r="H17" s="149">
        <v>3</v>
      </c>
      <c r="I17" s="149">
        <v>91</v>
      </c>
      <c r="J17" s="149">
        <v>1</v>
      </c>
      <c r="K17" s="116" t="b">
        <f t="shared" si="0"/>
        <v>1</v>
      </c>
    </row>
    <row r="18" spans="1:18" x14ac:dyDescent="0.2">
      <c r="A18" s="143" t="s">
        <v>236</v>
      </c>
      <c r="B18" s="182">
        <v>26000</v>
      </c>
      <c r="C18" s="182">
        <v>25864</v>
      </c>
      <c r="D18" s="182">
        <v>28154</v>
      </c>
      <c r="E18" s="183">
        <v>0</v>
      </c>
      <c r="F18" s="182">
        <v>300</v>
      </c>
      <c r="G18" s="149" t="s">
        <v>221</v>
      </c>
      <c r="H18" s="149">
        <v>2</v>
      </c>
      <c r="I18" s="149">
        <v>82</v>
      </c>
      <c r="J18" s="149">
        <v>1</v>
      </c>
      <c r="K18" s="116" t="b">
        <f t="shared" si="0"/>
        <v>1</v>
      </c>
    </row>
    <row r="19" spans="1:18" x14ac:dyDescent="0.2">
      <c r="A19" s="143" t="s">
        <v>237</v>
      </c>
      <c r="B19" s="182">
        <v>45000</v>
      </c>
      <c r="C19" s="182">
        <v>40157</v>
      </c>
      <c r="D19" s="182">
        <v>25379</v>
      </c>
      <c r="E19" s="183">
        <v>0</v>
      </c>
      <c r="F19" s="182">
        <v>2250</v>
      </c>
      <c r="G19" s="149" t="s">
        <v>223</v>
      </c>
      <c r="H19" s="149">
        <v>2</v>
      </c>
      <c r="I19" s="149">
        <v>71</v>
      </c>
      <c r="J19" s="149">
        <v>1</v>
      </c>
      <c r="K19" s="116" t="b">
        <f t="shared" si="0"/>
        <v>1</v>
      </c>
    </row>
    <row r="20" spans="1:18" x14ac:dyDescent="0.2">
      <c r="A20" s="143" t="s">
        <v>238</v>
      </c>
      <c r="B20" s="182">
        <v>15000</v>
      </c>
      <c r="C20" s="182">
        <v>15898</v>
      </c>
      <c r="D20" s="182">
        <v>14732</v>
      </c>
      <c r="E20" s="183">
        <v>14383</v>
      </c>
      <c r="F20" s="182">
        <v>450</v>
      </c>
      <c r="G20" s="149" t="s">
        <v>221</v>
      </c>
      <c r="H20" s="149">
        <v>1</v>
      </c>
      <c r="I20" s="149">
        <v>67</v>
      </c>
      <c r="J20" s="149">
        <v>1</v>
      </c>
      <c r="K20" s="116" t="b">
        <f t="shared" si="0"/>
        <v>0</v>
      </c>
    </row>
    <row r="21" spans="1:18" x14ac:dyDescent="0.2">
      <c r="A21" s="143" t="s">
        <v>239</v>
      </c>
      <c r="B21" s="182">
        <v>22000</v>
      </c>
      <c r="C21" s="182">
        <v>10073</v>
      </c>
      <c r="D21" s="182">
        <v>1047</v>
      </c>
      <c r="E21" s="183">
        <v>0</v>
      </c>
      <c r="F21" s="182">
        <v>1100</v>
      </c>
      <c r="G21" s="149" t="s">
        <v>223</v>
      </c>
      <c r="H21" s="149">
        <v>3</v>
      </c>
      <c r="I21" s="149">
        <v>14</v>
      </c>
      <c r="J21" s="149">
        <v>1</v>
      </c>
      <c r="K21" s="116" t="b">
        <f t="shared" si="0"/>
        <v>1</v>
      </c>
    </row>
    <row r="22" spans="1:18" x14ac:dyDescent="0.2">
      <c r="A22" s="143" t="s">
        <v>240</v>
      </c>
      <c r="B22" s="182">
        <v>45000</v>
      </c>
      <c r="C22" s="182">
        <v>95411</v>
      </c>
      <c r="D22" s="182">
        <v>64418</v>
      </c>
      <c r="E22" s="183">
        <v>0</v>
      </c>
      <c r="F22" s="182">
        <v>150</v>
      </c>
      <c r="G22" s="149" t="s">
        <v>241</v>
      </c>
      <c r="H22" s="149">
        <v>4</v>
      </c>
      <c r="I22" s="149">
        <v>79</v>
      </c>
      <c r="J22" s="149">
        <v>2</v>
      </c>
      <c r="K22" s="116" t="b">
        <f t="shared" si="0"/>
        <v>1</v>
      </c>
    </row>
    <row r="23" spans="1:18" x14ac:dyDescent="0.2">
      <c r="A23" s="143" t="s">
        <v>242</v>
      </c>
      <c r="B23" s="182">
        <v>20000</v>
      </c>
      <c r="C23" s="182">
        <v>5621</v>
      </c>
      <c r="D23" s="182">
        <v>6171</v>
      </c>
      <c r="E23" s="183">
        <v>0</v>
      </c>
      <c r="F23" s="182">
        <v>1000</v>
      </c>
      <c r="G23" s="149" t="s">
        <v>223</v>
      </c>
      <c r="H23" s="149">
        <v>1</v>
      </c>
      <c r="I23" s="149">
        <v>87</v>
      </c>
      <c r="J23" s="149">
        <v>1</v>
      </c>
      <c r="K23" s="116" t="b">
        <f t="shared" si="0"/>
        <v>1</v>
      </c>
    </row>
    <row r="24" spans="1:18" x14ac:dyDescent="0.2">
      <c r="A24" s="143" t="s">
        <v>243</v>
      </c>
      <c r="B24" s="182">
        <v>100000</v>
      </c>
      <c r="C24" s="182">
        <v>60009</v>
      </c>
      <c r="D24" s="182">
        <v>60354</v>
      </c>
      <c r="E24" s="183">
        <v>0</v>
      </c>
      <c r="F24" s="182">
        <v>500000</v>
      </c>
      <c r="G24" s="149" t="s">
        <v>244</v>
      </c>
      <c r="H24" s="149">
        <v>2</v>
      </c>
      <c r="I24" s="149">
        <v>97</v>
      </c>
      <c r="J24" s="149">
        <v>1</v>
      </c>
      <c r="K24" s="116" t="b">
        <f t="shared" si="0"/>
        <v>1</v>
      </c>
    </row>
    <row r="25" spans="1:18" x14ac:dyDescent="0.2">
      <c r="A25" s="143" t="s">
        <v>245</v>
      </c>
      <c r="B25" s="182">
        <v>10000</v>
      </c>
      <c r="C25" s="182">
        <v>15490</v>
      </c>
      <c r="D25" s="182">
        <v>22760</v>
      </c>
      <c r="E25" s="183">
        <v>0</v>
      </c>
      <c r="F25" s="182">
        <v>620</v>
      </c>
      <c r="G25" s="149" t="s">
        <v>246</v>
      </c>
      <c r="H25" s="149">
        <v>2</v>
      </c>
      <c r="I25" s="149">
        <v>96</v>
      </c>
      <c r="J25" s="149">
        <v>1</v>
      </c>
      <c r="K25" s="116" t="b">
        <f t="shared" si="0"/>
        <v>1</v>
      </c>
    </row>
    <row r="28" spans="1:18" ht="11.25" customHeight="1" x14ac:dyDescent="0.2">
      <c r="B28" s="176"/>
      <c r="C28" s="176"/>
      <c r="D28" s="176"/>
      <c r="E28" s="176"/>
      <c r="F28" s="176"/>
      <c r="G28" s="176"/>
      <c r="H28" s="176"/>
      <c r="I28" s="176"/>
      <c r="J28" s="176"/>
      <c r="K28" s="176"/>
    </row>
    <row r="29" spans="1:18" ht="11.25" customHeight="1" x14ac:dyDescent="0.2">
      <c r="B29" s="176"/>
      <c r="C29" s="176"/>
      <c r="D29" s="176"/>
      <c r="E29" s="176"/>
      <c r="F29" s="176"/>
      <c r="G29" s="176"/>
      <c r="H29" s="176"/>
      <c r="I29" s="176"/>
      <c r="J29" s="176"/>
      <c r="K29" s="176"/>
    </row>
    <row r="30" spans="1:18" ht="12.75" customHeight="1" x14ac:dyDescent="0.2"/>
    <row r="32" spans="1:18" x14ac:dyDescent="0.2">
      <c r="I32" s="177"/>
      <c r="J32" s="177"/>
      <c r="K32" s="177"/>
      <c r="L32" s="177"/>
      <c r="M32" s="177"/>
      <c r="N32" s="177"/>
      <c r="O32" s="177"/>
      <c r="P32" s="177"/>
      <c r="Q32" s="177"/>
      <c r="R32" s="177"/>
    </row>
    <row r="33" spans="9:18" x14ac:dyDescent="0.2">
      <c r="I33" s="177"/>
      <c r="J33" s="177"/>
      <c r="K33" s="177"/>
      <c r="L33" s="177"/>
      <c r="M33" s="177"/>
      <c r="N33" s="177"/>
      <c r="O33" s="177"/>
      <c r="P33" s="177"/>
      <c r="Q33" s="177"/>
      <c r="R33" s="177"/>
    </row>
  </sheetData>
  <pageMargins left="0.75" right="0.75" top="1" bottom="1" header="0.5" footer="0.5"/>
  <pageSetup orientation="portrait" horizontalDpi="120" verticalDpi="72"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8"/>
  <dimension ref="A1:Q31"/>
  <sheetViews>
    <sheetView zoomScale="145" zoomScaleNormal="145" workbookViewId="0">
      <pane xSplit="1" ySplit="6" topLeftCell="B7" activePane="bottomRight" state="frozen"/>
      <selection activeCell="B2" sqref="B2"/>
      <selection pane="topRight" activeCell="B2" sqref="B2"/>
      <selection pane="bottomLeft" activeCell="B2" sqref="B2"/>
      <selection pane="bottomRight" activeCell="A2" sqref="A2"/>
    </sheetView>
  </sheetViews>
  <sheetFormatPr defaultRowHeight="12.75" x14ac:dyDescent="0.2"/>
  <cols>
    <col min="1" max="1" width="19.42578125" style="116" customWidth="1"/>
    <col min="2" max="2" width="9.140625" style="116" bestFit="1" customWidth="1"/>
    <col min="3" max="4" width="9.140625" style="116" customWidth="1"/>
    <col min="5" max="5" width="8.28515625" style="116" customWidth="1"/>
    <col min="6" max="6" width="9.140625" style="116" bestFit="1" customWidth="1"/>
    <col min="7" max="7" width="12" style="116" customWidth="1"/>
    <col min="8" max="8" width="15.7109375" style="116" customWidth="1"/>
    <col min="9" max="9" width="10.5703125" style="116" customWidth="1"/>
    <col min="10" max="10" width="12.5703125" style="116" customWidth="1"/>
    <col min="11" max="11" width="7.5703125" style="116" customWidth="1"/>
    <col min="12" max="13" width="7.42578125" style="116" customWidth="1"/>
    <col min="14" max="14" width="17.140625" style="116" customWidth="1"/>
    <col min="15" max="16384" width="9.140625" style="116"/>
  </cols>
  <sheetData>
    <row r="1" spans="1:17" ht="18" x14ac:dyDescent="0.25">
      <c r="A1" s="98" t="s">
        <v>414</v>
      </c>
    </row>
    <row r="2" spans="1:17" s="143" customFormat="1" hidden="1" x14ac:dyDescent="0.2">
      <c r="A2" s="143" t="s">
        <v>525</v>
      </c>
      <c r="B2" s="321">
        <v>7.8125E-3</v>
      </c>
    </row>
    <row r="3" spans="1:17" x14ac:dyDescent="0.2">
      <c r="A3" s="231" t="str">
        <f>IF(A2="","",IF(Disable_Video_Hyperlinks,A2,HYPERLINK(Video_website&amp;A2,A2)))</f>
        <v>UNC_DAYT_EXCEL_2.6.4_LECTURE_OR_&amp;_ARRAY_FORMULAS.mp4</v>
      </c>
      <c r="B3" s="137"/>
      <c r="C3" s="137"/>
      <c r="D3" s="137"/>
      <c r="E3" s="137"/>
      <c r="F3" s="137"/>
      <c r="G3" s="137"/>
      <c r="H3" s="137"/>
      <c r="I3" s="137"/>
      <c r="J3" s="137"/>
    </row>
    <row r="4" spans="1:17" x14ac:dyDescent="0.2">
      <c r="A4" s="309">
        <f>IF(B2="","",B2)</f>
        <v>7.8125E-3</v>
      </c>
      <c r="B4" s="137"/>
      <c r="C4" s="137"/>
      <c r="D4" s="137"/>
      <c r="E4" s="137"/>
      <c r="F4" s="137"/>
      <c r="G4" s="137"/>
      <c r="H4" s="137"/>
      <c r="I4" s="137"/>
      <c r="J4" s="137"/>
    </row>
    <row r="5" spans="1:17" x14ac:dyDescent="0.2">
      <c r="A5" s="137"/>
      <c r="B5" s="137"/>
      <c r="C5" s="137"/>
      <c r="D5" s="137"/>
      <c r="E5" s="137"/>
      <c r="F5" s="137"/>
      <c r="G5" s="137"/>
      <c r="H5" s="137"/>
      <c r="I5" s="137"/>
      <c r="J5" s="137"/>
    </row>
    <row r="6" spans="1:17" ht="51" x14ac:dyDescent="0.2">
      <c r="A6" s="134" t="s">
        <v>206</v>
      </c>
      <c r="B6" s="135" t="s">
        <v>207</v>
      </c>
      <c r="C6" s="135" t="s">
        <v>208</v>
      </c>
      <c r="D6" s="135" t="s">
        <v>209</v>
      </c>
      <c r="E6" s="135" t="s">
        <v>210</v>
      </c>
      <c r="F6" s="135" t="s">
        <v>211</v>
      </c>
      <c r="G6" s="135" t="s">
        <v>212</v>
      </c>
      <c r="H6" s="135" t="s">
        <v>213</v>
      </c>
      <c r="I6" s="135" t="s">
        <v>214</v>
      </c>
      <c r="J6" s="135" t="s">
        <v>215</v>
      </c>
      <c r="K6" s="135" t="s">
        <v>738</v>
      </c>
      <c r="L6" s="135" t="s">
        <v>736</v>
      </c>
      <c r="M6" s="342" t="s">
        <v>737</v>
      </c>
    </row>
    <row r="7" spans="1:17" ht="13.5" thickBot="1" x14ac:dyDescent="0.25">
      <c r="A7" s="143" t="s">
        <v>220</v>
      </c>
      <c r="B7" s="180">
        <v>9000</v>
      </c>
      <c r="C7" s="180">
        <v>15382</v>
      </c>
      <c r="D7" s="180">
        <v>11952</v>
      </c>
      <c r="E7" s="181">
        <v>0</v>
      </c>
      <c r="F7" s="180">
        <v>450</v>
      </c>
      <c r="G7" s="149" t="s">
        <v>221</v>
      </c>
      <c r="H7" s="149">
        <v>4</v>
      </c>
      <c r="I7" s="149">
        <v>15</v>
      </c>
      <c r="J7" s="149">
        <v>3</v>
      </c>
      <c r="K7" s="116" t="b">
        <f>IFERROR(E7/D7&lt;0.1,"")</f>
        <v>1</v>
      </c>
      <c r="L7" s="116" t="b">
        <f t="shared" ref="L7:L25" si="0">OR(H7=1,I7&gt;90)</f>
        <v>0</v>
      </c>
    </row>
    <row r="8" spans="1:17" ht="13.5" thickBot="1" x14ac:dyDescent="0.25">
      <c r="A8" s="143" t="s">
        <v>222</v>
      </c>
      <c r="B8" s="182">
        <v>39000</v>
      </c>
      <c r="C8" s="182">
        <v>10033</v>
      </c>
      <c r="D8" s="182">
        <v>7789</v>
      </c>
      <c r="E8" s="183">
        <v>0</v>
      </c>
      <c r="F8" s="182">
        <v>1950</v>
      </c>
      <c r="G8" s="149" t="s">
        <v>223</v>
      </c>
      <c r="H8" s="149">
        <v>1</v>
      </c>
      <c r="I8" s="149">
        <v>51</v>
      </c>
      <c r="J8" s="149">
        <v>1</v>
      </c>
      <c r="K8" s="116" t="b">
        <f t="shared" ref="K8:K25" si="1">IFERROR(E8/D8&lt;0.1,"")</f>
        <v>1</v>
      </c>
      <c r="L8" s="116" t="b">
        <f t="shared" si="0"/>
        <v>1</v>
      </c>
      <c r="N8" s="341" t="s">
        <v>169</v>
      </c>
    </row>
    <row r="9" spans="1:17" ht="13.5" thickBot="1" x14ac:dyDescent="0.25">
      <c r="A9" s="143" t="s">
        <v>224</v>
      </c>
      <c r="B9" s="182">
        <v>75000</v>
      </c>
      <c r="C9" s="182">
        <v>60009</v>
      </c>
      <c r="D9" s="182">
        <v>55342</v>
      </c>
      <c r="E9" s="183">
        <v>13892</v>
      </c>
      <c r="F9" s="182">
        <v>37500</v>
      </c>
      <c r="G9" s="149" t="s">
        <v>225</v>
      </c>
      <c r="H9" s="149">
        <v>2</v>
      </c>
      <c r="I9" s="149">
        <v>70</v>
      </c>
      <c r="J9" s="149">
        <v>1</v>
      </c>
      <c r="K9" s="116" t="b">
        <f t="shared" si="1"/>
        <v>0</v>
      </c>
      <c r="L9" s="116" t="b">
        <f t="shared" si="0"/>
        <v>0</v>
      </c>
      <c r="N9" s="340" t="s">
        <v>404</v>
      </c>
      <c r="O9" s="102"/>
      <c r="P9" s="102"/>
      <c r="Q9" s="215"/>
    </row>
    <row r="10" spans="1:17" x14ac:dyDescent="0.2">
      <c r="A10" s="143" t="s">
        <v>226</v>
      </c>
      <c r="B10" s="182">
        <v>33000</v>
      </c>
      <c r="C10" s="182">
        <v>35039</v>
      </c>
      <c r="D10" s="182">
        <v>50921</v>
      </c>
      <c r="E10" s="183">
        <v>495</v>
      </c>
      <c r="F10" s="182">
        <v>1650</v>
      </c>
      <c r="G10" s="149" t="s">
        <v>221</v>
      </c>
      <c r="H10" s="149">
        <v>2</v>
      </c>
      <c r="I10" s="149">
        <v>43</v>
      </c>
      <c r="J10" s="149">
        <v>1</v>
      </c>
      <c r="K10" s="116" t="b">
        <f t="shared" si="1"/>
        <v>1</v>
      </c>
      <c r="L10" s="116" t="b">
        <f t="shared" si="0"/>
        <v>0</v>
      </c>
    </row>
    <row r="11" spans="1:17" x14ac:dyDescent="0.2">
      <c r="A11" s="143" t="s">
        <v>227</v>
      </c>
      <c r="B11" s="182"/>
      <c r="C11" s="182"/>
      <c r="D11" s="182"/>
      <c r="E11" s="183"/>
      <c r="F11" s="182">
        <v>10000</v>
      </c>
      <c r="G11" s="149" t="s">
        <v>225</v>
      </c>
      <c r="H11" s="149">
        <v>1</v>
      </c>
      <c r="I11" s="149">
        <v>91</v>
      </c>
      <c r="J11" s="149">
        <v>1</v>
      </c>
      <c r="K11" s="116" t="str">
        <f t="shared" si="1"/>
        <v/>
      </c>
      <c r="L11" s="116" t="b">
        <f t="shared" si="0"/>
        <v>1</v>
      </c>
      <c r="N11" s="124" t="s">
        <v>408</v>
      </c>
    </row>
    <row r="12" spans="1:17" ht="12.75" customHeight="1" x14ac:dyDescent="0.2">
      <c r="A12" s="143" t="s">
        <v>228</v>
      </c>
      <c r="B12" s="182">
        <v>25000</v>
      </c>
      <c r="C12" s="182">
        <v>15221</v>
      </c>
      <c r="D12" s="182">
        <v>9483</v>
      </c>
      <c r="E12" s="183">
        <v>2899</v>
      </c>
      <c r="F12" s="182">
        <v>1250</v>
      </c>
      <c r="G12" s="149" t="s">
        <v>223</v>
      </c>
      <c r="H12" s="149">
        <v>3</v>
      </c>
      <c r="I12" s="149">
        <v>76</v>
      </c>
      <c r="J12" s="149">
        <v>1</v>
      </c>
      <c r="K12" s="116" t="b">
        <f t="shared" si="1"/>
        <v>0</v>
      </c>
      <c r="L12" s="116" t="b">
        <f t="shared" si="0"/>
        <v>0</v>
      </c>
      <c r="N12" s="216"/>
      <c r="O12" s="128" t="s">
        <v>407</v>
      </c>
      <c r="P12" s="217"/>
    </row>
    <row r="13" spans="1:17" x14ac:dyDescent="0.2">
      <c r="A13" s="143" t="s">
        <v>229</v>
      </c>
      <c r="B13" s="182">
        <v>42000</v>
      </c>
      <c r="C13" s="182">
        <v>80498</v>
      </c>
      <c r="D13" s="182">
        <v>81126</v>
      </c>
      <c r="E13" s="183">
        <v>0</v>
      </c>
      <c r="F13" s="182">
        <v>2100</v>
      </c>
      <c r="G13" s="149" t="s">
        <v>223</v>
      </c>
      <c r="H13" s="149">
        <v>2</v>
      </c>
      <c r="I13" s="149">
        <v>87</v>
      </c>
      <c r="J13" s="149">
        <v>1</v>
      </c>
      <c r="K13" s="116" t="b">
        <f t="shared" si="1"/>
        <v>1</v>
      </c>
      <c r="L13" s="116" t="b">
        <f t="shared" si="0"/>
        <v>0</v>
      </c>
      <c r="N13" s="126" t="s">
        <v>409</v>
      </c>
      <c r="O13" s="125" t="b">
        <v>1</v>
      </c>
      <c r="P13" s="125" t="b">
        <v>0</v>
      </c>
    </row>
    <row r="14" spans="1:17" x14ac:dyDescent="0.2">
      <c r="A14" s="143" t="s">
        <v>230</v>
      </c>
      <c r="B14" s="182">
        <v>27000</v>
      </c>
      <c r="C14" s="182">
        <v>35354</v>
      </c>
      <c r="D14" s="182">
        <v>20666</v>
      </c>
      <c r="E14" s="183">
        <v>0</v>
      </c>
      <c r="F14" s="182">
        <v>213</v>
      </c>
      <c r="G14" s="149" t="s">
        <v>231</v>
      </c>
      <c r="H14" s="149">
        <v>3</v>
      </c>
      <c r="I14" s="149">
        <v>94</v>
      </c>
      <c r="J14" s="149">
        <v>1</v>
      </c>
      <c r="K14" s="116" t="b">
        <f t="shared" si="1"/>
        <v>1</v>
      </c>
      <c r="L14" s="116" t="b">
        <f t="shared" si="0"/>
        <v>1</v>
      </c>
      <c r="N14" s="127" t="b">
        <v>1</v>
      </c>
      <c r="O14" s="218" t="b">
        <f>OR(O$13,$N14)</f>
        <v>1</v>
      </c>
      <c r="P14" s="218" t="b">
        <f>OR(P$13,$N14)</f>
        <v>1</v>
      </c>
    </row>
    <row r="15" spans="1:17" x14ac:dyDescent="0.2">
      <c r="A15" s="143" t="s">
        <v>232</v>
      </c>
      <c r="B15" s="182">
        <v>46000</v>
      </c>
      <c r="C15" s="182">
        <v>90970</v>
      </c>
      <c r="D15" s="182">
        <v>18343</v>
      </c>
      <c r="E15" s="183">
        <v>0</v>
      </c>
      <c r="F15" s="182">
        <v>2300</v>
      </c>
      <c r="G15" s="149" t="s">
        <v>223</v>
      </c>
      <c r="H15" s="149">
        <v>1</v>
      </c>
      <c r="I15" s="149">
        <v>21</v>
      </c>
      <c r="J15" s="149">
        <v>1</v>
      </c>
      <c r="K15" s="116" t="b">
        <f t="shared" si="1"/>
        <v>1</v>
      </c>
      <c r="L15" s="116" t="b">
        <f t="shared" si="0"/>
        <v>1</v>
      </c>
      <c r="N15" s="127" t="b">
        <v>0</v>
      </c>
      <c r="O15" s="218" t="b">
        <f>OR(O$13,$N15)</f>
        <v>1</v>
      </c>
      <c r="P15" s="218" t="b">
        <f>OR(P$13,$N15)</f>
        <v>0</v>
      </c>
    </row>
    <row r="16" spans="1:17" x14ac:dyDescent="0.2">
      <c r="A16" s="143" t="s">
        <v>233</v>
      </c>
      <c r="B16" s="182">
        <v>15000</v>
      </c>
      <c r="C16" s="182">
        <v>5663</v>
      </c>
      <c r="D16" s="182">
        <v>3014</v>
      </c>
      <c r="E16" s="183">
        <v>0</v>
      </c>
      <c r="F16" s="182">
        <v>750</v>
      </c>
      <c r="G16" s="149" t="s">
        <v>234</v>
      </c>
      <c r="H16" s="149">
        <v>1</v>
      </c>
      <c r="I16" s="149">
        <v>59</v>
      </c>
      <c r="J16" s="149">
        <v>1</v>
      </c>
      <c r="K16" s="116" t="b">
        <f t="shared" si="1"/>
        <v>1</v>
      </c>
      <c r="L16" s="116" t="b">
        <f t="shared" si="0"/>
        <v>1</v>
      </c>
      <c r="N16" s="382" t="s">
        <v>475</v>
      </c>
      <c r="O16" s="383"/>
      <c r="P16" s="384"/>
    </row>
    <row r="17" spans="1:16" x14ac:dyDescent="0.2">
      <c r="A17" s="143" t="s">
        <v>235</v>
      </c>
      <c r="B17" s="182">
        <v>45000</v>
      </c>
      <c r="C17" s="182">
        <v>50278</v>
      </c>
      <c r="D17" s="182">
        <v>32338</v>
      </c>
      <c r="E17" s="183">
        <v>0</v>
      </c>
      <c r="F17" s="182">
        <v>2250</v>
      </c>
      <c r="G17" s="149" t="s">
        <v>223</v>
      </c>
      <c r="H17" s="149">
        <v>3</v>
      </c>
      <c r="I17" s="149">
        <v>91</v>
      </c>
      <c r="J17" s="149">
        <v>1</v>
      </c>
      <c r="K17" s="116" t="b">
        <f t="shared" si="1"/>
        <v>1</v>
      </c>
      <c r="L17" s="116" t="b">
        <f t="shared" si="0"/>
        <v>1</v>
      </c>
      <c r="N17" s="385"/>
      <c r="O17" s="386"/>
      <c r="P17" s="387"/>
    </row>
    <row r="18" spans="1:16" x14ac:dyDescent="0.2">
      <c r="A18" s="143" t="s">
        <v>236</v>
      </c>
      <c r="B18" s="182">
        <v>26000</v>
      </c>
      <c r="C18" s="182">
        <v>25864</v>
      </c>
      <c r="D18" s="182">
        <v>28154</v>
      </c>
      <c r="E18" s="183">
        <v>0</v>
      </c>
      <c r="F18" s="182">
        <v>300</v>
      </c>
      <c r="G18" s="149" t="s">
        <v>221</v>
      </c>
      <c r="H18" s="149">
        <v>2</v>
      </c>
      <c r="I18" s="149">
        <v>82</v>
      </c>
      <c r="J18" s="149">
        <v>1</v>
      </c>
      <c r="K18" s="116" t="b">
        <f t="shared" si="1"/>
        <v>1</v>
      </c>
      <c r="L18" s="116" t="b">
        <f t="shared" si="0"/>
        <v>0</v>
      </c>
      <c r="N18" s="385"/>
      <c r="O18" s="386"/>
      <c r="P18" s="387"/>
    </row>
    <row r="19" spans="1:16" x14ac:dyDescent="0.2">
      <c r="A19" s="143" t="s">
        <v>237</v>
      </c>
      <c r="B19" s="182">
        <v>45000</v>
      </c>
      <c r="C19" s="182">
        <v>40157</v>
      </c>
      <c r="D19" s="182">
        <v>25379</v>
      </c>
      <c r="E19" s="183">
        <v>0</v>
      </c>
      <c r="F19" s="182">
        <v>2250</v>
      </c>
      <c r="G19" s="149" t="s">
        <v>223</v>
      </c>
      <c r="H19" s="149">
        <v>2</v>
      </c>
      <c r="I19" s="149">
        <v>71</v>
      </c>
      <c r="J19" s="149">
        <v>1</v>
      </c>
      <c r="K19" s="116" t="b">
        <f t="shared" si="1"/>
        <v>1</v>
      </c>
      <c r="L19" s="116" t="b">
        <f t="shared" si="0"/>
        <v>0</v>
      </c>
      <c r="N19" s="385"/>
      <c r="O19" s="386"/>
      <c r="P19" s="387"/>
    </row>
    <row r="20" spans="1:16" x14ac:dyDescent="0.2">
      <c r="A20" s="143" t="s">
        <v>238</v>
      </c>
      <c r="B20" s="182">
        <v>15000</v>
      </c>
      <c r="C20" s="182">
        <v>15898</v>
      </c>
      <c r="D20" s="182">
        <v>14732</v>
      </c>
      <c r="E20" s="183">
        <v>14383</v>
      </c>
      <c r="F20" s="182">
        <v>450</v>
      </c>
      <c r="G20" s="149" t="s">
        <v>221</v>
      </c>
      <c r="H20" s="149">
        <v>1</v>
      </c>
      <c r="I20" s="149">
        <v>67</v>
      </c>
      <c r="J20" s="149">
        <v>1</v>
      </c>
      <c r="K20" s="116" t="b">
        <f t="shared" si="1"/>
        <v>0</v>
      </c>
      <c r="L20" s="116" t="b">
        <f t="shared" si="0"/>
        <v>1</v>
      </c>
      <c r="N20" s="385"/>
      <c r="O20" s="386"/>
      <c r="P20" s="387"/>
    </row>
    <row r="21" spans="1:16" x14ac:dyDescent="0.2">
      <c r="A21" s="143" t="s">
        <v>239</v>
      </c>
      <c r="B21" s="182">
        <v>22000</v>
      </c>
      <c r="C21" s="182">
        <v>10073</v>
      </c>
      <c r="D21" s="182">
        <v>1047</v>
      </c>
      <c r="E21" s="183">
        <v>0</v>
      </c>
      <c r="F21" s="182">
        <v>1100</v>
      </c>
      <c r="G21" s="149" t="s">
        <v>223</v>
      </c>
      <c r="H21" s="149">
        <v>3</v>
      </c>
      <c r="I21" s="149">
        <v>14</v>
      </c>
      <c r="J21" s="149">
        <v>1</v>
      </c>
      <c r="K21" s="116" t="b">
        <f t="shared" si="1"/>
        <v>1</v>
      </c>
      <c r="L21" s="116" t="b">
        <f t="shared" si="0"/>
        <v>0</v>
      </c>
      <c r="N21" s="385"/>
      <c r="O21" s="386"/>
      <c r="P21" s="387"/>
    </row>
    <row r="22" spans="1:16" x14ac:dyDescent="0.2">
      <c r="A22" s="143" t="s">
        <v>240</v>
      </c>
      <c r="B22" s="182">
        <v>45000</v>
      </c>
      <c r="C22" s="182">
        <v>95411</v>
      </c>
      <c r="D22" s="182">
        <v>64418</v>
      </c>
      <c r="E22" s="183">
        <v>0</v>
      </c>
      <c r="F22" s="182">
        <v>150</v>
      </c>
      <c r="G22" s="149" t="s">
        <v>241</v>
      </c>
      <c r="H22" s="149">
        <v>4</v>
      </c>
      <c r="I22" s="149">
        <v>79</v>
      </c>
      <c r="J22" s="149">
        <v>2</v>
      </c>
      <c r="K22" s="116" t="b">
        <f t="shared" si="1"/>
        <v>1</v>
      </c>
      <c r="L22" s="116" t="b">
        <f t="shared" si="0"/>
        <v>0</v>
      </c>
      <c r="N22" s="385"/>
      <c r="O22" s="386"/>
      <c r="P22" s="387"/>
    </row>
    <row r="23" spans="1:16" x14ac:dyDescent="0.2">
      <c r="A23" s="143" t="s">
        <v>242</v>
      </c>
      <c r="B23" s="182">
        <v>20000</v>
      </c>
      <c r="C23" s="182">
        <v>5621</v>
      </c>
      <c r="D23" s="182">
        <v>6171</v>
      </c>
      <c r="E23" s="183">
        <v>0</v>
      </c>
      <c r="F23" s="182">
        <v>1000</v>
      </c>
      <c r="G23" s="149" t="s">
        <v>223</v>
      </c>
      <c r="H23" s="149">
        <v>1</v>
      </c>
      <c r="I23" s="149">
        <v>87</v>
      </c>
      <c r="J23" s="149">
        <v>1</v>
      </c>
      <c r="K23" s="116" t="b">
        <f t="shared" si="1"/>
        <v>1</v>
      </c>
      <c r="L23" s="116" t="b">
        <f t="shared" si="0"/>
        <v>1</v>
      </c>
      <c r="N23" s="388"/>
      <c r="O23" s="389"/>
      <c r="P23" s="390"/>
    </row>
    <row r="24" spans="1:16" x14ac:dyDescent="0.2">
      <c r="A24" s="143" t="s">
        <v>243</v>
      </c>
      <c r="B24" s="182">
        <v>100000</v>
      </c>
      <c r="C24" s="182">
        <v>60009</v>
      </c>
      <c r="D24" s="182">
        <v>60354</v>
      </c>
      <c r="E24" s="183">
        <v>0</v>
      </c>
      <c r="F24" s="182">
        <v>500000</v>
      </c>
      <c r="G24" s="149" t="s">
        <v>244</v>
      </c>
      <c r="H24" s="149">
        <v>2</v>
      </c>
      <c r="I24" s="149">
        <v>97</v>
      </c>
      <c r="J24" s="149">
        <v>1</v>
      </c>
      <c r="K24" s="116" t="b">
        <f t="shared" si="1"/>
        <v>1</v>
      </c>
      <c r="L24" s="116" t="b">
        <f t="shared" si="0"/>
        <v>1</v>
      </c>
    </row>
    <row r="25" spans="1:16" x14ac:dyDescent="0.2">
      <c r="A25" s="143" t="s">
        <v>245</v>
      </c>
      <c r="B25" s="182">
        <v>10000</v>
      </c>
      <c r="C25" s="182">
        <v>15490</v>
      </c>
      <c r="D25" s="182">
        <v>22760</v>
      </c>
      <c r="E25" s="183">
        <v>0</v>
      </c>
      <c r="F25" s="182">
        <v>620</v>
      </c>
      <c r="G25" s="149" t="s">
        <v>246</v>
      </c>
      <c r="H25" s="149">
        <v>2</v>
      </c>
      <c r="I25" s="149">
        <v>96</v>
      </c>
      <c r="J25" s="149">
        <v>1</v>
      </c>
      <c r="K25" s="116" t="b">
        <f t="shared" si="1"/>
        <v>1</v>
      </c>
      <c r="L25" s="116" t="b">
        <f t="shared" si="0"/>
        <v>1</v>
      </c>
    </row>
    <row r="31" spans="1:16" ht="12.75" customHeight="1" x14ac:dyDescent="0.2"/>
  </sheetData>
  <mergeCells count="1">
    <mergeCell ref="N16:P23"/>
  </mergeCells>
  <pageMargins left="0.75" right="0.75" top="1" bottom="1" header="0.5" footer="0.5"/>
  <pageSetup orientation="portrait" horizontalDpi="120" verticalDpi="72"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9"/>
  <dimension ref="A1:R34"/>
  <sheetViews>
    <sheetView zoomScale="145" zoomScaleNormal="145" workbookViewId="0">
      <pane xSplit="1" ySplit="6" topLeftCell="B7" activePane="bottomRight" state="frozen"/>
      <selection activeCell="B2" sqref="B2"/>
      <selection pane="topRight" activeCell="B2" sqref="B2"/>
      <selection pane="bottomLeft" activeCell="B2" sqref="B2"/>
      <selection pane="bottomRight" activeCell="A2" sqref="A2"/>
    </sheetView>
  </sheetViews>
  <sheetFormatPr defaultRowHeight="12.75" x14ac:dyDescent="0.2"/>
  <cols>
    <col min="1" max="1" width="19.42578125" style="116" customWidth="1"/>
    <col min="2" max="2" width="9.140625" style="116" bestFit="1" customWidth="1"/>
    <col min="3" max="4" width="9.140625" style="116" customWidth="1"/>
    <col min="5" max="5" width="8.28515625" style="116" customWidth="1"/>
    <col min="6" max="6" width="9.140625" style="116" bestFit="1" customWidth="1"/>
    <col min="7" max="7" width="12" style="116" customWidth="1"/>
    <col min="8" max="8" width="15.7109375" style="116" customWidth="1"/>
    <col min="9" max="9" width="10.5703125" style="116" customWidth="1"/>
    <col min="10" max="10" width="12.5703125" style="116" customWidth="1"/>
    <col min="11" max="11" width="7.5703125" style="116" customWidth="1"/>
    <col min="12" max="13" width="7.42578125" style="116" customWidth="1"/>
    <col min="14" max="14" width="3.42578125" style="116" customWidth="1"/>
    <col min="15" max="25" width="9.140625" style="116"/>
    <col min="26" max="26" width="9.140625" style="116" customWidth="1"/>
    <col min="27" max="16384" width="9.140625" style="116"/>
  </cols>
  <sheetData>
    <row r="1" spans="1:14" ht="18" x14ac:dyDescent="0.25">
      <c r="A1" s="98" t="s">
        <v>490</v>
      </c>
    </row>
    <row r="2" spans="1:14" s="143" customFormat="1" hidden="1" x14ac:dyDescent="0.2"/>
    <row r="3" spans="1:14" x14ac:dyDescent="0.2">
      <c r="A3" s="231" t="str">
        <f>IF(A2="","",IF(Disable_Video_Hyperlinks,A2,HYPERLINK(Video_website&amp;A2,A2)))</f>
        <v/>
      </c>
      <c r="B3" s="137"/>
      <c r="C3" s="137"/>
      <c r="D3" s="137"/>
      <c r="E3" s="137"/>
      <c r="F3" s="137"/>
      <c r="G3" s="137"/>
      <c r="H3" s="137"/>
      <c r="I3" s="137"/>
      <c r="J3" s="137"/>
    </row>
    <row r="4" spans="1:14" x14ac:dyDescent="0.2">
      <c r="A4" s="309" t="str">
        <f>IF(B2="","",B2)</f>
        <v/>
      </c>
      <c r="B4" s="137"/>
      <c r="C4" s="137"/>
      <c r="D4" s="137"/>
      <c r="E4" s="137"/>
      <c r="F4" s="137"/>
      <c r="G4" s="137"/>
      <c r="H4" s="137"/>
      <c r="I4" s="137"/>
      <c r="J4" s="137"/>
    </row>
    <row r="5" spans="1:14" x14ac:dyDescent="0.2">
      <c r="A5" s="137"/>
      <c r="B5" s="137"/>
      <c r="C5" s="137"/>
      <c r="D5" s="137"/>
      <c r="E5" s="137"/>
      <c r="F5" s="137"/>
      <c r="G5" s="137"/>
      <c r="H5" s="137"/>
      <c r="I5" s="137"/>
      <c r="J5" s="137"/>
    </row>
    <row r="6" spans="1:14" ht="51" x14ac:dyDescent="0.2">
      <c r="A6" s="134" t="s">
        <v>206</v>
      </c>
      <c r="B6" s="135" t="s">
        <v>207</v>
      </c>
      <c r="C6" s="135" t="s">
        <v>208</v>
      </c>
      <c r="D6" s="135" t="s">
        <v>209</v>
      </c>
      <c r="E6" s="135" t="s">
        <v>210</v>
      </c>
      <c r="F6" s="135" t="s">
        <v>211</v>
      </c>
      <c r="G6" s="135" t="s">
        <v>212</v>
      </c>
      <c r="H6" s="135" t="s">
        <v>213</v>
      </c>
      <c r="I6" s="135" t="s">
        <v>214</v>
      </c>
      <c r="J6" s="135" t="s">
        <v>215</v>
      </c>
      <c r="K6" s="135" t="s">
        <v>738</v>
      </c>
      <c r="L6" s="135" t="s">
        <v>736</v>
      </c>
      <c r="M6" s="342" t="s">
        <v>737</v>
      </c>
      <c r="N6" s="186"/>
    </row>
    <row r="7" spans="1:14" x14ac:dyDescent="0.2">
      <c r="A7" s="143" t="s">
        <v>220</v>
      </c>
      <c r="B7" s="180">
        <v>9000</v>
      </c>
      <c r="C7" s="180">
        <v>15382</v>
      </c>
      <c r="D7" s="180">
        <v>11952</v>
      </c>
      <c r="E7" s="181">
        <v>0</v>
      </c>
      <c r="F7" s="180">
        <v>450</v>
      </c>
      <c r="G7" s="149" t="s">
        <v>221</v>
      </c>
      <c r="H7" s="149">
        <v>4</v>
      </c>
      <c r="I7" s="149">
        <v>15</v>
      </c>
      <c r="J7" s="149">
        <v>3</v>
      </c>
      <c r="K7" s="116" t="b">
        <f>IFERROR(E7/D7&lt;0.1,"")</f>
        <v>1</v>
      </c>
      <c r="L7" s="116" t="b">
        <f t="shared" ref="L7:L25" si="0">OR(H7=1,I7&gt;90)</f>
        <v>0</v>
      </c>
    </row>
    <row r="8" spans="1:14" x14ac:dyDescent="0.2">
      <c r="A8" s="143" t="s">
        <v>222</v>
      </c>
      <c r="B8" s="182">
        <v>39000</v>
      </c>
      <c r="C8" s="182">
        <v>10033</v>
      </c>
      <c r="D8" s="182">
        <v>7789</v>
      </c>
      <c r="E8" s="183">
        <v>0</v>
      </c>
      <c r="F8" s="182">
        <v>1950</v>
      </c>
      <c r="G8" s="149" t="s">
        <v>223</v>
      </c>
      <c r="H8" s="149">
        <v>1</v>
      </c>
      <c r="I8" s="149">
        <v>51</v>
      </c>
      <c r="J8" s="149">
        <v>1</v>
      </c>
      <c r="K8" s="116" t="b">
        <f t="shared" ref="K8:K25" si="1">IFERROR(E8/D8&lt;0.1,"")</f>
        <v>1</v>
      </c>
      <c r="L8" s="116" t="b">
        <f t="shared" si="0"/>
        <v>1</v>
      </c>
    </row>
    <row r="9" spans="1:14" x14ac:dyDescent="0.2">
      <c r="A9" s="143" t="s">
        <v>224</v>
      </c>
      <c r="B9" s="182">
        <v>75000</v>
      </c>
      <c r="C9" s="182">
        <v>60009</v>
      </c>
      <c r="D9" s="182">
        <v>55342</v>
      </c>
      <c r="E9" s="183">
        <v>13892</v>
      </c>
      <c r="F9" s="182">
        <v>37500</v>
      </c>
      <c r="G9" s="149" t="s">
        <v>225</v>
      </c>
      <c r="H9" s="149">
        <v>2</v>
      </c>
      <c r="I9" s="149">
        <v>70</v>
      </c>
      <c r="J9" s="149">
        <v>1</v>
      </c>
      <c r="K9" s="116" t="b">
        <f t="shared" si="1"/>
        <v>0</v>
      </c>
      <c r="L9" s="116" t="b">
        <f t="shared" si="0"/>
        <v>0</v>
      </c>
    </row>
    <row r="10" spans="1:14" x14ac:dyDescent="0.2">
      <c r="A10" s="143" t="s">
        <v>226</v>
      </c>
      <c r="B10" s="182">
        <v>33000</v>
      </c>
      <c r="C10" s="182">
        <v>35039</v>
      </c>
      <c r="D10" s="182">
        <v>50921</v>
      </c>
      <c r="E10" s="183">
        <v>495</v>
      </c>
      <c r="F10" s="182">
        <v>1650</v>
      </c>
      <c r="G10" s="149" t="s">
        <v>221</v>
      </c>
      <c r="H10" s="149">
        <v>2</v>
      </c>
      <c r="I10" s="149">
        <v>43</v>
      </c>
      <c r="J10" s="149">
        <v>1</v>
      </c>
      <c r="K10" s="116" t="b">
        <f t="shared" si="1"/>
        <v>1</v>
      </c>
      <c r="L10" s="116" t="b">
        <f t="shared" si="0"/>
        <v>0</v>
      </c>
    </row>
    <row r="11" spans="1:14" x14ac:dyDescent="0.2">
      <c r="A11" s="143" t="s">
        <v>227</v>
      </c>
      <c r="B11" s="182"/>
      <c r="C11" s="182"/>
      <c r="D11" s="182"/>
      <c r="E11" s="183"/>
      <c r="F11" s="182">
        <v>10000</v>
      </c>
      <c r="G11" s="149" t="s">
        <v>225</v>
      </c>
      <c r="H11" s="149">
        <v>1</v>
      </c>
      <c r="I11" s="149">
        <v>91</v>
      </c>
      <c r="J11" s="149">
        <v>1</v>
      </c>
      <c r="K11" s="116" t="str">
        <f t="shared" si="1"/>
        <v/>
      </c>
      <c r="L11" s="116" t="b">
        <f t="shared" si="0"/>
        <v>1</v>
      </c>
    </row>
    <row r="12" spans="1:14" ht="12.75" customHeight="1" x14ac:dyDescent="0.2">
      <c r="A12" s="143" t="s">
        <v>228</v>
      </c>
      <c r="B12" s="182">
        <v>25000</v>
      </c>
      <c r="C12" s="182">
        <v>15221</v>
      </c>
      <c r="D12" s="182">
        <v>9483</v>
      </c>
      <c r="E12" s="183">
        <v>2899</v>
      </c>
      <c r="F12" s="182">
        <v>1250</v>
      </c>
      <c r="G12" s="149" t="s">
        <v>223</v>
      </c>
      <c r="H12" s="149">
        <v>3</v>
      </c>
      <c r="I12" s="149">
        <v>76</v>
      </c>
      <c r="J12" s="149">
        <v>1</v>
      </c>
      <c r="K12" s="116" t="b">
        <f t="shared" si="1"/>
        <v>0</v>
      </c>
      <c r="L12" s="116" t="b">
        <f t="shared" si="0"/>
        <v>0</v>
      </c>
    </row>
    <row r="13" spans="1:14" x14ac:dyDescent="0.2">
      <c r="A13" s="143" t="s">
        <v>229</v>
      </c>
      <c r="B13" s="182">
        <v>42000</v>
      </c>
      <c r="C13" s="182">
        <v>80498</v>
      </c>
      <c r="D13" s="182">
        <v>81126</v>
      </c>
      <c r="E13" s="183">
        <v>0</v>
      </c>
      <c r="F13" s="182">
        <v>2100</v>
      </c>
      <c r="G13" s="149" t="s">
        <v>223</v>
      </c>
      <c r="H13" s="149">
        <v>2</v>
      </c>
      <c r="I13" s="149">
        <v>87</v>
      </c>
      <c r="J13" s="149">
        <v>1</v>
      </c>
      <c r="K13" s="116" t="b">
        <f t="shared" si="1"/>
        <v>1</v>
      </c>
      <c r="L13" s="116" t="b">
        <f t="shared" si="0"/>
        <v>0</v>
      </c>
    </row>
    <row r="14" spans="1:14" x14ac:dyDescent="0.2">
      <c r="A14" s="143" t="s">
        <v>230</v>
      </c>
      <c r="B14" s="182">
        <v>27000</v>
      </c>
      <c r="C14" s="182">
        <v>35354</v>
      </c>
      <c r="D14" s="182">
        <v>20666</v>
      </c>
      <c r="E14" s="183">
        <v>0</v>
      </c>
      <c r="F14" s="182">
        <v>213</v>
      </c>
      <c r="G14" s="149" t="s">
        <v>231</v>
      </c>
      <c r="H14" s="149">
        <v>3</v>
      </c>
      <c r="I14" s="149">
        <v>94</v>
      </c>
      <c r="J14" s="149">
        <v>1</v>
      </c>
      <c r="K14" s="116" t="b">
        <f t="shared" si="1"/>
        <v>1</v>
      </c>
      <c r="L14" s="116" t="b">
        <f t="shared" si="0"/>
        <v>1</v>
      </c>
    </row>
    <row r="15" spans="1:14" x14ac:dyDescent="0.2">
      <c r="A15" s="143" t="s">
        <v>232</v>
      </c>
      <c r="B15" s="182">
        <v>46000</v>
      </c>
      <c r="C15" s="182">
        <v>90970</v>
      </c>
      <c r="D15" s="182">
        <v>18343</v>
      </c>
      <c r="E15" s="183">
        <v>0</v>
      </c>
      <c r="F15" s="182">
        <v>2300</v>
      </c>
      <c r="G15" s="149" t="s">
        <v>223</v>
      </c>
      <c r="H15" s="149">
        <v>1</v>
      </c>
      <c r="I15" s="149">
        <v>21</v>
      </c>
      <c r="J15" s="149">
        <v>1</v>
      </c>
      <c r="K15" s="116" t="b">
        <f t="shared" si="1"/>
        <v>1</v>
      </c>
      <c r="L15" s="116" t="b">
        <f t="shared" si="0"/>
        <v>1</v>
      </c>
    </row>
    <row r="16" spans="1:14" x14ac:dyDescent="0.2">
      <c r="A16" s="143" t="s">
        <v>233</v>
      </c>
      <c r="B16" s="182">
        <v>15000</v>
      </c>
      <c r="C16" s="182">
        <v>5663</v>
      </c>
      <c r="D16" s="182">
        <v>3014</v>
      </c>
      <c r="E16" s="183">
        <v>0</v>
      </c>
      <c r="F16" s="182">
        <v>750</v>
      </c>
      <c r="G16" s="149" t="s">
        <v>234</v>
      </c>
      <c r="H16" s="149">
        <v>1</v>
      </c>
      <c r="I16" s="149">
        <v>59</v>
      </c>
      <c r="J16" s="149">
        <v>1</v>
      </c>
      <c r="K16" s="116" t="b">
        <f t="shared" si="1"/>
        <v>1</v>
      </c>
      <c r="L16" s="116" t="b">
        <f t="shared" si="0"/>
        <v>1</v>
      </c>
    </row>
    <row r="17" spans="1:18" x14ac:dyDescent="0.2">
      <c r="A17" s="143" t="s">
        <v>235</v>
      </c>
      <c r="B17" s="182">
        <v>45000</v>
      </c>
      <c r="C17" s="182">
        <v>50278</v>
      </c>
      <c r="D17" s="182">
        <v>32338</v>
      </c>
      <c r="E17" s="183">
        <v>0</v>
      </c>
      <c r="F17" s="182">
        <v>2250</v>
      </c>
      <c r="G17" s="149" t="s">
        <v>223</v>
      </c>
      <c r="H17" s="149">
        <v>3</v>
      </c>
      <c r="I17" s="149">
        <v>91</v>
      </c>
      <c r="J17" s="149">
        <v>1</v>
      </c>
      <c r="K17" s="116" t="b">
        <f t="shared" si="1"/>
        <v>1</v>
      </c>
      <c r="L17" s="116" t="b">
        <f t="shared" si="0"/>
        <v>1</v>
      </c>
    </row>
    <row r="18" spans="1:18" x14ac:dyDescent="0.2">
      <c r="A18" s="143" t="s">
        <v>236</v>
      </c>
      <c r="B18" s="182">
        <v>26000</v>
      </c>
      <c r="C18" s="182">
        <v>25864</v>
      </c>
      <c r="D18" s="182">
        <v>28154</v>
      </c>
      <c r="E18" s="183">
        <v>0</v>
      </c>
      <c r="F18" s="182">
        <v>300</v>
      </c>
      <c r="G18" s="149" t="s">
        <v>221</v>
      </c>
      <c r="H18" s="149">
        <v>2</v>
      </c>
      <c r="I18" s="149">
        <v>82</v>
      </c>
      <c r="J18" s="149">
        <v>1</v>
      </c>
      <c r="K18" s="116" t="b">
        <f t="shared" si="1"/>
        <v>1</v>
      </c>
      <c r="L18" s="116" t="b">
        <f t="shared" si="0"/>
        <v>0</v>
      </c>
    </row>
    <row r="19" spans="1:18" x14ac:dyDescent="0.2">
      <c r="A19" s="143" t="s">
        <v>237</v>
      </c>
      <c r="B19" s="182">
        <v>45000</v>
      </c>
      <c r="C19" s="182">
        <v>40157</v>
      </c>
      <c r="D19" s="182">
        <v>25379</v>
      </c>
      <c r="E19" s="183">
        <v>0</v>
      </c>
      <c r="F19" s="182">
        <v>2250</v>
      </c>
      <c r="G19" s="149" t="s">
        <v>223</v>
      </c>
      <c r="H19" s="149">
        <v>2</v>
      </c>
      <c r="I19" s="149">
        <v>71</v>
      </c>
      <c r="J19" s="149">
        <v>1</v>
      </c>
      <c r="K19" s="116" t="b">
        <f t="shared" si="1"/>
        <v>1</v>
      </c>
      <c r="L19" s="116" t="b">
        <f t="shared" si="0"/>
        <v>0</v>
      </c>
    </row>
    <row r="20" spans="1:18" x14ac:dyDescent="0.2">
      <c r="A20" s="143" t="s">
        <v>238</v>
      </c>
      <c r="B20" s="182">
        <v>15000</v>
      </c>
      <c r="C20" s="182">
        <v>15898</v>
      </c>
      <c r="D20" s="182">
        <v>14732</v>
      </c>
      <c r="E20" s="183">
        <v>14383</v>
      </c>
      <c r="F20" s="182">
        <v>450</v>
      </c>
      <c r="G20" s="149" t="s">
        <v>221</v>
      </c>
      <c r="H20" s="149">
        <v>1</v>
      </c>
      <c r="I20" s="149">
        <v>67</v>
      </c>
      <c r="J20" s="149">
        <v>1</v>
      </c>
      <c r="K20" s="116" t="b">
        <f t="shared" si="1"/>
        <v>0</v>
      </c>
      <c r="L20" s="116" t="b">
        <f t="shared" si="0"/>
        <v>1</v>
      </c>
    </row>
    <row r="21" spans="1:18" x14ac:dyDescent="0.2">
      <c r="A21" s="143" t="s">
        <v>239</v>
      </c>
      <c r="B21" s="182">
        <v>22000</v>
      </c>
      <c r="C21" s="182">
        <v>10073</v>
      </c>
      <c r="D21" s="182">
        <v>1047</v>
      </c>
      <c r="E21" s="183">
        <v>0</v>
      </c>
      <c r="F21" s="182">
        <v>1100</v>
      </c>
      <c r="G21" s="149" t="s">
        <v>223</v>
      </c>
      <c r="H21" s="149">
        <v>3</v>
      </c>
      <c r="I21" s="149">
        <v>14</v>
      </c>
      <c r="J21" s="149">
        <v>1</v>
      </c>
      <c r="K21" s="116" t="b">
        <f t="shared" si="1"/>
        <v>1</v>
      </c>
      <c r="L21" s="116" t="b">
        <f t="shared" si="0"/>
        <v>0</v>
      </c>
    </row>
    <row r="22" spans="1:18" x14ac:dyDescent="0.2">
      <c r="A22" s="143" t="s">
        <v>240</v>
      </c>
      <c r="B22" s="182">
        <v>45000</v>
      </c>
      <c r="C22" s="182">
        <v>95411</v>
      </c>
      <c r="D22" s="182">
        <v>64418</v>
      </c>
      <c r="E22" s="183">
        <v>0</v>
      </c>
      <c r="F22" s="182">
        <v>150</v>
      </c>
      <c r="G22" s="149" t="s">
        <v>241</v>
      </c>
      <c r="H22" s="149">
        <v>4</v>
      </c>
      <c r="I22" s="149">
        <v>79</v>
      </c>
      <c r="J22" s="149">
        <v>2</v>
      </c>
      <c r="K22" s="116" t="b">
        <f t="shared" si="1"/>
        <v>1</v>
      </c>
      <c r="L22" s="116" t="b">
        <f t="shared" si="0"/>
        <v>0</v>
      </c>
    </row>
    <row r="23" spans="1:18" x14ac:dyDescent="0.2">
      <c r="A23" s="143" t="s">
        <v>242</v>
      </c>
      <c r="B23" s="182">
        <v>20000</v>
      </c>
      <c r="C23" s="182">
        <v>5621</v>
      </c>
      <c r="D23" s="182">
        <v>6171</v>
      </c>
      <c r="E23" s="183">
        <v>0</v>
      </c>
      <c r="F23" s="182">
        <v>1000</v>
      </c>
      <c r="G23" s="149" t="s">
        <v>223</v>
      </c>
      <c r="H23" s="149">
        <v>1</v>
      </c>
      <c r="I23" s="149">
        <v>87</v>
      </c>
      <c r="J23" s="149">
        <v>1</v>
      </c>
      <c r="K23" s="116" t="b">
        <f t="shared" si="1"/>
        <v>1</v>
      </c>
      <c r="L23" s="116" t="b">
        <f t="shared" si="0"/>
        <v>1</v>
      </c>
    </row>
    <row r="24" spans="1:18" x14ac:dyDescent="0.2">
      <c r="A24" s="143" t="s">
        <v>243</v>
      </c>
      <c r="B24" s="182">
        <v>100000</v>
      </c>
      <c r="C24" s="182">
        <v>60009</v>
      </c>
      <c r="D24" s="182">
        <v>60354</v>
      </c>
      <c r="E24" s="183">
        <v>0</v>
      </c>
      <c r="F24" s="182">
        <v>500000</v>
      </c>
      <c r="G24" s="149" t="s">
        <v>244</v>
      </c>
      <c r="H24" s="149">
        <v>2</v>
      </c>
      <c r="I24" s="149">
        <v>97</v>
      </c>
      <c r="J24" s="149">
        <v>1</v>
      </c>
      <c r="K24" s="116" t="b">
        <f t="shared" si="1"/>
        <v>1</v>
      </c>
      <c r="L24" s="116" t="b">
        <f t="shared" si="0"/>
        <v>1</v>
      </c>
    </row>
    <row r="25" spans="1:18" x14ac:dyDescent="0.2">
      <c r="A25" s="143" t="s">
        <v>245</v>
      </c>
      <c r="B25" s="182">
        <v>10000</v>
      </c>
      <c r="C25" s="182">
        <v>15490</v>
      </c>
      <c r="D25" s="182">
        <v>22760</v>
      </c>
      <c r="E25" s="183">
        <v>0</v>
      </c>
      <c r="F25" s="182">
        <v>620</v>
      </c>
      <c r="G25" s="149" t="s">
        <v>246</v>
      </c>
      <c r="H25" s="149">
        <v>2</v>
      </c>
      <c r="I25" s="149">
        <v>96</v>
      </c>
      <c r="J25" s="149">
        <v>1</v>
      </c>
      <c r="K25" s="116" t="b">
        <f t="shared" si="1"/>
        <v>1</v>
      </c>
      <c r="L25" s="116" t="b">
        <f t="shared" si="0"/>
        <v>1</v>
      </c>
    </row>
    <row r="27" spans="1:18" x14ac:dyDescent="0.2">
      <c r="F27" s="130" t="s">
        <v>169</v>
      </c>
      <c r="J27" s="131" t="s">
        <v>415</v>
      </c>
      <c r="K27" s="116" t="b">
        <f>OR(K$7:K$25)</f>
        <v>1</v>
      </c>
      <c r="L27" s="116" t="b">
        <f t="shared" ref="L27" si="2">OR(L$7:L$25)</f>
        <v>1</v>
      </c>
    </row>
    <row r="28" spans="1:18" x14ac:dyDescent="0.2">
      <c r="F28" s="130"/>
      <c r="J28" s="131"/>
    </row>
    <row r="29" spans="1:18" x14ac:dyDescent="0.2">
      <c r="F29" s="131" t="s">
        <v>416</v>
      </c>
      <c r="G29" s="133" t="b">
        <f>OR(I7&gt;90,I8&gt;90,I9&gt;90,I10&gt;90,I11&gt;90,I12&gt;90,I13&gt;90,I14&gt;90,I15&gt;90,I16&gt;90,I17&gt;90,I18&gt;90,I19&gt;90,I20&gt;90,I21&gt;90,I22&gt;90,I23&gt;90,I24&gt;90,I25&gt;90)</f>
        <v>1</v>
      </c>
      <c r="H29" s="133" t="s">
        <v>417</v>
      </c>
    </row>
    <row r="31" spans="1:18" x14ac:dyDescent="0.2">
      <c r="F31" s="131" t="s">
        <v>416</v>
      </c>
      <c r="G31" s="132" t="e">
        <f>OR(I7:I25&gt;90)</f>
        <v>#VALUE!</v>
      </c>
      <c r="H31" s="133" t="s">
        <v>418</v>
      </c>
      <c r="J31" s="116" t="s">
        <v>494</v>
      </c>
    </row>
    <row r="32" spans="1:18" ht="12.75" customHeight="1" x14ac:dyDescent="0.2">
      <c r="G32" s="177" t="b" cm="1">
        <f t="array" ref="G32">OR(I7:I25&gt;90)</f>
        <v>1</v>
      </c>
      <c r="H32" s="133" t="s">
        <v>418</v>
      </c>
      <c r="I32" s="177"/>
      <c r="J32" s="230" t="s">
        <v>512</v>
      </c>
      <c r="M32" s="177"/>
      <c r="N32" s="177"/>
      <c r="O32" s="177"/>
      <c r="P32" s="177"/>
      <c r="Q32" s="177"/>
      <c r="R32" s="177"/>
    </row>
    <row r="33" spans="9:18" ht="12.75" customHeight="1" x14ac:dyDescent="0.2">
      <c r="I33" s="177"/>
      <c r="J33" s="177"/>
      <c r="K33" s="177"/>
      <c r="L33" s="177"/>
      <c r="M33" s="177"/>
      <c r="N33" s="177"/>
      <c r="O33" s="177"/>
      <c r="P33" s="177"/>
      <c r="Q33" s="177"/>
      <c r="R33" s="177"/>
    </row>
    <row r="34" spans="9:18" ht="12.75" customHeight="1" x14ac:dyDescent="0.2">
      <c r="I34" s="229"/>
      <c r="J34" s="229"/>
      <c r="K34" s="229"/>
      <c r="L34" s="229"/>
      <c r="M34" s="229"/>
      <c r="N34" s="229"/>
      <c r="O34" s="229"/>
      <c r="P34" s="229"/>
      <c r="Q34" s="229"/>
      <c r="R34" s="229"/>
    </row>
  </sheetData>
  <pageMargins left="0.75" right="0.75" top="1" bottom="1" header="0.5" footer="0.5"/>
  <pageSetup orientation="portrait" horizontalDpi="120" verticalDpi="72"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A5A79-96E9-4B4D-9EAB-A248E0EF50E6}">
  <dimension ref="A1:Y35"/>
  <sheetViews>
    <sheetView zoomScale="130" zoomScaleNormal="130" workbookViewId="0">
      <pane xSplit="1" ySplit="5" topLeftCell="B6" activePane="bottomRight" state="frozen"/>
      <selection activeCell="B2" sqref="B2"/>
      <selection pane="topRight" activeCell="B2" sqref="B2"/>
      <selection pane="bottomLeft" activeCell="B2" sqref="B2"/>
      <selection pane="bottomRight" activeCell="A2" sqref="A2"/>
    </sheetView>
  </sheetViews>
  <sheetFormatPr defaultRowHeight="12.75" x14ac:dyDescent="0.2"/>
  <cols>
    <col min="1" max="1" width="91.85546875" style="116" customWidth="1"/>
    <col min="2" max="2" width="6" style="116" customWidth="1"/>
    <col min="3" max="3" width="12.140625" style="116" customWidth="1"/>
    <col min="4" max="4" width="92.5703125" style="116" customWidth="1"/>
    <col min="5" max="5" width="21.140625" style="116" customWidth="1"/>
    <col min="6" max="6" width="12" style="116" customWidth="1"/>
    <col min="7" max="7" width="15.7109375" style="116" customWidth="1"/>
    <col min="8" max="8" width="10.5703125" style="116" customWidth="1"/>
    <col min="9" max="9" width="12.5703125" style="116" customWidth="1"/>
    <col min="10" max="10" width="7.5703125" style="116" customWidth="1"/>
    <col min="11" max="12" width="7.42578125" style="116" customWidth="1"/>
    <col min="13" max="13" width="3.42578125" style="116" customWidth="1"/>
    <col min="14" max="24" width="9.140625" style="116"/>
    <col min="25" max="25" width="9.140625" style="116" customWidth="1"/>
    <col min="26" max="16384" width="9.140625" style="116"/>
  </cols>
  <sheetData>
    <row r="1" spans="1:25" ht="18" x14ac:dyDescent="0.25">
      <c r="A1" s="98" t="s">
        <v>490</v>
      </c>
    </row>
    <row r="2" spans="1:25" s="143" customFormat="1" hidden="1" x14ac:dyDescent="0.2"/>
    <row r="3" spans="1:25" x14ac:dyDescent="0.2">
      <c r="A3" s="231" t="str">
        <f>IF(A2="","",IF(Disable_Video_Hyperlinks,A2,HYPERLINK(Video_website&amp;A2,A2)))</f>
        <v/>
      </c>
      <c r="B3" s="137"/>
      <c r="C3" s="137"/>
      <c r="D3" s="137"/>
      <c r="E3" s="137"/>
      <c r="F3" s="137"/>
      <c r="G3" s="137"/>
      <c r="H3" s="137"/>
      <c r="I3" s="137"/>
    </row>
    <row r="4" spans="1:25" x14ac:dyDescent="0.2">
      <c r="A4" s="309" t="str">
        <f>IF(B2="","",B2)</f>
        <v/>
      </c>
      <c r="B4" s="137"/>
      <c r="C4" s="137"/>
      <c r="D4" s="137"/>
      <c r="E4" s="137"/>
      <c r="F4" s="137"/>
      <c r="G4" s="137"/>
      <c r="H4" s="137"/>
      <c r="I4" s="137"/>
    </row>
    <row r="5" spans="1:25" x14ac:dyDescent="0.2">
      <c r="A5" s="137"/>
      <c r="B5" s="137"/>
      <c r="C5" s="137"/>
      <c r="D5" s="137"/>
      <c r="E5" s="137"/>
      <c r="F5" s="137"/>
      <c r="G5" s="137"/>
      <c r="H5" s="137"/>
      <c r="I5" s="137"/>
    </row>
    <row r="6" spans="1:25" ht="14.25" x14ac:dyDescent="0.2">
      <c r="A6" s="116" t="s">
        <v>514</v>
      </c>
      <c r="C6" s="392" t="s">
        <v>506</v>
      </c>
      <c r="D6" s="392"/>
      <c r="I6" s="329"/>
      <c r="J6" s="329"/>
      <c r="K6" s="329"/>
      <c r="L6" s="329"/>
      <c r="M6" s="329"/>
      <c r="N6" s="329"/>
      <c r="O6" s="329"/>
      <c r="P6" s="329"/>
      <c r="Q6" s="329"/>
    </row>
    <row r="7" spans="1:25" ht="28.5" customHeight="1" x14ac:dyDescent="0.2">
      <c r="A7" s="344" t="s">
        <v>513</v>
      </c>
      <c r="C7" s="393" t="s">
        <v>746</v>
      </c>
      <c r="D7" s="393"/>
      <c r="F7" s="328"/>
      <c r="I7" s="328"/>
      <c r="J7" s="328"/>
      <c r="K7" s="328"/>
    </row>
    <row r="8" spans="1:25" ht="14.25" x14ac:dyDescent="0.2">
      <c r="A8" s="345" t="s">
        <v>495</v>
      </c>
      <c r="C8" s="394" t="s">
        <v>507</v>
      </c>
      <c r="D8" s="394"/>
    </row>
    <row r="9" spans="1:25" ht="38.25" x14ac:dyDescent="0.2">
      <c r="A9" s="346" t="s">
        <v>496</v>
      </c>
      <c r="C9" s="395" t="s">
        <v>508</v>
      </c>
      <c r="D9" s="395"/>
    </row>
    <row r="10" spans="1:25" x14ac:dyDescent="0.2">
      <c r="A10" s="348" t="s">
        <v>515</v>
      </c>
      <c r="C10" s="396"/>
      <c r="D10" s="396"/>
      <c r="F10" s="327"/>
      <c r="I10" s="327"/>
      <c r="J10" s="327"/>
      <c r="K10" s="327"/>
      <c r="L10" s="327"/>
      <c r="Y10" s="230"/>
    </row>
    <row r="11" spans="1:25" x14ac:dyDescent="0.2">
      <c r="C11" s="396"/>
      <c r="D11" s="396"/>
    </row>
    <row r="12" spans="1:25" ht="14.25" x14ac:dyDescent="0.2">
      <c r="A12" s="345" t="s">
        <v>497</v>
      </c>
      <c r="C12" s="392" t="s">
        <v>509</v>
      </c>
      <c r="D12" s="392"/>
    </row>
    <row r="13" spans="1:25" ht="71.25" customHeight="1" x14ac:dyDescent="0.2">
      <c r="A13" s="347" t="s">
        <v>745</v>
      </c>
      <c r="C13" s="391" t="s">
        <v>510</v>
      </c>
      <c r="D13" s="391"/>
      <c r="F13" s="327"/>
      <c r="I13" s="327"/>
      <c r="J13" s="327"/>
      <c r="K13" s="327"/>
      <c r="L13" s="327"/>
      <c r="Y13" s="230"/>
    </row>
    <row r="14" spans="1:25" ht="14.25" x14ac:dyDescent="0.2">
      <c r="A14" s="347"/>
      <c r="C14" s="397" t="s">
        <v>511</v>
      </c>
      <c r="D14" s="397"/>
    </row>
    <row r="15" spans="1:25" ht="14.25" x14ac:dyDescent="0.2">
      <c r="A15" s="345" t="s">
        <v>498</v>
      </c>
      <c r="E15" s="327"/>
      <c r="F15" s="327"/>
      <c r="G15" s="327"/>
      <c r="H15" s="327"/>
      <c r="I15" s="327"/>
      <c r="J15" s="327"/>
      <c r="K15" s="327"/>
      <c r="L15" s="327"/>
      <c r="Y15" s="230"/>
    </row>
    <row r="16" spans="1:25" ht="57" x14ac:dyDescent="0.2">
      <c r="A16" s="347" t="s">
        <v>499</v>
      </c>
      <c r="C16" s="32" t="s">
        <v>599</v>
      </c>
    </row>
    <row r="17" spans="1:25" x14ac:dyDescent="0.2">
      <c r="A17" s="351" t="s">
        <v>500</v>
      </c>
      <c r="C17" s="352" t="s">
        <v>739</v>
      </c>
      <c r="D17" s="350" t="s">
        <v>605</v>
      </c>
    </row>
    <row r="18" spans="1:25" x14ac:dyDescent="0.2">
      <c r="A18" s="351" t="s">
        <v>501</v>
      </c>
      <c r="C18" s="352" t="s">
        <v>740</v>
      </c>
      <c r="D18" s="350" t="s">
        <v>604</v>
      </c>
    </row>
    <row r="19" spans="1:25" x14ac:dyDescent="0.2">
      <c r="A19" s="351" t="s">
        <v>502</v>
      </c>
      <c r="C19" s="352" t="s">
        <v>741</v>
      </c>
      <c r="D19" s="350" t="s">
        <v>603</v>
      </c>
    </row>
    <row r="20" spans="1:25" ht="42.75" x14ac:dyDescent="0.2">
      <c r="A20" s="347" t="s">
        <v>503</v>
      </c>
      <c r="C20" s="352" t="s">
        <v>742</v>
      </c>
      <c r="D20" s="350" t="s">
        <v>600</v>
      </c>
    </row>
    <row r="21" spans="1:25" ht="14.25" x14ac:dyDescent="0.2">
      <c r="A21" s="349"/>
      <c r="C21" s="352" t="s">
        <v>743</v>
      </c>
      <c r="D21" s="350" t="s">
        <v>602</v>
      </c>
    </row>
    <row r="22" spans="1:25" ht="14.25" x14ac:dyDescent="0.2">
      <c r="A22" s="345" t="s">
        <v>504</v>
      </c>
      <c r="C22" s="352" t="s">
        <v>744</v>
      </c>
      <c r="D22" s="350" t="s">
        <v>601</v>
      </c>
    </row>
    <row r="23" spans="1:25" x14ac:dyDescent="0.2">
      <c r="A23" s="391" t="s">
        <v>505</v>
      </c>
      <c r="C23" s="350"/>
      <c r="D23" s="230"/>
      <c r="H23" s="327"/>
      <c r="I23" s="327"/>
      <c r="J23" s="327"/>
      <c r="K23" s="327"/>
      <c r="L23" s="327"/>
      <c r="Y23" s="230"/>
    </row>
    <row r="24" spans="1:25" x14ac:dyDescent="0.2">
      <c r="A24" s="391"/>
      <c r="D24" s="350" t="s">
        <v>597</v>
      </c>
      <c r="H24" s="327"/>
      <c r="I24" s="327"/>
      <c r="J24" s="327"/>
      <c r="K24" s="327"/>
      <c r="L24" s="327"/>
      <c r="Y24" s="230"/>
    </row>
    <row r="25" spans="1:25" x14ac:dyDescent="0.2">
      <c r="A25" s="391"/>
      <c r="D25" s="350" t="s">
        <v>598</v>
      </c>
    </row>
    <row r="26" spans="1:25" x14ac:dyDescent="0.2">
      <c r="A26" s="391"/>
      <c r="D26" s="350" t="s">
        <v>495</v>
      </c>
      <c r="H26" s="327"/>
      <c r="I26" s="327"/>
      <c r="J26" s="327"/>
      <c r="K26" s="327"/>
      <c r="L26" s="327"/>
      <c r="Y26" s="230"/>
    </row>
    <row r="32" spans="1:25" x14ac:dyDescent="0.2">
      <c r="D32" s="327"/>
      <c r="E32" s="327"/>
    </row>
    <row r="35" spans="3:25" x14ac:dyDescent="0.2">
      <c r="C35" s="327"/>
      <c r="F35" s="327"/>
      <c r="G35" s="327"/>
      <c r="H35" s="327"/>
      <c r="I35" s="327"/>
      <c r="J35" s="327"/>
      <c r="K35" s="327"/>
      <c r="L35" s="327"/>
      <c r="Y35" s="230"/>
    </row>
  </sheetData>
  <mergeCells count="10">
    <mergeCell ref="A23:A26"/>
    <mergeCell ref="C6:D6"/>
    <mergeCell ref="C7:D7"/>
    <mergeCell ref="C8:D8"/>
    <mergeCell ref="C9:D9"/>
    <mergeCell ref="C10:D10"/>
    <mergeCell ref="C11:D11"/>
    <mergeCell ref="C12:D12"/>
    <mergeCell ref="C13:D13"/>
    <mergeCell ref="C14:D14"/>
  </mergeCells>
  <hyperlinks>
    <hyperlink ref="C8" r:id="rId1" display="https://support.office.com/en-us/f1/topic/dynamic-array-formulas-and-spilled-array-behavior-205c6b06-03ba-4151-89a1-87a7eb36e531?NS=EXCEL&amp;Version=90" xr:uid="{D7024B9F-F791-46DE-8731-0E0441104A7B}"/>
    <hyperlink ref="C9" r:id="rId2" display="https://support.office.com/en-us/f1/topic/dynamic-array-formulas-vs-legacy-cse-array-formulas-ca421f1b-fbb2-4c99-9924-df571bd4f1b4?NS=EXCEL&amp;Version=90" xr:uid="{73332AE9-2C0A-4E8A-A422-296CDF10EE2A}"/>
    <hyperlink ref="C14" r:id="rId3" display="https://support.office.com/en-us/f1/topic/excel-functions-that-return-ranges-or-arrays-7d1970e2-cbaa-4279-b59c-b9dd3900fc69?NS=EXCEL&amp;Version=90" xr:uid="{8A140465-C7E1-4F68-B5D9-6522C9E76241}"/>
    <hyperlink ref="A7" r:id="rId4" xr:uid="{3FEFDE12-16C7-4F5C-971F-B61D17E9A0E8}"/>
    <hyperlink ref="A10" r:id="rId5" xr:uid="{9FA852F5-43E2-4B4C-9434-83062B99ACDE}"/>
    <hyperlink ref="C17" r:id="rId6" display="https://support.office.com/en-us/f1/topic/filter-function-f4f7cb66-82eb-4767-8f7c-4877ad80c759?NS=EXCEL&amp;Version=90" xr:uid="{E1150790-E3B0-4B50-A358-B0C364A4B6B3}"/>
    <hyperlink ref="C18" r:id="rId7" display="https://support.office.com/en-us/f1/topic/randarray-function-21261e55-3bec-4885-86a6-8b0a47fd4d33?NS=EXCEL&amp;Version=90" xr:uid="{97FCE574-D233-4E4B-A5C4-CE13AE919E99}"/>
    <hyperlink ref="C19" r:id="rId8" display="https://support.office.com/en-us/f1/topic/sequence-function-57467a98-57e0-4817-9f14-2eb78519ca90?NS=EXCEL&amp;Version=90" xr:uid="{5564D1ED-D811-42E8-BC6C-E4B292A41982}"/>
    <hyperlink ref="C20" r:id="rId9" display="https://support.office.com/en-us/f1/topic/sort-function-22f63bd0-ccc8-492f-953d-c20e8e44b86c?NS=EXCEL&amp;Version=90" xr:uid="{FC0476DB-7B88-49D6-8E20-FE7914015B44}"/>
    <hyperlink ref="C21" r:id="rId10" display="https://support.office.com/en-us/f1/topic/sortby-function-cd2d7a62-1b93-435c-b561-d6a35134f28f?NS=EXCEL&amp;Version=90" xr:uid="{E43720C4-3965-433C-B9BB-D0C3573D9463}"/>
    <hyperlink ref="C22" r:id="rId11" display="https://support.office.com/en-us/f1/topic/unique-function-c5ab87fd-30a3-4ce9-9d1a-40204fb85e1e?NS=EXCEL&amp;Version=90" xr:uid="{2850EE84-2DDB-44B0-A75F-1CE702D580A8}"/>
    <hyperlink ref="D24" r:id="rId12" display="https://support.office.com/en-us/f1/topic/-spill-errors-in-excel-ffe0f555-b479-4a17-a6e2-ef9cc9ad4023?NS=EXCEL&amp;Version=90" xr:uid="{66EA1C66-F534-4BD3-918C-0095CA6BD2A5}"/>
    <hyperlink ref="D25" r:id="rId13" display="https://support.office.com/en-us/f1/topic/dynamic-array-formulas-and-spilled-array-behavior-205c6b06-03ba-4151-89a1-87a7eb36e531?NS=EXCEL&amp;Version=90" xr:uid="{DA18D030-E710-40B9-82AB-4C4AB3B061CE}"/>
    <hyperlink ref="D26" r:id="rId14" display="https://support.office.com/en-us/f1/topic/implicit-intersection-operator-ce3be07b-0101-4450-a24e-c1c999be2b34?NS=EXCEL&amp;Version=90" xr:uid="{323638E2-16D7-4C94-AE94-04AC848C5097}"/>
    <hyperlink ref="D20" r:id="rId15" xr:uid="{DFA6E34E-A56F-4FD7-A794-3C4E1F6DC5D5}"/>
    <hyperlink ref="D22" r:id="rId16" xr:uid="{E899BE0A-C916-400E-8642-B3F49CC1C21A}"/>
    <hyperlink ref="D21" r:id="rId17" xr:uid="{7DCBDCFA-B1DB-46F9-9032-C0B6A881CE58}"/>
    <hyperlink ref="D19" r:id="rId18" xr:uid="{C1C87413-7B88-42FB-8835-5A96D15BD9C9}"/>
    <hyperlink ref="D18" r:id="rId19" xr:uid="{6A88847D-078E-43A8-98EB-465C434449ED}"/>
    <hyperlink ref="D17" r:id="rId20" xr:uid="{596E6919-387B-4616-A1C5-46AA624D432F}"/>
  </hyperlinks>
  <pageMargins left="0.75" right="0.75" top="1" bottom="1" header="0.5" footer="0.5"/>
  <pageSetup orientation="portrait" horizontalDpi="120" verticalDpi="72" r:id="rId2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0"/>
  <dimension ref="A1:R34"/>
  <sheetViews>
    <sheetView zoomScale="160" zoomScaleNormal="160" workbookViewId="0">
      <pane xSplit="1" ySplit="6" topLeftCell="B7" activePane="bottomRight" state="frozen"/>
      <selection activeCell="B2" sqref="B2"/>
      <selection pane="topRight" activeCell="B2" sqref="B2"/>
      <selection pane="bottomLeft" activeCell="B2" sqref="B2"/>
      <selection pane="bottomRight" activeCell="A2" sqref="A2"/>
    </sheetView>
  </sheetViews>
  <sheetFormatPr defaultRowHeight="12.75" x14ac:dyDescent="0.2"/>
  <cols>
    <col min="1" max="1" width="19.42578125" style="116" customWidth="1"/>
    <col min="2" max="2" width="9.140625" style="116" bestFit="1" customWidth="1"/>
    <col min="3" max="4" width="9.140625" style="116" customWidth="1"/>
    <col min="5" max="5" width="8.28515625" style="116" customWidth="1"/>
    <col min="6" max="6" width="9.140625" style="116" bestFit="1" customWidth="1"/>
    <col min="7" max="7" width="12" style="116" customWidth="1"/>
    <col min="8" max="8" width="15.7109375" style="116" customWidth="1"/>
    <col min="9" max="9" width="10.5703125" style="116" customWidth="1"/>
    <col min="10" max="10" width="12.5703125" style="116" customWidth="1"/>
    <col min="11" max="11" width="7.5703125" style="116" customWidth="1"/>
    <col min="12" max="13" width="7.42578125" style="116" customWidth="1"/>
    <col min="14" max="14" width="3.42578125" style="116" customWidth="1"/>
    <col min="15" max="16384" width="9.140625" style="116"/>
  </cols>
  <sheetData>
    <row r="1" spans="1:14" ht="18" x14ac:dyDescent="0.25">
      <c r="A1" s="98" t="s">
        <v>491</v>
      </c>
    </row>
    <row r="2" spans="1:14" s="143" customFormat="1" hidden="1" x14ac:dyDescent="0.2"/>
    <row r="3" spans="1:14" x14ac:dyDescent="0.2">
      <c r="A3" s="231" t="str">
        <f>IF(A2="","",IF(Disable_Video_Hyperlinks,A2,HYPERLINK(Video_website&amp;A2,A2)))</f>
        <v/>
      </c>
      <c r="B3" s="137"/>
      <c r="C3" s="137"/>
      <c r="D3" s="137"/>
      <c r="E3" s="137"/>
      <c r="F3" s="137"/>
      <c r="G3" s="137"/>
      <c r="H3" s="137"/>
      <c r="I3" s="137"/>
      <c r="J3" s="137"/>
    </row>
    <row r="4" spans="1:14" x14ac:dyDescent="0.2">
      <c r="A4" s="309" t="str">
        <f>IF(B2="","",B2)</f>
        <v/>
      </c>
      <c r="B4" s="137"/>
      <c r="C4" s="137"/>
      <c r="D4" s="137"/>
      <c r="E4" s="137"/>
      <c r="F4" s="137"/>
      <c r="G4" s="137"/>
      <c r="H4" s="137"/>
      <c r="I4" s="137"/>
      <c r="J4" s="137"/>
    </row>
    <row r="5" spans="1:14" x14ac:dyDescent="0.2">
      <c r="A5" s="137"/>
      <c r="B5" s="137"/>
      <c r="C5" s="137"/>
      <c r="D5" s="137"/>
      <c r="E5" s="137"/>
      <c r="F5" s="137"/>
      <c r="G5" s="137"/>
      <c r="H5" s="137"/>
      <c r="I5" s="137"/>
      <c r="J5" s="137"/>
    </row>
    <row r="6" spans="1:14" ht="51" x14ac:dyDescent="0.2">
      <c r="A6" s="134" t="s">
        <v>206</v>
      </c>
      <c r="B6" s="135" t="s">
        <v>207</v>
      </c>
      <c r="C6" s="135" t="s">
        <v>208</v>
      </c>
      <c r="D6" s="135" t="s">
        <v>209</v>
      </c>
      <c r="E6" s="135" t="s">
        <v>210</v>
      </c>
      <c r="F6" s="135" t="s">
        <v>211</v>
      </c>
      <c r="G6" s="135" t="s">
        <v>212</v>
      </c>
      <c r="H6" s="135" t="s">
        <v>213</v>
      </c>
      <c r="I6" s="135" t="s">
        <v>214</v>
      </c>
      <c r="J6" s="135" t="s">
        <v>215</v>
      </c>
      <c r="K6" s="135" t="s">
        <v>738</v>
      </c>
      <c r="L6" s="135" t="s">
        <v>736</v>
      </c>
      <c r="M6" s="186"/>
      <c r="N6" s="186"/>
    </row>
    <row r="7" spans="1:14" x14ac:dyDescent="0.2">
      <c r="A7" s="143" t="s">
        <v>220</v>
      </c>
      <c r="B7" s="180">
        <v>9000</v>
      </c>
      <c r="C7" s="180">
        <v>15382</v>
      </c>
      <c r="D7" s="180">
        <v>11952</v>
      </c>
      <c r="E7" s="181">
        <v>0</v>
      </c>
      <c r="F7" s="180">
        <v>450</v>
      </c>
      <c r="G7" s="149" t="s">
        <v>221</v>
      </c>
      <c r="H7" s="149">
        <v>4</v>
      </c>
      <c r="I7" s="149">
        <v>15</v>
      </c>
      <c r="J7" s="149">
        <v>3</v>
      </c>
      <c r="K7" s="116" t="b">
        <f>IFERROR(E7/D7&lt;0.1,"")</f>
        <v>1</v>
      </c>
      <c r="L7" s="116" t="b">
        <f t="shared" ref="L7:L25" si="0">OR(H7=1,I7&gt;90)</f>
        <v>0</v>
      </c>
      <c r="M7" s="116" t="b">
        <f>I7&gt;90</f>
        <v>0</v>
      </c>
    </row>
    <row r="8" spans="1:14" x14ac:dyDescent="0.2">
      <c r="A8" s="143" t="s">
        <v>222</v>
      </c>
      <c r="B8" s="182">
        <v>39000</v>
      </c>
      <c r="C8" s="182">
        <v>10033</v>
      </c>
      <c r="D8" s="182">
        <v>7789</v>
      </c>
      <c r="E8" s="183">
        <v>0</v>
      </c>
      <c r="F8" s="182">
        <v>1950</v>
      </c>
      <c r="G8" s="149" t="s">
        <v>223</v>
      </c>
      <c r="H8" s="149">
        <v>1</v>
      </c>
      <c r="I8" s="149">
        <v>51</v>
      </c>
      <c r="J8" s="149">
        <v>1</v>
      </c>
      <c r="K8" s="116" t="b">
        <f t="shared" ref="K8:K25" si="1">IFERROR(E8/D8&lt;0.1,"")</f>
        <v>1</v>
      </c>
      <c r="L8" s="116" t="b">
        <f t="shared" si="0"/>
        <v>1</v>
      </c>
      <c r="M8" s="116" t="b">
        <f t="shared" ref="M8:M25" si="2">I8&gt;90</f>
        <v>0</v>
      </c>
    </row>
    <row r="9" spans="1:14" x14ac:dyDescent="0.2">
      <c r="A9" s="143" t="s">
        <v>224</v>
      </c>
      <c r="B9" s="182">
        <v>75000</v>
      </c>
      <c r="C9" s="182">
        <v>60009</v>
      </c>
      <c r="D9" s="182">
        <v>55342</v>
      </c>
      <c r="E9" s="183">
        <v>13892</v>
      </c>
      <c r="F9" s="182">
        <v>37500</v>
      </c>
      <c r="G9" s="149" t="s">
        <v>225</v>
      </c>
      <c r="H9" s="149">
        <v>2</v>
      </c>
      <c r="I9" s="149">
        <v>70</v>
      </c>
      <c r="J9" s="149">
        <v>1</v>
      </c>
      <c r="K9" s="116" t="b">
        <f t="shared" si="1"/>
        <v>0</v>
      </c>
      <c r="L9" s="116" t="b">
        <f t="shared" si="0"/>
        <v>0</v>
      </c>
      <c r="M9" s="116" t="b">
        <f t="shared" si="2"/>
        <v>0</v>
      </c>
    </row>
    <row r="10" spans="1:14" x14ac:dyDescent="0.2">
      <c r="A10" s="143" t="s">
        <v>226</v>
      </c>
      <c r="B10" s="182">
        <v>33000</v>
      </c>
      <c r="C10" s="182">
        <v>35039</v>
      </c>
      <c r="D10" s="182">
        <v>50921</v>
      </c>
      <c r="E10" s="183">
        <v>495</v>
      </c>
      <c r="F10" s="182">
        <v>1650</v>
      </c>
      <c r="G10" s="149" t="s">
        <v>221</v>
      </c>
      <c r="H10" s="149">
        <v>2</v>
      </c>
      <c r="I10" s="149">
        <v>43</v>
      </c>
      <c r="J10" s="149">
        <v>1</v>
      </c>
      <c r="K10" s="116" t="b">
        <f t="shared" si="1"/>
        <v>1</v>
      </c>
      <c r="L10" s="116" t="b">
        <f t="shared" si="0"/>
        <v>0</v>
      </c>
      <c r="M10" s="116" t="b">
        <f t="shared" si="2"/>
        <v>0</v>
      </c>
    </row>
    <row r="11" spans="1:14" x14ac:dyDescent="0.2">
      <c r="A11" s="143" t="s">
        <v>227</v>
      </c>
      <c r="B11" s="182"/>
      <c r="C11" s="182"/>
      <c r="D11" s="182"/>
      <c r="E11" s="183"/>
      <c r="F11" s="182">
        <v>10000</v>
      </c>
      <c r="G11" s="149" t="s">
        <v>225</v>
      </c>
      <c r="H11" s="149">
        <v>1</v>
      </c>
      <c r="I11" s="149">
        <v>91</v>
      </c>
      <c r="J11" s="149">
        <v>1</v>
      </c>
      <c r="K11" s="116" t="str">
        <f t="shared" si="1"/>
        <v/>
      </c>
      <c r="L11" s="116" t="b">
        <f t="shared" si="0"/>
        <v>1</v>
      </c>
      <c r="M11" s="116" t="b">
        <f t="shared" si="2"/>
        <v>1</v>
      </c>
    </row>
    <row r="12" spans="1:14" ht="12.75" customHeight="1" x14ac:dyDescent="0.2">
      <c r="A12" s="143" t="s">
        <v>228</v>
      </c>
      <c r="B12" s="182">
        <v>25000</v>
      </c>
      <c r="C12" s="182">
        <v>15221</v>
      </c>
      <c r="D12" s="182">
        <v>9483</v>
      </c>
      <c r="E12" s="183">
        <v>2899</v>
      </c>
      <c r="F12" s="182">
        <v>1250</v>
      </c>
      <c r="G12" s="149" t="s">
        <v>223</v>
      </c>
      <c r="H12" s="149">
        <v>3</v>
      </c>
      <c r="I12" s="149">
        <v>76</v>
      </c>
      <c r="J12" s="149">
        <v>1</v>
      </c>
      <c r="K12" s="116" t="b">
        <f t="shared" si="1"/>
        <v>0</v>
      </c>
      <c r="L12" s="116" t="b">
        <f t="shared" si="0"/>
        <v>0</v>
      </c>
      <c r="M12" s="116" t="b">
        <f t="shared" si="2"/>
        <v>0</v>
      </c>
    </row>
    <row r="13" spans="1:14" x14ac:dyDescent="0.2">
      <c r="A13" s="143" t="s">
        <v>229</v>
      </c>
      <c r="B13" s="182">
        <v>42000</v>
      </c>
      <c r="C13" s="182">
        <v>80498</v>
      </c>
      <c r="D13" s="182">
        <v>81126</v>
      </c>
      <c r="E13" s="183">
        <v>0</v>
      </c>
      <c r="F13" s="182">
        <v>2100</v>
      </c>
      <c r="G13" s="149" t="s">
        <v>223</v>
      </c>
      <c r="H13" s="149">
        <v>2</v>
      </c>
      <c r="I13" s="149">
        <v>87</v>
      </c>
      <c r="J13" s="149">
        <v>1</v>
      </c>
      <c r="K13" s="116" t="b">
        <f t="shared" si="1"/>
        <v>1</v>
      </c>
      <c r="L13" s="116" t="b">
        <f t="shared" si="0"/>
        <v>0</v>
      </c>
      <c r="M13" s="116" t="b">
        <f t="shared" si="2"/>
        <v>0</v>
      </c>
    </row>
    <row r="14" spans="1:14" x14ac:dyDescent="0.2">
      <c r="A14" s="143" t="s">
        <v>230</v>
      </c>
      <c r="B14" s="182">
        <v>27000</v>
      </c>
      <c r="C14" s="182">
        <v>35354</v>
      </c>
      <c r="D14" s="182">
        <v>20666</v>
      </c>
      <c r="E14" s="183">
        <v>0</v>
      </c>
      <c r="F14" s="182">
        <v>213</v>
      </c>
      <c r="G14" s="149" t="s">
        <v>231</v>
      </c>
      <c r="H14" s="149">
        <v>3</v>
      </c>
      <c r="I14" s="149">
        <v>94</v>
      </c>
      <c r="J14" s="149">
        <v>1</v>
      </c>
      <c r="K14" s="116" t="b">
        <f t="shared" si="1"/>
        <v>1</v>
      </c>
      <c r="L14" s="116" t="b">
        <f t="shared" si="0"/>
        <v>1</v>
      </c>
      <c r="M14" s="116" t="b">
        <f t="shared" si="2"/>
        <v>1</v>
      </c>
    </row>
    <row r="15" spans="1:14" x14ac:dyDescent="0.2">
      <c r="A15" s="143" t="s">
        <v>232</v>
      </c>
      <c r="B15" s="182">
        <v>46000</v>
      </c>
      <c r="C15" s="182">
        <v>90970</v>
      </c>
      <c r="D15" s="182">
        <v>18343</v>
      </c>
      <c r="E15" s="183">
        <v>0</v>
      </c>
      <c r="F15" s="182">
        <v>2300</v>
      </c>
      <c r="G15" s="149" t="s">
        <v>223</v>
      </c>
      <c r="H15" s="149">
        <v>1</v>
      </c>
      <c r="I15" s="149">
        <v>21</v>
      </c>
      <c r="J15" s="149">
        <v>1</v>
      </c>
      <c r="K15" s="116" t="b">
        <f t="shared" si="1"/>
        <v>1</v>
      </c>
      <c r="L15" s="116" t="b">
        <f t="shared" si="0"/>
        <v>1</v>
      </c>
      <c r="M15" s="116" t="b">
        <f t="shared" si="2"/>
        <v>0</v>
      </c>
    </row>
    <row r="16" spans="1:14" x14ac:dyDescent="0.2">
      <c r="A16" s="143" t="s">
        <v>233</v>
      </c>
      <c r="B16" s="182">
        <v>15000</v>
      </c>
      <c r="C16" s="182">
        <v>5663</v>
      </c>
      <c r="D16" s="182">
        <v>3014</v>
      </c>
      <c r="E16" s="183">
        <v>0</v>
      </c>
      <c r="F16" s="182">
        <v>750</v>
      </c>
      <c r="G16" s="149" t="s">
        <v>234</v>
      </c>
      <c r="H16" s="149">
        <v>1</v>
      </c>
      <c r="I16" s="149">
        <v>59</v>
      </c>
      <c r="J16" s="149">
        <v>1</v>
      </c>
      <c r="K16" s="116" t="b">
        <f t="shared" si="1"/>
        <v>1</v>
      </c>
      <c r="L16" s="116" t="b">
        <f t="shared" si="0"/>
        <v>1</v>
      </c>
      <c r="M16" s="116" t="b">
        <f t="shared" si="2"/>
        <v>0</v>
      </c>
    </row>
    <row r="17" spans="1:13" x14ac:dyDescent="0.2">
      <c r="A17" s="143" t="s">
        <v>235</v>
      </c>
      <c r="B17" s="182">
        <v>45000</v>
      </c>
      <c r="C17" s="182">
        <v>50278</v>
      </c>
      <c r="D17" s="182">
        <v>32338</v>
      </c>
      <c r="E17" s="183">
        <v>0</v>
      </c>
      <c r="F17" s="182">
        <v>2250</v>
      </c>
      <c r="G17" s="149" t="s">
        <v>223</v>
      </c>
      <c r="H17" s="149">
        <v>3</v>
      </c>
      <c r="I17" s="149">
        <v>91</v>
      </c>
      <c r="J17" s="149">
        <v>1</v>
      </c>
      <c r="K17" s="116" t="b">
        <f t="shared" si="1"/>
        <v>1</v>
      </c>
      <c r="L17" s="116" t="b">
        <f t="shared" si="0"/>
        <v>1</v>
      </c>
      <c r="M17" s="116" t="b">
        <f t="shared" si="2"/>
        <v>1</v>
      </c>
    </row>
    <row r="18" spans="1:13" x14ac:dyDescent="0.2">
      <c r="A18" s="143" t="s">
        <v>236</v>
      </c>
      <c r="B18" s="182">
        <v>26000</v>
      </c>
      <c r="C18" s="182">
        <v>25864</v>
      </c>
      <c r="D18" s="182">
        <v>28154</v>
      </c>
      <c r="E18" s="183">
        <v>0</v>
      </c>
      <c r="F18" s="182">
        <v>300</v>
      </c>
      <c r="G18" s="149" t="s">
        <v>221</v>
      </c>
      <c r="H18" s="149">
        <v>2</v>
      </c>
      <c r="I18" s="149">
        <v>82</v>
      </c>
      <c r="J18" s="149">
        <v>1</v>
      </c>
      <c r="K18" s="116" t="b">
        <f t="shared" si="1"/>
        <v>1</v>
      </c>
      <c r="L18" s="116" t="b">
        <f t="shared" si="0"/>
        <v>0</v>
      </c>
      <c r="M18" s="116" t="b">
        <f t="shared" si="2"/>
        <v>0</v>
      </c>
    </row>
    <row r="19" spans="1:13" x14ac:dyDescent="0.2">
      <c r="A19" s="143" t="s">
        <v>237</v>
      </c>
      <c r="B19" s="182">
        <v>45000</v>
      </c>
      <c r="C19" s="182">
        <v>40157</v>
      </c>
      <c r="D19" s="182">
        <v>25379</v>
      </c>
      <c r="E19" s="183">
        <v>0</v>
      </c>
      <c r="F19" s="182">
        <v>2250</v>
      </c>
      <c r="G19" s="149" t="s">
        <v>223</v>
      </c>
      <c r="H19" s="149">
        <v>2</v>
      </c>
      <c r="I19" s="149">
        <v>71</v>
      </c>
      <c r="J19" s="149">
        <v>1</v>
      </c>
      <c r="K19" s="116" t="b">
        <f t="shared" si="1"/>
        <v>1</v>
      </c>
      <c r="L19" s="116" t="b">
        <f t="shared" si="0"/>
        <v>0</v>
      </c>
      <c r="M19" s="116" t="b">
        <f t="shared" si="2"/>
        <v>0</v>
      </c>
    </row>
    <row r="20" spans="1:13" x14ac:dyDescent="0.2">
      <c r="A20" s="143" t="s">
        <v>238</v>
      </c>
      <c r="B20" s="182">
        <v>15000</v>
      </c>
      <c r="C20" s="182">
        <v>15898</v>
      </c>
      <c r="D20" s="182">
        <v>14732</v>
      </c>
      <c r="E20" s="183">
        <v>14383</v>
      </c>
      <c r="F20" s="182">
        <v>450</v>
      </c>
      <c r="G20" s="149" t="s">
        <v>221</v>
      </c>
      <c r="H20" s="149">
        <v>1</v>
      </c>
      <c r="I20" s="149">
        <v>67</v>
      </c>
      <c r="J20" s="149">
        <v>1</v>
      </c>
      <c r="K20" s="116" t="b">
        <f t="shared" si="1"/>
        <v>0</v>
      </c>
      <c r="L20" s="116" t="b">
        <f t="shared" si="0"/>
        <v>1</v>
      </c>
      <c r="M20" s="116" t="b">
        <f t="shared" si="2"/>
        <v>0</v>
      </c>
    </row>
    <row r="21" spans="1:13" x14ac:dyDescent="0.2">
      <c r="A21" s="143" t="s">
        <v>239</v>
      </c>
      <c r="B21" s="182">
        <v>22000</v>
      </c>
      <c r="C21" s="182">
        <v>10073</v>
      </c>
      <c r="D21" s="182">
        <v>1047</v>
      </c>
      <c r="E21" s="183">
        <v>0</v>
      </c>
      <c r="F21" s="182">
        <v>1100</v>
      </c>
      <c r="G21" s="149" t="s">
        <v>223</v>
      </c>
      <c r="H21" s="149">
        <v>3</v>
      </c>
      <c r="I21" s="149">
        <v>14</v>
      </c>
      <c r="J21" s="149">
        <v>1</v>
      </c>
      <c r="K21" s="116" t="b">
        <f t="shared" si="1"/>
        <v>1</v>
      </c>
      <c r="L21" s="116" t="b">
        <f t="shared" si="0"/>
        <v>0</v>
      </c>
      <c r="M21" s="116" t="b">
        <f t="shared" si="2"/>
        <v>0</v>
      </c>
    </row>
    <row r="22" spans="1:13" x14ac:dyDescent="0.2">
      <c r="A22" s="143" t="s">
        <v>240</v>
      </c>
      <c r="B22" s="182">
        <v>45000</v>
      </c>
      <c r="C22" s="182">
        <v>95411</v>
      </c>
      <c r="D22" s="182">
        <v>64418</v>
      </c>
      <c r="E22" s="183">
        <v>0</v>
      </c>
      <c r="F22" s="182">
        <v>150</v>
      </c>
      <c r="G22" s="149" t="s">
        <v>241</v>
      </c>
      <c r="H22" s="149">
        <v>4</v>
      </c>
      <c r="I22" s="149">
        <v>79</v>
      </c>
      <c r="J22" s="149">
        <v>2</v>
      </c>
      <c r="K22" s="116" t="b">
        <f t="shared" si="1"/>
        <v>1</v>
      </c>
      <c r="L22" s="116" t="b">
        <f t="shared" si="0"/>
        <v>0</v>
      </c>
      <c r="M22" s="116" t="b">
        <f t="shared" si="2"/>
        <v>0</v>
      </c>
    </row>
    <row r="23" spans="1:13" x14ac:dyDescent="0.2">
      <c r="A23" s="143" t="s">
        <v>242</v>
      </c>
      <c r="B23" s="182">
        <v>20000</v>
      </c>
      <c r="C23" s="182">
        <v>5621</v>
      </c>
      <c r="D23" s="182">
        <v>6171</v>
      </c>
      <c r="E23" s="183">
        <v>0</v>
      </c>
      <c r="F23" s="182">
        <v>1000</v>
      </c>
      <c r="G23" s="149" t="s">
        <v>223</v>
      </c>
      <c r="H23" s="149">
        <v>1</v>
      </c>
      <c r="I23" s="149">
        <v>87</v>
      </c>
      <c r="J23" s="149">
        <v>1</v>
      </c>
      <c r="K23" s="116" t="b">
        <f t="shared" si="1"/>
        <v>1</v>
      </c>
      <c r="L23" s="116" t="b">
        <f t="shared" si="0"/>
        <v>1</v>
      </c>
      <c r="M23" s="116" t="b">
        <f t="shared" si="2"/>
        <v>0</v>
      </c>
    </row>
    <row r="24" spans="1:13" x14ac:dyDescent="0.2">
      <c r="A24" s="143" t="s">
        <v>243</v>
      </c>
      <c r="B24" s="182">
        <v>100000</v>
      </c>
      <c r="C24" s="182">
        <v>60009</v>
      </c>
      <c r="D24" s="182">
        <v>60354</v>
      </c>
      <c r="E24" s="183">
        <v>0</v>
      </c>
      <c r="F24" s="182">
        <v>500000</v>
      </c>
      <c r="G24" s="149" t="s">
        <v>244</v>
      </c>
      <c r="H24" s="149">
        <v>2</v>
      </c>
      <c r="I24" s="149">
        <v>97</v>
      </c>
      <c r="J24" s="149">
        <v>1</v>
      </c>
      <c r="K24" s="116" t="b">
        <f t="shared" si="1"/>
        <v>1</v>
      </c>
      <c r="L24" s="116" t="b">
        <f t="shared" si="0"/>
        <v>1</v>
      </c>
      <c r="M24" s="116" t="b">
        <f t="shared" si="2"/>
        <v>1</v>
      </c>
    </row>
    <row r="25" spans="1:13" x14ac:dyDescent="0.2">
      <c r="A25" s="143" t="s">
        <v>245</v>
      </c>
      <c r="B25" s="182">
        <v>10000</v>
      </c>
      <c r="C25" s="182">
        <v>15490</v>
      </c>
      <c r="D25" s="182">
        <v>22760</v>
      </c>
      <c r="E25" s="183">
        <v>0</v>
      </c>
      <c r="F25" s="182">
        <v>620</v>
      </c>
      <c r="G25" s="149" t="s">
        <v>246</v>
      </c>
      <c r="H25" s="149">
        <v>2</v>
      </c>
      <c r="I25" s="149">
        <v>96</v>
      </c>
      <c r="J25" s="149">
        <v>1</v>
      </c>
      <c r="K25" s="116" t="b">
        <f t="shared" si="1"/>
        <v>1</v>
      </c>
      <c r="L25" s="116" t="b">
        <f t="shared" si="0"/>
        <v>1</v>
      </c>
      <c r="M25" s="116" t="b">
        <f t="shared" si="2"/>
        <v>1</v>
      </c>
    </row>
    <row r="27" spans="1:13" x14ac:dyDescent="0.2">
      <c r="G27" s="130" t="s">
        <v>169</v>
      </c>
      <c r="J27" s="131" t="s">
        <v>415</v>
      </c>
      <c r="K27" s="116" t="b">
        <f>OR(K$7:K$25)</f>
        <v>1</v>
      </c>
      <c r="L27" s="116" t="b">
        <f t="shared" ref="L27:M29" si="3">OR(L$7:L$25)</f>
        <v>1</v>
      </c>
    </row>
    <row r="28" spans="1:13" x14ac:dyDescent="0.2">
      <c r="F28" s="130"/>
      <c r="J28" s="131"/>
    </row>
    <row r="29" spans="1:13" x14ac:dyDescent="0.2">
      <c r="J29" s="133"/>
      <c r="L29" s="131" t="s">
        <v>416</v>
      </c>
      <c r="M29" s="116" t="b">
        <f t="shared" si="3"/>
        <v>1</v>
      </c>
    </row>
    <row r="31" spans="1:13" x14ac:dyDescent="0.2">
      <c r="H31" s="131"/>
      <c r="I31" s="132"/>
      <c r="J31" s="133"/>
    </row>
    <row r="32" spans="1:13" ht="12.75" customHeight="1" x14ac:dyDescent="0.2"/>
    <row r="33" spans="9:18" x14ac:dyDescent="0.2">
      <c r="I33" s="177"/>
      <c r="J33" s="177"/>
      <c r="K33" s="177"/>
      <c r="L33" s="177"/>
      <c r="M33" s="177"/>
      <c r="N33" s="177"/>
      <c r="O33" s="177"/>
      <c r="P33" s="177"/>
      <c r="Q33" s="177"/>
      <c r="R33" s="177"/>
    </row>
    <row r="34" spans="9:18" x14ac:dyDescent="0.2">
      <c r="I34" s="177"/>
      <c r="J34" s="177"/>
      <c r="K34" s="177"/>
      <c r="L34" s="177"/>
      <c r="M34" s="177"/>
      <c r="N34" s="177"/>
      <c r="O34" s="177"/>
      <c r="P34" s="177"/>
      <c r="Q34" s="177"/>
      <c r="R34" s="177"/>
    </row>
  </sheetData>
  <pageMargins left="0.75" right="0.75" top="1" bottom="1" header="0.5" footer="0.5"/>
  <pageSetup orientation="portrait" horizontalDpi="120" verticalDpi="72"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1"/>
  <dimension ref="A1:N33"/>
  <sheetViews>
    <sheetView zoomScale="145" zoomScaleNormal="145" workbookViewId="0">
      <pane xSplit="1" ySplit="6" topLeftCell="B7" activePane="bottomRight" state="frozen"/>
      <selection activeCell="B2" sqref="B2"/>
      <selection pane="topRight" activeCell="B2" sqref="B2"/>
      <selection pane="bottomLeft" activeCell="B2" sqref="B2"/>
      <selection pane="bottomRight" activeCell="M6" sqref="M6"/>
    </sheetView>
  </sheetViews>
  <sheetFormatPr defaultRowHeight="12.75" x14ac:dyDescent="0.2"/>
  <cols>
    <col min="1" max="1" width="19.42578125" style="116" customWidth="1"/>
    <col min="2" max="2" width="9.140625" style="116" bestFit="1" customWidth="1"/>
    <col min="3" max="4" width="9.140625" style="116" customWidth="1"/>
    <col min="5" max="5" width="8.28515625" style="116" customWidth="1"/>
    <col min="6" max="6" width="9.140625" style="116" bestFit="1" customWidth="1"/>
    <col min="7" max="7" width="12" style="116" customWidth="1"/>
    <col min="8" max="8" width="15.7109375" style="116" customWidth="1"/>
    <col min="9" max="9" width="10.5703125" style="116" customWidth="1"/>
    <col min="10" max="10" width="12.5703125" style="116" customWidth="1"/>
    <col min="11" max="11" width="7.5703125" style="116" customWidth="1"/>
    <col min="12" max="13" width="7.42578125" style="116" customWidth="1"/>
    <col min="14" max="14" width="3.42578125" style="116" customWidth="1"/>
    <col min="15" max="16384" width="9.140625" style="116"/>
  </cols>
  <sheetData>
    <row r="1" spans="1:14" ht="18" x14ac:dyDescent="0.25">
      <c r="A1" s="98" t="s">
        <v>492</v>
      </c>
    </row>
    <row r="2" spans="1:14" s="143" customFormat="1" hidden="1" x14ac:dyDescent="0.2"/>
    <row r="3" spans="1:14" x14ac:dyDescent="0.2">
      <c r="A3" s="231" t="str">
        <f>IF(A2="","",IF(Disable_Video_Hyperlinks,A2,HYPERLINK(Video_website&amp;A2,A2)))</f>
        <v/>
      </c>
      <c r="B3" s="137"/>
      <c r="C3" s="137"/>
      <c r="D3" s="137"/>
      <c r="E3" s="137"/>
      <c r="F3" s="137"/>
      <c r="G3" s="137"/>
      <c r="H3" s="137"/>
      <c r="I3" s="137"/>
      <c r="J3" s="137"/>
    </row>
    <row r="4" spans="1:14" x14ac:dyDescent="0.2">
      <c r="A4" s="309" t="str">
        <f>IF(B2="","",B2)</f>
        <v/>
      </c>
      <c r="B4" s="137"/>
      <c r="C4" s="137"/>
      <c r="D4" s="137"/>
      <c r="E4" s="137"/>
      <c r="F4" s="137"/>
      <c r="G4" s="137"/>
      <c r="H4" s="137"/>
      <c r="I4" s="137"/>
      <c r="J4" s="137"/>
    </row>
    <row r="5" spans="1:14" x14ac:dyDescent="0.2">
      <c r="A5" s="137"/>
      <c r="B5" s="137"/>
      <c r="C5" s="137"/>
      <c r="D5" s="137"/>
      <c r="E5" s="137"/>
      <c r="F5" s="137"/>
      <c r="G5" s="137"/>
      <c r="H5" s="137"/>
      <c r="I5" s="137"/>
      <c r="J5" s="137"/>
    </row>
    <row r="6" spans="1:14" ht="51" x14ac:dyDescent="0.2">
      <c r="A6" s="134" t="s">
        <v>206</v>
      </c>
      <c r="B6" s="135" t="s">
        <v>207</v>
      </c>
      <c r="C6" s="135" t="s">
        <v>208</v>
      </c>
      <c r="D6" s="135" t="s">
        <v>209</v>
      </c>
      <c r="E6" s="135" t="s">
        <v>210</v>
      </c>
      <c r="F6" s="135" t="s">
        <v>211</v>
      </c>
      <c r="G6" s="135" t="s">
        <v>212</v>
      </c>
      <c r="H6" s="135" t="s">
        <v>213</v>
      </c>
      <c r="I6" s="135" t="s">
        <v>214</v>
      </c>
      <c r="J6" s="135" t="s">
        <v>215</v>
      </c>
      <c r="K6" s="135" t="s">
        <v>738</v>
      </c>
      <c r="L6" s="135" t="s">
        <v>736</v>
      </c>
      <c r="M6" s="342" t="s">
        <v>737</v>
      </c>
      <c r="N6" s="186"/>
    </row>
    <row r="7" spans="1:14" x14ac:dyDescent="0.2">
      <c r="A7" s="143" t="s">
        <v>220</v>
      </c>
      <c r="B7" s="180">
        <v>9000</v>
      </c>
      <c r="C7" s="180">
        <v>15382</v>
      </c>
      <c r="D7" s="180">
        <v>11952</v>
      </c>
      <c r="E7" s="181">
        <v>0</v>
      </c>
      <c r="F7" s="180">
        <v>450</v>
      </c>
      <c r="G7" s="149" t="s">
        <v>221</v>
      </c>
      <c r="H7" s="149">
        <v>4</v>
      </c>
      <c r="I7" s="149">
        <v>15</v>
      </c>
      <c r="J7" s="149">
        <v>3</v>
      </c>
      <c r="K7" s="116" t="b">
        <f>IFERROR(E7/D7&lt;0.1,"")</f>
        <v>1</v>
      </c>
      <c r="L7" s="116" t="b">
        <f t="shared" ref="L7:L25" si="0">OR(H7=1,I7&gt;90)</f>
        <v>0</v>
      </c>
    </row>
    <row r="8" spans="1:14" x14ac:dyDescent="0.2">
      <c r="A8" s="143" t="s">
        <v>222</v>
      </c>
      <c r="B8" s="182">
        <v>39000</v>
      </c>
      <c r="C8" s="182">
        <v>10033</v>
      </c>
      <c r="D8" s="182">
        <v>7789</v>
      </c>
      <c r="E8" s="183">
        <v>0</v>
      </c>
      <c r="F8" s="182">
        <v>1950</v>
      </c>
      <c r="G8" s="149" t="s">
        <v>223</v>
      </c>
      <c r="H8" s="149">
        <v>1</v>
      </c>
      <c r="I8" s="149">
        <v>51</v>
      </c>
      <c r="J8" s="149">
        <v>1</v>
      </c>
      <c r="K8" s="116" t="b">
        <f t="shared" ref="K8:K25" si="1">IFERROR(E8/D8&lt;0.1,"")</f>
        <v>1</v>
      </c>
      <c r="L8" s="116" t="b">
        <f t="shared" si="0"/>
        <v>1</v>
      </c>
    </row>
    <row r="9" spans="1:14" x14ac:dyDescent="0.2">
      <c r="A9" s="143" t="s">
        <v>224</v>
      </c>
      <c r="B9" s="182">
        <v>75000</v>
      </c>
      <c r="C9" s="182">
        <v>60009</v>
      </c>
      <c r="D9" s="182">
        <v>55342</v>
      </c>
      <c r="E9" s="183">
        <v>13892</v>
      </c>
      <c r="F9" s="182">
        <v>37500</v>
      </c>
      <c r="G9" s="149" t="s">
        <v>225</v>
      </c>
      <c r="H9" s="149">
        <v>2</v>
      </c>
      <c r="I9" s="149">
        <v>70</v>
      </c>
      <c r="J9" s="149">
        <v>1</v>
      </c>
      <c r="K9" s="116" t="b">
        <f t="shared" si="1"/>
        <v>0</v>
      </c>
      <c r="L9" s="116" t="b">
        <f t="shared" si="0"/>
        <v>0</v>
      </c>
    </row>
    <row r="10" spans="1:14" x14ac:dyDescent="0.2">
      <c r="A10" s="143" t="s">
        <v>226</v>
      </c>
      <c r="B10" s="182">
        <v>33000</v>
      </c>
      <c r="C10" s="182">
        <v>35039</v>
      </c>
      <c r="D10" s="182">
        <v>50921</v>
      </c>
      <c r="E10" s="183">
        <v>495</v>
      </c>
      <c r="F10" s="182">
        <v>1650</v>
      </c>
      <c r="G10" s="149" t="s">
        <v>221</v>
      </c>
      <c r="H10" s="149">
        <v>2</v>
      </c>
      <c r="I10" s="149">
        <v>43</v>
      </c>
      <c r="J10" s="149">
        <v>1</v>
      </c>
      <c r="K10" s="116" t="b">
        <f t="shared" si="1"/>
        <v>1</v>
      </c>
      <c r="L10" s="116" t="b">
        <f t="shared" si="0"/>
        <v>0</v>
      </c>
    </row>
    <row r="11" spans="1:14" x14ac:dyDescent="0.2">
      <c r="A11" s="143" t="s">
        <v>227</v>
      </c>
      <c r="B11" s="182"/>
      <c r="C11" s="182"/>
      <c r="D11" s="182"/>
      <c r="E11" s="183"/>
      <c r="F11" s="182">
        <v>10000</v>
      </c>
      <c r="G11" s="149" t="s">
        <v>225</v>
      </c>
      <c r="H11" s="149">
        <v>1</v>
      </c>
      <c r="I11" s="149">
        <v>91</v>
      </c>
      <c r="J11" s="149">
        <v>1</v>
      </c>
      <c r="K11" s="116" t="str">
        <f t="shared" si="1"/>
        <v/>
      </c>
      <c r="L11" s="116" t="b">
        <f t="shared" si="0"/>
        <v>1</v>
      </c>
    </row>
    <row r="12" spans="1:14" ht="12.75" customHeight="1" x14ac:dyDescent="0.2">
      <c r="A12" s="143" t="s">
        <v>228</v>
      </c>
      <c r="B12" s="182">
        <v>25000</v>
      </c>
      <c r="C12" s="182">
        <v>15221</v>
      </c>
      <c r="D12" s="182">
        <v>9483</v>
      </c>
      <c r="E12" s="183">
        <v>2899</v>
      </c>
      <c r="F12" s="182">
        <v>1250</v>
      </c>
      <c r="G12" s="149" t="s">
        <v>223</v>
      </c>
      <c r="H12" s="149">
        <v>3</v>
      </c>
      <c r="I12" s="149">
        <v>76</v>
      </c>
      <c r="J12" s="149">
        <v>1</v>
      </c>
      <c r="K12" s="116" t="b">
        <f t="shared" si="1"/>
        <v>0</v>
      </c>
      <c r="L12" s="116" t="b">
        <f t="shared" si="0"/>
        <v>0</v>
      </c>
    </row>
    <row r="13" spans="1:14" x14ac:dyDescent="0.2">
      <c r="A13" s="143" t="s">
        <v>229</v>
      </c>
      <c r="B13" s="182">
        <v>42000</v>
      </c>
      <c r="C13" s="182">
        <v>80498</v>
      </c>
      <c r="D13" s="182">
        <v>81126</v>
      </c>
      <c r="E13" s="183">
        <v>0</v>
      </c>
      <c r="F13" s="182">
        <v>2100</v>
      </c>
      <c r="G13" s="149" t="s">
        <v>223</v>
      </c>
      <c r="H13" s="149">
        <v>2</v>
      </c>
      <c r="I13" s="149">
        <v>87</v>
      </c>
      <c r="J13" s="149">
        <v>1</v>
      </c>
      <c r="K13" s="116" t="b">
        <f t="shared" si="1"/>
        <v>1</v>
      </c>
      <c r="L13" s="116" t="b">
        <f t="shared" si="0"/>
        <v>0</v>
      </c>
    </row>
    <row r="14" spans="1:14" x14ac:dyDescent="0.2">
      <c r="A14" s="143" t="s">
        <v>230</v>
      </c>
      <c r="B14" s="182">
        <v>27000</v>
      </c>
      <c r="C14" s="182">
        <v>35354</v>
      </c>
      <c r="D14" s="182">
        <v>20666</v>
      </c>
      <c r="E14" s="183">
        <v>0</v>
      </c>
      <c r="F14" s="182">
        <v>213</v>
      </c>
      <c r="G14" s="149" t="s">
        <v>231</v>
      </c>
      <c r="H14" s="149">
        <v>3</v>
      </c>
      <c r="I14" s="149">
        <v>94</v>
      </c>
      <c r="J14" s="149">
        <v>1</v>
      </c>
      <c r="K14" s="116" t="b">
        <f t="shared" si="1"/>
        <v>1</v>
      </c>
      <c r="L14" s="116" t="b">
        <f t="shared" si="0"/>
        <v>1</v>
      </c>
    </row>
    <row r="15" spans="1:14" x14ac:dyDescent="0.2">
      <c r="A15" s="143" t="s">
        <v>232</v>
      </c>
      <c r="B15" s="182">
        <v>46000</v>
      </c>
      <c r="C15" s="182">
        <v>90970</v>
      </c>
      <c r="D15" s="182">
        <v>18343</v>
      </c>
      <c r="E15" s="183">
        <v>0</v>
      </c>
      <c r="F15" s="182">
        <v>2300</v>
      </c>
      <c r="G15" s="149" t="s">
        <v>223</v>
      </c>
      <c r="H15" s="149">
        <v>1</v>
      </c>
      <c r="I15" s="149">
        <v>21</v>
      </c>
      <c r="J15" s="149">
        <v>1</v>
      </c>
      <c r="K15" s="116" t="b">
        <f t="shared" si="1"/>
        <v>1</v>
      </c>
      <c r="L15" s="116" t="b">
        <f t="shared" si="0"/>
        <v>1</v>
      </c>
    </row>
    <row r="16" spans="1:14" x14ac:dyDescent="0.2">
      <c r="A16" s="143" t="s">
        <v>233</v>
      </c>
      <c r="B16" s="182">
        <v>15000</v>
      </c>
      <c r="C16" s="182">
        <v>5663</v>
      </c>
      <c r="D16" s="182">
        <v>3014</v>
      </c>
      <c r="E16" s="183">
        <v>0</v>
      </c>
      <c r="F16" s="182">
        <v>750</v>
      </c>
      <c r="G16" s="149" t="s">
        <v>234</v>
      </c>
      <c r="H16" s="149">
        <v>1</v>
      </c>
      <c r="I16" s="149">
        <v>59</v>
      </c>
      <c r="J16" s="149">
        <v>1</v>
      </c>
      <c r="K16" s="116" t="b">
        <f t="shared" si="1"/>
        <v>1</v>
      </c>
      <c r="L16" s="116" t="b">
        <f t="shared" si="0"/>
        <v>1</v>
      </c>
    </row>
    <row r="17" spans="1:13" x14ac:dyDescent="0.2">
      <c r="A17" s="143" t="s">
        <v>235</v>
      </c>
      <c r="B17" s="182">
        <v>45000</v>
      </c>
      <c r="C17" s="182">
        <v>50278</v>
      </c>
      <c r="D17" s="182">
        <v>32338</v>
      </c>
      <c r="E17" s="183">
        <v>0</v>
      </c>
      <c r="F17" s="182">
        <v>2250</v>
      </c>
      <c r="G17" s="149" t="s">
        <v>223</v>
      </c>
      <c r="H17" s="149">
        <v>3</v>
      </c>
      <c r="I17" s="149">
        <v>91</v>
      </c>
      <c r="J17" s="149">
        <v>1</v>
      </c>
      <c r="K17" s="116" t="b">
        <f t="shared" si="1"/>
        <v>1</v>
      </c>
      <c r="L17" s="116" t="b">
        <f t="shared" si="0"/>
        <v>1</v>
      </c>
    </row>
    <row r="18" spans="1:13" x14ac:dyDescent="0.2">
      <c r="A18" s="143" t="s">
        <v>236</v>
      </c>
      <c r="B18" s="182">
        <v>26000</v>
      </c>
      <c r="C18" s="182">
        <v>25864</v>
      </c>
      <c r="D18" s="182">
        <v>28154</v>
      </c>
      <c r="E18" s="183">
        <v>0</v>
      </c>
      <c r="F18" s="182">
        <v>300</v>
      </c>
      <c r="G18" s="149" t="s">
        <v>221</v>
      </c>
      <c r="H18" s="149">
        <v>2</v>
      </c>
      <c r="I18" s="149">
        <v>82</v>
      </c>
      <c r="J18" s="149">
        <v>1</v>
      </c>
      <c r="K18" s="116" t="b">
        <f t="shared" si="1"/>
        <v>1</v>
      </c>
      <c r="L18" s="116" t="b">
        <f t="shared" si="0"/>
        <v>0</v>
      </c>
    </row>
    <row r="19" spans="1:13" x14ac:dyDescent="0.2">
      <c r="A19" s="143" t="s">
        <v>237</v>
      </c>
      <c r="B19" s="182">
        <v>45000</v>
      </c>
      <c r="C19" s="182">
        <v>40157</v>
      </c>
      <c r="D19" s="182">
        <v>25379</v>
      </c>
      <c r="E19" s="183">
        <v>0</v>
      </c>
      <c r="F19" s="182">
        <v>2250</v>
      </c>
      <c r="G19" s="149" t="s">
        <v>223</v>
      </c>
      <c r="H19" s="149">
        <v>2</v>
      </c>
      <c r="I19" s="149">
        <v>71</v>
      </c>
      <c r="J19" s="149">
        <v>1</v>
      </c>
      <c r="K19" s="116" t="b">
        <f t="shared" si="1"/>
        <v>1</v>
      </c>
      <c r="L19" s="116" t="b">
        <f t="shared" si="0"/>
        <v>0</v>
      </c>
    </row>
    <row r="20" spans="1:13" x14ac:dyDescent="0.2">
      <c r="A20" s="143" t="s">
        <v>238</v>
      </c>
      <c r="B20" s="182">
        <v>15000</v>
      </c>
      <c r="C20" s="182">
        <v>15898</v>
      </c>
      <c r="D20" s="182">
        <v>14732</v>
      </c>
      <c r="E20" s="183">
        <v>14383</v>
      </c>
      <c r="F20" s="182">
        <v>450</v>
      </c>
      <c r="G20" s="149" t="s">
        <v>221</v>
      </c>
      <c r="H20" s="149">
        <v>1</v>
      </c>
      <c r="I20" s="149">
        <v>67</v>
      </c>
      <c r="J20" s="149">
        <v>1</v>
      </c>
      <c r="K20" s="116" t="b">
        <f t="shared" si="1"/>
        <v>0</v>
      </c>
      <c r="L20" s="116" t="b">
        <f t="shared" si="0"/>
        <v>1</v>
      </c>
    </row>
    <row r="21" spans="1:13" x14ac:dyDescent="0.2">
      <c r="A21" s="143" t="s">
        <v>239</v>
      </c>
      <c r="B21" s="182">
        <v>22000</v>
      </c>
      <c r="C21" s="182">
        <v>10073</v>
      </c>
      <c r="D21" s="182">
        <v>1047</v>
      </c>
      <c r="E21" s="183">
        <v>0</v>
      </c>
      <c r="F21" s="182">
        <v>1100</v>
      </c>
      <c r="G21" s="149" t="s">
        <v>223</v>
      </c>
      <c r="H21" s="149">
        <v>3</v>
      </c>
      <c r="I21" s="149">
        <v>14</v>
      </c>
      <c r="J21" s="149">
        <v>1</v>
      </c>
      <c r="K21" s="116" t="b">
        <f t="shared" si="1"/>
        <v>1</v>
      </c>
      <c r="L21" s="116" t="b">
        <f t="shared" si="0"/>
        <v>0</v>
      </c>
    </row>
    <row r="22" spans="1:13" x14ac:dyDescent="0.2">
      <c r="A22" s="143" t="s">
        <v>240</v>
      </c>
      <c r="B22" s="182">
        <v>45000</v>
      </c>
      <c r="C22" s="182">
        <v>95411</v>
      </c>
      <c r="D22" s="182">
        <v>64418</v>
      </c>
      <c r="E22" s="183">
        <v>0</v>
      </c>
      <c r="F22" s="182">
        <v>150</v>
      </c>
      <c r="G22" s="149" t="s">
        <v>241</v>
      </c>
      <c r="H22" s="149">
        <v>4</v>
      </c>
      <c r="I22" s="149">
        <v>79</v>
      </c>
      <c r="J22" s="149">
        <v>2</v>
      </c>
      <c r="K22" s="116" t="b">
        <f t="shared" si="1"/>
        <v>1</v>
      </c>
      <c r="L22" s="116" t="b">
        <f t="shared" si="0"/>
        <v>0</v>
      </c>
    </row>
    <row r="23" spans="1:13" x14ac:dyDescent="0.2">
      <c r="A23" s="143" t="s">
        <v>242</v>
      </c>
      <c r="B23" s="182">
        <v>20000</v>
      </c>
      <c r="C23" s="182">
        <v>5621</v>
      </c>
      <c r="D23" s="182">
        <v>6171</v>
      </c>
      <c r="E23" s="183">
        <v>0</v>
      </c>
      <c r="F23" s="182">
        <v>1000</v>
      </c>
      <c r="G23" s="149" t="s">
        <v>223</v>
      </c>
      <c r="H23" s="149">
        <v>1</v>
      </c>
      <c r="I23" s="149">
        <v>87</v>
      </c>
      <c r="J23" s="149">
        <v>1</v>
      </c>
      <c r="K23" s="116" t="b">
        <f t="shared" si="1"/>
        <v>1</v>
      </c>
      <c r="L23" s="116" t="b">
        <f t="shared" si="0"/>
        <v>1</v>
      </c>
    </row>
    <row r="24" spans="1:13" x14ac:dyDescent="0.2">
      <c r="A24" s="143" t="s">
        <v>243</v>
      </c>
      <c r="B24" s="182">
        <v>100000</v>
      </c>
      <c r="C24" s="182">
        <v>60009</v>
      </c>
      <c r="D24" s="182">
        <v>60354</v>
      </c>
      <c r="E24" s="183">
        <v>0</v>
      </c>
      <c r="F24" s="182">
        <v>500000</v>
      </c>
      <c r="G24" s="149" t="s">
        <v>244</v>
      </c>
      <c r="H24" s="149">
        <v>2</v>
      </c>
      <c r="I24" s="149">
        <v>97</v>
      </c>
      <c r="J24" s="149">
        <v>1</v>
      </c>
      <c r="K24" s="116" t="b">
        <f t="shared" si="1"/>
        <v>1</v>
      </c>
      <c r="L24" s="116" t="b">
        <f t="shared" si="0"/>
        <v>1</v>
      </c>
    </row>
    <row r="25" spans="1:13" x14ac:dyDescent="0.2">
      <c r="A25" s="143" t="s">
        <v>245</v>
      </c>
      <c r="B25" s="182">
        <v>10000</v>
      </c>
      <c r="C25" s="182">
        <v>15490</v>
      </c>
      <c r="D25" s="182">
        <v>22760</v>
      </c>
      <c r="E25" s="183">
        <v>0</v>
      </c>
      <c r="F25" s="182">
        <v>620</v>
      </c>
      <c r="G25" s="149" t="s">
        <v>246</v>
      </c>
      <c r="H25" s="149">
        <v>2</v>
      </c>
      <c r="I25" s="149">
        <v>96</v>
      </c>
      <c r="J25" s="149">
        <v>1</v>
      </c>
      <c r="K25" s="116" t="b">
        <f t="shared" si="1"/>
        <v>1</v>
      </c>
      <c r="L25" s="116" t="b">
        <f t="shared" si="0"/>
        <v>1</v>
      </c>
    </row>
    <row r="27" spans="1:13" x14ac:dyDescent="0.2">
      <c r="F27" s="130" t="s">
        <v>169</v>
      </c>
      <c r="J27" s="131" t="s">
        <v>415</v>
      </c>
      <c r="K27" s="116" t="b">
        <f>OR(K$7:K$25)</f>
        <v>1</v>
      </c>
      <c r="L27" s="116" t="b">
        <f t="shared" ref="L27" si="2">OR(L$7:L$25)</f>
        <v>1</v>
      </c>
    </row>
    <row r="28" spans="1:13" x14ac:dyDescent="0.2">
      <c r="F28" s="130"/>
      <c r="J28" s="131"/>
    </row>
    <row r="29" spans="1:13" x14ac:dyDescent="0.2">
      <c r="H29" s="131" t="s">
        <v>416</v>
      </c>
      <c r="I29" s="133" t="b">
        <f>OR(I7&gt;90,I8&gt;90,I9&gt;90,I10&gt;90,I11&gt;90,I12&gt;90,I13&gt;90,I14&gt;90,I15&gt;90,I16&gt;90,I17&gt;90,I18&gt;90,I19&gt;90,I20&gt;90,I21&gt;90,I22&gt;90,I23&gt;90,I24&gt;90,I25&gt;90)</f>
        <v>1</v>
      </c>
      <c r="J29" s="133" t="s">
        <v>417</v>
      </c>
    </row>
    <row r="31" spans="1:13" ht="12.75" customHeight="1" x14ac:dyDescent="0.2">
      <c r="H31" s="131" t="s">
        <v>416</v>
      </c>
      <c r="I31" s="132" t="b">
        <f t="array" ref="I31">OR(I7:I25&gt;90)</f>
        <v>1</v>
      </c>
      <c r="J31" s="133" t="s">
        <v>419</v>
      </c>
    </row>
    <row r="32" spans="1:13" ht="12.75" customHeight="1" x14ac:dyDescent="0.2">
      <c r="D32" s="230" t="s">
        <v>420</v>
      </c>
      <c r="E32" s="329"/>
      <c r="F32" s="329"/>
      <c r="G32" s="329"/>
      <c r="H32" s="329"/>
      <c r="I32" s="329"/>
      <c r="J32" s="329"/>
      <c r="K32" s="329"/>
      <c r="L32" s="329"/>
      <c r="M32" s="329"/>
    </row>
    <row r="33" spans="4:13" ht="12.75" customHeight="1" x14ac:dyDescent="0.2">
      <c r="D33" s="329"/>
      <c r="E33" s="329"/>
      <c r="F33" s="329"/>
      <c r="G33" s="329"/>
      <c r="H33" s="329"/>
      <c r="I33" s="329"/>
      <c r="J33" s="329"/>
      <c r="K33" s="329"/>
      <c r="L33" s="329"/>
      <c r="M33" s="329"/>
    </row>
  </sheetData>
  <pageMargins left="0.75" right="0.75" top="1" bottom="1" header="0.5" footer="0.5"/>
  <pageSetup orientation="portrait" horizontalDpi="120" verticalDpi="72"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2"/>
  <dimension ref="A1:R31"/>
  <sheetViews>
    <sheetView zoomScale="145" zoomScaleNormal="145" workbookViewId="0">
      <pane xSplit="1" ySplit="6" topLeftCell="B7" activePane="bottomRight" state="frozen"/>
      <selection activeCell="B2" sqref="B2"/>
      <selection pane="topRight" activeCell="B2" sqref="B2"/>
      <selection pane="bottomLeft" activeCell="B2" sqref="B2"/>
      <selection pane="bottomRight" activeCell="A2" sqref="A2"/>
    </sheetView>
  </sheetViews>
  <sheetFormatPr defaultRowHeight="12.75" x14ac:dyDescent="0.2"/>
  <cols>
    <col min="1" max="1" width="19.42578125" style="116" customWidth="1"/>
    <col min="2" max="2" width="9.140625" style="116" bestFit="1" customWidth="1"/>
    <col min="3" max="4" width="9.140625" style="116" customWidth="1"/>
    <col min="5" max="5" width="8.28515625" style="116" customWidth="1"/>
    <col min="6" max="6" width="9.140625" style="116" bestFit="1" customWidth="1"/>
    <col min="7" max="7" width="12" style="116" customWidth="1"/>
    <col min="8" max="8" width="15.7109375" style="116" customWidth="1"/>
    <col min="9" max="9" width="10.5703125" style="116" customWidth="1"/>
    <col min="10" max="10" width="12.5703125" style="116" customWidth="1"/>
    <col min="11" max="11" width="7.5703125" style="116" customWidth="1"/>
    <col min="12" max="13" width="7.42578125" style="116" customWidth="1"/>
    <col min="14" max="14" width="5.28515625" style="116" customWidth="1"/>
    <col min="15" max="15" width="17.85546875" style="116" customWidth="1"/>
    <col min="16" max="17" width="9.140625" style="116"/>
    <col min="18" max="18" width="3.28515625" style="116" customWidth="1"/>
    <col min="19" max="16384" width="9.140625" style="116"/>
  </cols>
  <sheetData>
    <row r="1" spans="1:18" ht="18" x14ac:dyDescent="0.25">
      <c r="A1" s="98" t="s">
        <v>414</v>
      </c>
    </row>
    <row r="2" spans="1:18" s="143" customFormat="1" hidden="1" x14ac:dyDescent="0.2">
      <c r="A2" s="143" t="s">
        <v>526</v>
      </c>
      <c r="B2" s="321">
        <v>5.115740740740741E-3</v>
      </c>
    </row>
    <row r="3" spans="1:18" x14ac:dyDescent="0.2">
      <c r="A3" s="231" t="str">
        <f>IF(A2="","",IF(Disable_Video_Hyperlinks,A2,HYPERLINK(Video_website&amp;A2,A2)))</f>
        <v>UNC_DAYT_EXCEL_2.6.5_LECTURE_AND_NOT_FLEXIBLE_FORMULAS_GROUPING_ROWS.mp4</v>
      </c>
      <c r="B3" s="137"/>
      <c r="C3" s="137"/>
      <c r="D3" s="137"/>
      <c r="E3" s="137"/>
      <c r="F3" s="137"/>
      <c r="G3" s="137"/>
      <c r="H3" s="137"/>
      <c r="I3" s="137"/>
      <c r="J3" s="137"/>
    </row>
    <row r="4" spans="1:18" x14ac:dyDescent="0.2">
      <c r="A4" s="309">
        <f>IF(B2="","",B2)</f>
        <v>5.115740740740741E-3</v>
      </c>
      <c r="B4" s="137"/>
      <c r="C4" s="137"/>
      <c r="D4" s="137"/>
      <c r="E4" s="137"/>
      <c r="F4" s="137"/>
      <c r="G4" s="137"/>
      <c r="H4" s="137"/>
      <c r="I4" s="137"/>
      <c r="J4" s="137"/>
    </row>
    <row r="5" spans="1:18" x14ac:dyDescent="0.2">
      <c r="A5" s="137"/>
      <c r="B5" s="137"/>
      <c r="C5" s="137"/>
      <c r="D5" s="137"/>
      <c r="E5" s="137"/>
      <c r="F5" s="137"/>
      <c r="G5" s="137"/>
      <c r="H5" s="137"/>
      <c r="I5" s="137"/>
      <c r="J5" s="137"/>
    </row>
    <row r="6" spans="1:18" ht="51" x14ac:dyDescent="0.2">
      <c r="A6" s="134" t="s">
        <v>206</v>
      </c>
      <c r="B6" s="135" t="s">
        <v>207</v>
      </c>
      <c r="C6" s="135" t="s">
        <v>208</v>
      </c>
      <c r="D6" s="135" t="s">
        <v>209</v>
      </c>
      <c r="E6" s="135" t="s">
        <v>210</v>
      </c>
      <c r="F6" s="135" t="s">
        <v>211</v>
      </c>
      <c r="G6" s="135" t="s">
        <v>212</v>
      </c>
      <c r="H6" s="135" t="s">
        <v>213</v>
      </c>
      <c r="I6" s="135" t="s">
        <v>214</v>
      </c>
      <c r="J6" s="135" t="s">
        <v>215</v>
      </c>
      <c r="K6" s="135" t="s">
        <v>738</v>
      </c>
      <c r="L6" s="135" t="s">
        <v>736</v>
      </c>
      <c r="M6" s="135" t="s">
        <v>737</v>
      </c>
      <c r="N6" s="186"/>
    </row>
    <row r="7" spans="1:18" x14ac:dyDescent="0.2">
      <c r="A7" s="143" t="s">
        <v>220</v>
      </c>
      <c r="B7" s="180">
        <v>9000</v>
      </c>
      <c r="C7" s="180">
        <v>15382</v>
      </c>
      <c r="D7" s="180">
        <v>11952</v>
      </c>
      <c r="E7" s="181">
        <v>0</v>
      </c>
      <c r="F7" s="180">
        <v>450</v>
      </c>
      <c r="G7" s="149" t="s">
        <v>221</v>
      </c>
      <c r="H7" s="149">
        <v>4</v>
      </c>
      <c r="I7" s="149">
        <v>15</v>
      </c>
      <c r="J7" s="149">
        <v>3</v>
      </c>
      <c r="K7" s="116" t="b">
        <f>IFERROR(E7/D7&lt;0.1,"")</f>
        <v>1</v>
      </c>
      <c r="L7" s="116" t="b">
        <f t="shared" ref="L7:L25" si="0">OR(H7=1,I7&gt;90)</f>
        <v>0</v>
      </c>
      <c r="M7" s="116" t="b">
        <f t="shared" ref="M7:M25" si="1">AND(F7*1000&gt;=500000,H7&lt;=2,I7&gt;70,J7=1)</f>
        <v>0</v>
      </c>
    </row>
    <row r="8" spans="1:18" x14ac:dyDescent="0.2">
      <c r="A8" s="143" t="s">
        <v>222</v>
      </c>
      <c r="B8" s="182">
        <v>39000</v>
      </c>
      <c r="C8" s="182">
        <v>10033</v>
      </c>
      <c r="D8" s="182">
        <v>7789</v>
      </c>
      <c r="E8" s="183">
        <v>0</v>
      </c>
      <c r="F8" s="182">
        <v>1950</v>
      </c>
      <c r="G8" s="149" t="s">
        <v>223</v>
      </c>
      <c r="H8" s="149">
        <v>1</v>
      </c>
      <c r="I8" s="149">
        <v>51</v>
      </c>
      <c r="J8" s="149">
        <v>1</v>
      </c>
      <c r="K8" s="116" t="b">
        <f t="shared" ref="K8:K25" si="2">IFERROR(E8/D8&lt;0.1,"")</f>
        <v>1</v>
      </c>
      <c r="L8" s="116" t="b">
        <f t="shared" si="0"/>
        <v>1</v>
      </c>
      <c r="M8" s="116" t="b">
        <f t="shared" si="1"/>
        <v>0</v>
      </c>
    </row>
    <row r="9" spans="1:18" ht="13.5" thickBot="1" x14ac:dyDescent="0.25">
      <c r="A9" s="143" t="s">
        <v>224</v>
      </c>
      <c r="B9" s="182">
        <v>75000</v>
      </c>
      <c r="C9" s="182">
        <v>60009</v>
      </c>
      <c r="D9" s="182">
        <v>55342</v>
      </c>
      <c r="E9" s="183">
        <v>13892</v>
      </c>
      <c r="F9" s="182">
        <v>37500</v>
      </c>
      <c r="G9" s="149" t="s">
        <v>225</v>
      </c>
      <c r="H9" s="149">
        <v>2</v>
      </c>
      <c r="I9" s="149">
        <v>70</v>
      </c>
      <c r="J9" s="149">
        <v>1</v>
      </c>
      <c r="K9" s="116" t="b">
        <f t="shared" si="2"/>
        <v>0</v>
      </c>
      <c r="L9" s="116" t="b">
        <f t="shared" si="0"/>
        <v>0</v>
      </c>
      <c r="M9" s="116" t="b">
        <f t="shared" si="1"/>
        <v>0</v>
      </c>
    </row>
    <row r="10" spans="1:18" ht="13.5" thickBot="1" x14ac:dyDescent="0.25">
      <c r="A10" s="143" t="s">
        <v>226</v>
      </c>
      <c r="B10" s="182">
        <v>33000</v>
      </c>
      <c r="C10" s="182">
        <v>35039</v>
      </c>
      <c r="D10" s="182">
        <v>50921</v>
      </c>
      <c r="E10" s="183">
        <v>495</v>
      </c>
      <c r="F10" s="182">
        <v>1650</v>
      </c>
      <c r="G10" s="149" t="s">
        <v>221</v>
      </c>
      <c r="H10" s="149">
        <v>2</v>
      </c>
      <c r="I10" s="149">
        <v>43</v>
      </c>
      <c r="J10" s="149">
        <v>1</v>
      </c>
      <c r="K10" s="116" t="b">
        <f t="shared" si="2"/>
        <v>1</v>
      </c>
      <c r="L10" s="116" t="b">
        <f t="shared" si="0"/>
        <v>0</v>
      </c>
      <c r="M10" s="116" t="b">
        <f t="shared" si="1"/>
        <v>0</v>
      </c>
      <c r="O10" s="341" t="s">
        <v>303</v>
      </c>
    </row>
    <row r="11" spans="1:18" ht="13.5" thickBot="1" x14ac:dyDescent="0.25">
      <c r="A11" s="143" t="s">
        <v>227</v>
      </c>
      <c r="B11" s="182"/>
      <c r="C11" s="182"/>
      <c r="D11" s="182"/>
      <c r="E11" s="183"/>
      <c r="F11" s="182">
        <v>10000</v>
      </c>
      <c r="G11" s="149" t="s">
        <v>225</v>
      </c>
      <c r="H11" s="149">
        <v>1</v>
      </c>
      <c r="I11" s="149">
        <v>91</v>
      </c>
      <c r="J11" s="149">
        <v>1</v>
      </c>
      <c r="K11" s="116" t="str">
        <f t="shared" si="2"/>
        <v/>
      </c>
      <c r="L11" s="116" t="b">
        <f t="shared" si="0"/>
        <v>1</v>
      </c>
      <c r="M11" s="116" t="b">
        <f t="shared" si="1"/>
        <v>1</v>
      </c>
      <c r="O11" s="103" t="s">
        <v>403</v>
      </c>
      <c r="P11" s="102"/>
      <c r="Q11" s="102"/>
      <c r="R11" s="215"/>
    </row>
    <row r="12" spans="1:18" ht="12.75" customHeight="1" x14ac:dyDescent="0.2">
      <c r="A12" s="143" t="s">
        <v>228</v>
      </c>
      <c r="B12" s="182">
        <v>25000</v>
      </c>
      <c r="C12" s="182">
        <v>15221</v>
      </c>
      <c r="D12" s="182">
        <v>9483</v>
      </c>
      <c r="E12" s="183">
        <v>2899</v>
      </c>
      <c r="F12" s="182">
        <v>1250</v>
      </c>
      <c r="G12" s="149" t="s">
        <v>223</v>
      </c>
      <c r="H12" s="149">
        <v>3</v>
      </c>
      <c r="I12" s="149">
        <v>76</v>
      </c>
      <c r="J12" s="149">
        <v>1</v>
      </c>
      <c r="K12" s="116" t="b">
        <f t="shared" si="2"/>
        <v>0</v>
      </c>
      <c r="L12" s="116" t="b">
        <f t="shared" si="0"/>
        <v>0</v>
      </c>
      <c r="M12" s="116" t="b">
        <f t="shared" si="1"/>
        <v>0</v>
      </c>
    </row>
    <row r="13" spans="1:18" ht="12" customHeight="1"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c r="O13" s="124" t="s">
        <v>405</v>
      </c>
    </row>
    <row r="14" spans="1:18"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c r="O14" s="216"/>
      <c r="P14" s="128" t="s">
        <v>407</v>
      </c>
      <c r="Q14" s="217"/>
    </row>
    <row r="15" spans="1:18"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c r="O15" s="126" t="s">
        <v>406</v>
      </c>
      <c r="P15" s="125" t="b">
        <v>1</v>
      </c>
      <c r="Q15" s="125" t="b">
        <v>0</v>
      </c>
    </row>
    <row r="16" spans="1:18"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c r="O16" s="127" t="b">
        <v>1</v>
      </c>
      <c r="P16" s="218" t="b">
        <f>AND(P$15,$O16)</f>
        <v>1</v>
      </c>
      <c r="Q16" s="218" t="b">
        <f>AND(Q$15,$O16)</f>
        <v>0</v>
      </c>
    </row>
    <row r="17" spans="1:17"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c r="O17" s="127" t="b">
        <v>0</v>
      </c>
      <c r="P17" s="218" t="b">
        <f>AND(P$15,$O17)</f>
        <v>0</v>
      </c>
      <c r="Q17" s="218" t="b">
        <f>AND(Q$15,$O17)</f>
        <v>0</v>
      </c>
    </row>
    <row r="18" spans="1:17"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c r="O18" s="382" t="s">
        <v>474</v>
      </c>
      <c r="P18" s="383"/>
      <c r="Q18" s="384"/>
    </row>
    <row r="19" spans="1:17"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c r="O19" s="385"/>
      <c r="P19" s="386"/>
      <c r="Q19" s="387"/>
    </row>
    <row r="20" spans="1:17"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c r="O20" s="385"/>
      <c r="P20" s="386"/>
      <c r="Q20" s="387"/>
    </row>
    <row r="21" spans="1:17"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c r="O21" s="385"/>
      <c r="P21" s="386"/>
      <c r="Q21" s="387"/>
    </row>
    <row r="22" spans="1:17"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c r="O22" s="385"/>
      <c r="P22" s="386"/>
      <c r="Q22" s="387"/>
    </row>
    <row r="23" spans="1:17"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c r="O23" s="385"/>
      <c r="P23" s="386"/>
      <c r="Q23" s="387"/>
    </row>
    <row r="24" spans="1:17"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c r="O24" s="385"/>
      <c r="P24" s="386"/>
      <c r="Q24" s="387"/>
    </row>
    <row r="25" spans="1:17"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c r="O25" s="388"/>
      <c r="P25" s="389"/>
      <c r="Q25" s="390"/>
    </row>
    <row r="27" spans="1:17" x14ac:dyDescent="0.2">
      <c r="F27" s="130" t="s">
        <v>169</v>
      </c>
      <c r="J27" s="131" t="s">
        <v>424</v>
      </c>
      <c r="K27" s="116" t="b">
        <f>OR(K$7:K$25)</f>
        <v>1</v>
      </c>
      <c r="L27" s="116" t="b">
        <f t="shared" ref="L27:M27" si="3">OR(L$7:L$25)</f>
        <v>1</v>
      </c>
      <c r="M27" s="116" t="b">
        <f t="shared" si="3"/>
        <v>1</v>
      </c>
    </row>
    <row r="28" spans="1:17" x14ac:dyDescent="0.2">
      <c r="F28" s="130" t="s">
        <v>303</v>
      </c>
      <c r="J28" s="131" t="s">
        <v>425</v>
      </c>
      <c r="K28" s="116" t="b">
        <f>AND(K7:K25)</f>
        <v>0</v>
      </c>
      <c r="L28" s="116" t="b">
        <f t="shared" ref="L28:M28" si="4">AND(L7:L25)</f>
        <v>0</v>
      </c>
      <c r="M28" s="116" t="b">
        <f t="shared" si="4"/>
        <v>0</v>
      </c>
    </row>
    <row r="30" spans="1:17" ht="12.75" customHeight="1" x14ac:dyDescent="0.2">
      <c r="I30" s="131" t="s">
        <v>426</v>
      </c>
      <c r="J30" s="133" t="b">
        <f>AND(I7&gt;90,I8&gt;90,I9&gt;90,I10&gt;90,I11&gt;90,I12&gt;90,I13&gt;90,I14&gt;90,I15&gt;90,I16&gt;90,I17&gt;90,I18&gt;90,I19&gt;90,I20&gt;90,I21&gt;90,I22&gt;90,I23&gt;90,I24&gt;90,I25&gt;90)</f>
        <v>0</v>
      </c>
      <c r="K30" s="136" t="s">
        <v>427</v>
      </c>
    </row>
    <row r="31" spans="1:17" x14ac:dyDescent="0.2">
      <c r="I31" s="131" t="s">
        <v>426</v>
      </c>
      <c r="J31" s="116" t="b">
        <f t="array" ref="J31">AND(I7:I25&gt;90)</f>
        <v>0</v>
      </c>
      <c r="K31" s="136" t="s">
        <v>428</v>
      </c>
    </row>
  </sheetData>
  <mergeCells count="1">
    <mergeCell ref="O18:Q25"/>
  </mergeCells>
  <pageMargins left="0.75" right="0.75" top="1" bottom="1" header="0.5" footer="0.5"/>
  <pageSetup orientation="portrait" horizontalDpi="120" verticalDpi="72"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3FF3A-F050-423B-87AE-C53A55405030}">
  <dimension ref="A1:E30"/>
  <sheetViews>
    <sheetView zoomScale="160" zoomScaleNormal="160" workbookViewId="0">
      <selection activeCell="B2" sqref="B2"/>
    </sheetView>
  </sheetViews>
  <sheetFormatPr defaultRowHeight="12.75" x14ac:dyDescent="0.2"/>
  <cols>
    <col min="1" max="1" width="21.140625" style="116" customWidth="1"/>
    <col min="2" max="2" width="10" style="116" customWidth="1"/>
    <col min="3" max="3" width="32" style="116" customWidth="1"/>
    <col min="4" max="4" width="15.85546875" style="116" customWidth="1"/>
    <col min="5" max="16384" width="9.140625" style="116"/>
  </cols>
  <sheetData>
    <row r="1" spans="1:4" ht="18" x14ac:dyDescent="0.25">
      <c r="A1" s="98" t="s">
        <v>284</v>
      </c>
    </row>
    <row r="2" spans="1:4" s="143" customFormat="1" hidden="1" x14ac:dyDescent="0.2">
      <c r="B2" s="321"/>
    </row>
    <row r="3" spans="1:4" x14ac:dyDescent="0.2">
      <c r="A3" s="231" t="str">
        <f>IF(A2="","",IF(Disable_Video_Hyperlinks,A2,HYPERLINK(Video_website&amp;A2,A2)))</f>
        <v/>
      </c>
    </row>
    <row r="4" spans="1:4" x14ac:dyDescent="0.2">
      <c r="A4" s="309" t="str">
        <f>IF(B2="","",B2)</f>
        <v/>
      </c>
    </row>
    <row r="6" spans="1:4" x14ac:dyDescent="0.2">
      <c r="B6" s="149">
        <v>1</v>
      </c>
      <c r="C6" s="149">
        <v>10</v>
      </c>
    </row>
    <row r="7" spans="1:4" x14ac:dyDescent="0.2">
      <c r="B7" s="371">
        <v>43831</v>
      </c>
      <c r="C7" s="371">
        <v>44561</v>
      </c>
    </row>
    <row r="8" spans="1:4" x14ac:dyDescent="0.2">
      <c r="B8" s="149" t="s">
        <v>290</v>
      </c>
      <c r="C8" s="149" t="s">
        <v>231</v>
      </c>
    </row>
    <row r="9" spans="1:4" ht="13.5" thickBot="1" x14ac:dyDescent="0.25"/>
    <row r="10" spans="1:4" ht="14.25" thickTop="1" thickBot="1" x14ac:dyDescent="0.25">
      <c r="A10" s="97" t="s">
        <v>33</v>
      </c>
      <c r="B10" s="97" t="s">
        <v>272</v>
      </c>
      <c r="C10" s="367" t="s">
        <v>287</v>
      </c>
      <c r="D10" s="97" t="s">
        <v>288</v>
      </c>
    </row>
    <row r="11" spans="1:4" ht="13.5" thickTop="1" x14ac:dyDescent="0.2">
      <c r="A11" s="171" t="s">
        <v>289</v>
      </c>
      <c r="B11" s="172" t="s">
        <v>273</v>
      </c>
      <c r="C11" s="365" t="str">
        <f t="shared" ref="C11:C13" ca="1" si="0">_xlfn.FORMULATEXT(D11)</f>
        <v>= 3 + 5 = 8</v>
      </c>
      <c r="D11" s="99" t="b">
        <f xml:space="preserve"> 3 + 5 = 8</f>
        <v>1</v>
      </c>
    </row>
    <row r="12" spans="1:4" x14ac:dyDescent="0.2">
      <c r="A12" s="171" t="s">
        <v>275</v>
      </c>
      <c r="B12" s="172" t="s">
        <v>274</v>
      </c>
      <c r="C12" s="365" t="str">
        <f t="shared" ca="1" si="0"/>
        <v>=SUM( 3, 7 ) &lt;&gt; 10</v>
      </c>
      <c r="D12" s="99" t="b">
        <f>SUM( 3, 7 ) &lt;&gt; 10</f>
        <v>0</v>
      </c>
    </row>
    <row r="13" spans="1:4" x14ac:dyDescent="0.2">
      <c r="A13" s="171" t="s">
        <v>279</v>
      </c>
      <c r="B13" s="172" t="s">
        <v>278</v>
      </c>
      <c r="C13" s="365" t="str">
        <f t="shared" ca="1" si="0"/>
        <v>= 100 &gt; MAX( 5, 10, 20 )</v>
      </c>
      <c r="D13" s="99" t="b">
        <f xml:space="preserve"> 100 &gt; MAX( 5, 10, 20 )</f>
        <v>1</v>
      </c>
    </row>
    <row r="14" spans="1:4" x14ac:dyDescent="0.2">
      <c r="A14" s="171" t="s">
        <v>277</v>
      </c>
      <c r="B14" s="172" t="s">
        <v>276</v>
      </c>
      <c r="C14" s="365" t="str">
        <f ca="1">_xlfn.FORMULATEXT(D14)</f>
        <v>= B6 &lt; C6</v>
      </c>
      <c r="D14" s="99" t="b">
        <f xml:space="preserve"> B6 &lt; C6</f>
        <v>1</v>
      </c>
    </row>
    <row r="15" spans="1:4" x14ac:dyDescent="0.2">
      <c r="A15" s="171" t="s">
        <v>283</v>
      </c>
      <c r="B15" s="172" t="s">
        <v>282</v>
      </c>
      <c r="C15" s="365" t="str">
        <f t="shared" ref="C15:C16" ca="1" si="1">_xlfn.FORMULATEXT(D15)</f>
        <v>= B7 &gt;= C7</v>
      </c>
      <c r="D15" s="99" t="b">
        <f xml:space="preserve"> B7 &gt;= C7</f>
        <v>0</v>
      </c>
    </row>
    <row r="16" spans="1:4" ht="13.5" thickBot="1" x14ac:dyDescent="0.25">
      <c r="A16" s="173" t="s">
        <v>281</v>
      </c>
      <c r="B16" s="174" t="s">
        <v>280</v>
      </c>
      <c r="C16" s="366" t="str">
        <f t="shared" ca="1" si="1"/>
        <v>= B8 &lt;= C8</v>
      </c>
      <c r="D16" s="100" t="b">
        <f xml:space="preserve"> B8 &lt;= C8</f>
        <v>1</v>
      </c>
    </row>
    <row r="17" spans="1:5" ht="13.5" thickTop="1" x14ac:dyDescent="0.2"/>
    <row r="18" spans="1:5" x14ac:dyDescent="0.2">
      <c r="A18" s="370" t="s">
        <v>763</v>
      </c>
    </row>
    <row r="19" spans="1:5" x14ac:dyDescent="0.2">
      <c r="A19" s="369" t="s">
        <v>764</v>
      </c>
      <c r="C19" s="117" t="str">
        <f t="shared" ref="C19:C20" ca="1" si="2">_xlfn.FORMULATEXT(D19)</f>
        <v>= $B$6 &lt;= E19 &lt;= $C$6</v>
      </c>
      <c r="D19" s="368" t="b">
        <f xml:space="preserve"> $B$6 &lt;= E19 &lt;= $C$6</f>
        <v>0</v>
      </c>
      <c r="E19" s="149">
        <v>5</v>
      </c>
    </row>
    <row r="20" spans="1:5" x14ac:dyDescent="0.2">
      <c r="A20" s="369" t="s">
        <v>764</v>
      </c>
      <c r="C20" s="117" t="str">
        <f t="shared" ca="1" si="2"/>
        <v>= $B$6 &lt;= E20 &lt;= $C$6</v>
      </c>
      <c r="D20" s="368" t="b">
        <f xml:space="preserve"> $B$6 &lt;= E20 &lt;= $C$6</f>
        <v>0</v>
      </c>
      <c r="E20" s="149">
        <v>15</v>
      </c>
    </row>
    <row r="21" spans="1:5" x14ac:dyDescent="0.2">
      <c r="A21" s="116" t="s">
        <v>765</v>
      </c>
      <c r="C21" s="117"/>
    </row>
    <row r="22" spans="1:5" x14ac:dyDescent="0.2">
      <c r="C22" s="117"/>
    </row>
    <row r="23" spans="1:5" x14ac:dyDescent="0.2">
      <c r="A23" s="370" t="s">
        <v>768</v>
      </c>
    </row>
    <row r="24" spans="1:5" x14ac:dyDescent="0.2">
      <c r="A24" s="369" t="s">
        <v>764</v>
      </c>
      <c r="C24" s="117" t="str">
        <f t="shared" ref="C24:C25" ca="1" si="3">_xlfn.FORMULATEXT(D24)</f>
        <v>= OR( $B$6 &lt;= E24, E24 &lt;= $C$6 )</v>
      </c>
      <c r="D24" s="368" t="b">
        <f xml:space="preserve"> OR( $B$6 &lt;= E24, E24 &lt;= $C$6 )</f>
        <v>1</v>
      </c>
      <c r="E24" s="149">
        <v>5</v>
      </c>
    </row>
    <row r="25" spans="1:5" x14ac:dyDescent="0.2">
      <c r="A25" s="369" t="s">
        <v>764</v>
      </c>
      <c r="C25" s="117" t="str">
        <f t="shared" ca="1" si="3"/>
        <v>= OR( $B$6 &lt;= E25, E25 &lt;= $C$6 )</v>
      </c>
      <c r="D25" s="368" t="b">
        <f xml:space="preserve"> OR( $B$6 &lt;= E25, E25 &lt;= $C$6 )</f>
        <v>1</v>
      </c>
      <c r="E25" s="149">
        <v>15</v>
      </c>
    </row>
    <row r="26" spans="1:5" x14ac:dyDescent="0.2">
      <c r="A26" s="116" t="s">
        <v>766</v>
      </c>
    </row>
    <row r="27" spans="1:5" x14ac:dyDescent="0.2">
      <c r="A27" s="329"/>
      <c r="B27" s="329"/>
      <c r="C27" s="329"/>
      <c r="D27" s="329"/>
    </row>
    <row r="28" spans="1:5" x14ac:dyDescent="0.2">
      <c r="A28" s="370" t="s">
        <v>767</v>
      </c>
    </row>
    <row r="29" spans="1:5" x14ac:dyDescent="0.2">
      <c r="A29" s="369" t="s">
        <v>764</v>
      </c>
      <c r="C29" s="117" t="str">
        <f t="shared" ref="C29:C30" ca="1" si="4">_xlfn.FORMULATEXT(D29)</f>
        <v>= AND( $B$6 &lt;= E29, E29 &lt;= $C$6 )</v>
      </c>
      <c r="D29" s="368" t="b">
        <f xml:space="preserve"> AND( $B$6 &lt;= E29, E29 &lt;= $C$6 )</f>
        <v>1</v>
      </c>
      <c r="E29" s="149">
        <v>5</v>
      </c>
    </row>
    <row r="30" spans="1:5" x14ac:dyDescent="0.2">
      <c r="A30" s="369" t="s">
        <v>764</v>
      </c>
      <c r="C30" s="117" t="str">
        <f t="shared" ca="1" si="4"/>
        <v>= AND( $B$6 &lt;= E30, E30 &lt;= $C$6 )</v>
      </c>
      <c r="D30" s="368" t="b">
        <f xml:space="preserve"> AND( $B$6 &lt;= E30, E30 &lt;= $C$6 )</f>
        <v>0</v>
      </c>
      <c r="E30" s="149">
        <v>15</v>
      </c>
    </row>
  </sheetData>
  <pageMargins left="0.75" right="0.75" top="1" bottom="1" header="0.5" footer="0.5"/>
  <headerFooter alignWithMargins="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3"/>
  <dimension ref="A1:Q31"/>
  <sheetViews>
    <sheetView zoomScale="145" zoomScaleNormal="145" workbookViewId="0">
      <pane xSplit="1" ySplit="6" topLeftCell="B7" activePane="bottomRight" state="frozen"/>
      <selection activeCell="B2" sqref="B2"/>
      <selection pane="topRight" activeCell="B2" sqref="B2"/>
      <selection pane="bottomLeft" activeCell="B2" sqref="B2"/>
      <selection pane="bottomRight" activeCell="K29" sqref="K29"/>
    </sheetView>
  </sheetViews>
  <sheetFormatPr defaultRowHeight="12.75" x14ac:dyDescent="0.2"/>
  <cols>
    <col min="1" max="1" width="19.42578125" style="116" customWidth="1"/>
    <col min="2" max="2" width="9.140625" style="116" bestFit="1" customWidth="1"/>
    <col min="3" max="4" width="9.140625" style="116" customWidth="1"/>
    <col min="5" max="5" width="8.28515625" style="116" customWidth="1"/>
    <col min="6" max="6" width="9.140625" style="116" bestFit="1" customWidth="1"/>
    <col min="7" max="7" width="12" style="116" customWidth="1"/>
    <col min="8" max="8" width="15.7109375" style="116" customWidth="1"/>
    <col min="9" max="9" width="10.5703125" style="116" customWidth="1"/>
    <col min="10" max="10" width="12.5703125" style="116" customWidth="1"/>
    <col min="11" max="11" width="7.5703125" style="116" customWidth="1"/>
    <col min="12" max="13" width="7.42578125" style="116" customWidth="1"/>
    <col min="14" max="14" width="5" style="116" customWidth="1"/>
    <col min="15" max="15" width="17.140625" style="116" customWidth="1"/>
    <col min="16" max="16384" width="9.140625" style="116"/>
  </cols>
  <sheetData>
    <row r="1" spans="1:17" ht="18" x14ac:dyDescent="0.25">
      <c r="A1" s="98" t="s">
        <v>443</v>
      </c>
    </row>
    <row r="2" spans="1:17" s="143" customFormat="1" hidden="1" x14ac:dyDescent="0.2"/>
    <row r="3" spans="1:17" x14ac:dyDescent="0.2">
      <c r="A3" s="231" t="str">
        <f>IF(A2="","",IF(Disable_Video_Hyperlinks,A2,HYPERLINK(Video_website&amp;A2,A2)))</f>
        <v/>
      </c>
      <c r="B3" s="137"/>
      <c r="C3" s="137"/>
      <c r="D3" s="137"/>
      <c r="E3" s="137"/>
      <c r="F3" s="137"/>
      <c r="G3" s="137"/>
      <c r="H3" s="137"/>
      <c r="I3" s="137"/>
      <c r="J3" s="137"/>
    </row>
    <row r="4" spans="1:17" x14ac:dyDescent="0.2">
      <c r="A4" s="309" t="str">
        <f>IF(B2="","",B2)</f>
        <v/>
      </c>
      <c r="B4" s="137"/>
      <c r="C4" s="137"/>
      <c r="D4" s="137"/>
      <c r="E4" s="137"/>
      <c r="F4" s="137"/>
      <c r="G4" s="137"/>
      <c r="H4" s="137"/>
      <c r="I4" s="137"/>
      <c r="J4" s="137"/>
    </row>
    <row r="5" spans="1:17" x14ac:dyDescent="0.2">
      <c r="A5" s="137"/>
      <c r="B5" s="137"/>
      <c r="C5" s="137"/>
      <c r="D5" s="137"/>
      <c r="E5" s="137"/>
      <c r="F5" s="137"/>
      <c r="G5" s="137"/>
      <c r="H5" s="137"/>
      <c r="I5" s="137"/>
      <c r="J5" s="137"/>
    </row>
    <row r="6" spans="1:17" ht="51" x14ac:dyDescent="0.2">
      <c r="A6" s="134" t="s">
        <v>206</v>
      </c>
      <c r="B6" s="135" t="s">
        <v>207</v>
      </c>
      <c r="C6" s="135" t="s">
        <v>208</v>
      </c>
      <c r="D6" s="135" t="s">
        <v>209</v>
      </c>
      <c r="E6" s="135" t="s">
        <v>210</v>
      </c>
      <c r="F6" s="135" t="s">
        <v>211</v>
      </c>
      <c r="G6" s="135" t="s">
        <v>212</v>
      </c>
      <c r="H6" s="135" t="s">
        <v>213</v>
      </c>
      <c r="I6" s="135" t="s">
        <v>214</v>
      </c>
      <c r="J6" s="135" t="s">
        <v>215</v>
      </c>
      <c r="K6" s="135" t="s">
        <v>738</v>
      </c>
      <c r="L6" s="135" t="s">
        <v>736</v>
      </c>
      <c r="M6" s="135" t="s">
        <v>737</v>
      </c>
      <c r="N6" s="186"/>
    </row>
    <row r="7" spans="1:17" x14ac:dyDescent="0.2">
      <c r="A7" s="143" t="s">
        <v>220</v>
      </c>
      <c r="B7" s="180">
        <v>9000</v>
      </c>
      <c r="C7" s="180">
        <v>15382</v>
      </c>
      <c r="D7" s="180">
        <v>11952</v>
      </c>
      <c r="E7" s="181">
        <v>0</v>
      </c>
      <c r="F7" s="180">
        <v>450</v>
      </c>
      <c r="G7" s="149" t="s">
        <v>221</v>
      </c>
      <c r="H7" s="149">
        <v>4</v>
      </c>
      <c r="I7" s="149">
        <v>15</v>
      </c>
      <c r="J7" s="149">
        <v>3</v>
      </c>
      <c r="K7" s="116" t="b">
        <f>IFERROR(E7/D7&lt;0.1,"")</f>
        <v>1</v>
      </c>
      <c r="L7" s="116" t="b">
        <f t="shared" ref="L7:L25" si="0">OR(H7=1,I7&gt;90)</f>
        <v>0</v>
      </c>
      <c r="M7" s="116" t="b">
        <f t="shared" ref="M7:M25" si="1">AND(F7*1000&gt;=500000,H7&lt;=2,I7&gt;70,J7=1)</f>
        <v>0</v>
      </c>
    </row>
    <row r="8" spans="1:17" x14ac:dyDescent="0.2">
      <c r="A8" s="143" t="s">
        <v>222</v>
      </c>
      <c r="B8" s="182">
        <v>39000</v>
      </c>
      <c r="C8" s="182">
        <v>10033</v>
      </c>
      <c r="D8" s="182">
        <v>7789</v>
      </c>
      <c r="E8" s="183">
        <v>0</v>
      </c>
      <c r="F8" s="182">
        <v>1950</v>
      </c>
      <c r="G8" s="149" t="s">
        <v>223</v>
      </c>
      <c r="H8" s="149">
        <v>1</v>
      </c>
      <c r="I8" s="149">
        <v>51</v>
      </c>
      <c r="J8" s="149">
        <v>1</v>
      </c>
      <c r="K8" s="116" t="b">
        <f t="shared" ref="K8:K25" si="2">IFERROR(E8/D8&lt;0.1,"")</f>
        <v>1</v>
      </c>
      <c r="L8" s="116" t="b">
        <f t="shared" si="0"/>
        <v>1</v>
      </c>
      <c r="M8" s="116" t="b">
        <f t="shared" si="1"/>
        <v>0</v>
      </c>
    </row>
    <row r="9" spans="1:17" ht="13.5" thickBot="1" x14ac:dyDescent="0.25">
      <c r="A9" s="143" t="s">
        <v>224</v>
      </c>
      <c r="B9" s="182">
        <v>75000</v>
      </c>
      <c r="C9" s="182">
        <v>60009</v>
      </c>
      <c r="D9" s="182">
        <v>55342</v>
      </c>
      <c r="E9" s="183">
        <v>13892</v>
      </c>
      <c r="F9" s="182">
        <v>37500</v>
      </c>
      <c r="G9" s="149" t="s">
        <v>225</v>
      </c>
      <c r="H9" s="149">
        <v>2</v>
      </c>
      <c r="I9" s="149">
        <v>70</v>
      </c>
      <c r="J9" s="149">
        <v>1</v>
      </c>
      <c r="K9" s="116" t="b">
        <f t="shared" si="2"/>
        <v>0</v>
      </c>
      <c r="L9" s="116" t="b">
        <f t="shared" si="0"/>
        <v>0</v>
      </c>
      <c r="M9" s="116" t="b">
        <f t="shared" si="1"/>
        <v>0</v>
      </c>
    </row>
    <row r="10" spans="1:17" ht="13.5" thickBot="1" x14ac:dyDescent="0.25">
      <c r="A10" s="143" t="s">
        <v>226</v>
      </c>
      <c r="B10" s="182">
        <v>33000</v>
      </c>
      <c r="C10" s="182">
        <v>35039</v>
      </c>
      <c r="D10" s="182">
        <v>50921</v>
      </c>
      <c r="E10" s="183">
        <v>495</v>
      </c>
      <c r="F10" s="182">
        <v>1650</v>
      </c>
      <c r="G10" s="149" t="s">
        <v>221</v>
      </c>
      <c r="H10" s="149">
        <v>2</v>
      </c>
      <c r="I10" s="149">
        <v>43</v>
      </c>
      <c r="J10" s="149">
        <v>1</v>
      </c>
      <c r="K10" s="116" t="b">
        <f t="shared" si="2"/>
        <v>1</v>
      </c>
      <c r="L10" s="116" t="b">
        <f t="shared" si="0"/>
        <v>0</v>
      </c>
      <c r="M10" s="116" t="b">
        <f t="shared" si="1"/>
        <v>0</v>
      </c>
      <c r="O10" s="357" t="s">
        <v>304</v>
      </c>
    </row>
    <row r="11" spans="1:17" x14ac:dyDescent="0.2">
      <c r="A11" s="143" t="s">
        <v>227</v>
      </c>
      <c r="B11" s="182"/>
      <c r="C11" s="182"/>
      <c r="D11" s="182"/>
      <c r="E11" s="183"/>
      <c r="F11" s="182">
        <v>10000</v>
      </c>
      <c r="G11" s="149" t="s">
        <v>225</v>
      </c>
      <c r="H11" s="149">
        <v>1</v>
      </c>
      <c r="I11" s="149">
        <v>91</v>
      </c>
      <c r="J11" s="149">
        <v>1</v>
      </c>
      <c r="K11" s="116" t="str">
        <f t="shared" si="2"/>
        <v/>
      </c>
      <c r="L11" s="116" t="b">
        <f t="shared" si="0"/>
        <v>1</v>
      </c>
      <c r="M11" s="116" t="b">
        <f t="shared" si="1"/>
        <v>1</v>
      </c>
      <c r="O11" s="358" t="s">
        <v>748</v>
      </c>
      <c r="P11" s="359"/>
      <c r="Q11" s="360"/>
    </row>
    <row r="12" spans="1:17" ht="12.75" customHeight="1" thickBot="1" x14ac:dyDescent="0.25">
      <c r="A12" s="143" t="s">
        <v>228</v>
      </c>
      <c r="B12" s="182">
        <v>25000</v>
      </c>
      <c r="C12" s="182">
        <v>15221</v>
      </c>
      <c r="D12" s="182">
        <v>9483</v>
      </c>
      <c r="E12" s="183">
        <v>2899</v>
      </c>
      <c r="F12" s="182">
        <v>1250</v>
      </c>
      <c r="G12" s="149" t="s">
        <v>223</v>
      </c>
      <c r="H12" s="149">
        <v>3</v>
      </c>
      <c r="I12" s="149">
        <v>76</v>
      </c>
      <c r="J12" s="149">
        <v>1</v>
      </c>
      <c r="K12" s="116" t="b">
        <f t="shared" si="2"/>
        <v>0</v>
      </c>
      <c r="L12" s="116" t="b">
        <f t="shared" si="0"/>
        <v>0</v>
      </c>
      <c r="M12" s="116" t="b">
        <f t="shared" si="1"/>
        <v>0</v>
      </c>
      <c r="O12" s="340" t="s">
        <v>749</v>
      </c>
      <c r="P12" s="355"/>
      <c r="Q12" s="356"/>
    </row>
    <row r="13" spans="1:17" ht="12" customHeight="1"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row>
    <row r="14" spans="1:17"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c r="O14" s="124" t="s">
        <v>429</v>
      </c>
    </row>
    <row r="15" spans="1:17"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c r="O15" s="216"/>
      <c r="P15" s="128" t="s">
        <v>410</v>
      </c>
      <c r="Q15" s="217"/>
    </row>
    <row r="16" spans="1:17"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c r="O16" s="126"/>
      <c r="P16" s="125" t="b">
        <v>1</v>
      </c>
      <c r="Q16" s="125" t="b">
        <v>0</v>
      </c>
    </row>
    <row r="17" spans="1:17"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c r="O17" s="127" t="s">
        <v>411</v>
      </c>
      <c r="P17" s="218" t="b">
        <f>NOT(P16)</f>
        <v>0</v>
      </c>
      <c r="Q17" s="218" t="b">
        <f>NOT(Q16)</f>
        <v>1</v>
      </c>
    </row>
    <row r="18" spans="1:17"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c r="O18" s="127"/>
      <c r="P18" s="218"/>
      <c r="Q18" s="218"/>
    </row>
    <row r="19" spans="1:17"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c r="O19" s="382" t="s">
        <v>473</v>
      </c>
      <c r="P19" s="383"/>
      <c r="Q19" s="384"/>
    </row>
    <row r="20" spans="1:17"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c r="O20" s="385"/>
      <c r="P20" s="386"/>
      <c r="Q20" s="387"/>
    </row>
    <row r="21" spans="1:17"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c r="O21" s="385"/>
      <c r="P21" s="386"/>
      <c r="Q21" s="387"/>
    </row>
    <row r="22" spans="1:17"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c r="O22" s="385"/>
      <c r="P22" s="386"/>
      <c r="Q22" s="387"/>
    </row>
    <row r="23" spans="1:17"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c r="O23" s="388"/>
      <c r="P23" s="389"/>
      <c r="Q23" s="390"/>
    </row>
    <row r="24" spans="1:17"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7"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7" x14ac:dyDescent="0.2">
      <c r="F27" s="130" t="s">
        <v>169</v>
      </c>
      <c r="J27" s="131" t="s">
        <v>432</v>
      </c>
      <c r="K27" s="116" t="b">
        <f>OR(K$7:K$25)</f>
        <v>1</v>
      </c>
      <c r="L27" s="116" t="b">
        <f t="shared" ref="L27:M27" si="3">OR(L$7:L$25)</f>
        <v>1</v>
      </c>
      <c r="M27" s="116" t="b">
        <f t="shared" si="3"/>
        <v>1</v>
      </c>
    </row>
    <row r="28" spans="1:17" x14ac:dyDescent="0.2">
      <c r="F28" s="130" t="s">
        <v>303</v>
      </c>
      <c r="J28" s="131" t="s">
        <v>431</v>
      </c>
      <c r="K28" s="116" t="b">
        <f>AND(K7:K25)</f>
        <v>0</v>
      </c>
      <c r="L28" s="116" t="b">
        <f t="shared" ref="L28:M28" si="4">AND(L7:L25)</f>
        <v>0</v>
      </c>
      <c r="M28" s="116" t="b">
        <f t="shared" si="4"/>
        <v>0</v>
      </c>
    </row>
    <row r="29" spans="1:17" x14ac:dyDescent="0.2">
      <c r="F29" s="130" t="s">
        <v>380</v>
      </c>
      <c r="J29" s="131" t="s">
        <v>433</v>
      </c>
      <c r="K29" s="116" t="b">
        <f>NOT(OR(K$7:K$25))</f>
        <v>0</v>
      </c>
      <c r="L29" s="116" t="b">
        <f t="shared" ref="L29:M29" si="5">NOT(OR(L$7:L$25))</f>
        <v>0</v>
      </c>
      <c r="M29" s="116" t="b">
        <f t="shared" si="5"/>
        <v>0</v>
      </c>
      <c r="O29" s="133"/>
    </row>
    <row r="30" spans="1:17" ht="12.75" customHeight="1" x14ac:dyDescent="0.2">
      <c r="F30" s="130"/>
      <c r="J30" s="131"/>
      <c r="O30" s="133"/>
    </row>
    <row r="31" spans="1:17" ht="12.75" customHeight="1" x14ac:dyDescent="0.2"/>
  </sheetData>
  <mergeCells count="1">
    <mergeCell ref="O19:Q23"/>
  </mergeCells>
  <pageMargins left="0.75" right="0.75" top="1" bottom="1" header="0.5" footer="0.5"/>
  <pageSetup orientation="portrait" horizontalDpi="120" verticalDpi="72" r:id="rId1"/>
  <headerFooter alignWithMargins="0"/>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4"/>
  <dimension ref="A1:P41"/>
  <sheetViews>
    <sheetView zoomScale="115" zoomScaleNormal="115" workbookViewId="0">
      <pane xSplit="1" ySplit="16" topLeftCell="B17" activePane="bottomRight" state="frozen"/>
      <selection activeCell="B2" sqref="B2"/>
      <selection pane="topRight" activeCell="B2" sqref="B2"/>
      <selection pane="bottomLeft" activeCell="B2" sqref="B2"/>
      <selection pane="bottomRight" activeCell="A2" sqref="A2"/>
    </sheetView>
  </sheetViews>
  <sheetFormatPr defaultRowHeight="12.75" outlineLevelRow="1" x14ac:dyDescent="0.2"/>
  <cols>
    <col min="1" max="1" width="19.42578125" style="116" customWidth="1"/>
    <col min="2" max="4" width="8.7109375" style="116" bestFit="1" customWidth="1"/>
    <col min="5" max="5" width="8.28515625" style="116" customWidth="1"/>
    <col min="6" max="6" width="8.7109375" style="116" customWidth="1"/>
    <col min="7" max="7" width="6.85546875" style="116" customWidth="1"/>
    <col min="8" max="8" width="10.28515625" style="116" customWidth="1"/>
    <col min="9" max="9" width="9.5703125" style="116" customWidth="1"/>
    <col min="10" max="11" width="8" style="116" customWidth="1"/>
    <col min="12" max="13" width="7" style="116" customWidth="1"/>
    <col min="14" max="14" width="3.42578125" style="116" customWidth="1"/>
    <col min="15" max="15" width="9.140625" style="116"/>
    <col min="16" max="16" width="63.85546875" style="116" customWidth="1"/>
    <col min="17" max="16384" width="9.140625" style="116"/>
  </cols>
  <sheetData>
    <row r="1" spans="1:16" ht="18" x14ac:dyDescent="0.25">
      <c r="A1" s="98" t="s">
        <v>435</v>
      </c>
    </row>
    <row r="2" spans="1:16" s="143" customFormat="1" hidden="1" x14ac:dyDescent="0.2"/>
    <row r="3" spans="1:16" x14ac:dyDescent="0.2">
      <c r="A3" s="231" t="str">
        <f>IF(A2="","",IF(Disable_Video_Hyperlinks,A2,HYPERLINK(Video_website&amp;A2,A2)))</f>
        <v/>
      </c>
    </row>
    <row r="4" spans="1:16" x14ac:dyDescent="0.2">
      <c r="A4" s="309" t="str">
        <f>IF(B2="","",B2)</f>
        <v/>
      </c>
    </row>
    <row r="5" spans="1:16" x14ac:dyDescent="0.2">
      <c r="A5" s="231"/>
    </row>
    <row r="6" spans="1:16" ht="12.75" customHeight="1" outlineLevel="1" x14ac:dyDescent="0.2">
      <c r="A6" s="354" t="s">
        <v>747</v>
      </c>
      <c r="B6" s="141" t="s">
        <v>438</v>
      </c>
      <c r="C6" s="141"/>
      <c r="D6" s="141"/>
      <c r="E6" s="141"/>
      <c r="F6" s="141"/>
      <c r="G6" s="141"/>
      <c r="H6" s="141"/>
      <c r="I6" s="144">
        <v>0.1</v>
      </c>
      <c r="P6" s="398" t="s">
        <v>455</v>
      </c>
    </row>
    <row r="7" spans="1:16" outlineLevel="1" x14ac:dyDescent="0.2">
      <c r="A7" s="116" t="s">
        <v>436</v>
      </c>
      <c r="B7" s="116" t="s">
        <v>441</v>
      </c>
      <c r="I7" s="145">
        <v>1</v>
      </c>
      <c r="O7" s="330"/>
      <c r="P7" s="398"/>
    </row>
    <row r="8" spans="1:16" outlineLevel="1" x14ac:dyDescent="0.2">
      <c r="B8" s="116" t="s">
        <v>439</v>
      </c>
      <c r="I8" s="145">
        <v>90</v>
      </c>
      <c r="O8" s="330"/>
      <c r="P8" s="398"/>
    </row>
    <row r="9" spans="1:16" outlineLevel="1" x14ac:dyDescent="0.2">
      <c r="A9" s="139" t="s">
        <v>437</v>
      </c>
      <c r="B9" s="139" t="s">
        <v>440</v>
      </c>
      <c r="C9" s="139"/>
      <c r="D9" s="139"/>
      <c r="E9" s="139"/>
      <c r="F9" s="139"/>
      <c r="G9" s="139"/>
      <c r="H9" s="139"/>
      <c r="I9" s="146">
        <v>500000</v>
      </c>
      <c r="O9" s="330"/>
      <c r="P9" s="398"/>
    </row>
    <row r="10" spans="1:16" outlineLevel="1" x14ac:dyDescent="0.2">
      <c r="B10" s="116" t="s">
        <v>441</v>
      </c>
      <c r="I10" s="145">
        <v>2</v>
      </c>
      <c r="O10" s="330"/>
      <c r="P10" s="398"/>
    </row>
    <row r="11" spans="1:16" outlineLevel="1" x14ac:dyDescent="0.2">
      <c r="B11" s="116" t="s">
        <v>439</v>
      </c>
      <c r="I11" s="145">
        <v>70</v>
      </c>
      <c r="O11" s="330"/>
      <c r="P11" s="398"/>
    </row>
    <row r="12" spans="1:16" outlineLevel="1" x14ac:dyDescent="0.2">
      <c r="A12" s="140"/>
      <c r="B12" s="140" t="s">
        <v>442</v>
      </c>
      <c r="C12" s="140"/>
      <c r="D12" s="140"/>
      <c r="E12" s="140"/>
      <c r="F12" s="140"/>
      <c r="G12" s="140"/>
      <c r="H12" s="140"/>
      <c r="I12" s="147">
        <v>1</v>
      </c>
      <c r="O12" s="330"/>
      <c r="P12" s="398"/>
    </row>
    <row r="13" spans="1:16" outlineLevel="1" x14ac:dyDescent="0.2">
      <c r="O13" s="330"/>
      <c r="P13" s="330"/>
    </row>
    <row r="14" spans="1:16" x14ac:dyDescent="0.2">
      <c r="A14" s="137" t="s">
        <v>205</v>
      </c>
      <c r="B14" s="137"/>
      <c r="C14" s="137"/>
      <c r="D14" s="137"/>
      <c r="E14" s="137"/>
      <c r="F14" s="137"/>
      <c r="G14" s="137"/>
      <c r="H14" s="137"/>
      <c r="I14" s="137"/>
      <c r="J14" s="137"/>
    </row>
    <row r="15" spans="1:16" x14ac:dyDescent="0.2">
      <c r="A15" s="137"/>
      <c r="B15" s="137"/>
      <c r="C15" s="137"/>
      <c r="D15" s="137"/>
      <c r="E15" s="137"/>
      <c r="F15" s="137"/>
      <c r="G15" s="137"/>
      <c r="H15" s="137"/>
      <c r="I15" s="137"/>
      <c r="J15" s="137"/>
    </row>
    <row r="16" spans="1:16" ht="63.75" x14ac:dyDescent="0.2">
      <c r="A16" s="134" t="s">
        <v>206</v>
      </c>
      <c r="B16" s="135" t="s">
        <v>207</v>
      </c>
      <c r="C16" s="135" t="s">
        <v>208</v>
      </c>
      <c r="D16" s="135" t="s">
        <v>209</v>
      </c>
      <c r="E16" s="135" t="s">
        <v>210</v>
      </c>
      <c r="F16" s="135" t="s">
        <v>211</v>
      </c>
      <c r="G16" s="135" t="s">
        <v>212</v>
      </c>
      <c r="H16" s="135" t="s">
        <v>213</v>
      </c>
      <c r="I16" s="135" t="s">
        <v>214</v>
      </c>
      <c r="J16" s="135" t="s">
        <v>215</v>
      </c>
      <c r="K16" s="135" t="s">
        <v>421</v>
      </c>
      <c r="L16" s="135" t="s">
        <v>422</v>
      </c>
      <c r="M16" s="135" t="s">
        <v>423</v>
      </c>
      <c r="N16" s="186"/>
    </row>
    <row r="17" spans="1:13" x14ac:dyDescent="0.2">
      <c r="A17" s="143" t="s">
        <v>220</v>
      </c>
      <c r="B17" s="180">
        <v>9000</v>
      </c>
      <c r="C17" s="180">
        <v>15382</v>
      </c>
      <c r="D17" s="180">
        <v>11952</v>
      </c>
      <c r="E17" s="181">
        <v>0</v>
      </c>
      <c r="F17" s="180">
        <v>450</v>
      </c>
      <c r="G17" s="149" t="s">
        <v>221</v>
      </c>
      <c r="H17" s="149">
        <v>4</v>
      </c>
      <c r="I17" s="149">
        <v>15</v>
      </c>
      <c r="J17" s="149">
        <v>3</v>
      </c>
      <c r="K17" s="116" t="b">
        <f t="shared" ref="K17:K35" si="0">IFERROR(E17/D17&lt;$I$6,"")</f>
        <v>1</v>
      </c>
      <c r="L17" s="116" t="b">
        <f>OR(H17&lt;=$I$7,I17&gt;$I$8)</f>
        <v>0</v>
      </c>
      <c r="M17" s="116" t="b">
        <f>AND(F17*1000&gt;=$I$9,H17&lt;=$I$10,I17&gt;$I$11,J17&lt;=$I$12)</f>
        <v>0</v>
      </c>
    </row>
    <row r="18" spans="1:13" x14ac:dyDescent="0.2">
      <c r="A18" s="143" t="s">
        <v>222</v>
      </c>
      <c r="B18" s="182">
        <v>39000</v>
      </c>
      <c r="C18" s="182">
        <v>10033</v>
      </c>
      <c r="D18" s="182">
        <v>7789</v>
      </c>
      <c r="E18" s="183">
        <v>0</v>
      </c>
      <c r="F18" s="182">
        <v>1950</v>
      </c>
      <c r="G18" s="149" t="s">
        <v>223</v>
      </c>
      <c r="H18" s="149">
        <v>1</v>
      </c>
      <c r="I18" s="149">
        <v>51</v>
      </c>
      <c r="J18" s="149">
        <v>1</v>
      </c>
      <c r="K18" s="116" t="b">
        <f t="shared" si="0"/>
        <v>1</v>
      </c>
      <c r="L18" s="116" t="b">
        <f t="shared" ref="L18:L35" si="1">OR(H18&lt;=$I$7,I18&gt;$I$8)</f>
        <v>1</v>
      </c>
      <c r="M18" s="116" t="b">
        <f t="shared" ref="M18:M35" si="2">AND(F18*1000&gt;=$I$9,H18&lt;=$I$10,I18&gt;$I$11,J18&lt;=$I$12)</f>
        <v>0</v>
      </c>
    </row>
    <row r="19" spans="1:13" x14ac:dyDescent="0.2">
      <c r="A19" s="143" t="s">
        <v>224</v>
      </c>
      <c r="B19" s="182">
        <v>75000</v>
      </c>
      <c r="C19" s="182">
        <v>60009</v>
      </c>
      <c r="D19" s="182">
        <v>55342</v>
      </c>
      <c r="E19" s="183">
        <v>13892</v>
      </c>
      <c r="F19" s="182">
        <v>37500</v>
      </c>
      <c r="G19" s="149" t="s">
        <v>225</v>
      </c>
      <c r="H19" s="149">
        <v>2</v>
      </c>
      <c r="I19" s="149">
        <v>70</v>
      </c>
      <c r="J19" s="149">
        <v>1</v>
      </c>
      <c r="K19" s="116" t="b">
        <f t="shared" si="0"/>
        <v>0</v>
      </c>
      <c r="L19" s="116" t="b">
        <f t="shared" si="1"/>
        <v>0</v>
      </c>
      <c r="M19" s="116" t="b">
        <f t="shared" si="2"/>
        <v>0</v>
      </c>
    </row>
    <row r="20" spans="1:13" x14ac:dyDescent="0.2">
      <c r="A20" s="143" t="s">
        <v>226</v>
      </c>
      <c r="B20" s="182">
        <v>33000</v>
      </c>
      <c r="C20" s="182">
        <v>35039</v>
      </c>
      <c r="D20" s="182">
        <v>50921</v>
      </c>
      <c r="E20" s="183">
        <v>495</v>
      </c>
      <c r="F20" s="182">
        <v>1650</v>
      </c>
      <c r="G20" s="149" t="s">
        <v>221</v>
      </c>
      <c r="H20" s="149">
        <v>2</v>
      </c>
      <c r="I20" s="149">
        <v>43</v>
      </c>
      <c r="J20" s="149">
        <v>1</v>
      </c>
      <c r="K20" s="116" t="b">
        <f t="shared" si="0"/>
        <v>1</v>
      </c>
      <c r="L20" s="116" t="b">
        <f t="shared" si="1"/>
        <v>0</v>
      </c>
      <c r="M20" s="116" t="b">
        <f t="shared" si="2"/>
        <v>0</v>
      </c>
    </row>
    <row r="21" spans="1:13" x14ac:dyDescent="0.2">
      <c r="A21" s="143" t="s">
        <v>227</v>
      </c>
      <c r="B21" s="182"/>
      <c r="C21" s="182"/>
      <c r="D21" s="182"/>
      <c r="E21" s="183"/>
      <c r="F21" s="182">
        <v>10000</v>
      </c>
      <c r="G21" s="149" t="s">
        <v>225</v>
      </c>
      <c r="H21" s="149">
        <v>1</v>
      </c>
      <c r="I21" s="149">
        <v>91</v>
      </c>
      <c r="J21" s="149">
        <v>1</v>
      </c>
      <c r="K21" s="116" t="str">
        <f t="shared" si="0"/>
        <v/>
      </c>
      <c r="L21" s="116" t="b">
        <f t="shared" si="1"/>
        <v>1</v>
      </c>
      <c r="M21" s="116" t="b">
        <f t="shared" si="2"/>
        <v>1</v>
      </c>
    </row>
    <row r="22" spans="1:13" ht="12.75" customHeight="1" x14ac:dyDescent="0.2">
      <c r="A22" s="143" t="s">
        <v>228</v>
      </c>
      <c r="B22" s="182">
        <v>25000</v>
      </c>
      <c r="C22" s="182">
        <v>15221</v>
      </c>
      <c r="D22" s="182">
        <v>9483</v>
      </c>
      <c r="E22" s="183">
        <v>2899</v>
      </c>
      <c r="F22" s="182">
        <v>1250</v>
      </c>
      <c r="G22" s="149" t="s">
        <v>223</v>
      </c>
      <c r="H22" s="149">
        <v>3</v>
      </c>
      <c r="I22" s="149">
        <v>76</v>
      </c>
      <c r="J22" s="149">
        <v>1</v>
      </c>
      <c r="K22" s="116" t="b">
        <f t="shared" si="0"/>
        <v>0</v>
      </c>
      <c r="L22" s="116" t="b">
        <f t="shared" si="1"/>
        <v>0</v>
      </c>
      <c r="M22" s="116" t="b">
        <f t="shared" si="2"/>
        <v>0</v>
      </c>
    </row>
    <row r="23" spans="1:13" ht="12" customHeight="1" x14ac:dyDescent="0.2">
      <c r="A23" s="143" t="s">
        <v>229</v>
      </c>
      <c r="B23" s="182">
        <v>42000</v>
      </c>
      <c r="C23" s="182">
        <v>80498</v>
      </c>
      <c r="D23" s="182">
        <v>81126</v>
      </c>
      <c r="E23" s="183">
        <v>0</v>
      </c>
      <c r="F23" s="182">
        <v>2100</v>
      </c>
      <c r="G23" s="149" t="s">
        <v>223</v>
      </c>
      <c r="H23" s="149">
        <v>2</v>
      </c>
      <c r="I23" s="149">
        <v>87</v>
      </c>
      <c r="J23" s="149">
        <v>1</v>
      </c>
      <c r="K23" s="116" t="b">
        <f t="shared" si="0"/>
        <v>1</v>
      </c>
      <c r="L23" s="116" t="b">
        <f t="shared" si="1"/>
        <v>0</v>
      </c>
      <c r="M23" s="116" t="b">
        <f t="shared" si="2"/>
        <v>1</v>
      </c>
    </row>
    <row r="24" spans="1:13" x14ac:dyDescent="0.2">
      <c r="A24" s="143" t="s">
        <v>230</v>
      </c>
      <c r="B24" s="182">
        <v>27000</v>
      </c>
      <c r="C24" s="182">
        <v>35354</v>
      </c>
      <c r="D24" s="182">
        <v>20666</v>
      </c>
      <c r="E24" s="183">
        <v>0</v>
      </c>
      <c r="F24" s="182">
        <v>213</v>
      </c>
      <c r="G24" s="149" t="s">
        <v>231</v>
      </c>
      <c r="H24" s="149">
        <v>3</v>
      </c>
      <c r="I24" s="149">
        <v>94</v>
      </c>
      <c r="J24" s="149">
        <v>1</v>
      </c>
      <c r="K24" s="116" t="b">
        <f t="shared" si="0"/>
        <v>1</v>
      </c>
      <c r="L24" s="116" t="b">
        <f t="shared" si="1"/>
        <v>1</v>
      </c>
      <c r="M24" s="116" t="b">
        <f t="shared" si="2"/>
        <v>0</v>
      </c>
    </row>
    <row r="25" spans="1:13" x14ac:dyDescent="0.2">
      <c r="A25" s="143" t="s">
        <v>232</v>
      </c>
      <c r="B25" s="182">
        <v>46000</v>
      </c>
      <c r="C25" s="182">
        <v>90970</v>
      </c>
      <c r="D25" s="182">
        <v>18343</v>
      </c>
      <c r="E25" s="183">
        <v>0</v>
      </c>
      <c r="F25" s="182">
        <v>2300</v>
      </c>
      <c r="G25" s="149" t="s">
        <v>223</v>
      </c>
      <c r="H25" s="149">
        <v>1</v>
      </c>
      <c r="I25" s="149">
        <v>21</v>
      </c>
      <c r="J25" s="149">
        <v>1</v>
      </c>
      <c r="K25" s="116" t="b">
        <f t="shared" si="0"/>
        <v>1</v>
      </c>
      <c r="L25" s="116" t="b">
        <f t="shared" si="1"/>
        <v>1</v>
      </c>
      <c r="M25" s="116" t="b">
        <f t="shared" si="2"/>
        <v>0</v>
      </c>
    </row>
    <row r="26" spans="1:13" x14ac:dyDescent="0.2">
      <c r="A26" s="143" t="s">
        <v>233</v>
      </c>
      <c r="B26" s="182">
        <v>15000</v>
      </c>
      <c r="C26" s="182">
        <v>5663</v>
      </c>
      <c r="D26" s="182">
        <v>3014</v>
      </c>
      <c r="E26" s="183">
        <v>0</v>
      </c>
      <c r="F26" s="182">
        <v>750</v>
      </c>
      <c r="G26" s="149" t="s">
        <v>234</v>
      </c>
      <c r="H26" s="149">
        <v>1</v>
      </c>
      <c r="I26" s="149">
        <v>59</v>
      </c>
      <c r="J26" s="149">
        <v>1</v>
      </c>
      <c r="K26" s="116" t="b">
        <f t="shared" si="0"/>
        <v>1</v>
      </c>
      <c r="L26" s="116" t="b">
        <f t="shared" si="1"/>
        <v>1</v>
      </c>
      <c r="M26" s="116" t="b">
        <f t="shared" si="2"/>
        <v>0</v>
      </c>
    </row>
    <row r="27" spans="1:13" x14ac:dyDescent="0.2">
      <c r="A27" s="143" t="s">
        <v>235</v>
      </c>
      <c r="B27" s="182">
        <v>45000</v>
      </c>
      <c r="C27" s="182">
        <v>50278</v>
      </c>
      <c r="D27" s="182">
        <v>32338</v>
      </c>
      <c r="E27" s="183">
        <v>0</v>
      </c>
      <c r="F27" s="182">
        <v>2250</v>
      </c>
      <c r="G27" s="149" t="s">
        <v>223</v>
      </c>
      <c r="H27" s="149">
        <v>3</v>
      </c>
      <c r="I27" s="149">
        <v>91</v>
      </c>
      <c r="J27" s="149">
        <v>1</v>
      </c>
      <c r="K27" s="116" t="b">
        <f t="shared" si="0"/>
        <v>1</v>
      </c>
      <c r="L27" s="116" t="b">
        <f t="shared" si="1"/>
        <v>1</v>
      </c>
      <c r="M27" s="116" t="b">
        <f t="shared" si="2"/>
        <v>0</v>
      </c>
    </row>
    <row r="28" spans="1:13" x14ac:dyDescent="0.2">
      <c r="A28" s="143" t="s">
        <v>236</v>
      </c>
      <c r="B28" s="182">
        <v>26000</v>
      </c>
      <c r="C28" s="182">
        <v>25864</v>
      </c>
      <c r="D28" s="182">
        <v>28154</v>
      </c>
      <c r="E28" s="183">
        <v>0</v>
      </c>
      <c r="F28" s="182">
        <v>300</v>
      </c>
      <c r="G28" s="149" t="s">
        <v>221</v>
      </c>
      <c r="H28" s="149">
        <v>2</v>
      </c>
      <c r="I28" s="149">
        <v>82</v>
      </c>
      <c r="J28" s="149">
        <v>1</v>
      </c>
      <c r="K28" s="116" t="b">
        <f t="shared" si="0"/>
        <v>1</v>
      </c>
      <c r="L28" s="116" t="b">
        <f t="shared" si="1"/>
        <v>0</v>
      </c>
      <c r="M28" s="116" t="b">
        <f t="shared" si="2"/>
        <v>0</v>
      </c>
    </row>
    <row r="29" spans="1:13" x14ac:dyDescent="0.2">
      <c r="A29" s="143" t="s">
        <v>237</v>
      </c>
      <c r="B29" s="182">
        <v>45000</v>
      </c>
      <c r="C29" s="182">
        <v>40157</v>
      </c>
      <c r="D29" s="182">
        <v>25379</v>
      </c>
      <c r="E29" s="183">
        <v>0</v>
      </c>
      <c r="F29" s="182">
        <v>2250</v>
      </c>
      <c r="G29" s="149" t="s">
        <v>223</v>
      </c>
      <c r="H29" s="149">
        <v>2</v>
      </c>
      <c r="I29" s="149">
        <v>71</v>
      </c>
      <c r="J29" s="149">
        <v>1</v>
      </c>
      <c r="K29" s="116" t="b">
        <f t="shared" si="0"/>
        <v>1</v>
      </c>
      <c r="L29" s="116" t="b">
        <f t="shared" si="1"/>
        <v>0</v>
      </c>
      <c r="M29" s="116" t="b">
        <f t="shared" si="2"/>
        <v>1</v>
      </c>
    </row>
    <row r="30" spans="1:13" x14ac:dyDescent="0.2">
      <c r="A30" s="143" t="s">
        <v>238</v>
      </c>
      <c r="B30" s="182">
        <v>15000</v>
      </c>
      <c r="C30" s="182">
        <v>15898</v>
      </c>
      <c r="D30" s="182">
        <v>14732</v>
      </c>
      <c r="E30" s="183">
        <v>14383</v>
      </c>
      <c r="F30" s="182">
        <v>450</v>
      </c>
      <c r="G30" s="149" t="s">
        <v>221</v>
      </c>
      <c r="H30" s="149">
        <v>1</v>
      </c>
      <c r="I30" s="149">
        <v>67</v>
      </c>
      <c r="J30" s="149">
        <v>1</v>
      </c>
      <c r="K30" s="116" t="b">
        <f t="shared" si="0"/>
        <v>0</v>
      </c>
      <c r="L30" s="116" t="b">
        <f t="shared" si="1"/>
        <v>1</v>
      </c>
      <c r="M30" s="116" t="b">
        <f t="shared" si="2"/>
        <v>0</v>
      </c>
    </row>
    <row r="31" spans="1:13" x14ac:dyDescent="0.2">
      <c r="A31" s="143" t="s">
        <v>239</v>
      </c>
      <c r="B31" s="182">
        <v>22000</v>
      </c>
      <c r="C31" s="182">
        <v>10073</v>
      </c>
      <c r="D31" s="182">
        <v>1047</v>
      </c>
      <c r="E31" s="183">
        <v>0</v>
      </c>
      <c r="F31" s="182">
        <v>1100</v>
      </c>
      <c r="G31" s="149" t="s">
        <v>223</v>
      </c>
      <c r="H31" s="149">
        <v>3</v>
      </c>
      <c r="I31" s="149">
        <v>14</v>
      </c>
      <c r="J31" s="149">
        <v>1</v>
      </c>
      <c r="K31" s="116" t="b">
        <f t="shared" si="0"/>
        <v>1</v>
      </c>
      <c r="L31" s="116" t="b">
        <f t="shared" si="1"/>
        <v>0</v>
      </c>
      <c r="M31" s="116" t="b">
        <f t="shared" si="2"/>
        <v>0</v>
      </c>
    </row>
    <row r="32" spans="1:13" x14ac:dyDescent="0.2">
      <c r="A32" s="143" t="s">
        <v>240</v>
      </c>
      <c r="B32" s="182">
        <v>45000</v>
      </c>
      <c r="C32" s="182">
        <v>95411</v>
      </c>
      <c r="D32" s="182">
        <v>64418</v>
      </c>
      <c r="E32" s="183">
        <v>0</v>
      </c>
      <c r="F32" s="182">
        <v>150</v>
      </c>
      <c r="G32" s="149" t="s">
        <v>241</v>
      </c>
      <c r="H32" s="149">
        <v>4</v>
      </c>
      <c r="I32" s="149">
        <v>79</v>
      </c>
      <c r="J32" s="149">
        <v>2</v>
      </c>
      <c r="K32" s="116" t="b">
        <f t="shared" si="0"/>
        <v>1</v>
      </c>
      <c r="L32" s="116" t="b">
        <f t="shared" si="1"/>
        <v>0</v>
      </c>
      <c r="M32" s="116" t="b">
        <f t="shared" si="2"/>
        <v>0</v>
      </c>
    </row>
    <row r="33" spans="1:16" x14ac:dyDescent="0.2">
      <c r="A33" s="143" t="s">
        <v>242</v>
      </c>
      <c r="B33" s="182">
        <v>20000</v>
      </c>
      <c r="C33" s="182">
        <v>5621</v>
      </c>
      <c r="D33" s="182">
        <v>6171</v>
      </c>
      <c r="E33" s="183">
        <v>0</v>
      </c>
      <c r="F33" s="182">
        <v>1000</v>
      </c>
      <c r="G33" s="149" t="s">
        <v>223</v>
      </c>
      <c r="H33" s="149">
        <v>1</v>
      </c>
      <c r="I33" s="149">
        <v>87</v>
      </c>
      <c r="J33" s="149">
        <v>1</v>
      </c>
      <c r="K33" s="116" t="b">
        <f t="shared" si="0"/>
        <v>1</v>
      </c>
      <c r="L33" s="116" t="b">
        <f t="shared" si="1"/>
        <v>1</v>
      </c>
      <c r="M33" s="116" t="b">
        <f t="shared" si="2"/>
        <v>1</v>
      </c>
    </row>
    <row r="34" spans="1:16" x14ac:dyDescent="0.2">
      <c r="A34" s="143" t="s">
        <v>243</v>
      </c>
      <c r="B34" s="182">
        <v>100000</v>
      </c>
      <c r="C34" s="182">
        <v>60009</v>
      </c>
      <c r="D34" s="182">
        <v>60354</v>
      </c>
      <c r="E34" s="183">
        <v>0</v>
      </c>
      <c r="F34" s="182">
        <v>500000</v>
      </c>
      <c r="G34" s="149" t="s">
        <v>244</v>
      </c>
      <c r="H34" s="149">
        <v>2</v>
      </c>
      <c r="I34" s="149">
        <v>97</v>
      </c>
      <c r="J34" s="149">
        <v>1</v>
      </c>
      <c r="K34" s="116" t="b">
        <f t="shared" si="0"/>
        <v>1</v>
      </c>
      <c r="L34" s="116" t="b">
        <f t="shared" si="1"/>
        <v>1</v>
      </c>
      <c r="M34" s="116" t="b">
        <f t="shared" si="2"/>
        <v>1</v>
      </c>
    </row>
    <row r="35" spans="1:16" x14ac:dyDescent="0.2">
      <c r="A35" s="143" t="s">
        <v>245</v>
      </c>
      <c r="B35" s="182">
        <v>10000</v>
      </c>
      <c r="C35" s="182">
        <v>15490</v>
      </c>
      <c r="D35" s="182">
        <v>22760</v>
      </c>
      <c r="E35" s="183">
        <v>0</v>
      </c>
      <c r="F35" s="182">
        <v>620</v>
      </c>
      <c r="G35" s="149" t="s">
        <v>246</v>
      </c>
      <c r="H35" s="149">
        <v>2</v>
      </c>
      <c r="I35" s="149">
        <v>96</v>
      </c>
      <c r="J35" s="149">
        <v>1</v>
      </c>
      <c r="K35" s="116" t="b">
        <f t="shared" si="0"/>
        <v>1</v>
      </c>
      <c r="L35" s="116" t="b">
        <f t="shared" si="1"/>
        <v>1</v>
      </c>
      <c r="M35" s="116" t="b">
        <f t="shared" si="2"/>
        <v>1</v>
      </c>
    </row>
    <row r="36" spans="1:16" ht="13.5" thickBot="1" x14ac:dyDescent="0.25"/>
    <row r="37" spans="1:16" ht="13.5" thickBot="1" x14ac:dyDescent="0.25">
      <c r="F37" s="130" t="s">
        <v>169</v>
      </c>
      <c r="J37" s="131" t="s">
        <v>432</v>
      </c>
      <c r="K37" s="116" t="b">
        <f>OR(K$17:K$35)</f>
        <v>1</v>
      </c>
      <c r="L37" s="116" t="b">
        <f t="shared" ref="L37:M37" si="3">OR(L$17:L$35)</f>
        <v>1</v>
      </c>
      <c r="M37" s="116" t="b">
        <f t="shared" si="3"/>
        <v>1</v>
      </c>
      <c r="O37" s="122" t="s">
        <v>169</v>
      </c>
      <c r="P37" s="353" t="s">
        <v>404</v>
      </c>
    </row>
    <row r="38" spans="1:16" ht="14.25" thickTop="1" thickBot="1" x14ac:dyDescent="0.25">
      <c r="F38" s="130" t="s">
        <v>303</v>
      </c>
      <c r="J38" s="131" t="s">
        <v>431</v>
      </c>
      <c r="K38" s="116" t="b">
        <f>AND(K17:K35)</f>
        <v>0</v>
      </c>
      <c r="L38" s="116" t="b">
        <f t="shared" ref="L38:M38" si="4">AND(L17:L35)</f>
        <v>0</v>
      </c>
      <c r="M38" s="116" t="b">
        <f t="shared" si="4"/>
        <v>0</v>
      </c>
      <c r="O38" s="121" t="s">
        <v>303</v>
      </c>
      <c r="P38" s="353" t="s">
        <v>403</v>
      </c>
    </row>
    <row r="39" spans="1:16" ht="13.5" thickBot="1" x14ac:dyDescent="0.25">
      <c r="F39" s="130" t="s">
        <v>380</v>
      </c>
      <c r="J39" s="131" t="s">
        <v>433</v>
      </c>
      <c r="K39" s="116" t="b">
        <f>NOT(K37)</f>
        <v>0</v>
      </c>
      <c r="L39" s="116" t="b">
        <f t="shared" ref="L39:M40" si="5">NOT(L37)</f>
        <v>0</v>
      </c>
      <c r="M39" s="116" t="b">
        <f t="shared" si="5"/>
        <v>0</v>
      </c>
      <c r="O39" s="123" t="s">
        <v>304</v>
      </c>
      <c r="P39" s="353" t="s">
        <v>382</v>
      </c>
    </row>
    <row r="40" spans="1:16" ht="12.75" customHeight="1" thickTop="1" x14ac:dyDescent="0.2">
      <c r="F40" s="130" t="s">
        <v>434</v>
      </c>
      <c r="J40" s="131" t="s">
        <v>430</v>
      </c>
      <c r="K40" s="116" t="b">
        <f>NOT(K38)</f>
        <v>1</v>
      </c>
      <c r="L40" s="116" t="b">
        <f t="shared" si="5"/>
        <v>1</v>
      </c>
      <c r="M40" s="116" t="b">
        <f t="shared" si="5"/>
        <v>1</v>
      </c>
    </row>
    <row r="41" spans="1:16" ht="12.75" customHeight="1" x14ac:dyDescent="0.2"/>
  </sheetData>
  <mergeCells count="1">
    <mergeCell ref="P6:P12"/>
  </mergeCells>
  <pageMargins left="0.75" right="0.75" top="1" bottom="1" header="0.5" footer="0.5"/>
  <pageSetup orientation="portrait" horizontalDpi="120" verticalDpi="72" r:id="rId1"/>
  <headerFooter alignWithMargins="0"/>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D2214-B4A3-46C6-8BDB-220722D190E4}">
  <sheetPr codeName="Sheet49"/>
  <dimension ref="A1:B4"/>
  <sheetViews>
    <sheetView zoomScale="160" zoomScaleNormal="160" workbookViewId="0">
      <selection activeCell="A2" sqref="A2"/>
    </sheetView>
  </sheetViews>
  <sheetFormatPr defaultRowHeight="12.75" x14ac:dyDescent="0.2"/>
  <sheetData>
    <row r="1" spans="1:2" ht="18" x14ac:dyDescent="0.25">
      <c r="A1" s="98" t="s">
        <v>488</v>
      </c>
    </row>
    <row r="2" spans="1:2" s="143" customFormat="1" hidden="1" x14ac:dyDescent="0.2">
      <c r="B2" s="143">
        <f>SUM(Applying:Stop_if_true!B2)</f>
        <v>1.5497685185185186E-2</v>
      </c>
    </row>
    <row r="3" spans="1:2" x14ac:dyDescent="0.2">
      <c r="A3" s="322" t="str">
        <f>Video_Lengths_Description</f>
        <v xml:space="preserve">Length of video clips in this segement: </v>
      </c>
    </row>
    <row r="4" spans="1:2" x14ac:dyDescent="0.2">
      <c r="A4" s="309">
        <f>IF(B2="","",B2)</f>
        <v>1.5497685185185186E-2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5"/>
  <dimension ref="A1:M29"/>
  <sheetViews>
    <sheetView zoomScale="145" zoomScaleNormal="145" workbookViewId="0">
      <pane xSplit="1" ySplit="6" topLeftCell="B7" activePane="bottomRight" state="frozen"/>
      <selection activeCell="A2" sqref="A2:XFD2"/>
      <selection pane="topRight" activeCell="A2" sqref="A2:XFD2"/>
      <selection pane="bottomLeft" activeCell="A2" sqref="A2:XFD2"/>
      <selection pane="bottomRight" activeCell="B7" sqref="B7"/>
    </sheetView>
  </sheetViews>
  <sheetFormatPr defaultRowHeight="12.75" x14ac:dyDescent="0.2"/>
  <cols>
    <col min="1" max="1" width="19.140625" style="116" customWidth="1"/>
    <col min="2" max="4" width="9.140625" style="116" bestFit="1" customWidth="1"/>
    <col min="5" max="5" width="8.42578125" style="116" customWidth="1"/>
    <col min="6" max="6" width="9.140625" style="116" bestFit="1" customWidth="1"/>
    <col min="7" max="7" width="6.85546875" style="116" customWidth="1"/>
    <col min="8" max="8" width="11.28515625" style="116" customWidth="1"/>
    <col min="9" max="9" width="8.7109375" style="116" bestFit="1" customWidth="1"/>
    <col min="10" max="10" width="8" style="116" customWidth="1"/>
    <col min="11" max="13" width="7" style="116" bestFit="1" customWidth="1"/>
    <col min="14" max="16384" width="9.140625" style="116"/>
  </cols>
  <sheetData>
    <row r="1" spans="1:13" ht="18" x14ac:dyDescent="0.25">
      <c r="A1" s="98" t="s">
        <v>447</v>
      </c>
    </row>
    <row r="2" spans="1:13" s="143" customFormat="1" hidden="1" x14ac:dyDescent="0.2">
      <c r="A2" s="143" t="s">
        <v>527</v>
      </c>
      <c r="B2" s="321">
        <v>5.4282407407407404E-3</v>
      </c>
    </row>
    <row r="3" spans="1:13" x14ac:dyDescent="0.2">
      <c r="A3" s="231" t="str">
        <f>IF(A2="","",IF(Disable_Video_Hyperlinks,A2,HYPERLINK(Video_website&amp;A2,A2)))</f>
        <v>UNC_DAYT_EXCEL_2.7.1_LECTURE_CONDITIONAL_FORMATTING.mp4</v>
      </c>
      <c r="B3" s="137"/>
      <c r="C3" s="137"/>
      <c r="D3" s="137"/>
      <c r="E3" s="137"/>
      <c r="F3" s="137"/>
      <c r="G3" s="137"/>
      <c r="H3" s="137"/>
      <c r="I3" s="137"/>
      <c r="J3" s="137"/>
    </row>
    <row r="4" spans="1:13" x14ac:dyDescent="0.2">
      <c r="A4" s="309">
        <f>IF(B2="","",B2)</f>
        <v>5.4282407407407404E-3</v>
      </c>
      <c r="B4" s="137"/>
      <c r="C4" s="137"/>
      <c r="D4" s="137"/>
      <c r="E4" s="137"/>
      <c r="F4" s="137"/>
      <c r="G4" s="137"/>
      <c r="H4" s="137"/>
      <c r="I4" s="137"/>
      <c r="J4" s="137"/>
    </row>
    <row r="5" spans="1:13" x14ac:dyDescent="0.2">
      <c r="A5" s="137"/>
      <c r="B5" s="137"/>
      <c r="C5" s="137"/>
      <c r="D5" s="137"/>
      <c r="E5" s="137"/>
      <c r="F5" s="137"/>
      <c r="G5" s="137"/>
      <c r="H5" s="137"/>
      <c r="I5" s="137"/>
      <c r="J5" s="137"/>
    </row>
    <row r="6" spans="1:13" ht="63.75" x14ac:dyDescent="0.2">
      <c r="A6" s="134" t="s">
        <v>206</v>
      </c>
      <c r="B6" s="135" t="s">
        <v>207</v>
      </c>
      <c r="C6" s="135" t="s">
        <v>208</v>
      </c>
      <c r="D6" s="135" t="s">
        <v>209</v>
      </c>
      <c r="E6" s="135" t="s">
        <v>210</v>
      </c>
      <c r="F6" s="135" t="s">
        <v>211</v>
      </c>
      <c r="G6" s="135" t="s">
        <v>212</v>
      </c>
      <c r="H6" s="135" t="s">
        <v>213</v>
      </c>
      <c r="I6" s="135" t="s">
        <v>214</v>
      </c>
      <c r="J6" s="135" t="s">
        <v>215</v>
      </c>
      <c r="K6" s="135" t="s">
        <v>470</v>
      </c>
      <c r="L6" s="135" t="s">
        <v>471</v>
      </c>
      <c r="M6" s="135" t="s">
        <v>472</v>
      </c>
    </row>
    <row r="7" spans="1:13"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row>
    <row r="8" spans="1:13"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row>
    <row r="9" spans="1:13"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row>
    <row r="10" spans="1:13" x14ac:dyDescent="0.2">
      <c r="A10" s="143" t="s">
        <v>226</v>
      </c>
      <c r="B10" s="182">
        <v>33000</v>
      </c>
      <c r="C10" s="182">
        <v>35039</v>
      </c>
      <c r="D10" s="182">
        <v>50921</v>
      </c>
      <c r="E10" s="183">
        <v>495</v>
      </c>
      <c r="F10" s="182">
        <v>1650</v>
      </c>
      <c r="G10" s="149" t="s">
        <v>221</v>
      </c>
      <c r="H10" s="149">
        <v>2</v>
      </c>
      <c r="I10" s="149">
        <v>43</v>
      </c>
      <c r="J10" s="149">
        <v>1</v>
      </c>
      <c r="K10" s="116" t="b">
        <f>E10/D10&lt;0.1</f>
        <v>1</v>
      </c>
      <c r="L10" s="116" t="b">
        <f t="shared" si="0"/>
        <v>0</v>
      </c>
      <c r="M10" s="116" t="b">
        <f t="shared" si="1"/>
        <v>0</v>
      </c>
    </row>
    <row r="11" spans="1:13" x14ac:dyDescent="0.2">
      <c r="A11" s="143" t="s">
        <v>227</v>
      </c>
      <c r="B11" s="182"/>
      <c r="C11" s="182"/>
      <c r="D11" s="182"/>
      <c r="E11" s="183"/>
      <c r="F11" s="182">
        <v>10000</v>
      </c>
      <c r="G11" s="149" t="s">
        <v>225</v>
      </c>
      <c r="H11" s="149">
        <v>1</v>
      </c>
      <c r="I11" s="149">
        <v>91</v>
      </c>
      <c r="J11" s="149">
        <v>1</v>
      </c>
      <c r="L11" s="116" t="b">
        <f t="shared" si="0"/>
        <v>1</v>
      </c>
      <c r="M11" s="116" t="b">
        <f t="shared" si="1"/>
        <v>1</v>
      </c>
    </row>
    <row r="12" spans="1:13"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row>
    <row r="13" spans="1:13"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row>
    <row r="14" spans="1:13"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row>
    <row r="15" spans="1:13"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row>
    <row r="16" spans="1:13"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row>
    <row r="17" spans="1:13"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row>
    <row r="18" spans="1:13"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3"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3"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3"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3"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3"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3"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3"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3" x14ac:dyDescent="0.2">
      <c r="H27" s="116" t="s">
        <v>247</v>
      </c>
      <c r="K27" s="116" t="b">
        <f>OR(K7:K25)</f>
        <v>1</v>
      </c>
      <c r="L27" s="116" t="b">
        <f>OR(L7:L25)</f>
        <v>1</v>
      </c>
      <c r="M27" s="116" t="b">
        <f>OR(M7:M25)</f>
        <v>1</v>
      </c>
    </row>
    <row r="28" spans="1:13" x14ac:dyDescent="0.2">
      <c r="G28" s="136" t="s">
        <v>304</v>
      </c>
      <c r="H28" s="116" t="s">
        <v>248</v>
      </c>
      <c r="K28" s="116" t="b">
        <f>NOT(K27)</f>
        <v>0</v>
      </c>
      <c r="L28" s="116" t="b">
        <f>NOT(L27)</f>
        <v>0</v>
      </c>
      <c r="M28" s="116" t="b">
        <f>NOT(M27)</f>
        <v>0</v>
      </c>
    </row>
    <row r="29" spans="1:13" x14ac:dyDescent="0.2">
      <c r="H29" s="116" t="s">
        <v>378</v>
      </c>
      <c r="K29" s="116" t="b">
        <f>AND(K7:K25)</f>
        <v>0</v>
      </c>
      <c r="L29" s="116" t="b">
        <f t="shared" ref="L29:M29" si="3">AND(L7:L25)</f>
        <v>0</v>
      </c>
      <c r="M29" s="116" t="b">
        <f t="shared" si="3"/>
        <v>0</v>
      </c>
    </row>
  </sheetData>
  <conditionalFormatting sqref="A7:M25">
    <cfRule type="expression" dxfId="31" priority="5" stopIfTrue="1">
      <formula>$F7&lt;1000</formula>
    </cfRule>
    <cfRule type="expression" dxfId="30" priority="6" stopIfTrue="1">
      <formula>$F7&gt;10000</formula>
    </cfRule>
  </conditionalFormatting>
  <conditionalFormatting sqref="B7:B25">
    <cfRule type="dataBar" priority="2">
      <dataBar>
        <cfvo type="min"/>
        <cfvo type="max"/>
        <color rgb="FF92D050"/>
      </dataBar>
      <extLst>
        <ext xmlns:x14="http://schemas.microsoft.com/office/spreadsheetml/2009/9/main" uri="{B025F937-C7B1-47D3-B67F-A62EFF666E3E}">
          <x14:id>{AB638928-1E16-4495-A7C1-99C537118391}</x14:id>
        </ext>
      </extLst>
    </cfRule>
  </conditionalFormatting>
  <conditionalFormatting sqref="H7:H25">
    <cfRule type="iconSet" priority="1">
      <iconSet iconSet="3Arrows" reverse="1">
        <cfvo type="percent" val="0"/>
        <cfvo type="num" val="2"/>
        <cfvo type="num" val="4"/>
      </iconSet>
    </cfRule>
  </conditionalFormatting>
  <pageMargins left="0.75" right="0.75" top="1" bottom="1" header="0.5" footer="0.5"/>
  <pageSetup orientation="portrait" horizontalDpi="120" verticalDpi="72" r:id="rId1"/>
  <headerFooter alignWithMargins="0"/>
  <drawing r:id="rId2"/>
  <legacyDrawing r:id="rId3"/>
  <extLst>
    <ext xmlns:x14="http://schemas.microsoft.com/office/spreadsheetml/2009/9/main" uri="{78C0D931-6437-407d-A8EE-F0AAD7539E65}">
      <x14:conditionalFormattings>
        <x14:conditionalFormatting xmlns:xm="http://schemas.microsoft.com/office/excel/2006/main">
          <x14:cfRule type="dataBar" id="{AB638928-1E16-4495-A7C1-99C537118391}">
            <x14:dataBar minLength="0" maxLength="100" border="1" negativeBarBorderColorSameAsPositive="0">
              <x14:cfvo type="autoMin"/>
              <x14:cfvo type="autoMax"/>
              <x14:borderColor rgb="FF92D050"/>
              <x14:negativeFillColor rgb="FFFF0000"/>
              <x14:negativeBorderColor rgb="FFFF0000"/>
              <x14:axisColor rgb="FF000000"/>
            </x14:dataBar>
          </x14:cfRule>
          <xm:sqref>B7:B25</xm:sqref>
        </x14:conditionalFormatting>
      </x14:conditionalFormatting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1"/>
  <dimension ref="A1:M29"/>
  <sheetViews>
    <sheetView zoomScale="145" zoomScaleNormal="145" workbookViewId="0">
      <pane xSplit="1" ySplit="6" topLeftCell="B7" activePane="bottomRight" state="frozen"/>
      <selection activeCell="A2" sqref="A2:XFD2"/>
      <selection pane="topRight" activeCell="A2" sqref="A2:XFD2"/>
      <selection pane="bottomLeft" activeCell="A2" sqref="A2:XFD2"/>
      <selection pane="bottomRight" activeCell="A3" sqref="A3"/>
    </sheetView>
  </sheetViews>
  <sheetFormatPr defaultRowHeight="12.75" x14ac:dyDescent="0.2"/>
  <cols>
    <col min="1" max="1" width="19.140625" style="116" customWidth="1"/>
    <col min="2" max="4" width="9.140625" style="116" bestFit="1" customWidth="1"/>
    <col min="5" max="5" width="8.42578125" style="116" customWidth="1"/>
    <col min="6" max="6" width="9.140625" style="116" bestFit="1" customWidth="1"/>
    <col min="7" max="7" width="6.85546875" style="116" customWidth="1"/>
    <col min="8" max="8" width="11.28515625" style="116" customWidth="1"/>
    <col min="9" max="9" width="8.7109375" style="116" bestFit="1" customWidth="1"/>
    <col min="10" max="10" width="8" style="116" customWidth="1"/>
    <col min="11" max="13" width="7" style="116" bestFit="1" customWidth="1"/>
    <col min="14" max="16384" width="9.140625" style="116"/>
  </cols>
  <sheetData>
    <row r="1" spans="1:13" ht="18" x14ac:dyDescent="0.25">
      <c r="A1" s="98" t="s">
        <v>445</v>
      </c>
    </row>
    <row r="2" spans="1:13" s="143" customFormat="1" hidden="1" x14ac:dyDescent="0.2"/>
    <row r="3" spans="1:13" x14ac:dyDescent="0.2">
      <c r="A3" s="231" t="str">
        <f>IF(A2="","",IF(Disable_Video_Hyperlinks,A2,HYPERLINK(Video_website&amp;A2,A2)))</f>
        <v/>
      </c>
      <c r="B3" s="137"/>
      <c r="C3" s="137"/>
      <c r="D3" s="137"/>
      <c r="E3" s="137"/>
      <c r="F3" s="137"/>
      <c r="G3" s="137"/>
      <c r="H3" s="137"/>
      <c r="I3" s="137"/>
      <c r="J3" s="137"/>
    </row>
    <row r="4" spans="1:13" x14ac:dyDescent="0.2">
      <c r="A4" s="309" t="str">
        <f>IF(B2="","",B2)</f>
        <v/>
      </c>
      <c r="B4" s="137"/>
      <c r="C4" s="137"/>
      <c r="D4" s="137"/>
      <c r="E4" s="137"/>
      <c r="F4" s="137"/>
      <c r="G4" s="137"/>
      <c r="H4" s="137"/>
      <c r="I4" s="137"/>
      <c r="J4" s="137"/>
    </row>
    <row r="5" spans="1:13" x14ac:dyDescent="0.2">
      <c r="A5" s="137"/>
      <c r="B5" s="137"/>
      <c r="C5" s="137"/>
      <c r="D5" s="137"/>
      <c r="E5" s="137"/>
      <c r="F5" s="137"/>
      <c r="G5" s="137"/>
      <c r="H5" s="137"/>
      <c r="I5" s="137"/>
      <c r="J5" s="137"/>
    </row>
    <row r="6" spans="1:13" ht="63.75" x14ac:dyDescent="0.2">
      <c r="A6" s="134" t="s">
        <v>206</v>
      </c>
      <c r="B6" s="135" t="s">
        <v>207</v>
      </c>
      <c r="C6" s="135" t="s">
        <v>208</v>
      </c>
      <c r="D6" s="135" t="s">
        <v>209</v>
      </c>
      <c r="E6" s="135" t="s">
        <v>210</v>
      </c>
      <c r="F6" s="135" t="s">
        <v>211</v>
      </c>
      <c r="G6" s="135" t="s">
        <v>212</v>
      </c>
      <c r="H6" s="135" t="s">
        <v>213</v>
      </c>
      <c r="I6" s="135" t="s">
        <v>214</v>
      </c>
      <c r="J6" s="135" t="s">
        <v>215</v>
      </c>
      <c r="K6" s="135" t="s">
        <v>470</v>
      </c>
      <c r="L6" s="135" t="s">
        <v>471</v>
      </c>
      <c r="M6" s="135" t="s">
        <v>472</v>
      </c>
    </row>
    <row r="7" spans="1:13"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row>
    <row r="8" spans="1:13"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row>
    <row r="9" spans="1:13"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row>
    <row r="10" spans="1:13" x14ac:dyDescent="0.2">
      <c r="A10" s="143" t="s">
        <v>226</v>
      </c>
      <c r="B10" s="182">
        <v>33000</v>
      </c>
      <c r="C10" s="182">
        <v>35039</v>
      </c>
      <c r="D10" s="182">
        <v>50921</v>
      </c>
      <c r="E10" s="183">
        <v>495</v>
      </c>
      <c r="F10" s="182">
        <v>1650</v>
      </c>
      <c r="G10" s="149" t="s">
        <v>221</v>
      </c>
      <c r="H10" s="149">
        <v>2</v>
      </c>
      <c r="I10" s="149">
        <v>43</v>
      </c>
      <c r="J10" s="149">
        <v>1</v>
      </c>
      <c r="K10" s="116" t="b">
        <f>E10/D10&lt;0.1</f>
        <v>1</v>
      </c>
      <c r="L10" s="116" t="b">
        <f t="shared" si="0"/>
        <v>0</v>
      </c>
      <c r="M10" s="116" t="b">
        <f t="shared" si="1"/>
        <v>0</v>
      </c>
    </row>
    <row r="11" spans="1:13" x14ac:dyDescent="0.2">
      <c r="A11" s="143" t="s">
        <v>227</v>
      </c>
      <c r="B11" s="182"/>
      <c r="C11" s="182"/>
      <c r="D11" s="182"/>
      <c r="E11" s="183"/>
      <c r="F11" s="182">
        <v>10000</v>
      </c>
      <c r="G11" s="149" t="s">
        <v>225</v>
      </c>
      <c r="H11" s="149">
        <v>1</v>
      </c>
      <c r="I11" s="149">
        <v>91</v>
      </c>
      <c r="J11" s="149">
        <v>1</v>
      </c>
      <c r="L11" s="116" t="b">
        <f t="shared" si="0"/>
        <v>1</v>
      </c>
      <c r="M11" s="116" t="b">
        <f t="shared" si="1"/>
        <v>1</v>
      </c>
    </row>
    <row r="12" spans="1:13"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row>
    <row r="13" spans="1:13"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row>
    <row r="14" spans="1:13"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row>
    <row r="15" spans="1:13"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row>
    <row r="16" spans="1:13"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row>
    <row r="17" spans="1:13"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row>
    <row r="18" spans="1:13"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3"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3"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3"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3"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3"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3"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3"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3" x14ac:dyDescent="0.2">
      <c r="H27" s="116" t="s">
        <v>247</v>
      </c>
      <c r="K27" s="116" t="b">
        <f>OR(K7:K25)</f>
        <v>1</v>
      </c>
      <c r="L27" s="116" t="b">
        <f>OR(L7:L25)</f>
        <v>1</v>
      </c>
      <c r="M27" s="116" t="b">
        <f>OR(M7:M25)</f>
        <v>1</v>
      </c>
    </row>
    <row r="28" spans="1:13" x14ac:dyDescent="0.2">
      <c r="G28" s="136" t="s">
        <v>304</v>
      </c>
      <c r="H28" s="116" t="s">
        <v>248</v>
      </c>
      <c r="K28" s="116" t="b">
        <f>NOT(K27)</f>
        <v>0</v>
      </c>
      <c r="L28" s="116" t="b">
        <f>NOT(L27)</f>
        <v>0</v>
      </c>
      <c r="M28" s="116" t="b">
        <f>NOT(M27)</f>
        <v>0</v>
      </c>
    </row>
    <row r="29" spans="1:13" x14ac:dyDescent="0.2">
      <c r="H29" s="116" t="s">
        <v>378</v>
      </c>
      <c r="K29" s="116" t="b">
        <f>AND(K7:K25)</f>
        <v>0</v>
      </c>
      <c r="L29" s="116" t="b">
        <f t="shared" ref="L29:M29" si="3">AND(L7:L25)</f>
        <v>0</v>
      </c>
      <c r="M29" s="116" t="b">
        <f t="shared" si="3"/>
        <v>0</v>
      </c>
    </row>
  </sheetData>
  <conditionalFormatting sqref="B7:B25">
    <cfRule type="dataBar" priority="2">
      <dataBar>
        <cfvo type="min"/>
        <cfvo type="max"/>
        <color rgb="FF92D050"/>
      </dataBar>
      <extLst>
        <ext xmlns:x14="http://schemas.microsoft.com/office/spreadsheetml/2009/9/main" uri="{B025F937-C7B1-47D3-B67F-A62EFF666E3E}">
          <x14:id>{AB3C1C87-219D-4699-8CAC-05943B0656EF}</x14:id>
        </ext>
      </extLst>
    </cfRule>
  </conditionalFormatting>
  <conditionalFormatting sqref="H7:H25">
    <cfRule type="iconSet" priority="1">
      <iconSet iconSet="3Arrows" reverse="1">
        <cfvo type="percent" val="0"/>
        <cfvo type="num" val="2"/>
        <cfvo type="num" val="4"/>
      </iconSet>
    </cfRule>
  </conditionalFormatting>
  <pageMargins left="0.75" right="0.75" top="1" bottom="1" header="0.5" footer="0.5"/>
  <pageSetup orientation="portrait" horizontalDpi="120" verticalDpi="72" r:id="rId1"/>
  <headerFooter alignWithMargins="0"/>
  <legacyDrawing r:id="rId2"/>
  <extLst>
    <ext xmlns:x14="http://schemas.microsoft.com/office/spreadsheetml/2009/9/main" uri="{78C0D931-6437-407d-A8EE-F0AAD7539E65}">
      <x14:conditionalFormattings>
        <x14:conditionalFormatting xmlns:xm="http://schemas.microsoft.com/office/excel/2006/main">
          <x14:cfRule type="dataBar" id="{AB3C1C87-219D-4699-8CAC-05943B0656EF}">
            <x14:dataBar minLength="0" maxLength="100" border="1" negativeBarBorderColorSameAsPositive="0">
              <x14:cfvo type="autoMin"/>
              <x14:cfvo type="autoMax"/>
              <x14:borderColor rgb="FF92D050"/>
              <x14:negativeFillColor rgb="FFFF0000"/>
              <x14:negativeBorderColor rgb="FFFF0000"/>
              <x14:axisColor rgb="FF000000"/>
            </x14:dataBar>
          </x14:cfRule>
          <xm:sqref>B7:B25</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9"/>
  <dimension ref="A1:M30"/>
  <sheetViews>
    <sheetView zoomScale="145" zoomScaleNormal="145"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19.140625" style="116" customWidth="1"/>
    <col min="2" max="4" width="9.140625" style="116" bestFit="1" customWidth="1"/>
    <col min="5" max="5" width="8.42578125" style="116" customWidth="1"/>
    <col min="6" max="6" width="9.140625" style="116" bestFit="1" customWidth="1"/>
    <col min="7" max="7" width="6.85546875" style="116" customWidth="1"/>
    <col min="8" max="8" width="11.28515625" style="116" customWidth="1"/>
    <col min="9" max="9" width="8.7109375" style="116" bestFit="1" customWidth="1"/>
    <col min="10" max="10" width="8" style="116" customWidth="1"/>
    <col min="11" max="13" width="7" style="116" bestFit="1" customWidth="1"/>
    <col min="14" max="16384" width="9.140625" style="116"/>
  </cols>
  <sheetData>
    <row r="1" spans="1:13" ht="18" x14ac:dyDescent="0.25">
      <c r="A1" s="98" t="s">
        <v>446</v>
      </c>
    </row>
    <row r="2" spans="1:13" s="143" customFormat="1" hidden="1" x14ac:dyDescent="0.2"/>
    <row r="3" spans="1:13" x14ac:dyDescent="0.2">
      <c r="A3" s="231" t="str">
        <f>IF(A2="","",IF(Disable_Video_Hyperlinks,A2,HYPERLINK(Video_website&amp;A2,A2)))</f>
        <v/>
      </c>
      <c r="B3" s="137"/>
      <c r="C3" s="137"/>
      <c r="D3" s="137"/>
      <c r="E3" s="137"/>
      <c r="F3" s="137"/>
      <c r="G3" s="137"/>
      <c r="H3" s="137"/>
      <c r="I3" s="137"/>
      <c r="J3" s="137"/>
    </row>
    <row r="4" spans="1:13" x14ac:dyDescent="0.2">
      <c r="A4" s="309" t="str">
        <f>IF(B2="","",B2)</f>
        <v/>
      </c>
      <c r="B4" s="137"/>
      <c r="C4" s="137"/>
      <c r="D4" s="137"/>
      <c r="E4" s="137"/>
      <c r="F4" s="137"/>
      <c r="G4" s="137"/>
      <c r="H4" s="137"/>
      <c r="I4" s="137"/>
      <c r="J4" s="137"/>
    </row>
    <row r="5" spans="1:13" x14ac:dyDescent="0.2">
      <c r="A5" s="137"/>
      <c r="B5" s="137"/>
      <c r="C5" s="137"/>
      <c r="D5" s="137"/>
      <c r="E5" s="137"/>
      <c r="F5" s="137"/>
      <c r="G5" s="137"/>
      <c r="H5" s="137"/>
      <c r="I5" s="137"/>
      <c r="J5" s="137"/>
    </row>
    <row r="6" spans="1:13"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row>
    <row r="7" spans="1:13"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row>
    <row r="8" spans="1:13"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row>
    <row r="9" spans="1:13"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row>
    <row r="10" spans="1:13" x14ac:dyDescent="0.2">
      <c r="A10" s="143" t="s">
        <v>226</v>
      </c>
      <c r="B10" s="182">
        <v>33000</v>
      </c>
      <c r="C10" s="182">
        <v>35039</v>
      </c>
      <c r="D10" s="182">
        <v>50921</v>
      </c>
      <c r="E10" s="183">
        <v>495</v>
      </c>
      <c r="F10" s="182">
        <v>1650</v>
      </c>
      <c r="G10" s="149" t="s">
        <v>221</v>
      </c>
      <c r="H10" s="149">
        <v>2</v>
      </c>
      <c r="I10" s="149">
        <v>43</v>
      </c>
      <c r="J10" s="149">
        <v>1</v>
      </c>
      <c r="K10" s="116" t="b">
        <f>E10/D10&lt;0.1</f>
        <v>1</v>
      </c>
      <c r="L10" s="116" t="b">
        <f t="shared" si="0"/>
        <v>0</v>
      </c>
      <c r="M10" s="116" t="b">
        <f t="shared" si="1"/>
        <v>0</v>
      </c>
    </row>
    <row r="11" spans="1:13" x14ac:dyDescent="0.2">
      <c r="A11" s="143" t="s">
        <v>227</v>
      </c>
      <c r="B11" s="182"/>
      <c r="C11" s="182"/>
      <c r="D11" s="182"/>
      <c r="E11" s="183"/>
      <c r="F11" s="182">
        <v>10000</v>
      </c>
      <c r="G11" s="149" t="s">
        <v>225</v>
      </c>
      <c r="H11" s="149">
        <v>1</v>
      </c>
      <c r="I11" s="149">
        <v>91</v>
      </c>
      <c r="J11" s="149">
        <v>1</v>
      </c>
      <c r="L11" s="116" t="b">
        <f t="shared" si="0"/>
        <v>1</v>
      </c>
      <c r="M11" s="116" t="b">
        <f t="shared" si="1"/>
        <v>1</v>
      </c>
    </row>
    <row r="12" spans="1:13"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row>
    <row r="13" spans="1:13"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row>
    <row r="14" spans="1:13"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row>
    <row r="15" spans="1:13"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row>
    <row r="16" spans="1:13"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row>
    <row r="17" spans="1:13"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row>
    <row r="18" spans="1:13"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3"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3"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3"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3"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3"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3"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3"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3" x14ac:dyDescent="0.2">
      <c r="H27" s="116" t="s">
        <v>247</v>
      </c>
      <c r="K27" s="116" t="b">
        <f>OR(K7:K25)</f>
        <v>1</v>
      </c>
      <c r="L27" s="116" t="b">
        <f>OR(L7:L25)</f>
        <v>1</v>
      </c>
      <c r="M27" s="116" t="b">
        <f>OR(M7:M25)</f>
        <v>1</v>
      </c>
    </row>
    <row r="28" spans="1:13" x14ac:dyDescent="0.2">
      <c r="H28" s="116" t="s">
        <v>248</v>
      </c>
      <c r="K28" s="116" t="b">
        <f>NOT(K27)</f>
        <v>0</v>
      </c>
      <c r="L28" s="116" t="b">
        <f>NOT(L27)</f>
        <v>0</v>
      </c>
      <c r="M28" s="116" t="b">
        <f>NOT(M27)</f>
        <v>0</v>
      </c>
    </row>
    <row r="30" spans="1:13" x14ac:dyDescent="0.2">
      <c r="A30" s="116" t="s">
        <v>456</v>
      </c>
    </row>
  </sheetData>
  <phoneticPr fontId="2" type="noConversion"/>
  <conditionalFormatting sqref="K7:M28">
    <cfRule type="cellIs" dxfId="29" priority="1" stopIfTrue="1" operator="equal">
      <formula>TRUE</formula>
    </cfRule>
  </conditionalFormatting>
  <pageMargins left="0.75" right="0.75" top="1" bottom="1" header="0.5" footer="0.5"/>
  <pageSetup orientation="portrait" horizontalDpi="120" verticalDpi="72"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2"/>
  <dimension ref="A1:M31"/>
  <sheetViews>
    <sheetView zoomScale="145" zoomScaleNormal="145"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19.140625" style="116" customWidth="1"/>
    <col min="2" max="4" width="9.140625" style="116" bestFit="1" customWidth="1"/>
    <col min="5" max="5" width="8.42578125" style="116" customWidth="1"/>
    <col min="6" max="6" width="9.140625" style="116" bestFit="1" customWidth="1"/>
    <col min="7" max="7" width="6.85546875" style="116" customWidth="1"/>
    <col min="8" max="8" width="11.28515625" style="116" customWidth="1"/>
    <col min="9" max="9" width="8.7109375" style="116" bestFit="1" customWidth="1"/>
    <col min="10" max="10" width="8" style="116" customWidth="1"/>
    <col min="11" max="13" width="7" style="116" bestFit="1" customWidth="1"/>
    <col min="14" max="16384" width="9.140625" style="116"/>
  </cols>
  <sheetData>
    <row r="1" spans="1:13" ht="18" x14ac:dyDescent="0.25">
      <c r="A1" s="98" t="s">
        <v>451</v>
      </c>
    </row>
    <row r="2" spans="1:13" s="143" customFormat="1" hidden="1" x14ac:dyDescent="0.2"/>
    <row r="3" spans="1:13" x14ac:dyDescent="0.2">
      <c r="A3" s="231" t="str">
        <f>IF(A2="","",IF(Disable_Video_Hyperlinks,A2,HYPERLINK(Video_website&amp;A2,A2)))</f>
        <v/>
      </c>
      <c r="B3" s="137"/>
      <c r="C3" s="137"/>
      <c r="D3" s="137"/>
      <c r="E3" s="137"/>
      <c r="F3" s="137"/>
      <c r="G3" s="137"/>
      <c r="H3" s="137"/>
      <c r="I3" s="137"/>
      <c r="J3" s="137"/>
    </row>
    <row r="4" spans="1:13" x14ac:dyDescent="0.2">
      <c r="A4" s="309" t="str">
        <f>IF(B2="","",B2)</f>
        <v/>
      </c>
      <c r="B4" s="137"/>
      <c r="C4" s="137"/>
      <c r="D4" s="137"/>
      <c r="E4" s="137"/>
      <c r="F4" s="137"/>
      <c r="G4" s="137"/>
      <c r="H4" s="137"/>
      <c r="I4" s="137"/>
      <c r="J4" s="137"/>
    </row>
    <row r="5" spans="1:13" x14ac:dyDescent="0.2">
      <c r="A5" s="137"/>
      <c r="B5" s="137"/>
      <c r="C5" s="137"/>
      <c r="D5" s="137"/>
      <c r="E5" s="137"/>
      <c r="F5" s="137"/>
      <c r="G5" s="137"/>
      <c r="H5" s="137"/>
      <c r="I5" s="137"/>
      <c r="J5" s="137"/>
    </row>
    <row r="6" spans="1:13"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row>
    <row r="7" spans="1:13"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row>
    <row r="8" spans="1:13"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row>
    <row r="9" spans="1:13"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row>
    <row r="10" spans="1:13" x14ac:dyDescent="0.2">
      <c r="A10" s="143" t="s">
        <v>226</v>
      </c>
      <c r="B10" s="182">
        <v>33000</v>
      </c>
      <c r="C10" s="182">
        <v>35039</v>
      </c>
      <c r="D10" s="182">
        <v>50921</v>
      </c>
      <c r="E10" s="183">
        <v>495</v>
      </c>
      <c r="F10" s="182">
        <v>1650</v>
      </c>
      <c r="G10" s="149" t="s">
        <v>221</v>
      </c>
      <c r="H10" s="149">
        <v>2</v>
      </c>
      <c r="I10" s="149">
        <v>43</v>
      </c>
      <c r="J10" s="149">
        <v>1</v>
      </c>
      <c r="K10" s="116" t="b">
        <f>E10/D10&lt;0.1</f>
        <v>1</v>
      </c>
      <c r="L10" s="116" t="b">
        <f t="shared" si="0"/>
        <v>0</v>
      </c>
      <c r="M10" s="116" t="b">
        <f t="shared" si="1"/>
        <v>0</v>
      </c>
    </row>
    <row r="11" spans="1:13" x14ac:dyDescent="0.2">
      <c r="A11" s="143" t="s">
        <v>227</v>
      </c>
      <c r="B11" s="182"/>
      <c r="C11" s="182"/>
      <c r="D11" s="182"/>
      <c r="E11" s="183"/>
      <c r="F11" s="182">
        <v>10000</v>
      </c>
      <c r="G11" s="149" t="s">
        <v>225</v>
      </c>
      <c r="H11" s="149">
        <v>1</v>
      </c>
      <c r="I11" s="149">
        <v>91</v>
      </c>
      <c r="J11" s="149">
        <v>1</v>
      </c>
      <c r="L11" s="116" t="b">
        <f t="shared" si="0"/>
        <v>1</v>
      </c>
      <c r="M11" s="116" t="b">
        <f t="shared" si="1"/>
        <v>1</v>
      </c>
    </row>
    <row r="12" spans="1:13" x14ac:dyDescent="0.2">
      <c r="A12" s="143" t="s">
        <v>236</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row>
    <row r="13" spans="1:13"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row>
    <row r="14" spans="1:13"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row>
    <row r="15" spans="1:13"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row>
    <row r="16" spans="1:13"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row>
    <row r="17" spans="1:13"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row>
    <row r="18" spans="1:13"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3"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3"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3"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3"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3"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3"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3"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3" x14ac:dyDescent="0.2">
      <c r="H27" s="116" t="s">
        <v>247</v>
      </c>
      <c r="K27" s="116" t="b">
        <f>OR(K7:K25)</f>
        <v>1</v>
      </c>
      <c r="L27" s="116" t="b">
        <f>OR(L7:L25)</f>
        <v>1</v>
      </c>
      <c r="M27" s="116" t="b">
        <f>OR(M7:M25)</f>
        <v>1</v>
      </c>
    </row>
    <row r="28" spans="1:13" x14ac:dyDescent="0.2">
      <c r="H28" s="116" t="s">
        <v>248</v>
      </c>
      <c r="K28" s="116" t="b">
        <f>NOT(K27)</f>
        <v>0</v>
      </c>
      <c r="L28" s="116" t="b">
        <f>NOT(L27)</f>
        <v>0</v>
      </c>
      <c r="M28" s="116" t="b">
        <f>NOT(M27)</f>
        <v>0</v>
      </c>
    </row>
    <row r="30" spans="1:13" x14ac:dyDescent="0.2">
      <c r="A30" s="116" t="s">
        <v>457</v>
      </c>
    </row>
    <row r="31" spans="1:13" x14ac:dyDescent="0.2">
      <c r="A31" s="178" t="s">
        <v>458</v>
      </c>
    </row>
  </sheetData>
  <conditionalFormatting sqref="K7:M28">
    <cfRule type="cellIs" dxfId="28" priority="3" stopIfTrue="1" operator="equal">
      <formula>TRUE</formula>
    </cfRule>
  </conditionalFormatting>
  <conditionalFormatting sqref="A7:A25">
    <cfRule type="duplicateValues" dxfId="27" priority="2"/>
  </conditionalFormatting>
  <conditionalFormatting sqref="J7:J25">
    <cfRule type="uniqueValues" dxfId="26" priority="1"/>
  </conditionalFormatting>
  <pageMargins left="0.75" right="0.75" top="1" bottom="1" header="0.5" footer="0.5"/>
  <pageSetup orientation="portrait" horizontalDpi="120" verticalDpi="72"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43"/>
  <dimension ref="A1:M31"/>
  <sheetViews>
    <sheetView zoomScale="145" zoomScaleNormal="145"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19.140625" style="116" customWidth="1"/>
    <col min="2" max="4" width="9.140625" style="116" bestFit="1" customWidth="1"/>
    <col min="5" max="5" width="8.42578125" style="116" customWidth="1"/>
    <col min="6" max="6" width="9.140625" style="116" bestFit="1" customWidth="1"/>
    <col min="7" max="7" width="6.85546875" style="116" customWidth="1"/>
    <col min="8" max="8" width="11.28515625" style="116" customWidth="1"/>
    <col min="9" max="9" width="8.7109375" style="116" bestFit="1" customWidth="1"/>
    <col min="10" max="10" width="8" style="116" customWidth="1"/>
    <col min="11" max="13" width="7" style="116" bestFit="1" customWidth="1"/>
    <col min="14" max="16384" width="9.140625" style="116"/>
  </cols>
  <sheetData>
    <row r="1" spans="1:13" ht="18" x14ac:dyDescent="0.25">
      <c r="A1" s="98" t="s">
        <v>449</v>
      </c>
    </row>
    <row r="2" spans="1:13" s="143" customFormat="1" hidden="1" x14ac:dyDescent="0.2"/>
    <row r="3" spans="1:13" x14ac:dyDescent="0.2">
      <c r="A3" s="231" t="str">
        <f>IF(A2="","",IF(Disable_Video_Hyperlinks,A2,HYPERLINK(Video_website&amp;A2,A2)))</f>
        <v/>
      </c>
      <c r="B3" s="137"/>
      <c r="C3" s="137"/>
      <c r="D3" s="137"/>
      <c r="E3" s="137"/>
      <c r="F3" s="137"/>
      <c r="G3" s="137"/>
      <c r="H3" s="137"/>
      <c r="I3" s="137"/>
      <c r="J3" s="137"/>
    </row>
    <row r="4" spans="1:13" x14ac:dyDescent="0.2">
      <c r="A4" s="309" t="str">
        <f>IF(B2="","",B2)</f>
        <v/>
      </c>
      <c r="B4" s="137"/>
      <c r="C4" s="137"/>
      <c r="D4" s="137"/>
      <c r="E4" s="137"/>
      <c r="F4" s="137"/>
      <c r="G4" s="137"/>
      <c r="H4" s="137"/>
      <c r="I4" s="137"/>
      <c r="J4" s="137"/>
    </row>
    <row r="5" spans="1:13" x14ac:dyDescent="0.2">
      <c r="A5" s="137"/>
      <c r="B5" s="137"/>
      <c r="C5" s="137"/>
      <c r="D5" s="137"/>
      <c r="E5" s="137"/>
      <c r="F5" s="137"/>
      <c r="G5" s="137"/>
      <c r="H5" s="137"/>
      <c r="I5" s="137"/>
      <c r="J5" s="137"/>
    </row>
    <row r="6" spans="1:13"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row>
    <row r="7" spans="1:13"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row>
    <row r="8" spans="1:13"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row>
    <row r="9" spans="1:13"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row>
    <row r="10" spans="1:13" x14ac:dyDescent="0.2">
      <c r="A10" s="143" t="s">
        <v>226</v>
      </c>
      <c r="B10" s="182">
        <v>33000</v>
      </c>
      <c r="C10" s="182">
        <v>35039</v>
      </c>
      <c r="D10" s="182">
        <v>50921</v>
      </c>
      <c r="E10" s="183">
        <v>495</v>
      </c>
      <c r="F10" s="182">
        <v>1650</v>
      </c>
      <c r="G10" s="149" t="s">
        <v>221</v>
      </c>
      <c r="H10" s="149">
        <v>2</v>
      </c>
      <c r="I10" s="149">
        <v>43</v>
      </c>
      <c r="J10" s="149">
        <v>1</v>
      </c>
      <c r="K10" s="116" t="b">
        <f>E10/D10&lt;0.1</f>
        <v>1</v>
      </c>
      <c r="L10" s="116" t="b">
        <f t="shared" si="0"/>
        <v>0</v>
      </c>
      <c r="M10" s="116" t="b">
        <f t="shared" si="1"/>
        <v>0</v>
      </c>
    </row>
    <row r="11" spans="1:13" x14ac:dyDescent="0.2">
      <c r="A11" s="143" t="s">
        <v>227</v>
      </c>
      <c r="B11" s="182"/>
      <c r="C11" s="182"/>
      <c r="D11" s="182"/>
      <c r="E11" s="183"/>
      <c r="F11" s="182">
        <v>10000</v>
      </c>
      <c r="G11" s="149" t="s">
        <v>225</v>
      </c>
      <c r="H11" s="149">
        <v>1</v>
      </c>
      <c r="I11" s="149">
        <v>91</v>
      </c>
      <c r="J11" s="149">
        <v>1</v>
      </c>
      <c r="L11" s="116" t="b">
        <f t="shared" si="0"/>
        <v>1</v>
      </c>
      <c r="M11" s="116" t="b">
        <f t="shared" si="1"/>
        <v>1</v>
      </c>
    </row>
    <row r="12" spans="1:13"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row>
    <row r="13" spans="1:13"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row>
    <row r="14" spans="1:13"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row>
    <row r="15" spans="1:13"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row>
    <row r="16" spans="1:13"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row>
    <row r="17" spans="1:13"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row>
    <row r="18" spans="1:13"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3"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3"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3"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3"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3"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3"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3"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3" x14ac:dyDescent="0.2">
      <c r="H27" s="116" t="s">
        <v>247</v>
      </c>
      <c r="K27" s="116" t="b">
        <f>OR(K7:K25)</f>
        <v>1</v>
      </c>
      <c r="L27" s="116" t="b">
        <f>OR(L7:L25)</f>
        <v>1</v>
      </c>
      <c r="M27" s="116" t="b">
        <f>OR(M7:M25)</f>
        <v>1</v>
      </c>
    </row>
    <row r="28" spans="1:13" x14ac:dyDescent="0.2">
      <c r="H28" s="116" t="s">
        <v>248</v>
      </c>
      <c r="K28" s="116" t="b">
        <f>NOT(K27)</f>
        <v>0</v>
      </c>
      <c r="L28" s="116" t="b">
        <f>NOT(L27)</f>
        <v>0</v>
      </c>
      <c r="M28" s="116" t="b">
        <f>NOT(M27)</f>
        <v>0</v>
      </c>
    </row>
    <row r="30" spans="1:13" x14ac:dyDescent="0.2">
      <c r="A30" s="116" t="s">
        <v>459</v>
      </c>
    </row>
    <row r="31" spans="1:13" x14ac:dyDescent="0.2">
      <c r="A31" s="32"/>
    </row>
  </sheetData>
  <conditionalFormatting sqref="F7:F25">
    <cfRule type="colorScale" priority="1">
      <colorScale>
        <cfvo type="min"/>
        <cfvo type="percentile" val="50"/>
        <cfvo type="max"/>
        <color rgb="FFF8696B"/>
        <color rgb="FFFFEB84"/>
        <color rgb="FF63BE7B"/>
      </colorScale>
    </cfRule>
  </conditionalFormatting>
  <pageMargins left="0.75" right="0.75" top="1" bottom="1" header="0.5" footer="0.5"/>
  <pageSetup orientation="portrait" horizontalDpi="120" verticalDpi="72"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dimension ref="A1:M31"/>
  <sheetViews>
    <sheetView zoomScale="145" zoomScaleNormal="145"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19.140625" style="116" customWidth="1"/>
    <col min="2" max="4" width="9.140625" style="116" bestFit="1" customWidth="1"/>
    <col min="5" max="5" width="8.42578125" style="116" customWidth="1"/>
    <col min="6" max="6" width="9.140625" style="116" bestFit="1" customWidth="1"/>
    <col min="7" max="7" width="6.85546875" style="116" customWidth="1"/>
    <col min="8" max="8" width="11.28515625" style="116" customWidth="1"/>
    <col min="9" max="9" width="8.7109375" style="116" bestFit="1" customWidth="1"/>
    <col min="10" max="10" width="8" style="116" customWidth="1"/>
    <col min="11" max="13" width="7" style="116" bestFit="1" customWidth="1"/>
    <col min="14" max="25" width="9.140625" style="116"/>
    <col min="26" max="26" width="9.140625" style="116" customWidth="1"/>
    <col min="27" max="16384" width="9.140625" style="116"/>
  </cols>
  <sheetData>
    <row r="1" spans="1:13" ht="18" x14ac:dyDescent="0.25">
      <c r="A1" s="98" t="s">
        <v>448</v>
      </c>
    </row>
    <row r="2" spans="1:13" s="143" customFormat="1" hidden="1" x14ac:dyDescent="0.2"/>
    <row r="3" spans="1:13" x14ac:dyDescent="0.2">
      <c r="A3" s="231" t="str">
        <f>IF(A2="","",IF(Disable_Video_Hyperlinks,A2,HYPERLINK(Video_website&amp;A2,A2)))</f>
        <v/>
      </c>
      <c r="B3" s="137"/>
      <c r="C3" s="137"/>
      <c r="D3" s="137"/>
      <c r="E3" s="137"/>
      <c r="F3" s="137"/>
      <c r="G3" s="137"/>
      <c r="H3" s="137"/>
      <c r="I3" s="137"/>
      <c r="J3" s="137"/>
    </row>
    <row r="4" spans="1:13" x14ac:dyDescent="0.2">
      <c r="A4" s="309" t="str">
        <f>IF(B2="","",B2)</f>
        <v/>
      </c>
      <c r="B4" s="137"/>
      <c r="C4" s="137"/>
      <c r="D4" s="137"/>
      <c r="E4" s="137"/>
      <c r="F4" s="137"/>
      <c r="G4" s="137"/>
      <c r="H4" s="137"/>
      <c r="I4" s="137"/>
      <c r="J4" s="137"/>
    </row>
    <row r="5" spans="1:13" x14ac:dyDescent="0.2">
      <c r="A5" s="137"/>
      <c r="B5" s="137"/>
      <c r="C5" s="137"/>
      <c r="D5" s="137"/>
      <c r="E5" s="137"/>
      <c r="F5" s="137"/>
      <c r="G5" s="137"/>
      <c r="H5" s="137"/>
      <c r="I5" s="137"/>
      <c r="J5" s="137"/>
    </row>
    <row r="6" spans="1:13"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row>
    <row r="7" spans="1:13"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row>
    <row r="8" spans="1:13"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row>
    <row r="9" spans="1:13"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row>
    <row r="10" spans="1:13" x14ac:dyDescent="0.2">
      <c r="A10" s="143" t="s">
        <v>226</v>
      </c>
      <c r="B10" s="182">
        <v>33000</v>
      </c>
      <c r="C10" s="182">
        <v>35039</v>
      </c>
      <c r="D10" s="182">
        <v>50921</v>
      </c>
      <c r="E10" s="183">
        <v>495</v>
      </c>
      <c r="F10" s="182">
        <v>1650</v>
      </c>
      <c r="G10" s="149" t="s">
        <v>221</v>
      </c>
      <c r="H10" s="149">
        <v>2</v>
      </c>
      <c r="I10" s="149">
        <v>43</v>
      </c>
      <c r="J10" s="149">
        <v>1</v>
      </c>
      <c r="K10" s="116" t="b">
        <f>E10/D10&lt;0.1</f>
        <v>1</v>
      </c>
      <c r="L10" s="116" t="b">
        <f t="shared" si="0"/>
        <v>0</v>
      </c>
      <c r="M10" s="116" t="b">
        <f t="shared" si="1"/>
        <v>0</v>
      </c>
    </row>
    <row r="11" spans="1:13" x14ac:dyDescent="0.2">
      <c r="A11" s="143" t="s">
        <v>227</v>
      </c>
      <c r="B11" s="182"/>
      <c r="C11" s="182"/>
      <c r="D11" s="182"/>
      <c r="E11" s="183"/>
      <c r="F11" s="182">
        <v>10000</v>
      </c>
      <c r="G11" s="149" t="s">
        <v>225</v>
      </c>
      <c r="H11" s="149">
        <v>1</v>
      </c>
      <c r="I11" s="149">
        <v>91</v>
      </c>
      <c r="J11" s="149">
        <v>1</v>
      </c>
      <c r="L11" s="116" t="b">
        <f t="shared" si="0"/>
        <v>1</v>
      </c>
      <c r="M11" s="116" t="b">
        <f t="shared" si="1"/>
        <v>1</v>
      </c>
    </row>
    <row r="12" spans="1:13"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row>
    <row r="13" spans="1:13"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row>
    <row r="14" spans="1:13"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row>
    <row r="15" spans="1:13"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row>
    <row r="16" spans="1:13"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row>
    <row r="17" spans="1:13"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row>
    <row r="18" spans="1:13"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3"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3"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3"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3"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3"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3"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3"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3" x14ac:dyDescent="0.2">
      <c r="H27" s="116" t="s">
        <v>247</v>
      </c>
      <c r="K27" s="116" t="b">
        <f>OR(K7:K25)</f>
        <v>1</v>
      </c>
      <c r="L27" s="116" t="b">
        <f>OR(L7:L25)</f>
        <v>1</v>
      </c>
      <c r="M27" s="116" t="b">
        <f>OR(M7:M25)</f>
        <v>1</v>
      </c>
    </row>
    <row r="28" spans="1:13" x14ac:dyDescent="0.2">
      <c r="H28" s="116" t="s">
        <v>248</v>
      </c>
      <c r="K28" s="116" t="b">
        <f>NOT(K27)</f>
        <v>0</v>
      </c>
      <c r="L28" s="116" t="b">
        <f>NOT(L27)</f>
        <v>0</v>
      </c>
      <c r="M28" s="116" t="b">
        <f>NOT(M27)</f>
        <v>0</v>
      </c>
    </row>
    <row r="30" spans="1:13" ht="26.25" customHeight="1" x14ac:dyDescent="0.2">
      <c r="A30" s="378" t="s">
        <v>750</v>
      </c>
      <c r="B30" s="378"/>
      <c r="C30" s="378"/>
      <c r="D30" s="378"/>
      <c r="E30" s="378"/>
      <c r="F30" s="378"/>
      <c r="G30" s="378"/>
      <c r="H30" s="378"/>
      <c r="I30" s="378"/>
      <c r="J30" s="378"/>
      <c r="K30" s="378"/>
      <c r="L30" s="378"/>
      <c r="M30" s="378"/>
    </row>
    <row r="31" spans="1:13" x14ac:dyDescent="0.2">
      <c r="A31" s="32"/>
    </row>
  </sheetData>
  <mergeCells count="1">
    <mergeCell ref="A30:M30"/>
  </mergeCells>
  <conditionalFormatting sqref="F7:F25">
    <cfRule type="top10" dxfId="25" priority="1" bottom="1" rank="1"/>
    <cfRule type="top10" dxfId="24" priority="2" rank="1"/>
  </conditionalFormatting>
  <pageMargins left="0.75" right="0.75" top="1" bottom="1" header="0.5" footer="0.5"/>
  <pageSetup orientation="portrait" horizontalDpi="120" verticalDpi="72" r:id="rId1"/>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7"/>
  <dimension ref="A1:U32"/>
  <sheetViews>
    <sheetView zoomScale="130" zoomScaleNormal="130" workbookViewId="0">
      <pane xSplit="1" ySplit="6" topLeftCell="B7" activePane="bottomRight" state="frozen"/>
      <selection pane="topRight" activeCell="B1" sqref="B1"/>
      <selection pane="bottomLeft" activeCell="A7" sqref="A7"/>
      <selection pane="bottomRight"/>
    </sheetView>
  </sheetViews>
  <sheetFormatPr defaultRowHeight="12.75" x14ac:dyDescent="0.2"/>
  <cols>
    <col min="1" max="1" width="19.140625" style="116" customWidth="1"/>
    <col min="2" max="4" width="9.140625" style="116" bestFit="1" customWidth="1"/>
    <col min="5" max="5" width="8.42578125" style="116" customWidth="1"/>
    <col min="6" max="6" width="9.140625" style="116" bestFit="1" customWidth="1"/>
    <col min="7" max="7" width="6.85546875" style="116" customWidth="1"/>
    <col min="8" max="8" width="11.28515625" style="116" customWidth="1"/>
    <col min="9" max="9" width="8.7109375" style="116" bestFit="1" customWidth="1"/>
    <col min="10" max="10" width="8" style="116" customWidth="1"/>
    <col min="11" max="13" width="7" style="116" bestFit="1" customWidth="1"/>
    <col min="14" max="14" width="9.140625" style="116"/>
    <col min="15" max="19" width="10" style="116" customWidth="1"/>
    <col min="20" max="26" width="9.140625" style="116"/>
    <col min="27" max="27" width="9.140625" style="116" customWidth="1"/>
    <col min="28" max="16384" width="9.140625" style="116"/>
  </cols>
  <sheetData>
    <row r="1" spans="1:21" ht="18" x14ac:dyDescent="0.25">
      <c r="A1" s="98" t="s">
        <v>450</v>
      </c>
    </row>
    <row r="2" spans="1:21" s="143" customFormat="1" hidden="1" x14ac:dyDescent="0.2">
      <c r="A2" s="143" t="s">
        <v>528</v>
      </c>
      <c r="B2" s="321">
        <v>1.0069444444444445E-2</v>
      </c>
    </row>
    <row r="3" spans="1:21" x14ac:dyDescent="0.2">
      <c r="A3" s="231" t="str">
        <f>IF(A2="","",IF(Disable_Video_Hyperlinks,A2,HYPERLINK(Video_website&amp;A2,A2)))</f>
        <v>UNC_DAYT_EXCEL_2.7.2_LECTURE_CONDITIONAL_FORMATTING_USE_A_FORMULA.mp4</v>
      </c>
      <c r="B3"/>
      <c r="C3" s="137"/>
      <c r="D3" s="137"/>
      <c r="E3" s="137"/>
      <c r="F3" s="137"/>
      <c r="G3" s="137"/>
      <c r="H3" s="137"/>
      <c r="I3" s="137"/>
      <c r="J3" s="137"/>
    </row>
    <row r="4" spans="1:21" x14ac:dyDescent="0.2">
      <c r="A4" s="309">
        <f>IF(B2="","",B2)</f>
        <v>1.0069444444444445E-2</v>
      </c>
      <c r="B4"/>
      <c r="C4" s="137"/>
      <c r="D4" s="137"/>
      <c r="E4" s="137"/>
      <c r="F4" s="137"/>
      <c r="G4" s="137"/>
      <c r="H4" s="137"/>
      <c r="I4" s="137"/>
      <c r="J4" s="137"/>
    </row>
    <row r="5" spans="1:21" x14ac:dyDescent="0.2">
      <c r="A5" s="137"/>
      <c r="B5" s="137"/>
      <c r="C5" s="137"/>
      <c r="D5" s="137"/>
      <c r="E5" s="137"/>
      <c r="F5" s="137"/>
      <c r="G5" s="137"/>
      <c r="H5" s="137"/>
      <c r="I5" s="137"/>
      <c r="J5" s="137"/>
      <c r="O5" s="225" t="s">
        <v>486</v>
      </c>
      <c r="P5" s="225"/>
      <c r="Q5" s="225"/>
      <c r="R5" s="225"/>
      <c r="S5" s="219"/>
    </row>
    <row r="6" spans="1:21"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c r="O6" s="224" t="s">
        <v>483</v>
      </c>
      <c r="P6" s="224" t="s">
        <v>484</v>
      </c>
      <c r="Q6" s="224" t="s">
        <v>485</v>
      </c>
      <c r="R6" s="224" t="s">
        <v>751</v>
      </c>
      <c r="S6" s="224" t="s">
        <v>487</v>
      </c>
    </row>
    <row r="7" spans="1:21"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c r="O7" s="226">
        <f>MAX($F$7:$F$25)</f>
        <v>500000</v>
      </c>
      <c r="P7" s="116" t="e" cm="1" vm="1">
        <f t="array" aca="1" ref="P7" ca="1">$F$7:$F$25=MAX($F$7:$F$25)</f>
        <v>#VALUE!</v>
      </c>
      <c r="Q7" s="116" t="b">
        <f>$F$7=MAX($F$7:$F$25)</f>
        <v>0</v>
      </c>
      <c r="R7" s="116" t="b">
        <f>F7=MAX($F$7:$F$25)</f>
        <v>0</v>
      </c>
      <c r="S7" s="116" t="b">
        <f>$F7=MAX($F$7:$F$25)</f>
        <v>0</v>
      </c>
    </row>
    <row r="8" spans="1:21"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c r="O8" s="227">
        <f t="shared" ref="O8:O25" si="2">MAX($F$7:$F$25)</f>
        <v>500000</v>
      </c>
      <c r="P8" s="116" t="e" cm="1" vm="1">
        <f t="array" aca="1" ref="P8" ca="1">$F$7:$F$25=MAX($F$7:$F$25)</f>
        <v>#VALUE!</v>
      </c>
      <c r="Q8" s="116" t="b">
        <f t="shared" ref="Q8:Q25" si="3">$F$7=MAX($F$7:$F$25)</f>
        <v>0</v>
      </c>
      <c r="R8" s="116" t="b">
        <f t="shared" ref="R8:R25" si="4">F8=MAX($F$7:$F$25)</f>
        <v>0</v>
      </c>
      <c r="S8" s="116" t="b">
        <f t="shared" ref="S8:S25" si="5">$F8=MAX($F$7:$F$25)</f>
        <v>0</v>
      </c>
      <c r="U8" s="375"/>
    </row>
    <row r="9" spans="1:21"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c r="O9" s="227">
        <f t="shared" si="2"/>
        <v>500000</v>
      </c>
      <c r="P9" s="116" t="e" cm="1" vm="1">
        <f t="array" aca="1" ref="P9" ca="1">$F$7:$F$25=MAX($F$7:$F$25)</f>
        <v>#VALUE!</v>
      </c>
      <c r="Q9" s="116" t="b">
        <f t="shared" si="3"/>
        <v>0</v>
      </c>
      <c r="R9" s="116" t="b">
        <f t="shared" si="4"/>
        <v>0</v>
      </c>
      <c r="S9" s="116" t="b">
        <f t="shared" si="5"/>
        <v>0</v>
      </c>
      <c r="U9" s="375"/>
    </row>
    <row r="10" spans="1:21" x14ac:dyDescent="0.2">
      <c r="A10" s="143" t="s">
        <v>226</v>
      </c>
      <c r="B10" s="182">
        <v>33000</v>
      </c>
      <c r="C10" s="182">
        <v>35039</v>
      </c>
      <c r="D10" s="182">
        <v>50921</v>
      </c>
      <c r="E10" s="183">
        <v>495</v>
      </c>
      <c r="F10" s="182">
        <v>1650</v>
      </c>
      <c r="G10" s="149" t="s">
        <v>221</v>
      </c>
      <c r="H10" s="149">
        <v>2</v>
      </c>
      <c r="I10" s="149">
        <v>43</v>
      </c>
      <c r="J10" s="149">
        <v>1</v>
      </c>
      <c r="K10" s="116" t="b">
        <f>E10/D10&lt;0.1</f>
        <v>1</v>
      </c>
      <c r="L10" s="116" t="b">
        <f t="shared" si="0"/>
        <v>0</v>
      </c>
      <c r="M10" s="116" t="b">
        <f t="shared" si="1"/>
        <v>0</v>
      </c>
      <c r="O10" s="227">
        <f t="shared" si="2"/>
        <v>500000</v>
      </c>
      <c r="P10" s="116" t="e" cm="1" vm="1">
        <f t="array" aca="1" ref="P10" ca="1">$F$7:$F$25=MAX($F$7:$F$25)</f>
        <v>#VALUE!</v>
      </c>
      <c r="Q10" s="116" t="b">
        <f t="shared" si="3"/>
        <v>0</v>
      </c>
      <c r="R10" s="116" t="b">
        <f t="shared" si="4"/>
        <v>0</v>
      </c>
      <c r="S10" s="116" t="b">
        <f t="shared" si="5"/>
        <v>0</v>
      </c>
      <c r="U10" s="375"/>
    </row>
    <row r="11" spans="1:21" x14ac:dyDescent="0.2">
      <c r="A11" s="143" t="s">
        <v>227</v>
      </c>
      <c r="B11" s="182"/>
      <c r="C11" s="182"/>
      <c r="D11" s="182"/>
      <c r="E11" s="183"/>
      <c r="F11" s="182">
        <v>10000</v>
      </c>
      <c r="G11" s="149" t="s">
        <v>225</v>
      </c>
      <c r="H11" s="149">
        <v>1</v>
      </c>
      <c r="I11" s="149">
        <v>91</v>
      </c>
      <c r="J11" s="149">
        <v>1</v>
      </c>
      <c r="L11" s="116" t="b">
        <f t="shared" si="0"/>
        <v>1</v>
      </c>
      <c r="M11" s="116" t="b">
        <f t="shared" si="1"/>
        <v>1</v>
      </c>
      <c r="O11" s="227">
        <f t="shared" si="2"/>
        <v>500000</v>
      </c>
      <c r="P11" s="116" t="e" cm="1" vm="1">
        <f t="array" aca="1" ref="P11" ca="1">$F$7:$F$25=MAX($F$7:$F$25)</f>
        <v>#VALUE!</v>
      </c>
      <c r="Q11" s="116" t="b">
        <f t="shared" si="3"/>
        <v>0</v>
      </c>
      <c r="R11" s="116" t="b">
        <f t="shared" si="4"/>
        <v>0</v>
      </c>
      <c r="S11" s="116" t="b">
        <f t="shared" si="5"/>
        <v>0</v>
      </c>
      <c r="U11" s="375"/>
    </row>
    <row r="12" spans="1:21" x14ac:dyDescent="0.2">
      <c r="A12" s="143" t="s">
        <v>228</v>
      </c>
      <c r="B12" s="182">
        <v>25000</v>
      </c>
      <c r="C12" s="182">
        <v>15221</v>
      </c>
      <c r="D12" s="182">
        <v>9483</v>
      </c>
      <c r="E12" s="183">
        <v>2899</v>
      </c>
      <c r="F12" s="182">
        <v>1250</v>
      </c>
      <c r="G12" s="149" t="s">
        <v>223</v>
      </c>
      <c r="H12" s="149">
        <v>3</v>
      </c>
      <c r="I12" s="149">
        <v>76</v>
      </c>
      <c r="J12" s="149">
        <v>1</v>
      </c>
      <c r="K12" s="116" t="b">
        <f t="shared" ref="K12:K25" si="6">E12/D12&lt;0.1</f>
        <v>0</v>
      </c>
      <c r="L12" s="116" t="b">
        <f t="shared" si="0"/>
        <v>0</v>
      </c>
      <c r="M12" s="116" t="b">
        <f t="shared" si="1"/>
        <v>0</v>
      </c>
      <c r="O12" s="227">
        <f t="shared" si="2"/>
        <v>500000</v>
      </c>
      <c r="P12" s="116" t="e" cm="1" vm="1">
        <f t="array" aca="1" ref="P12" ca="1">$F$7:$F$25=MAX($F$7:$F$25)</f>
        <v>#VALUE!</v>
      </c>
      <c r="Q12" s="116" t="b">
        <f t="shared" si="3"/>
        <v>0</v>
      </c>
      <c r="R12" s="116" t="b">
        <f t="shared" si="4"/>
        <v>0</v>
      </c>
      <c r="S12" s="116" t="b">
        <f t="shared" si="5"/>
        <v>0</v>
      </c>
      <c r="U12" s="375"/>
    </row>
    <row r="13" spans="1:21" x14ac:dyDescent="0.2">
      <c r="A13" s="143" t="s">
        <v>229</v>
      </c>
      <c r="B13" s="182">
        <v>42000</v>
      </c>
      <c r="C13" s="182">
        <v>80498</v>
      </c>
      <c r="D13" s="182">
        <v>81126</v>
      </c>
      <c r="E13" s="183">
        <v>0</v>
      </c>
      <c r="F13" s="182">
        <v>2100</v>
      </c>
      <c r="G13" s="149" t="s">
        <v>223</v>
      </c>
      <c r="H13" s="149">
        <v>2</v>
      </c>
      <c r="I13" s="149">
        <v>87</v>
      </c>
      <c r="J13" s="149">
        <v>1</v>
      </c>
      <c r="K13" s="116" t="b">
        <f t="shared" si="6"/>
        <v>1</v>
      </c>
      <c r="L13" s="116" t="b">
        <f t="shared" si="0"/>
        <v>0</v>
      </c>
      <c r="M13" s="116" t="b">
        <f t="shared" si="1"/>
        <v>1</v>
      </c>
      <c r="O13" s="227">
        <f t="shared" si="2"/>
        <v>500000</v>
      </c>
      <c r="P13" s="116" t="e" cm="1" vm="1">
        <f t="array" aca="1" ref="P13" ca="1">$F$7:$F$25=MAX($F$7:$F$25)</f>
        <v>#VALUE!</v>
      </c>
      <c r="Q13" s="116" t="b">
        <f t="shared" si="3"/>
        <v>0</v>
      </c>
      <c r="R13" s="116" t="b">
        <f t="shared" si="4"/>
        <v>0</v>
      </c>
      <c r="S13" s="116" t="b">
        <f t="shared" si="5"/>
        <v>0</v>
      </c>
      <c r="U13" s="375"/>
    </row>
    <row r="14" spans="1:21" x14ac:dyDescent="0.2">
      <c r="A14" s="143" t="s">
        <v>230</v>
      </c>
      <c r="B14" s="182">
        <v>27000</v>
      </c>
      <c r="C14" s="182">
        <v>35354</v>
      </c>
      <c r="D14" s="182">
        <v>20666</v>
      </c>
      <c r="E14" s="183">
        <v>0</v>
      </c>
      <c r="F14" s="182">
        <v>213</v>
      </c>
      <c r="G14" s="149" t="s">
        <v>231</v>
      </c>
      <c r="H14" s="149">
        <v>3</v>
      </c>
      <c r="I14" s="149">
        <v>94</v>
      </c>
      <c r="J14" s="149">
        <v>1</v>
      </c>
      <c r="K14" s="116" t="b">
        <f t="shared" si="6"/>
        <v>1</v>
      </c>
      <c r="L14" s="116" t="b">
        <f t="shared" si="0"/>
        <v>1</v>
      </c>
      <c r="M14" s="116" t="b">
        <f t="shared" si="1"/>
        <v>0</v>
      </c>
      <c r="O14" s="227">
        <f t="shared" si="2"/>
        <v>500000</v>
      </c>
      <c r="P14" s="116" t="e" cm="1" vm="1">
        <f t="array" aca="1" ref="P14" ca="1">$F$7:$F$25=MAX($F$7:$F$25)</f>
        <v>#VALUE!</v>
      </c>
      <c r="Q14" s="116" t="b">
        <f t="shared" si="3"/>
        <v>0</v>
      </c>
      <c r="R14" s="116" t="b">
        <f t="shared" si="4"/>
        <v>0</v>
      </c>
      <c r="S14" s="116" t="b">
        <f t="shared" si="5"/>
        <v>0</v>
      </c>
      <c r="U14" s="375"/>
    </row>
    <row r="15" spans="1:21" x14ac:dyDescent="0.2">
      <c r="A15" s="143" t="s">
        <v>232</v>
      </c>
      <c r="B15" s="182">
        <v>46000</v>
      </c>
      <c r="C15" s="182">
        <v>90970</v>
      </c>
      <c r="D15" s="182">
        <v>18343</v>
      </c>
      <c r="E15" s="183">
        <v>0</v>
      </c>
      <c r="F15" s="182">
        <v>2300</v>
      </c>
      <c r="G15" s="149" t="s">
        <v>223</v>
      </c>
      <c r="H15" s="149">
        <v>1</v>
      </c>
      <c r="I15" s="149">
        <v>21</v>
      </c>
      <c r="J15" s="149">
        <v>1</v>
      </c>
      <c r="K15" s="116" t="b">
        <f t="shared" si="6"/>
        <v>1</v>
      </c>
      <c r="L15" s="116" t="b">
        <f t="shared" si="0"/>
        <v>1</v>
      </c>
      <c r="M15" s="116" t="b">
        <f t="shared" si="1"/>
        <v>0</v>
      </c>
      <c r="O15" s="227">
        <f t="shared" si="2"/>
        <v>500000</v>
      </c>
      <c r="P15" s="116" t="e" cm="1" vm="1">
        <f t="array" aca="1" ref="P15" ca="1">$F$7:$F$25=MAX($F$7:$F$25)</f>
        <v>#VALUE!</v>
      </c>
      <c r="Q15" s="116" t="b">
        <f t="shared" si="3"/>
        <v>0</v>
      </c>
      <c r="R15" s="116" t="b">
        <f t="shared" si="4"/>
        <v>0</v>
      </c>
      <c r="S15" s="116" t="b">
        <f t="shared" si="5"/>
        <v>0</v>
      </c>
      <c r="U15" s="375"/>
    </row>
    <row r="16" spans="1:21" x14ac:dyDescent="0.2">
      <c r="A16" s="143" t="s">
        <v>233</v>
      </c>
      <c r="B16" s="182">
        <v>15000</v>
      </c>
      <c r="C16" s="182">
        <v>5663</v>
      </c>
      <c r="D16" s="182">
        <v>3014</v>
      </c>
      <c r="E16" s="183">
        <v>0</v>
      </c>
      <c r="F16" s="182">
        <v>750</v>
      </c>
      <c r="G16" s="149" t="s">
        <v>234</v>
      </c>
      <c r="H16" s="149">
        <v>1</v>
      </c>
      <c r="I16" s="149">
        <v>59</v>
      </c>
      <c r="J16" s="149">
        <v>1</v>
      </c>
      <c r="K16" s="116" t="b">
        <f t="shared" si="6"/>
        <v>1</v>
      </c>
      <c r="L16" s="116" t="b">
        <f t="shared" si="0"/>
        <v>1</v>
      </c>
      <c r="M16" s="116" t="b">
        <f t="shared" si="1"/>
        <v>0</v>
      </c>
      <c r="O16" s="227">
        <f t="shared" si="2"/>
        <v>500000</v>
      </c>
      <c r="P16" s="116" t="e" cm="1" vm="1">
        <f t="array" aca="1" ref="P16" ca="1">$F$7:$F$25=MAX($F$7:$F$25)</f>
        <v>#VALUE!</v>
      </c>
      <c r="Q16" s="116" t="b">
        <f t="shared" si="3"/>
        <v>0</v>
      </c>
      <c r="R16" s="116" t="b">
        <f t="shared" si="4"/>
        <v>0</v>
      </c>
      <c r="S16" s="116" t="b">
        <f t="shared" si="5"/>
        <v>0</v>
      </c>
      <c r="U16" s="375"/>
    </row>
    <row r="17" spans="1:21" x14ac:dyDescent="0.2">
      <c r="A17" s="143" t="s">
        <v>235</v>
      </c>
      <c r="B17" s="182">
        <v>45000</v>
      </c>
      <c r="C17" s="182">
        <v>50278</v>
      </c>
      <c r="D17" s="182">
        <v>32338</v>
      </c>
      <c r="E17" s="183">
        <v>0</v>
      </c>
      <c r="F17" s="182">
        <v>2250</v>
      </c>
      <c r="G17" s="149" t="s">
        <v>223</v>
      </c>
      <c r="H17" s="149">
        <v>3</v>
      </c>
      <c r="I17" s="149">
        <v>91</v>
      </c>
      <c r="J17" s="149">
        <v>1</v>
      </c>
      <c r="K17" s="116" t="b">
        <f t="shared" si="6"/>
        <v>1</v>
      </c>
      <c r="L17" s="116" t="b">
        <f t="shared" si="0"/>
        <v>1</v>
      </c>
      <c r="M17" s="116" t="b">
        <f t="shared" si="1"/>
        <v>0</v>
      </c>
      <c r="O17" s="227">
        <f t="shared" si="2"/>
        <v>500000</v>
      </c>
      <c r="P17" s="116" t="e" cm="1" vm="1">
        <f t="array" aca="1" ref="P17" ca="1">$F$7:$F$25=MAX($F$7:$F$25)</f>
        <v>#VALUE!</v>
      </c>
      <c r="Q17" s="116" t="b">
        <f t="shared" si="3"/>
        <v>0</v>
      </c>
      <c r="R17" s="116" t="b">
        <f t="shared" si="4"/>
        <v>0</v>
      </c>
      <c r="S17" s="116" t="b">
        <f t="shared" si="5"/>
        <v>0</v>
      </c>
      <c r="U17" s="375"/>
    </row>
    <row r="18" spans="1:21" x14ac:dyDescent="0.2">
      <c r="A18" s="143" t="s">
        <v>236</v>
      </c>
      <c r="B18" s="182">
        <v>26000</v>
      </c>
      <c r="C18" s="182">
        <v>25864</v>
      </c>
      <c r="D18" s="182">
        <v>28154</v>
      </c>
      <c r="E18" s="183">
        <v>0</v>
      </c>
      <c r="F18" s="182">
        <v>300</v>
      </c>
      <c r="G18" s="149" t="s">
        <v>221</v>
      </c>
      <c r="H18" s="149">
        <v>2</v>
      </c>
      <c r="I18" s="149">
        <v>82</v>
      </c>
      <c r="J18" s="149">
        <v>1</v>
      </c>
      <c r="K18" s="116" t="b">
        <f t="shared" si="6"/>
        <v>1</v>
      </c>
      <c r="L18" s="116" t="b">
        <f t="shared" si="0"/>
        <v>0</v>
      </c>
      <c r="M18" s="116" t="b">
        <f t="shared" si="1"/>
        <v>0</v>
      </c>
      <c r="O18" s="227">
        <f t="shared" si="2"/>
        <v>500000</v>
      </c>
      <c r="P18" s="116" t="e" cm="1" vm="1">
        <f t="array" aca="1" ref="P18" ca="1">$F$7:$F$25=MAX($F$7:$F$25)</f>
        <v>#VALUE!</v>
      </c>
      <c r="Q18" s="116" t="b">
        <f t="shared" si="3"/>
        <v>0</v>
      </c>
      <c r="R18" s="116" t="b">
        <f t="shared" si="4"/>
        <v>0</v>
      </c>
      <c r="S18" s="116" t="b">
        <f t="shared" si="5"/>
        <v>0</v>
      </c>
      <c r="U18" s="375"/>
    </row>
    <row r="19" spans="1:21" x14ac:dyDescent="0.2">
      <c r="A19" s="143" t="s">
        <v>237</v>
      </c>
      <c r="B19" s="182">
        <v>45000</v>
      </c>
      <c r="C19" s="182">
        <v>40157</v>
      </c>
      <c r="D19" s="182">
        <v>25379</v>
      </c>
      <c r="E19" s="183">
        <v>0</v>
      </c>
      <c r="F19" s="182">
        <v>2250</v>
      </c>
      <c r="G19" s="149" t="s">
        <v>223</v>
      </c>
      <c r="H19" s="149">
        <v>2</v>
      </c>
      <c r="I19" s="149">
        <v>71</v>
      </c>
      <c r="J19" s="149">
        <v>1</v>
      </c>
      <c r="K19" s="116" t="b">
        <f t="shared" si="6"/>
        <v>1</v>
      </c>
      <c r="L19" s="116" t="b">
        <f t="shared" si="0"/>
        <v>0</v>
      </c>
      <c r="M19" s="116" t="b">
        <f t="shared" si="1"/>
        <v>1</v>
      </c>
      <c r="O19" s="227">
        <f t="shared" si="2"/>
        <v>500000</v>
      </c>
      <c r="P19" s="116" t="e" cm="1" vm="1">
        <f t="array" aca="1" ref="P19" ca="1">$F$7:$F$25=MAX($F$7:$F$25)</f>
        <v>#VALUE!</v>
      </c>
      <c r="Q19" s="116" t="b">
        <f t="shared" si="3"/>
        <v>0</v>
      </c>
      <c r="R19" s="116" t="b">
        <f t="shared" si="4"/>
        <v>0</v>
      </c>
      <c r="S19" s="116" t="b">
        <f t="shared" si="5"/>
        <v>0</v>
      </c>
      <c r="U19" s="375"/>
    </row>
    <row r="20" spans="1:21" x14ac:dyDescent="0.2">
      <c r="A20" s="143" t="s">
        <v>238</v>
      </c>
      <c r="B20" s="182">
        <v>15000</v>
      </c>
      <c r="C20" s="182">
        <v>15898</v>
      </c>
      <c r="D20" s="182">
        <v>14732</v>
      </c>
      <c r="E20" s="183">
        <v>14383</v>
      </c>
      <c r="F20" s="182">
        <v>450</v>
      </c>
      <c r="G20" s="149" t="s">
        <v>221</v>
      </c>
      <c r="H20" s="149">
        <v>1</v>
      </c>
      <c r="I20" s="149">
        <v>67</v>
      </c>
      <c r="J20" s="149">
        <v>1</v>
      </c>
      <c r="K20" s="116" t="b">
        <f t="shared" si="6"/>
        <v>0</v>
      </c>
      <c r="L20" s="116" t="b">
        <f t="shared" si="0"/>
        <v>1</v>
      </c>
      <c r="M20" s="116" t="b">
        <f t="shared" si="1"/>
        <v>0</v>
      </c>
      <c r="O20" s="227">
        <f t="shared" si="2"/>
        <v>500000</v>
      </c>
      <c r="P20" s="116" t="e" cm="1" vm="1">
        <f t="array" aca="1" ref="P20" ca="1">$F$7:$F$25=MAX($F$7:$F$25)</f>
        <v>#VALUE!</v>
      </c>
      <c r="Q20" s="116" t="b">
        <f t="shared" si="3"/>
        <v>0</v>
      </c>
      <c r="R20" s="116" t="b">
        <f t="shared" si="4"/>
        <v>0</v>
      </c>
      <c r="S20" s="116" t="b">
        <f t="shared" si="5"/>
        <v>0</v>
      </c>
      <c r="U20" s="375"/>
    </row>
    <row r="21" spans="1:21" x14ac:dyDescent="0.2">
      <c r="A21" s="143" t="s">
        <v>239</v>
      </c>
      <c r="B21" s="182">
        <v>22000</v>
      </c>
      <c r="C21" s="182">
        <v>10073</v>
      </c>
      <c r="D21" s="182">
        <v>1047</v>
      </c>
      <c r="E21" s="183">
        <v>0</v>
      </c>
      <c r="F21" s="182">
        <v>1100</v>
      </c>
      <c r="G21" s="149" t="s">
        <v>223</v>
      </c>
      <c r="H21" s="149">
        <v>3</v>
      </c>
      <c r="I21" s="149">
        <v>14</v>
      </c>
      <c r="J21" s="149">
        <v>1</v>
      </c>
      <c r="K21" s="116" t="b">
        <f t="shared" si="6"/>
        <v>1</v>
      </c>
      <c r="L21" s="116" t="b">
        <f t="shared" si="0"/>
        <v>0</v>
      </c>
      <c r="M21" s="116" t="b">
        <f t="shared" si="1"/>
        <v>0</v>
      </c>
      <c r="O21" s="227">
        <f t="shared" si="2"/>
        <v>500000</v>
      </c>
      <c r="P21" s="116" t="e" cm="1" vm="1">
        <f t="array" aca="1" ref="P21" ca="1">$F$7:$F$25=MAX($F$7:$F$25)</f>
        <v>#VALUE!</v>
      </c>
      <c r="Q21" s="116" t="b">
        <f t="shared" si="3"/>
        <v>0</v>
      </c>
      <c r="R21" s="116" t="b">
        <f t="shared" si="4"/>
        <v>0</v>
      </c>
      <c r="S21" s="116" t="b">
        <f t="shared" si="5"/>
        <v>0</v>
      </c>
      <c r="U21" s="375"/>
    </row>
    <row r="22" spans="1:21" x14ac:dyDescent="0.2">
      <c r="A22" s="143" t="s">
        <v>240</v>
      </c>
      <c r="B22" s="182">
        <v>45000</v>
      </c>
      <c r="C22" s="182">
        <v>95411</v>
      </c>
      <c r="D22" s="182">
        <v>64418</v>
      </c>
      <c r="E22" s="183">
        <v>0</v>
      </c>
      <c r="F22" s="182">
        <v>150</v>
      </c>
      <c r="G22" s="149" t="s">
        <v>241</v>
      </c>
      <c r="H22" s="149">
        <v>4</v>
      </c>
      <c r="I22" s="149">
        <v>79</v>
      </c>
      <c r="J22" s="149">
        <v>2</v>
      </c>
      <c r="K22" s="116" t="b">
        <f t="shared" si="6"/>
        <v>1</v>
      </c>
      <c r="L22" s="116" t="b">
        <f t="shared" si="0"/>
        <v>0</v>
      </c>
      <c r="M22" s="116" t="b">
        <f t="shared" si="1"/>
        <v>0</v>
      </c>
      <c r="O22" s="227">
        <f t="shared" si="2"/>
        <v>500000</v>
      </c>
      <c r="P22" s="116" t="e" cm="1" vm="1">
        <f t="array" aca="1" ref="P22" ca="1">$F$7:$F$25=MAX($F$7:$F$25)</f>
        <v>#VALUE!</v>
      </c>
      <c r="Q22" s="116" t="b">
        <f t="shared" si="3"/>
        <v>0</v>
      </c>
      <c r="R22" s="116" t="b">
        <f t="shared" si="4"/>
        <v>0</v>
      </c>
      <c r="S22" s="116" t="b">
        <f t="shared" si="5"/>
        <v>0</v>
      </c>
      <c r="U22" s="375"/>
    </row>
    <row r="23" spans="1:21" x14ac:dyDescent="0.2">
      <c r="A23" s="143" t="s">
        <v>242</v>
      </c>
      <c r="B23" s="182">
        <v>20000</v>
      </c>
      <c r="C23" s="182">
        <v>5621</v>
      </c>
      <c r="D23" s="182">
        <v>6171</v>
      </c>
      <c r="E23" s="183">
        <v>0</v>
      </c>
      <c r="F23" s="182">
        <v>1000</v>
      </c>
      <c r="G23" s="149" t="s">
        <v>223</v>
      </c>
      <c r="H23" s="149">
        <v>1</v>
      </c>
      <c r="I23" s="149">
        <v>87</v>
      </c>
      <c r="J23" s="149">
        <v>1</v>
      </c>
      <c r="K23" s="116" t="b">
        <f t="shared" si="6"/>
        <v>1</v>
      </c>
      <c r="L23" s="116" t="b">
        <f t="shared" si="0"/>
        <v>1</v>
      </c>
      <c r="M23" s="116" t="b">
        <f t="shared" si="1"/>
        <v>1</v>
      </c>
      <c r="O23" s="227">
        <f t="shared" si="2"/>
        <v>500000</v>
      </c>
      <c r="P23" s="116" t="e" cm="1" vm="1">
        <f t="array" aca="1" ref="P23" ca="1">$F$7:$F$25=MAX($F$7:$F$25)</f>
        <v>#VALUE!</v>
      </c>
      <c r="Q23" s="116" t="b">
        <f t="shared" si="3"/>
        <v>0</v>
      </c>
      <c r="R23" s="116" t="b">
        <f t="shared" si="4"/>
        <v>0</v>
      </c>
      <c r="S23" s="116" t="b">
        <f t="shared" si="5"/>
        <v>0</v>
      </c>
      <c r="U23" s="375"/>
    </row>
    <row r="24" spans="1:21" x14ac:dyDescent="0.2">
      <c r="A24" s="143" t="s">
        <v>243</v>
      </c>
      <c r="B24" s="182">
        <v>100000</v>
      </c>
      <c r="C24" s="182">
        <v>60009</v>
      </c>
      <c r="D24" s="182">
        <v>60354</v>
      </c>
      <c r="E24" s="183">
        <v>0</v>
      </c>
      <c r="F24" s="182">
        <v>500000</v>
      </c>
      <c r="G24" s="149" t="s">
        <v>244</v>
      </c>
      <c r="H24" s="149">
        <v>2</v>
      </c>
      <c r="I24" s="149">
        <v>97</v>
      </c>
      <c r="J24" s="149">
        <v>1</v>
      </c>
      <c r="K24" s="116" t="b">
        <f t="shared" si="6"/>
        <v>1</v>
      </c>
      <c r="L24" s="116" t="b">
        <f t="shared" si="0"/>
        <v>1</v>
      </c>
      <c r="M24" s="116" t="b">
        <f t="shared" si="1"/>
        <v>1</v>
      </c>
      <c r="O24" s="227">
        <f t="shared" si="2"/>
        <v>500000</v>
      </c>
      <c r="P24" s="116" t="e" cm="1" vm="1">
        <f t="array" aca="1" ref="P24" ca="1">$F$7:$F$25=MAX($F$7:$F$25)</f>
        <v>#VALUE!</v>
      </c>
      <c r="Q24" s="116" t="b">
        <f t="shared" si="3"/>
        <v>0</v>
      </c>
      <c r="R24" s="116" t="b">
        <f t="shared" si="4"/>
        <v>1</v>
      </c>
      <c r="S24" s="116" t="b">
        <f t="shared" si="5"/>
        <v>1</v>
      </c>
      <c r="U24" s="375"/>
    </row>
    <row r="25" spans="1:21" x14ac:dyDescent="0.2">
      <c r="A25" s="143" t="s">
        <v>245</v>
      </c>
      <c r="B25" s="182">
        <v>10000</v>
      </c>
      <c r="C25" s="182">
        <v>15490</v>
      </c>
      <c r="D25" s="182">
        <v>22760</v>
      </c>
      <c r="E25" s="183">
        <v>0</v>
      </c>
      <c r="F25" s="182">
        <v>620</v>
      </c>
      <c r="G25" s="149" t="s">
        <v>246</v>
      </c>
      <c r="H25" s="149">
        <v>2</v>
      </c>
      <c r="I25" s="149">
        <v>96</v>
      </c>
      <c r="J25" s="149">
        <v>1</v>
      </c>
      <c r="K25" s="116" t="b">
        <f t="shared" si="6"/>
        <v>1</v>
      </c>
      <c r="L25" s="116" t="b">
        <f t="shared" si="0"/>
        <v>1</v>
      </c>
      <c r="M25" s="116" t="b">
        <f t="shared" si="1"/>
        <v>1</v>
      </c>
      <c r="O25" s="227">
        <f t="shared" si="2"/>
        <v>500000</v>
      </c>
      <c r="P25" s="116" t="e" cm="1" vm="1">
        <f t="array" aca="1" ref="P25" ca="1">$F$7:$F$25=MAX($F$7:$F$25)</f>
        <v>#VALUE!</v>
      </c>
      <c r="Q25" s="116" t="b">
        <f t="shared" si="3"/>
        <v>0</v>
      </c>
      <c r="R25" s="116" t="b">
        <f t="shared" si="4"/>
        <v>0</v>
      </c>
      <c r="S25" s="116" t="b">
        <f t="shared" si="5"/>
        <v>0</v>
      </c>
      <c r="U25" s="375"/>
    </row>
    <row r="27" spans="1:21" x14ac:dyDescent="0.2">
      <c r="H27" s="116" t="s">
        <v>247</v>
      </c>
      <c r="K27" s="116" t="b">
        <f>OR(K7:K25)</f>
        <v>1</v>
      </c>
      <c r="L27" s="116" t="b">
        <f>OR(L7:L25)</f>
        <v>1</v>
      </c>
      <c r="M27" s="116" t="b">
        <f>OR(M7:M25)</f>
        <v>1</v>
      </c>
      <c r="O27" s="361" t="str">
        <f ca="1">_xlfn.FORMULATEXT(O7)</f>
        <v>=MAX($F$7:$F$25)</v>
      </c>
      <c r="S27" s="361" t="str">
        <f t="shared" ref="S27" ca="1" si="7">_xlfn.FORMULATEXT(S7)</f>
        <v>=$F7=MAX($F$7:$F$25)</v>
      </c>
    </row>
    <row r="28" spans="1:21" x14ac:dyDescent="0.2">
      <c r="H28" s="116" t="s">
        <v>248</v>
      </c>
      <c r="K28" s="116" t="b">
        <f>NOT(K27)</f>
        <v>0</v>
      </c>
      <c r="L28" s="116" t="b">
        <f>NOT(L27)</f>
        <v>0</v>
      </c>
      <c r="M28" s="116" t="b">
        <f>NOT(M27)</f>
        <v>0</v>
      </c>
      <c r="P28" s="361" t="str">
        <f ca="1">_xlfn.FORMULATEXT(P7)</f>
        <v>=$F$7:$F$25=MAX($F$7:$F$25)</v>
      </c>
    </row>
    <row r="29" spans="1:21" x14ac:dyDescent="0.2">
      <c r="Q29" s="361" t="str">
        <f ca="1">_xlfn.FORMULATEXT(Q7)</f>
        <v>=$F$7=MAX($F$7:$F$25)</v>
      </c>
    </row>
    <row r="30" spans="1:21" x14ac:dyDescent="0.2">
      <c r="Q30" s="361"/>
      <c r="R30" s="361" t="str">
        <f ca="1">_xlfn.FORMULATEXT(R7)</f>
        <v>=F7=MAX($F$7:$F$25)</v>
      </c>
    </row>
    <row r="31" spans="1:21" x14ac:dyDescent="0.2">
      <c r="A31" s="184"/>
    </row>
    <row r="32" spans="1:21" ht="66" customHeight="1" x14ac:dyDescent="0.2">
      <c r="A32" s="378" t="s">
        <v>454</v>
      </c>
      <c r="B32" s="378"/>
      <c r="C32" s="378"/>
      <c r="D32" s="378"/>
      <c r="E32" s="378"/>
      <c r="F32" s="378"/>
      <c r="G32" s="378"/>
      <c r="H32" s="378"/>
      <c r="I32" s="378"/>
      <c r="J32" s="378"/>
      <c r="K32" s="378"/>
      <c r="L32" s="378"/>
      <c r="M32" s="378"/>
      <c r="N32" s="378"/>
      <c r="O32" s="378"/>
      <c r="P32" s="378"/>
      <c r="Q32" s="378"/>
      <c r="R32" s="378"/>
      <c r="S32" s="378"/>
    </row>
  </sheetData>
  <mergeCells count="1">
    <mergeCell ref="A32:S32"/>
  </mergeCells>
  <phoneticPr fontId="2" type="noConversion"/>
  <conditionalFormatting sqref="A7:A25">
    <cfRule type="expression" dxfId="23" priority="1">
      <formula>$F7=MIN($F$7:$F$25)</formula>
    </cfRule>
    <cfRule type="expression" dxfId="22" priority="2">
      <formula>$F7=MAX($F$7:$F$25)</formula>
    </cfRule>
  </conditionalFormatting>
  <pageMargins left="0.75" right="0.75" top="1" bottom="1" header="0.5" footer="0.5"/>
  <pageSetup orientation="portrait" horizontalDpi="120" verticalDpi="72" r:id="rId1"/>
  <headerFooter alignWithMargins="0"/>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0"/>
  <dimension ref="A1:O28"/>
  <sheetViews>
    <sheetView zoomScale="160" zoomScaleNormal="160" workbookViewId="0">
      <selection activeCell="O7" sqref="O7:O17"/>
    </sheetView>
  </sheetViews>
  <sheetFormatPr defaultRowHeight="12.75" x14ac:dyDescent="0.2"/>
  <cols>
    <col min="1" max="1" width="19.28515625" style="116" bestFit="1" customWidth="1"/>
    <col min="2" max="4" width="9.140625" style="116" bestFit="1" customWidth="1"/>
    <col min="5" max="5" width="8.28515625" style="116" customWidth="1"/>
    <col min="6" max="6" width="9.140625" style="116" bestFit="1" customWidth="1"/>
    <col min="7" max="7" width="6.85546875" style="116" customWidth="1"/>
    <col min="8" max="8" width="10.7109375" style="116" customWidth="1"/>
    <col min="9" max="9" width="8.7109375" style="116" bestFit="1" customWidth="1"/>
    <col min="10" max="11" width="8" style="116" customWidth="1"/>
    <col min="12" max="12" width="7" style="116" bestFit="1" customWidth="1"/>
    <col min="13" max="13" width="7.140625" style="116" customWidth="1"/>
    <col min="14" max="14" width="6.42578125" style="116" customWidth="1"/>
    <col min="15" max="15" width="38.85546875" style="116" customWidth="1"/>
    <col min="16" max="25" width="9.140625" style="116"/>
    <col min="26" max="26" width="9.140625" style="116" customWidth="1"/>
    <col min="27" max="16384" width="9.140625" style="116"/>
  </cols>
  <sheetData>
    <row r="1" spans="1:15" ht="18" x14ac:dyDescent="0.25">
      <c r="A1" s="98" t="s">
        <v>450</v>
      </c>
    </row>
    <row r="2" spans="1:15" s="143" customFormat="1" hidden="1" x14ac:dyDescent="0.2"/>
    <row r="3" spans="1:15" x14ac:dyDescent="0.2">
      <c r="A3" s="231" t="str">
        <f>IF(A2="","",IF(Disable_Video_Hyperlinks,A2,HYPERLINK(Video_website&amp;A2,A2)))</f>
        <v/>
      </c>
      <c r="B3" s="137"/>
      <c r="C3" s="137"/>
      <c r="D3" s="137"/>
      <c r="E3" s="137"/>
      <c r="F3" s="137"/>
      <c r="G3" s="137"/>
      <c r="H3" s="137"/>
      <c r="I3" s="137"/>
      <c r="J3" s="137"/>
    </row>
    <row r="4" spans="1:15" x14ac:dyDescent="0.2">
      <c r="A4" s="309" t="str">
        <f>IF(B2="","",B2)</f>
        <v/>
      </c>
      <c r="B4" s="137"/>
      <c r="C4" s="137"/>
      <c r="D4" s="137"/>
      <c r="E4" s="137"/>
      <c r="F4" s="137"/>
      <c r="G4" s="137"/>
      <c r="H4" s="137"/>
      <c r="I4" s="137"/>
      <c r="J4" s="137"/>
    </row>
    <row r="5" spans="1:15" x14ac:dyDescent="0.2">
      <c r="A5" s="137"/>
      <c r="B5" s="137"/>
      <c r="C5" s="137"/>
      <c r="D5" s="137"/>
      <c r="E5" s="137"/>
      <c r="F5" s="137"/>
      <c r="G5" s="137"/>
      <c r="H5" s="137"/>
      <c r="I5" s="137"/>
      <c r="J5" s="137"/>
    </row>
    <row r="6" spans="1:15"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row>
    <row r="7" spans="1:15"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c r="O7" s="399" t="s">
        <v>460</v>
      </c>
    </row>
    <row r="8" spans="1:15"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c r="O8" s="399"/>
    </row>
    <row r="9" spans="1:15"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c r="O9" s="399"/>
    </row>
    <row r="10" spans="1:15" x14ac:dyDescent="0.2">
      <c r="A10" s="143" t="s">
        <v>226</v>
      </c>
      <c r="B10" s="182">
        <v>33000</v>
      </c>
      <c r="C10" s="182">
        <v>35039</v>
      </c>
      <c r="D10" s="182">
        <v>50921</v>
      </c>
      <c r="E10" s="183">
        <v>495</v>
      </c>
      <c r="F10" s="182">
        <v>1650</v>
      </c>
      <c r="G10" s="149" t="s">
        <v>221</v>
      </c>
      <c r="H10" s="149">
        <v>2</v>
      </c>
      <c r="I10" s="149">
        <v>43</v>
      </c>
      <c r="J10" s="149">
        <v>1</v>
      </c>
      <c r="K10" s="116" t="b">
        <f>E10/D10&lt;0.1</f>
        <v>1</v>
      </c>
      <c r="L10" s="116" t="b">
        <f t="shared" si="0"/>
        <v>0</v>
      </c>
      <c r="M10" s="116" t="b">
        <f t="shared" si="1"/>
        <v>0</v>
      </c>
      <c r="O10" s="399"/>
    </row>
    <row r="11" spans="1:15" x14ac:dyDescent="0.2">
      <c r="A11" s="143" t="s">
        <v>227</v>
      </c>
      <c r="B11" s="182"/>
      <c r="C11" s="182"/>
      <c r="D11" s="182"/>
      <c r="E11" s="183"/>
      <c r="F11" s="182">
        <v>10000</v>
      </c>
      <c r="G11" s="149" t="s">
        <v>225</v>
      </c>
      <c r="H11" s="149">
        <v>1</v>
      </c>
      <c r="I11" s="149">
        <v>91</v>
      </c>
      <c r="J11" s="149">
        <v>1</v>
      </c>
      <c r="L11" s="116" t="b">
        <f t="shared" si="0"/>
        <v>1</v>
      </c>
      <c r="M11" s="116" t="b">
        <f t="shared" si="1"/>
        <v>1</v>
      </c>
      <c r="O11" s="399"/>
    </row>
    <row r="12" spans="1:15"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c r="O12" s="399"/>
    </row>
    <row r="13" spans="1:15"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c r="O13" s="399"/>
    </row>
    <row r="14" spans="1:15"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c r="O14" s="399"/>
    </row>
    <row r="15" spans="1:15"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c r="O15" s="399"/>
    </row>
    <row r="16" spans="1:15"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c r="O16" s="399"/>
    </row>
    <row r="17" spans="1:15"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c r="O17" s="399"/>
    </row>
    <row r="18" spans="1:15"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5"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5"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5"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5"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5"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5"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5"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5" x14ac:dyDescent="0.2">
      <c r="H27" s="116" t="s">
        <v>247</v>
      </c>
      <c r="K27" s="116" t="b">
        <f>OR(K7:K25)</f>
        <v>1</v>
      </c>
      <c r="L27" s="116" t="b">
        <f>OR(L7:L25)</f>
        <v>1</v>
      </c>
      <c r="M27" s="116" t="b">
        <f>OR(M7:M25)</f>
        <v>1</v>
      </c>
    </row>
    <row r="28" spans="1:15" x14ac:dyDescent="0.2">
      <c r="H28" s="116" t="s">
        <v>248</v>
      </c>
      <c r="K28" s="116" t="b">
        <f>NOT(K27)</f>
        <v>0</v>
      </c>
      <c r="L28" s="116" t="b">
        <f>NOT(L27)</f>
        <v>0</v>
      </c>
      <c r="M28" s="116" t="b">
        <f>NOT(M27)</f>
        <v>0</v>
      </c>
    </row>
  </sheetData>
  <mergeCells count="1">
    <mergeCell ref="O7:O17"/>
  </mergeCells>
  <phoneticPr fontId="2" type="noConversion"/>
  <conditionalFormatting sqref="A7:M25">
    <cfRule type="expression" dxfId="21" priority="1" stopIfTrue="1">
      <formula>$F7&lt;1000</formula>
    </cfRule>
    <cfRule type="expression" dxfId="20" priority="2" stopIfTrue="1">
      <formula>$F7&gt;10000</formula>
    </cfRule>
  </conditionalFormatting>
  <pageMargins left="0.75" right="0.75" top="1" bottom="1" header="0.5" footer="0.5"/>
  <pageSetup orientation="portrait" horizontalDpi="120" verticalDpi="72"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2"/>
  <dimension ref="A1:O31"/>
  <sheetViews>
    <sheetView zoomScale="160" zoomScaleNormal="160" workbookViewId="0">
      <selection activeCell="A2" sqref="A2"/>
    </sheetView>
  </sheetViews>
  <sheetFormatPr defaultRowHeight="12.75" x14ac:dyDescent="0.2"/>
  <cols>
    <col min="1" max="1" width="19.28515625" style="116" bestFit="1" customWidth="1"/>
    <col min="2" max="4" width="9.140625" style="116" bestFit="1" customWidth="1"/>
    <col min="5" max="5" width="8.28515625" style="116" customWidth="1"/>
    <col min="6" max="6" width="9.140625" style="116" bestFit="1" customWidth="1"/>
    <col min="7" max="7" width="6.85546875" style="116" customWidth="1"/>
    <col min="8" max="8" width="10.7109375" style="116" customWidth="1"/>
    <col min="9" max="9" width="8.7109375" style="116" bestFit="1" customWidth="1"/>
    <col min="10" max="11" width="8" style="116" customWidth="1"/>
    <col min="12" max="12" width="7" style="116" bestFit="1" customWidth="1"/>
    <col min="13" max="13" width="7.140625" style="116" customWidth="1"/>
    <col min="14" max="14" width="5.85546875" style="116" customWidth="1"/>
    <col min="15" max="15" width="38.85546875" style="116" customWidth="1"/>
    <col min="16" max="25" width="9.140625" style="116"/>
    <col min="26" max="26" width="9.140625" style="116" customWidth="1"/>
    <col min="27" max="16384" width="9.140625" style="116"/>
  </cols>
  <sheetData>
    <row r="1" spans="1:15" ht="18" x14ac:dyDescent="0.25">
      <c r="A1" s="98" t="s">
        <v>379</v>
      </c>
    </row>
    <row r="2" spans="1:15" s="143" customFormat="1" hidden="1" x14ac:dyDescent="0.2"/>
    <row r="3" spans="1:15" x14ac:dyDescent="0.2">
      <c r="A3" s="231" t="str">
        <f>IF(A2="","",IF(Disable_Video_Hyperlinks,A2,HYPERLINK(Video_website&amp;A2,A2)))</f>
        <v/>
      </c>
      <c r="B3" s="137"/>
      <c r="C3" s="137"/>
      <c r="D3" s="137"/>
      <c r="E3" s="137"/>
      <c r="F3" s="137"/>
      <c r="G3" s="137"/>
      <c r="H3" s="137"/>
      <c r="I3" s="137"/>
      <c r="J3" s="137"/>
    </row>
    <row r="4" spans="1:15" x14ac:dyDescent="0.2">
      <c r="A4" s="309" t="str">
        <f>IF(B2="","",B2)</f>
        <v/>
      </c>
      <c r="B4" s="137"/>
      <c r="C4" s="137"/>
      <c r="D4" s="137"/>
      <c r="E4" s="137"/>
      <c r="F4" s="137"/>
      <c r="G4" s="137"/>
      <c r="H4" s="137"/>
      <c r="I4" s="137"/>
      <c r="J4" s="137"/>
    </row>
    <row r="5" spans="1:15" x14ac:dyDescent="0.2">
      <c r="A5" s="137"/>
      <c r="B5" s="137"/>
      <c r="C5" s="137"/>
      <c r="D5" s="137"/>
      <c r="E5" s="137"/>
      <c r="F5" s="137"/>
      <c r="G5" s="137"/>
      <c r="H5" s="137"/>
      <c r="I5" s="137"/>
      <c r="J5" s="137"/>
    </row>
    <row r="6" spans="1:15"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row>
    <row r="7" spans="1:15"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c r="O7" s="398" t="s">
        <v>461</v>
      </c>
    </row>
    <row r="8" spans="1:15"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c r="O8" s="398"/>
    </row>
    <row r="9" spans="1:15"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c r="O9" s="398"/>
    </row>
    <row r="10" spans="1:15" x14ac:dyDescent="0.2">
      <c r="A10" s="143" t="s">
        <v>226</v>
      </c>
      <c r="B10" s="182">
        <v>33000</v>
      </c>
      <c r="C10" s="182">
        <v>35039</v>
      </c>
      <c r="D10" s="182">
        <v>50921</v>
      </c>
      <c r="E10" s="183">
        <v>495</v>
      </c>
      <c r="F10" s="182">
        <v>1650</v>
      </c>
      <c r="G10" s="149" t="s">
        <v>221</v>
      </c>
      <c r="H10" s="149">
        <v>2</v>
      </c>
      <c r="I10" s="362">
        <v>43</v>
      </c>
      <c r="J10" s="149">
        <v>1</v>
      </c>
      <c r="K10" s="116" t="b">
        <f>E10/D10&lt;0.1</f>
        <v>1</v>
      </c>
      <c r="L10" s="116" t="b">
        <f t="shared" si="0"/>
        <v>0</v>
      </c>
      <c r="M10" s="116" t="b">
        <f t="shared" si="1"/>
        <v>0</v>
      </c>
      <c r="O10" s="398"/>
    </row>
    <row r="11" spans="1:15" x14ac:dyDescent="0.2">
      <c r="A11" s="143" t="s">
        <v>227</v>
      </c>
      <c r="B11" s="182"/>
      <c r="C11" s="182"/>
      <c r="D11" s="182"/>
      <c r="E11" s="183"/>
      <c r="F11" s="182">
        <v>10000</v>
      </c>
      <c r="G11" s="149" t="s">
        <v>225</v>
      </c>
      <c r="H11" s="149">
        <v>1</v>
      </c>
      <c r="I11" s="149">
        <v>91</v>
      </c>
      <c r="J11" s="149">
        <v>1</v>
      </c>
      <c r="L11" s="116" t="b">
        <f t="shared" si="0"/>
        <v>1</v>
      </c>
      <c r="M11" s="116" t="b">
        <f t="shared" si="1"/>
        <v>1</v>
      </c>
      <c r="O11" s="398"/>
    </row>
    <row r="12" spans="1:15"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c r="O12" s="398"/>
    </row>
    <row r="13" spans="1:15"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c r="O13" s="398"/>
    </row>
    <row r="14" spans="1:15"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c r="O14" s="398"/>
    </row>
    <row r="15" spans="1:15"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c r="O15" s="398"/>
    </row>
    <row r="16" spans="1:15"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c r="O16" s="398"/>
    </row>
    <row r="17" spans="1:15"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c r="O17" s="398"/>
    </row>
    <row r="18" spans="1:15"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5"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5"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5"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5"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5"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5"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5"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5" x14ac:dyDescent="0.2">
      <c r="H27" s="116" t="s">
        <v>247</v>
      </c>
      <c r="K27" s="116" t="b">
        <f>OR(K7:K25)</f>
        <v>1</v>
      </c>
      <c r="L27" s="116" t="b">
        <f>OR(L7:L25)</f>
        <v>1</v>
      </c>
      <c r="M27" s="116" t="b">
        <f>OR(M7:M25)</f>
        <v>1</v>
      </c>
    </row>
    <row r="28" spans="1:15" x14ac:dyDescent="0.2">
      <c r="H28" s="116" t="s">
        <v>248</v>
      </c>
      <c r="K28" s="116" t="b">
        <f>NOT(K27)</f>
        <v>0</v>
      </c>
      <c r="L28" s="116" t="b">
        <f>NOT(L27)</f>
        <v>0</v>
      </c>
      <c r="M28" s="116" t="b">
        <f>NOT(M27)</f>
        <v>0</v>
      </c>
    </row>
    <row r="31" spans="1:15" ht="25.5" customHeight="1" x14ac:dyDescent="0.2">
      <c r="A31" s="378" t="s">
        <v>461</v>
      </c>
      <c r="B31" s="378"/>
      <c r="C31" s="378"/>
      <c r="D31" s="378"/>
      <c r="E31" s="378"/>
      <c r="F31" s="378"/>
      <c r="G31" s="378"/>
      <c r="H31" s="378"/>
      <c r="I31" s="378"/>
      <c r="J31" s="378"/>
      <c r="K31" s="378"/>
      <c r="L31" s="378"/>
      <c r="M31" s="378"/>
    </row>
  </sheetData>
  <mergeCells count="2">
    <mergeCell ref="A31:M31"/>
    <mergeCell ref="O7:O17"/>
  </mergeCells>
  <phoneticPr fontId="2" type="noConversion"/>
  <conditionalFormatting sqref="A7:M25 K27:M28">
    <cfRule type="expression" dxfId="19" priority="3" stopIfTrue="1">
      <formula>$F7&lt;1000</formula>
    </cfRule>
    <cfRule type="expression" dxfId="18" priority="4" stopIfTrue="1">
      <formula>$F7&gt;10000</formula>
    </cfRule>
  </conditionalFormatting>
  <conditionalFormatting sqref="K7:M28">
    <cfRule type="cellIs" dxfId="17" priority="2" stopIfTrue="1" operator="equal">
      <formula>TRUE</formula>
    </cfRule>
  </conditionalFormatting>
  <pageMargins left="0.75" right="0.75" top="1" bottom="1" header="0.5" footer="0.5"/>
  <pageSetup orientation="portrait" horizontalDpi="120" verticalDpi="72"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1"/>
  <dimension ref="A1:O28"/>
  <sheetViews>
    <sheetView zoomScale="160" zoomScaleNormal="160" workbookViewId="0">
      <selection activeCell="A2" sqref="A2"/>
    </sheetView>
  </sheetViews>
  <sheetFormatPr defaultRowHeight="12.75" x14ac:dyDescent="0.2"/>
  <cols>
    <col min="1" max="1" width="19.28515625" style="116" bestFit="1" customWidth="1"/>
    <col min="2" max="4" width="9.140625" style="116" bestFit="1" customWidth="1"/>
    <col min="5" max="5" width="8.28515625" style="116" customWidth="1"/>
    <col min="6" max="6" width="9.140625" style="116" bestFit="1" customWidth="1"/>
    <col min="7" max="7" width="6.85546875" style="116" customWidth="1"/>
    <col min="8" max="8" width="10.7109375" style="116" customWidth="1"/>
    <col min="9" max="9" width="8.7109375" style="116" bestFit="1" customWidth="1"/>
    <col min="10" max="11" width="8" style="116" customWidth="1"/>
    <col min="12" max="12" width="7" style="116" bestFit="1" customWidth="1"/>
    <col min="13" max="13" width="7.140625" style="116" customWidth="1"/>
    <col min="14" max="14" width="5.85546875" style="116" customWidth="1"/>
    <col min="15" max="15" width="38.85546875" style="116" customWidth="1"/>
    <col min="16" max="16384" width="9.140625" style="116"/>
  </cols>
  <sheetData>
    <row r="1" spans="1:15" ht="18" x14ac:dyDescent="0.25">
      <c r="A1" s="98" t="s">
        <v>444</v>
      </c>
    </row>
    <row r="2" spans="1:15" s="143" customFormat="1" hidden="1" x14ac:dyDescent="0.2"/>
    <row r="3" spans="1:15" x14ac:dyDescent="0.2">
      <c r="A3" s="231" t="str">
        <f>IF(A2="","",IF(Disable_Video_Hyperlinks,A2,HYPERLINK(Video_website&amp;A2,A2)))</f>
        <v/>
      </c>
      <c r="B3" s="137"/>
      <c r="C3" s="137"/>
      <c r="D3" s="137"/>
      <c r="E3" s="137"/>
      <c r="F3" s="137"/>
      <c r="G3" s="137"/>
      <c r="H3" s="137"/>
      <c r="I3" s="137"/>
      <c r="J3" s="137"/>
    </row>
    <row r="4" spans="1:15" x14ac:dyDescent="0.2">
      <c r="A4" s="309" t="str">
        <f>IF(B2="","",B2)</f>
        <v/>
      </c>
      <c r="B4" s="137"/>
      <c r="C4" s="137"/>
      <c r="D4" s="137"/>
      <c r="E4" s="137"/>
      <c r="F4" s="137"/>
      <c r="G4" s="137"/>
      <c r="H4" s="137"/>
      <c r="I4" s="137"/>
      <c r="J4" s="137"/>
    </row>
    <row r="5" spans="1:15" x14ac:dyDescent="0.2">
      <c r="A5" s="137"/>
      <c r="B5" s="137"/>
      <c r="C5" s="137"/>
      <c r="D5" s="137"/>
      <c r="E5" s="137"/>
      <c r="F5" s="137"/>
      <c r="G5" s="137"/>
      <c r="H5" s="137"/>
      <c r="I5" s="137"/>
      <c r="J5" s="137"/>
    </row>
    <row r="6" spans="1:15"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row>
    <row r="7" spans="1:15"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c r="O7" s="398" t="s">
        <v>476</v>
      </c>
    </row>
    <row r="8" spans="1:15"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c r="O8" s="398"/>
    </row>
    <row r="9" spans="1:15"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c r="O9" s="398"/>
    </row>
    <row r="10" spans="1:15" x14ac:dyDescent="0.2">
      <c r="A10" s="143" t="s">
        <v>226</v>
      </c>
      <c r="B10" s="182">
        <v>33000</v>
      </c>
      <c r="C10" s="182">
        <v>35039</v>
      </c>
      <c r="D10" s="182">
        <v>50921</v>
      </c>
      <c r="E10" s="183">
        <v>495</v>
      </c>
      <c r="F10" s="182">
        <v>1650</v>
      </c>
      <c r="G10" s="149" t="s">
        <v>221</v>
      </c>
      <c r="H10" s="149">
        <v>2</v>
      </c>
      <c r="I10" s="362">
        <v>43</v>
      </c>
      <c r="J10" s="149">
        <v>1</v>
      </c>
      <c r="K10" s="116" t="b">
        <f>E10/D10&lt;0.1</f>
        <v>1</v>
      </c>
      <c r="L10" s="116" t="b">
        <f t="shared" si="0"/>
        <v>0</v>
      </c>
      <c r="M10" s="116" t="b">
        <f t="shared" si="1"/>
        <v>0</v>
      </c>
      <c r="O10" s="398"/>
    </row>
    <row r="11" spans="1:15" x14ac:dyDescent="0.2">
      <c r="A11" s="143" t="s">
        <v>227</v>
      </c>
      <c r="B11" s="182"/>
      <c r="C11" s="182"/>
      <c r="D11" s="182"/>
      <c r="E11" s="183"/>
      <c r="F11" s="182">
        <v>10000</v>
      </c>
      <c r="G11" s="149" t="s">
        <v>225</v>
      </c>
      <c r="H11" s="149">
        <v>1</v>
      </c>
      <c r="I11" s="149">
        <v>91</v>
      </c>
      <c r="J11" s="149">
        <v>1</v>
      </c>
      <c r="L11" s="116" t="b">
        <f t="shared" si="0"/>
        <v>1</v>
      </c>
      <c r="M11" s="116" t="b">
        <f t="shared" si="1"/>
        <v>1</v>
      </c>
      <c r="O11" s="398"/>
    </row>
    <row r="12" spans="1:15"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c r="O12" s="398"/>
    </row>
    <row r="13" spans="1:15"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c r="O13" s="398"/>
    </row>
    <row r="14" spans="1:15"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c r="O14" s="398"/>
    </row>
    <row r="15" spans="1:15"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c r="O15" s="398"/>
    </row>
    <row r="16" spans="1:15"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c r="O16" s="398"/>
    </row>
    <row r="17" spans="1:15"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c r="O17" s="398"/>
    </row>
    <row r="18" spans="1:15"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5"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5"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5"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5"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5"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5"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5"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5" x14ac:dyDescent="0.2">
      <c r="H27" s="116" t="s">
        <v>247</v>
      </c>
      <c r="K27" s="116" t="b">
        <f>OR(K7:K25)</f>
        <v>1</v>
      </c>
      <c r="L27" s="116" t="b">
        <f>OR(L7:L25)</f>
        <v>1</v>
      </c>
      <c r="M27" s="116" t="b">
        <f>OR(M7:M25)</f>
        <v>1</v>
      </c>
    </row>
    <row r="28" spans="1:15" x14ac:dyDescent="0.2">
      <c r="H28" s="116" t="s">
        <v>248</v>
      </c>
      <c r="K28" s="116" t="b">
        <f>NOT(K27)</f>
        <v>0</v>
      </c>
      <c r="L28" s="116" t="b">
        <f>NOT(L27)</f>
        <v>0</v>
      </c>
      <c r="M28" s="116" t="b">
        <f>NOT(M27)</f>
        <v>0</v>
      </c>
    </row>
  </sheetData>
  <mergeCells count="1">
    <mergeCell ref="O7:O17"/>
  </mergeCells>
  <phoneticPr fontId="2" type="noConversion"/>
  <conditionalFormatting sqref="K7:M28">
    <cfRule type="cellIs" dxfId="16" priority="5" stopIfTrue="1" operator="equal">
      <formula>TRUE</formula>
    </cfRule>
  </conditionalFormatting>
  <conditionalFormatting sqref="A7:M25 K27:M28">
    <cfRule type="expression" dxfId="15" priority="1" stopIfTrue="1">
      <formula>$F7&lt;1000</formula>
    </cfRule>
    <cfRule type="expression" dxfId="14" priority="2" stopIfTrue="1">
      <formula>$F7&gt;10000</formula>
    </cfRule>
  </conditionalFormatting>
  <pageMargins left="0.75" right="0.75" top="1" bottom="1" header="0.5" footer="0.5"/>
  <pageSetup orientation="portrait" horizontalDpi="120" verticalDpi="72"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8"/>
  <dimension ref="A1:O28"/>
  <sheetViews>
    <sheetView zoomScale="160" zoomScaleNormal="160" workbookViewId="0">
      <selection activeCell="A2" sqref="A2"/>
    </sheetView>
  </sheetViews>
  <sheetFormatPr defaultRowHeight="12.75" x14ac:dyDescent="0.2"/>
  <cols>
    <col min="1" max="1" width="19.28515625" style="116" bestFit="1" customWidth="1"/>
    <col min="2" max="4" width="9.140625" style="116" bestFit="1" customWidth="1"/>
    <col min="5" max="5" width="8.28515625" style="116" customWidth="1"/>
    <col min="6" max="6" width="9.140625" style="116" bestFit="1" customWidth="1"/>
    <col min="7" max="7" width="6.85546875" style="116" customWidth="1"/>
    <col min="8" max="8" width="10.7109375" style="116" customWidth="1"/>
    <col min="9" max="9" width="8.7109375" style="116" bestFit="1" customWidth="1"/>
    <col min="10" max="11" width="8" style="116" customWidth="1"/>
    <col min="12" max="12" width="7" style="116" bestFit="1" customWidth="1"/>
    <col min="13" max="13" width="7.140625" style="116" customWidth="1"/>
    <col min="14" max="14" width="5.85546875" style="116" customWidth="1"/>
    <col min="15" max="15" width="38.85546875" style="116" customWidth="1"/>
    <col min="16" max="25" width="9.140625" style="116"/>
    <col min="26" max="26" width="9.140625" style="116" customWidth="1"/>
    <col min="27" max="16384" width="9.140625" style="116"/>
  </cols>
  <sheetData>
    <row r="1" spans="1:15" ht="18" x14ac:dyDescent="0.25">
      <c r="A1" s="98" t="s">
        <v>735</v>
      </c>
    </row>
    <row r="2" spans="1:15" s="143" customFormat="1" hidden="1" x14ac:dyDescent="0.2"/>
    <row r="3" spans="1:15" x14ac:dyDescent="0.2">
      <c r="A3" s="231" t="str">
        <f>IF(A2="","",IF(Disable_Video_Hyperlinks,A2,HYPERLINK(Video_website&amp;A2,A2)))</f>
        <v/>
      </c>
      <c r="B3" s="137"/>
      <c r="C3" s="137"/>
      <c r="D3" s="137"/>
      <c r="E3" s="137"/>
      <c r="F3" s="137"/>
      <c r="G3" s="137"/>
      <c r="H3" s="137"/>
      <c r="I3" s="137"/>
      <c r="J3" s="137"/>
    </row>
    <row r="4" spans="1:15" x14ac:dyDescent="0.2">
      <c r="A4" s="309" t="str">
        <f>IF(B2="","",B2)</f>
        <v/>
      </c>
      <c r="B4" s="137"/>
      <c r="C4" s="137"/>
      <c r="D4" s="137"/>
      <c r="E4" s="137"/>
      <c r="F4" s="137"/>
      <c r="G4" s="137"/>
      <c r="H4" s="137"/>
      <c r="I4" s="137"/>
      <c r="J4" s="137"/>
    </row>
    <row r="5" spans="1:15" x14ac:dyDescent="0.2">
      <c r="A5" s="137"/>
      <c r="B5" s="137"/>
      <c r="C5" s="137"/>
      <c r="D5" s="137"/>
      <c r="E5" s="137"/>
      <c r="F5" s="137"/>
      <c r="G5" s="137"/>
      <c r="H5" s="137"/>
      <c r="I5" s="137"/>
      <c r="J5" s="137"/>
    </row>
    <row r="6" spans="1:15" ht="63.75" x14ac:dyDescent="0.2">
      <c r="A6" s="134" t="s">
        <v>206</v>
      </c>
      <c r="B6" s="135" t="s">
        <v>207</v>
      </c>
      <c r="C6" s="135" t="s">
        <v>208</v>
      </c>
      <c r="D6" s="135" t="s">
        <v>209</v>
      </c>
      <c r="E6" s="135" t="s">
        <v>210</v>
      </c>
      <c r="F6" s="135" t="s">
        <v>211</v>
      </c>
      <c r="G6" s="135" t="s">
        <v>212</v>
      </c>
      <c r="H6" s="135" t="s">
        <v>213</v>
      </c>
      <c r="I6" s="135" t="s">
        <v>214</v>
      </c>
      <c r="J6" s="135" t="s">
        <v>215</v>
      </c>
      <c r="K6" s="135" t="s">
        <v>216</v>
      </c>
      <c r="L6" s="135" t="s">
        <v>217</v>
      </c>
      <c r="M6" s="135" t="s">
        <v>218</v>
      </c>
    </row>
    <row r="7" spans="1:15" x14ac:dyDescent="0.2">
      <c r="A7" s="143" t="s">
        <v>220</v>
      </c>
      <c r="B7" s="180">
        <v>9000</v>
      </c>
      <c r="C7" s="180">
        <v>15382</v>
      </c>
      <c r="D7" s="180">
        <v>11952</v>
      </c>
      <c r="E7" s="181">
        <v>0</v>
      </c>
      <c r="F7" s="180">
        <v>450</v>
      </c>
      <c r="G7" s="149" t="s">
        <v>221</v>
      </c>
      <c r="H7" s="149">
        <v>4</v>
      </c>
      <c r="I7" s="149">
        <v>15</v>
      </c>
      <c r="J7" s="149">
        <v>3</v>
      </c>
      <c r="K7" s="116" t="b">
        <f>E7/D7&lt;0.1</f>
        <v>1</v>
      </c>
      <c r="L7" s="116" t="b">
        <f t="shared" ref="L7:L25" si="0">OR(H7=1,I7&gt;90)</f>
        <v>0</v>
      </c>
      <c r="M7" s="116" t="b">
        <f t="shared" ref="M7:M25" si="1">AND(F7*1000&gt;=500000,H7&lt;=2,I7&gt;70,J7=1)</f>
        <v>0</v>
      </c>
      <c r="O7" s="398" t="s">
        <v>477</v>
      </c>
    </row>
    <row r="8" spans="1:15" x14ac:dyDescent="0.2">
      <c r="A8" s="143" t="s">
        <v>222</v>
      </c>
      <c r="B8" s="182">
        <v>39000</v>
      </c>
      <c r="C8" s="182">
        <v>10033</v>
      </c>
      <c r="D8" s="182">
        <v>7789</v>
      </c>
      <c r="E8" s="183">
        <v>0</v>
      </c>
      <c r="F8" s="182">
        <v>1950</v>
      </c>
      <c r="G8" s="149" t="s">
        <v>223</v>
      </c>
      <c r="H8" s="149">
        <v>1</v>
      </c>
      <c r="I8" s="149">
        <v>51</v>
      </c>
      <c r="J8" s="149">
        <v>1</v>
      </c>
      <c r="K8" s="116" t="b">
        <f>E8/D8&lt;0.1</f>
        <v>1</v>
      </c>
      <c r="L8" s="116" t="b">
        <f t="shared" si="0"/>
        <v>1</v>
      </c>
      <c r="M8" s="116" t="b">
        <f t="shared" si="1"/>
        <v>0</v>
      </c>
      <c r="O8" s="398"/>
    </row>
    <row r="9" spans="1:15" x14ac:dyDescent="0.2">
      <c r="A9" s="143" t="s">
        <v>224</v>
      </c>
      <c r="B9" s="182">
        <v>75000</v>
      </c>
      <c r="C9" s="182">
        <v>60009</v>
      </c>
      <c r="D9" s="182">
        <v>55342</v>
      </c>
      <c r="E9" s="183">
        <v>13892</v>
      </c>
      <c r="F9" s="182">
        <v>37500</v>
      </c>
      <c r="G9" s="149" t="s">
        <v>225</v>
      </c>
      <c r="H9" s="149">
        <v>2</v>
      </c>
      <c r="I9" s="149">
        <v>70</v>
      </c>
      <c r="J9" s="149">
        <v>1</v>
      </c>
      <c r="K9" s="116" t="b">
        <f>E9/D9&lt;0.1</f>
        <v>0</v>
      </c>
      <c r="L9" s="116" t="b">
        <f t="shared" si="0"/>
        <v>0</v>
      </c>
      <c r="M9" s="116" t="b">
        <f t="shared" si="1"/>
        <v>0</v>
      </c>
      <c r="O9" s="398"/>
    </row>
    <row r="10" spans="1:15" x14ac:dyDescent="0.2">
      <c r="A10" s="143" t="s">
        <v>226</v>
      </c>
      <c r="B10" s="182">
        <v>33000</v>
      </c>
      <c r="C10" s="182">
        <v>35039</v>
      </c>
      <c r="D10" s="182">
        <v>50921</v>
      </c>
      <c r="E10" s="183">
        <v>495</v>
      </c>
      <c r="F10" s="182">
        <v>1650</v>
      </c>
      <c r="G10" s="149" t="s">
        <v>221</v>
      </c>
      <c r="H10" s="149">
        <v>2</v>
      </c>
      <c r="I10" s="362">
        <v>43</v>
      </c>
      <c r="J10" s="149">
        <v>1</v>
      </c>
      <c r="K10" s="116" t="b">
        <f>E10/D10&lt;0.1</f>
        <v>1</v>
      </c>
      <c r="L10" s="116" t="b">
        <f t="shared" si="0"/>
        <v>0</v>
      </c>
      <c r="M10" s="116" t="b">
        <f t="shared" si="1"/>
        <v>0</v>
      </c>
      <c r="O10" s="398"/>
    </row>
    <row r="11" spans="1:15" x14ac:dyDescent="0.2">
      <c r="A11" s="143" t="s">
        <v>227</v>
      </c>
      <c r="B11" s="182"/>
      <c r="C11" s="182"/>
      <c r="D11" s="182"/>
      <c r="E11" s="183"/>
      <c r="F11" s="182">
        <v>10000</v>
      </c>
      <c r="G11" s="149" t="s">
        <v>225</v>
      </c>
      <c r="H11" s="149">
        <v>1</v>
      </c>
      <c r="I11" s="149">
        <v>91</v>
      </c>
      <c r="J11" s="149">
        <v>1</v>
      </c>
      <c r="L11" s="116" t="b">
        <f t="shared" si="0"/>
        <v>1</v>
      </c>
      <c r="M11" s="116" t="b">
        <f t="shared" si="1"/>
        <v>1</v>
      </c>
      <c r="O11" s="398"/>
    </row>
    <row r="12" spans="1:15" x14ac:dyDescent="0.2">
      <c r="A12" s="143" t="s">
        <v>228</v>
      </c>
      <c r="B12" s="182">
        <v>25000</v>
      </c>
      <c r="C12" s="182">
        <v>15221</v>
      </c>
      <c r="D12" s="182">
        <v>9483</v>
      </c>
      <c r="E12" s="183">
        <v>2899</v>
      </c>
      <c r="F12" s="182">
        <v>1250</v>
      </c>
      <c r="G12" s="149" t="s">
        <v>223</v>
      </c>
      <c r="H12" s="149">
        <v>3</v>
      </c>
      <c r="I12" s="149">
        <v>76</v>
      </c>
      <c r="J12" s="149">
        <v>1</v>
      </c>
      <c r="K12" s="116" t="b">
        <f t="shared" ref="K12:K25" si="2">E12/D12&lt;0.1</f>
        <v>0</v>
      </c>
      <c r="L12" s="116" t="b">
        <f t="shared" si="0"/>
        <v>0</v>
      </c>
      <c r="M12" s="116" t="b">
        <f t="shared" si="1"/>
        <v>0</v>
      </c>
      <c r="O12" s="398"/>
    </row>
    <row r="13" spans="1:15" x14ac:dyDescent="0.2">
      <c r="A13" s="143" t="s">
        <v>229</v>
      </c>
      <c r="B13" s="182">
        <v>42000</v>
      </c>
      <c r="C13" s="182">
        <v>80498</v>
      </c>
      <c r="D13" s="182">
        <v>81126</v>
      </c>
      <c r="E13" s="183">
        <v>0</v>
      </c>
      <c r="F13" s="182">
        <v>2100</v>
      </c>
      <c r="G13" s="149" t="s">
        <v>223</v>
      </c>
      <c r="H13" s="149">
        <v>2</v>
      </c>
      <c r="I13" s="149">
        <v>87</v>
      </c>
      <c r="J13" s="149">
        <v>1</v>
      </c>
      <c r="K13" s="116" t="b">
        <f t="shared" si="2"/>
        <v>1</v>
      </c>
      <c r="L13" s="116" t="b">
        <f t="shared" si="0"/>
        <v>0</v>
      </c>
      <c r="M13" s="116" t="b">
        <f t="shared" si="1"/>
        <v>1</v>
      </c>
      <c r="O13" s="398"/>
    </row>
    <row r="14" spans="1:15" x14ac:dyDescent="0.2">
      <c r="A14" s="143" t="s">
        <v>230</v>
      </c>
      <c r="B14" s="182">
        <v>27000</v>
      </c>
      <c r="C14" s="182">
        <v>35354</v>
      </c>
      <c r="D14" s="182">
        <v>20666</v>
      </c>
      <c r="E14" s="183">
        <v>0</v>
      </c>
      <c r="F14" s="182">
        <v>213</v>
      </c>
      <c r="G14" s="149" t="s">
        <v>231</v>
      </c>
      <c r="H14" s="149">
        <v>3</v>
      </c>
      <c r="I14" s="149">
        <v>94</v>
      </c>
      <c r="J14" s="149">
        <v>1</v>
      </c>
      <c r="K14" s="116" t="b">
        <f t="shared" si="2"/>
        <v>1</v>
      </c>
      <c r="L14" s="116" t="b">
        <f t="shared" si="0"/>
        <v>1</v>
      </c>
      <c r="M14" s="116" t="b">
        <f t="shared" si="1"/>
        <v>0</v>
      </c>
      <c r="O14" s="398"/>
    </row>
    <row r="15" spans="1:15" x14ac:dyDescent="0.2">
      <c r="A15" s="143" t="s">
        <v>232</v>
      </c>
      <c r="B15" s="182">
        <v>46000</v>
      </c>
      <c r="C15" s="182">
        <v>90970</v>
      </c>
      <c r="D15" s="182">
        <v>18343</v>
      </c>
      <c r="E15" s="183">
        <v>0</v>
      </c>
      <c r="F15" s="182">
        <v>2300</v>
      </c>
      <c r="G15" s="149" t="s">
        <v>223</v>
      </c>
      <c r="H15" s="149">
        <v>1</v>
      </c>
      <c r="I15" s="149">
        <v>21</v>
      </c>
      <c r="J15" s="149">
        <v>1</v>
      </c>
      <c r="K15" s="116" t="b">
        <f t="shared" si="2"/>
        <v>1</v>
      </c>
      <c r="L15" s="116" t="b">
        <f t="shared" si="0"/>
        <v>1</v>
      </c>
      <c r="M15" s="116" t="b">
        <f t="shared" si="1"/>
        <v>0</v>
      </c>
      <c r="O15" s="398"/>
    </row>
    <row r="16" spans="1:15" x14ac:dyDescent="0.2">
      <c r="A16" s="143" t="s">
        <v>233</v>
      </c>
      <c r="B16" s="182">
        <v>15000</v>
      </c>
      <c r="C16" s="182">
        <v>5663</v>
      </c>
      <c r="D16" s="182">
        <v>3014</v>
      </c>
      <c r="E16" s="183">
        <v>0</v>
      </c>
      <c r="F16" s="182">
        <v>750</v>
      </c>
      <c r="G16" s="149" t="s">
        <v>234</v>
      </c>
      <c r="H16" s="149">
        <v>1</v>
      </c>
      <c r="I16" s="149">
        <v>59</v>
      </c>
      <c r="J16" s="149">
        <v>1</v>
      </c>
      <c r="K16" s="116" t="b">
        <f t="shared" si="2"/>
        <v>1</v>
      </c>
      <c r="L16" s="116" t="b">
        <f t="shared" si="0"/>
        <v>1</v>
      </c>
      <c r="M16" s="116" t="b">
        <f t="shared" si="1"/>
        <v>0</v>
      </c>
      <c r="O16" s="398"/>
    </row>
    <row r="17" spans="1:15" x14ac:dyDescent="0.2">
      <c r="A17" s="143" t="s">
        <v>235</v>
      </c>
      <c r="B17" s="182">
        <v>45000</v>
      </c>
      <c r="C17" s="182">
        <v>50278</v>
      </c>
      <c r="D17" s="182">
        <v>32338</v>
      </c>
      <c r="E17" s="183">
        <v>0</v>
      </c>
      <c r="F17" s="182">
        <v>2250</v>
      </c>
      <c r="G17" s="149" t="s">
        <v>223</v>
      </c>
      <c r="H17" s="149">
        <v>3</v>
      </c>
      <c r="I17" s="149">
        <v>91</v>
      </c>
      <c r="J17" s="149">
        <v>1</v>
      </c>
      <c r="K17" s="116" t="b">
        <f t="shared" si="2"/>
        <v>1</v>
      </c>
      <c r="L17" s="116" t="b">
        <f t="shared" si="0"/>
        <v>1</v>
      </c>
      <c r="M17" s="116" t="b">
        <f t="shared" si="1"/>
        <v>0</v>
      </c>
      <c r="O17" s="398"/>
    </row>
    <row r="18" spans="1:15" x14ac:dyDescent="0.2">
      <c r="A18" s="143" t="s">
        <v>236</v>
      </c>
      <c r="B18" s="182">
        <v>26000</v>
      </c>
      <c r="C18" s="182">
        <v>25864</v>
      </c>
      <c r="D18" s="182">
        <v>28154</v>
      </c>
      <c r="E18" s="183">
        <v>0</v>
      </c>
      <c r="F18" s="182">
        <v>300</v>
      </c>
      <c r="G18" s="149" t="s">
        <v>221</v>
      </c>
      <c r="H18" s="149">
        <v>2</v>
      </c>
      <c r="I18" s="149">
        <v>82</v>
      </c>
      <c r="J18" s="149">
        <v>1</v>
      </c>
      <c r="K18" s="116" t="b">
        <f t="shared" si="2"/>
        <v>1</v>
      </c>
      <c r="L18" s="116" t="b">
        <f t="shared" si="0"/>
        <v>0</v>
      </c>
      <c r="M18" s="116" t="b">
        <f t="shared" si="1"/>
        <v>0</v>
      </c>
    </row>
    <row r="19" spans="1:15" x14ac:dyDescent="0.2">
      <c r="A19" s="143" t="s">
        <v>237</v>
      </c>
      <c r="B19" s="182">
        <v>45000</v>
      </c>
      <c r="C19" s="182">
        <v>40157</v>
      </c>
      <c r="D19" s="182">
        <v>25379</v>
      </c>
      <c r="E19" s="183">
        <v>0</v>
      </c>
      <c r="F19" s="182">
        <v>2250</v>
      </c>
      <c r="G19" s="149" t="s">
        <v>223</v>
      </c>
      <c r="H19" s="149">
        <v>2</v>
      </c>
      <c r="I19" s="149">
        <v>71</v>
      </c>
      <c r="J19" s="149">
        <v>1</v>
      </c>
      <c r="K19" s="116" t="b">
        <f t="shared" si="2"/>
        <v>1</v>
      </c>
      <c r="L19" s="116" t="b">
        <f t="shared" si="0"/>
        <v>0</v>
      </c>
      <c r="M19" s="116" t="b">
        <f t="shared" si="1"/>
        <v>1</v>
      </c>
    </row>
    <row r="20" spans="1:15" x14ac:dyDescent="0.2">
      <c r="A20" s="143" t="s">
        <v>238</v>
      </c>
      <c r="B20" s="182">
        <v>15000</v>
      </c>
      <c r="C20" s="182">
        <v>15898</v>
      </c>
      <c r="D20" s="182">
        <v>14732</v>
      </c>
      <c r="E20" s="183">
        <v>14383</v>
      </c>
      <c r="F20" s="182">
        <v>450</v>
      </c>
      <c r="G20" s="149" t="s">
        <v>221</v>
      </c>
      <c r="H20" s="149">
        <v>1</v>
      </c>
      <c r="I20" s="149">
        <v>67</v>
      </c>
      <c r="J20" s="149">
        <v>1</v>
      </c>
      <c r="K20" s="116" t="b">
        <f t="shared" si="2"/>
        <v>0</v>
      </c>
      <c r="L20" s="116" t="b">
        <f t="shared" si="0"/>
        <v>1</v>
      </c>
      <c r="M20" s="116" t="b">
        <f t="shared" si="1"/>
        <v>0</v>
      </c>
    </row>
    <row r="21" spans="1:15" x14ac:dyDescent="0.2">
      <c r="A21" s="143" t="s">
        <v>239</v>
      </c>
      <c r="B21" s="182">
        <v>22000</v>
      </c>
      <c r="C21" s="182">
        <v>10073</v>
      </c>
      <c r="D21" s="182">
        <v>1047</v>
      </c>
      <c r="E21" s="183">
        <v>0</v>
      </c>
      <c r="F21" s="182">
        <v>1100</v>
      </c>
      <c r="G21" s="149" t="s">
        <v>223</v>
      </c>
      <c r="H21" s="149">
        <v>3</v>
      </c>
      <c r="I21" s="149">
        <v>14</v>
      </c>
      <c r="J21" s="149">
        <v>1</v>
      </c>
      <c r="K21" s="116" t="b">
        <f t="shared" si="2"/>
        <v>1</v>
      </c>
      <c r="L21" s="116" t="b">
        <f t="shared" si="0"/>
        <v>0</v>
      </c>
      <c r="M21" s="116" t="b">
        <f t="shared" si="1"/>
        <v>0</v>
      </c>
    </row>
    <row r="22" spans="1:15" x14ac:dyDescent="0.2">
      <c r="A22" s="143" t="s">
        <v>240</v>
      </c>
      <c r="B22" s="182">
        <v>45000</v>
      </c>
      <c r="C22" s="182">
        <v>95411</v>
      </c>
      <c r="D22" s="182">
        <v>64418</v>
      </c>
      <c r="E22" s="183">
        <v>0</v>
      </c>
      <c r="F22" s="182">
        <v>150</v>
      </c>
      <c r="G22" s="149" t="s">
        <v>241</v>
      </c>
      <c r="H22" s="149">
        <v>4</v>
      </c>
      <c r="I22" s="149">
        <v>79</v>
      </c>
      <c r="J22" s="149">
        <v>2</v>
      </c>
      <c r="K22" s="116" t="b">
        <f t="shared" si="2"/>
        <v>1</v>
      </c>
      <c r="L22" s="116" t="b">
        <f t="shared" si="0"/>
        <v>0</v>
      </c>
      <c r="M22" s="116" t="b">
        <f t="shared" si="1"/>
        <v>0</v>
      </c>
    </row>
    <row r="23" spans="1:15" x14ac:dyDescent="0.2">
      <c r="A23" s="143" t="s">
        <v>242</v>
      </c>
      <c r="B23" s="182">
        <v>20000</v>
      </c>
      <c r="C23" s="182">
        <v>5621</v>
      </c>
      <c r="D23" s="182">
        <v>6171</v>
      </c>
      <c r="E23" s="183">
        <v>0</v>
      </c>
      <c r="F23" s="182">
        <v>1000</v>
      </c>
      <c r="G23" s="149" t="s">
        <v>223</v>
      </c>
      <c r="H23" s="149">
        <v>1</v>
      </c>
      <c r="I23" s="149">
        <v>87</v>
      </c>
      <c r="J23" s="149">
        <v>1</v>
      </c>
      <c r="K23" s="116" t="b">
        <f t="shared" si="2"/>
        <v>1</v>
      </c>
      <c r="L23" s="116" t="b">
        <f t="shared" si="0"/>
        <v>1</v>
      </c>
      <c r="M23" s="116" t="b">
        <f t="shared" si="1"/>
        <v>1</v>
      </c>
    </row>
    <row r="24" spans="1:15" x14ac:dyDescent="0.2">
      <c r="A24" s="143" t="s">
        <v>243</v>
      </c>
      <c r="B24" s="182">
        <v>100000</v>
      </c>
      <c r="C24" s="182">
        <v>60009</v>
      </c>
      <c r="D24" s="182">
        <v>60354</v>
      </c>
      <c r="E24" s="183">
        <v>0</v>
      </c>
      <c r="F24" s="182">
        <v>500000</v>
      </c>
      <c r="G24" s="149" t="s">
        <v>244</v>
      </c>
      <c r="H24" s="149">
        <v>2</v>
      </c>
      <c r="I24" s="149">
        <v>97</v>
      </c>
      <c r="J24" s="149">
        <v>1</v>
      </c>
      <c r="K24" s="116" t="b">
        <f t="shared" si="2"/>
        <v>1</v>
      </c>
      <c r="L24" s="116" t="b">
        <f t="shared" si="0"/>
        <v>1</v>
      </c>
      <c r="M24" s="116" t="b">
        <f t="shared" si="1"/>
        <v>1</v>
      </c>
    </row>
    <row r="25" spans="1:15" x14ac:dyDescent="0.2">
      <c r="A25" s="143" t="s">
        <v>245</v>
      </c>
      <c r="B25" s="182">
        <v>10000</v>
      </c>
      <c r="C25" s="182">
        <v>15490</v>
      </c>
      <c r="D25" s="182">
        <v>22760</v>
      </c>
      <c r="E25" s="183">
        <v>0</v>
      </c>
      <c r="F25" s="182">
        <v>620</v>
      </c>
      <c r="G25" s="149" t="s">
        <v>246</v>
      </c>
      <c r="H25" s="149">
        <v>2</v>
      </c>
      <c r="I25" s="149">
        <v>96</v>
      </c>
      <c r="J25" s="149">
        <v>1</v>
      </c>
      <c r="K25" s="116" t="b">
        <f t="shared" si="2"/>
        <v>1</v>
      </c>
      <c r="L25" s="116" t="b">
        <f t="shared" si="0"/>
        <v>1</v>
      </c>
      <c r="M25" s="116" t="b">
        <f t="shared" si="1"/>
        <v>1</v>
      </c>
    </row>
    <row r="27" spans="1:15" x14ac:dyDescent="0.2">
      <c r="H27" s="116" t="s">
        <v>247</v>
      </c>
      <c r="K27" s="116" t="b">
        <f>OR(K7:K25)</f>
        <v>1</v>
      </c>
      <c r="L27" s="116" t="b">
        <f>OR(L7:L25)</f>
        <v>1</v>
      </c>
      <c r="M27" s="116" t="b">
        <f>OR(M7:M25)</f>
        <v>1</v>
      </c>
    </row>
    <row r="28" spans="1:15" x14ac:dyDescent="0.2">
      <c r="H28" s="116" t="s">
        <v>248</v>
      </c>
      <c r="K28" s="116" t="b">
        <f>NOT(K27)</f>
        <v>0</v>
      </c>
      <c r="L28" s="116" t="b">
        <f>NOT(L27)</f>
        <v>0</v>
      </c>
      <c r="M28" s="116" t="b">
        <f>NOT(M27)</f>
        <v>0</v>
      </c>
    </row>
  </sheetData>
  <mergeCells count="1">
    <mergeCell ref="O7:O17"/>
  </mergeCells>
  <conditionalFormatting sqref="A7:M25 K27:M28">
    <cfRule type="expression" dxfId="13" priority="2" stopIfTrue="1">
      <formula>$F7&lt;1000</formula>
    </cfRule>
    <cfRule type="expression" dxfId="12" priority="3" stopIfTrue="1">
      <formula>$F7&gt;10000</formula>
    </cfRule>
  </conditionalFormatting>
  <conditionalFormatting sqref="K7:M28">
    <cfRule type="cellIs" dxfId="11" priority="1" operator="equal">
      <formula>TRUE</formula>
    </cfRule>
  </conditionalFormatting>
  <pageMargins left="0.75" right="0.75" top="1" bottom="1" header="0.5" footer="0.5"/>
  <pageSetup orientation="portrait" horizontalDpi="120" verticalDpi="72"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E93C6-C1B7-4A4C-9EDC-8ECDA872DF63}">
  <sheetPr codeName="Sheet51"/>
  <dimension ref="A1:B4"/>
  <sheetViews>
    <sheetView zoomScale="160" zoomScaleNormal="160" workbookViewId="0">
      <selection activeCell="A2" sqref="A2"/>
    </sheetView>
  </sheetViews>
  <sheetFormatPr defaultRowHeight="12.75" x14ac:dyDescent="0.2"/>
  <sheetData>
    <row r="1" spans="1:2" ht="18" x14ac:dyDescent="0.25">
      <c r="A1" s="98" t="s">
        <v>731</v>
      </c>
    </row>
    <row r="2" spans="1:2" s="143" customFormat="1" hidden="1" x14ac:dyDescent="0.2">
      <c r="B2" s="321">
        <f>SUM(IF:Complex!B2)</f>
        <v>2.0671296296296292E-2</v>
      </c>
    </row>
    <row r="3" spans="1:2" x14ac:dyDescent="0.2">
      <c r="A3" s="322" t="str">
        <f>Video_Lengths_Description</f>
        <v xml:space="preserve">Length of video clips in this segement: </v>
      </c>
    </row>
    <row r="4" spans="1:2" x14ac:dyDescent="0.2">
      <c r="A4" s="309">
        <f>IF(B2="","",B2)</f>
        <v>2.0671296296296292E-2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5">
    <outlinePr summaryBelow="0" summaryRight="0"/>
  </sheetPr>
  <dimension ref="A1:L25"/>
  <sheetViews>
    <sheetView zoomScale="160" zoomScaleNormal="160" workbookViewId="0">
      <pane xSplit="1" ySplit="14" topLeftCell="B15" activePane="bottomRight" state="frozen"/>
      <selection activeCell="A2" sqref="A2:XFD2"/>
      <selection pane="topRight" activeCell="A2" sqref="A2:XFD2"/>
      <selection pane="bottomLeft" activeCell="A2" sqref="A2:XFD2"/>
      <selection pane="bottomRight" activeCell="A2" sqref="A2"/>
    </sheetView>
  </sheetViews>
  <sheetFormatPr defaultRowHeight="12.75" outlineLevelRow="1" x14ac:dyDescent="0.2"/>
  <cols>
    <col min="1" max="1" width="21" style="199" customWidth="1"/>
    <col min="2" max="2" width="9.85546875" style="199" customWidth="1"/>
    <col min="3" max="3" width="9.42578125" style="199" customWidth="1"/>
    <col min="4" max="6" width="8.140625" style="199" bestFit="1" customWidth="1"/>
    <col min="7" max="7" width="7.85546875" style="199" customWidth="1"/>
    <col min="8" max="8" width="8.140625" style="199" bestFit="1" customWidth="1"/>
    <col min="9" max="9" width="13.140625" style="199" bestFit="1" customWidth="1"/>
    <col min="10" max="10" width="11.42578125" style="199" customWidth="1"/>
    <col min="11" max="11" width="10.28515625" style="199" customWidth="1"/>
    <col min="12" max="12" width="9.140625" style="199" customWidth="1"/>
    <col min="13" max="25" width="9.140625" style="199"/>
    <col min="26" max="26" width="9.140625" style="199" customWidth="1"/>
    <col min="27" max="16384" width="9.140625" style="199"/>
  </cols>
  <sheetData>
    <row r="1" spans="1:12" ht="18" x14ac:dyDescent="0.25">
      <c r="A1" s="142" t="s">
        <v>285</v>
      </c>
    </row>
    <row r="2" spans="1:12" s="180" customFormat="1" hidden="1" x14ac:dyDescent="0.2">
      <c r="A2" s="143" t="s">
        <v>529</v>
      </c>
      <c r="B2" s="321">
        <v>3.6805555555555554E-3</v>
      </c>
    </row>
    <row r="3" spans="1:12" s="116" customFormat="1" x14ac:dyDescent="0.2">
      <c r="A3" s="231" t="str">
        <f>IF(A2="","",IF(Disable_Video_Hyperlinks,A2,HYPERLINK(Video_website&amp;A2,A2)))</f>
        <v>UNC_DAYT_EXCEL_2.7.3_LECTURE_IF.mp4</v>
      </c>
      <c r="B3"/>
      <c r="C3" s="32"/>
      <c r="E3" s="32"/>
      <c r="H3" s="178"/>
    </row>
    <row r="4" spans="1:12" s="116" customFormat="1" x14ac:dyDescent="0.2">
      <c r="A4" s="309">
        <f>IF(B2="","",B2)</f>
        <v>3.6805555555555554E-3</v>
      </c>
      <c r="B4"/>
      <c r="C4" s="32"/>
      <c r="D4" s="32"/>
      <c r="E4" s="32"/>
      <c r="H4" s="178"/>
    </row>
    <row r="5" spans="1:12" s="116" customFormat="1" x14ac:dyDescent="0.2">
      <c r="A5" s="309"/>
      <c r="B5" s="32"/>
      <c r="C5" s="32"/>
      <c r="D5" s="32"/>
      <c r="E5" s="32"/>
      <c r="H5" s="178"/>
    </row>
    <row r="6" spans="1:12" s="116" customFormat="1" outlineLevel="1" x14ac:dyDescent="0.2">
      <c r="A6" s="309"/>
      <c r="B6" s="32"/>
      <c r="C6" s="32"/>
      <c r="D6" s="32" t="s">
        <v>249</v>
      </c>
      <c r="E6" s="32"/>
      <c r="H6" s="178"/>
    </row>
    <row r="7" spans="1:12" s="116" customFormat="1" outlineLevel="1" x14ac:dyDescent="0.2">
      <c r="A7" s="202" t="s">
        <v>250</v>
      </c>
      <c r="B7" s="203">
        <v>25</v>
      </c>
      <c r="D7" s="116" t="s">
        <v>251</v>
      </c>
      <c r="G7" s="203">
        <v>100</v>
      </c>
      <c r="H7" s="178"/>
    </row>
    <row r="8" spans="1:12" s="116" customFormat="1" ht="25.5" outlineLevel="1" x14ac:dyDescent="0.2">
      <c r="A8" s="202" t="s">
        <v>252</v>
      </c>
      <c r="B8" s="207">
        <v>200</v>
      </c>
      <c r="D8" s="116" t="s">
        <v>253</v>
      </c>
      <c r="G8" s="207">
        <v>50</v>
      </c>
      <c r="H8" s="178"/>
    </row>
    <row r="9" spans="1:12" s="116" customFormat="1" outlineLevel="1" x14ac:dyDescent="0.2">
      <c r="A9" s="202" t="s">
        <v>254</v>
      </c>
      <c r="B9" s="207">
        <v>100</v>
      </c>
      <c r="D9" s="116" t="s">
        <v>255</v>
      </c>
      <c r="G9" s="207">
        <v>25</v>
      </c>
      <c r="H9" s="178"/>
    </row>
    <row r="10" spans="1:12" s="116" customFormat="1" outlineLevel="1" x14ac:dyDescent="0.2">
      <c r="A10" s="209" t="s">
        <v>256</v>
      </c>
      <c r="B10" s="208">
        <v>0.1</v>
      </c>
      <c r="H10" s="178"/>
    </row>
    <row r="11" spans="1:12" s="116" customFormat="1" x14ac:dyDescent="0.2">
      <c r="A11" s="209"/>
      <c r="H11" s="178"/>
    </row>
    <row r="12" spans="1:12" x14ac:dyDescent="0.2">
      <c r="A12" s="400" t="s">
        <v>257</v>
      </c>
      <c r="B12" s="400"/>
      <c r="C12" s="400"/>
      <c r="D12" s="400"/>
      <c r="E12" s="400"/>
      <c r="F12" s="400"/>
      <c r="G12" s="400"/>
      <c r="H12" s="400"/>
    </row>
    <row r="13" spans="1:12" ht="12" customHeight="1" x14ac:dyDescent="0.2">
      <c r="A13" s="210"/>
      <c r="B13" s="210"/>
      <c r="C13" s="210"/>
      <c r="D13" s="210"/>
      <c r="E13" s="210"/>
      <c r="F13" s="210"/>
      <c r="G13" s="210"/>
      <c r="H13" s="210"/>
    </row>
    <row r="14" spans="1:12" ht="36.75" customHeight="1" x14ac:dyDescent="0.2">
      <c r="A14" s="211" t="s">
        <v>206</v>
      </c>
      <c r="B14" s="200" t="s">
        <v>258</v>
      </c>
      <c r="C14" s="200" t="s">
        <v>259</v>
      </c>
      <c r="D14" s="200" t="s">
        <v>260</v>
      </c>
      <c r="E14" s="200" t="s">
        <v>261</v>
      </c>
      <c r="F14" s="200" t="s">
        <v>262</v>
      </c>
      <c r="G14" s="200" t="s">
        <v>263</v>
      </c>
      <c r="H14" s="200" t="s">
        <v>264</v>
      </c>
      <c r="I14" s="200" t="s">
        <v>265</v>
      </c>
      <c r="J14" s="200" t="s">
        <v>266</v>
      </c>
      <c r="K14" s="200" t="s">
        <v>267</v>
      </c>
      <c r="L14" s="200" t="s">
        <v>268</v>
      </c>
    </row>
    <row r="15" spans="1:12" x14ac:dyDescent="0.2">
      <c r="A15" s="212" t="s">
        <v>220</v>
      </c>
      <c r="B15" s="149" t="s">
        <v>269</v>
      </c>
      <c r="C15" s="238">
        <v>8612</v>
      </c>
      <c r="D15" s="238">
        <v>0</v>
      </c>
      <c r="E15" s="238">
        <v>0</v>
      </c>
      <c r="F15" s="238">
        <v>0</v>
      </c>
      <c r="G15" s="239">
        <f>SUM(D15:F15)</f>
        <v>0</v>
      </c>
      <c r="H15" s="240" t="b">
        <v>1</v>
      </c>
      <c r="I15" s="241" t="str">
        <f t="shared" ref="I15:I20" si="0">IF(H15,"credit approved", "credit denied")</f>
        <v>credit approved</v>
      </c>
      <c r="J15" s="239">
        <f t="shared" ref="J15:J20" si="1">IF(G15=0, C15, C15+G15+B$7)</f>
        <v>8612</v>
      </c>
      <c r="K15" s="239">
        <f t="shared" ref="K15:K20" si="2">IF(F15&gt;B$8, MAX(B$9, B$10*F15),0)</f>
        <v>0</v>
      </c>
      <c r="L15" s="239">
        <f t="shared" ref="L15:L20" si="3">IF(F15&gt;0,G$7,IF(E15&gt;0,G$8,IF(D15&gt;0,G$9,0)))</f>
        <v>0</v>
      </c>
    </row>
    <row r="16" spans="1:12" x14ac:dyDescent="0.2">
      <c r="A16" s="212" t="s">
        <v>222</v>
      </c>
      <c r="B16" s="149" t="s">
        <v>270</v>
      </c>
      <c r="C16" s="235">
        <v>0</v>
      </c>
      <c r="D16" s="235">
        <v>0</v>
      </c>
      <c r="E16" s="235">
        <v>0</v>
      </c>
      <c r="F16" s="235">
        <v>0</v>
      </c>
      <c r="G16" s="227">
        <f>SUM(D16:F16)</f>
        <v>0</v>
      </c>
      <c r="H16" s="236" t="b">
        <v>1</v>
      </c>
      <c r="I16" s="237" t="str">
        <f t="shared" si="0"/>
        <v>credit approved</v>
      </c>
      <c r="J16" s="227">
        <f t="shared" si="1"/>
        <v>0</v>
      </c>
      <c r="K16" s="227">
        <f t="shared" si="2"/>
        <v>0</v>
      </c>
      <c r="L16" s="227">
        <f t="shared" si="3"/>
        <v>0</v>
      </c>
    </row>
    <row r="17" spans="1:12" x14ac:dyDescent="0.2">
      <c r="A17" s="212" t="s">
        <v>224</v>
      </c>
      <c r="B17" s="149" t="s">
        <v>269</v>
      </c>
      <c r="C17" s="235">
        <v>2345</v>
      </c>
      <c r="D17" s="235">
        <v>3473</v>
      </c>
      <c r="E17" s="235">
        <v>5556.8</v>
      </c>
      <c r="F17" s="235">
        <v>4862.2</v>
      </c>
      <c r="G17" s="227">
        <f t="shared" ref="G17:G20" si="4">SUM(D17:F17)</f>
        <v>13892</v>
      </c>
      <c r="H17" s="236" t="b">
        <v>1</v>
      </c>
      <c r="I17" s="237" t="str">
        <f t="shared" si="0"/>
        <v>credit approved</v>
      </c>
      <c r="J17" s="227">
        <f t="shared" si="1"/>
        <v>16262</v>
      </c>
      <c r="K17" s="227">
        <f t="shared" si="2"/>
        <v>486.22</v>
      </c>
      <c r="L17" s="227">
        <f t="shared" si="3"/>
        <v>100</v>
      </c>
    </row>
    <row r="18" spans="1:12" x14ac:dyDescent="0.2">
      <c r="A18" s="212" t="s">
        <v>226</v>
      </c>
      <c r="B18" s="149" t="s">
        <v>271</v>
      </c>
      <c r="C18" s="235">
        <v>0</v>
      </c>
      <c r="D18" s="235">
        <v>345</v>
      </c>
      <c r="E18" s="235">
        <v>0</v>
      </c>
      <c r="F18" s="235">
        <v>150</v>
      </c>
      <c r="G18" s="227">
        <f t="shared" si="4"/>
        <v>495</v>
      </c>
      <c r="H18" s="236" t="b">
        <v>1</v>
      </c>
      <c r="I18" s="237" t="str">
        <f t="shared" si="0"/>
        <v>credit approved</v>
      </c>
      <c r="J18" s="227">
        <f t="shared" si="1"/>
        <v>520</v>
      </c>
      <c r="K18" s="227">
        <f t="shared" si="2"/>
        <v>0</v>
      </c>
      <c r="L18" s="227">
        <f t="shared" si="3"/>
        <v>100</v>
      </c>
    </row>
    <row r="19" spans="1:12" x14ac:dyDescent="0.2">
      <c r="A19" s="212" t="s">
        <v>228</v>
      </c>
      <c r="B19" s="149" t="s">
        <v>269</v>
      </c>
      <c r="C19" s="235">
        <v>0</v>
      </c>
      <c r="D19" s="235">
        <v>0</v>
      </c>
      <c r="E19" s="235">
        <v>2000</v>
      </c>
      <c r="F19" s="235">
        <v>899</v>
      </c>
      <c r="G19" s="227">
        <f t="shared" si="4"/>
        <v>2899</v>
      </c>
      <c r="H19" s="236" t="b">
        <v>0</v>
      </c>
      <c r="I19" s="237" t="str">
        <f t="shared" si="0"/>
        <v>credit denied</v>
      </c>
      <c r="J19" s="227">
        <f t="shared" si="1"/>
        <v>2924</v>
      </c>
      <c r="K19" s="227">
        <f t="shared" si="2"/>
        <v>100</v>
      </c>
      <c r="L19" s="227">
        <f t="shared" si="3"/>
        <v>100</v>
      </c>
    </row>
    <row r="20" spans="1:12" x14ac:dyDescent="0.2">
      <c r="A20" s="212" t="s">
        <v>238</v>
      </c>
      <c r="B20" s="149" t="s">
        <v>269</v>
      </c>
      <c r="C20" s="235">
        <v>0</v>
      </c>
      <c r="D20" s="235">
        <v>14000</v>
      </c>
      <c r="E20" s="235">
        <v>383</v>
      </c>
      <c r="F20" s="235">
        <v>0</v>
      </c>
      <c r="G20" s="227">
        <f t="shared" si="4"/>
        <v>14383</v>
      </c>
      <c r="H20" s="236" t="b">
        <v>0</v>
      </c>
      <c r="I20" s="237" t="str">
        <f t="shared" si="0"/>
        <v>credit denied</v>
      </c>
      <c r="J20" s="227">
        <f t="shared" si="1"/>
        <v>14408</v>
      </c>
      <c r="K20" s="227">
        <f t="shared" si="2"/>
        <v>0</v>
      </c>
      <c r="L20" s="227">
        <f t="shared" si="3"/>
        <v>50</v>
      </c>
    </row>
    <row r="21" spans="1:12" x14ac:dyDescent="0.2">
      <c r="B21" s="116"/>
      <c r="L21" s="213"/>
    </row>
    <row r="22" spans="1:12" x14ac:dyDescent="0.2">
      <c r="B22" s="116"/>
    </row>
    <row r="23" spans="1:12" ht="26.25" customHeight="1" x14ac:dyDescent="0.2">
      <c r="A23" s="401" t="s">
        <v>752</v>
      </c>
      <c r="B23" s="402"/>
      <c r="C23" s="402"/>
      <c r="D23" s="402"/>
      <c r="E23" s="402"/>
      <c r="F23" s="402"/>
      <c r="G23" s="402"/>
      <c r="H23" s="402"/>
      <c r="I23" s="402"/>
      <c r="J23" s="402"/>
      <c r="K23" s="402"/>
      <c r="L23" s="402"/>
    </row>
    <row r="24" spans="1:12" x14ac:dyDescent="0.2">
      <c r="B24" s="116"/>
    </row>
    <row r="25" spans="1:12" ht="53.25" customHeight="1" x14ac:dyDescent="0.2">
      <c r="A25" s="403" t="s">
        <v>479</v>
      </c>
      <c r="B25" s="402"/>
      <c r="C25" s="402"/>
      <c r="D25" s="402"/>
      <c r="E25" s="402"/>
      <c r="F25" s="402"/>
      <c r="G25" s="402"/>
      <c r="H25" s="402"/>
      <c r="I25" s="402"/>
      <c r="J25" s="402"/>
      <c r="K25" s="402"/>
      <c r="L25" s="402"/>
    </row>
  </sheetData>
  <mergeCells count="3">
    <mergeCell ref="A12:H12"/>
    <mergeCell ref="A23:L23"/>
    <mergeCell ref="A25:L25"/>
  </mergeCells>
  <phoneticPr fontId="2" type="noConversion"/>
  <pageMargins left="0.75" right="0.75" top="1" bottom="1" header="0.5" footer="0.5"/>
  <headerFooter alignWithMargins="0"/>
  <legacy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44">
    <outlinePr summaryBelow="0" summaryRight="0"/>
  </sheetPr>
  <dimension ref="A1:L25"/>
  <sheetViews>
    <sheetView zoomScale="160" zoomScaleNormal="160" workbookViewId="0">
      <pane xSplit="1" ySplit="14" topLeftCell="B15" activePane="bottomRight" state="frozen"/>
      <selection activeCell="A2" sqref="A2"/>
      <selection pane="topRight" activeCell="A2" sqref="A2"/>
      <selection pane="bottomLeft" activeCell="A2" sqref="A2"/>
      <selection pane="bottomRight" activeCell="A2" sqref="A2"/>
    </sheetView>
  </sheetViews>
  <sheetFormatPr defaultRowHeight="12.75" outlineLevelRow="1" x14ac:dyDescent="0.2"/>
  <cols>
    <col min="1" max="1" width="21" style="199" customWidth="1"/>
    <col min="2" max="2" width="9.85546875" style="199" customWidth="1"/>
    <col min="3" max="3" width="9.42578125" style="199" customWidth="1"/>
    <col min="4" max="6" width="8.140625" style="199" bestFit="1" customWidth="1"/>
    <col min="7" max="7" width="7.85546875" style="199" customWidth="1"/>
    <col min="8" max="8" width="8.140625" style="199" bestFit="1" customWidth="1"/>
    <col min="9" max="9" width="13.140625" style="199" bestFit="1" customWidth="1"/>
    <col min="10" max="10" width="11.42578125" style="199" customWidth="1"/>
    <col min="11" max="11" width="10.28515625" style="199" customWidth="1"/>
    <col min="12" max="12" width="9.140625" style="199" customWidth="1"/>
    <col min="13" max="25" width="9.140625" style="199"/>
    <col min="26" max="26" width="9.140625" style="199" customWidth="1"/>
    <col min="27" max="16384" width="9.140625" style="199"/>
  </cols>
  <sheetData>
    <row r="1" spans="1:12" ht="18" x14ac:dyDescent="0.25">
      <c r="A1" s="142" t="s">
        <v>453</v>
      </c>
    </row>
    <row r="2" spans="1:12" s="180" customFormat="1" hidden="1" x14ac:dyDescent="0.2"/>
    <row r="3" spans="1:12" s="116" customFormat="1" x14ac:dyDescent="0.2">
      <c r="A3" s="231" t="str">
        <f>IF(A2="","",IF(Disable_Video_Hyperlinks,A2,HYPERLINK(Video_website&amp;A2,A2)))</f>
        <v/>
      </c>
      <c r="B3" s="32"/>
      <c r="C3" s="32"/>
      <c r="E3" s="32"/>
      <c r="H3" s="178"/>
    </row>
    <row r="4" spans="1:12" s="116" customFormat="1" x14ac:dyDescent="0.2">
      <c r="A4" s="309" t="str">
        <f>IF(B2="","",B2)</f>
        <v/>
      </c>
      <c r="B4" s="32"/>
      <c r="C4" s="32"/>
      <c r="D4" s="32"/>
      <c r="E4" s="32"/>
      <c r="H4" s="178"/>
    </row>
    <row r="5" spans="1:12" s="116" customFormat="1" x14ac:dyDescent="0.2">
      <c r="A5" s="309"/>
      <c r="B5" s="32"/>
      <c r="C5" s="32"/>
      <c r="D5" s="32"/>
      <c r="E5" s="32"/>
      <c r="H5" s="178"/>
    </row>
    <row r="6" spans="1:12" s="116" customFormat="1" outlineLevel="1" x14ac:dyDescent="0.2">
      <c r="A6" s="309"/>
      <c r="B6" s="32"/>
      <c r="C6" s="32"/>
      <c r="D6" s="32" t="s">
        <v>249</v>
      </c>
      <c r="E6" s="32"/>
      <c r="H6" s="178"/>
    </row>
    <row r="7" spans="1:12" s="116" customFormat="1" outlineLevel="1" x14ac:dyDescent="0.2">
      <c r="A7" s="202" t="s">
        <v>250</v>
      </c>
      <c r="B7" s="203">
        <v>25</v>
      </c>
      <c r="D7" s="116" t="s">
        <v>251</v>
      </c>
      <c r="G7" s="203">
        <v>100</v>
      </c>
      <c r="H7" s="178"/>
    </row>
    <row r="8" spans="1:12" s="116" customFormat="1" ht="25.5" outlineLevel="1" x14ac:dyDescent="0.2">
      <c r="A8" s="202" t="s">
        <v>252</v>
      </c>
      <c r="B8" s="207">
        <v>200</v>
      </c>
      <c r="D8" s="116" t="s">
        <v>253</v>
      </c>
      <c r="G8" s="207">
        <v>50</v>
      </c>
      <c r="H8" s="178"/>
    </row>
    <row r="9" spans="1:12" s="116" customFormat="1" outlineLevel="1" x14ac:dyDescent="0.2">
      <c r="A9" s="202" t="s">
        <v>254</v>
      </c>
      <c r="B9" s="207">
        <v>100</v>
      </c>
      <c r="D9" s="116" t="s">
        <v>255</v>
      </c>
      <c r="G9" s="207">
        <v>25</v>
      </c>
      <c r="H9" s="178"/>
    </row>
    <row r="10" spans="1:12" s="116" customFormat="1" outlineLevel="1" x14ac:dyDescent="0.2">
      <c r="A10" s="209" t="s">
        <v>256</v>
      </c>
      <c r="B10" s="208">
        <v>0.1</v>
      </c>
      <c r="H10" s="178"/>
    </row>
    <row r="11" spans="1:12" s="116" customFormat="1" x14ac:dyDescent="0.2">
      <c r="A11" s="209"/>
      <c r="H11" s="178"/>
    </row>
    <row r="12" spans="1:12" x14ac:dyDescent="0.2">
      <c r="A12" s="400" t="s">
        <v>257</v>
      </c>
      <c r="B12" s="400"/>
      <c r="C12" s="400"/>
      <c r="D12" s="400"/>
      <c r="E12" s="400"/>
      <c r="F12" s="400"/>
      <c r="G12" s="400"/>
      <c r="H12" s="400"/>
    </row>
    <row r="13" spans="1:12" ht="12" customHeight="1" x14ac:dyDescent="0.2">
      <c r="A13" s="210"/>
      <c r="B13" s="210"/>
      <c r="C13" s="210"/>
      <c r="D13" s="210"/>
      <c r="E13" s="210"/>
      <c r="F13" s="210"/>
      <c r="G13" s="210"/>
      <c r="H13" s="210"/>
    </row>
    <row r="14" spans="1:12" ht="36.75" customHeight="1" x14ac:dyDescent="0.2">
      <c r="A14" s="211" t="s">
        <v>206</v>
      </c>
      <c r="B14" s="200" t="s">
        <v>258</v>
      </c>
      <c r="C14" s="200" t="s">
        <v>259</v>
      </c>
      <c r="D14" s="200" t="s">
        <v>260</v>
      </c>
      <c r="E14" s="200" t="s">
        <v>261</v>
      </c>
      <c r="F14" s="200" t="s">
        <v>262</v>
      </c>
      <c r="G14" s="200" t="s">
        <v>263</v>
      </c>
      <c r="H14" s="200" t="s">
        <v>264</v>
      </c>
      <c r="I14" s="200" t="s">
        <v>265</v>
      </c>
      <c r="J14" s="200" t="s">
        <v>266</v>
      </c>
      <c r="K14" s="200" t="s">
        <v>267</v>
      </c>
      <c r="L14" s="200" t="s">
        <v>268</v>
      </c>
    </row>
    <row r="15" spans="1:12" x14ac:dyDescent="0.2">
      <c r="A15" s="212" t="s">
        <v>220</v>
      </c>
      <c r="B15" s="149" t="s">
        <v>269</v>
      </c>
      <c r="C15" s="238">
        <v>8612</v>
      </c>
      <c r="D15" s="238">
        <v>0</v>
      </c>
      <c r="E15" s="238">
        <v>0</v>
      </c>
      <c r="F15" s="238">
        <v>0</v>
      </c>
      <c r="G15" s="239">
        <f t="shared" ref="G15:G20" si="0">SUM(D15:F15)</f>
        <v>0</v>
      </c>
      <c r="H15" s="240" t="b">
        <v>1</v>
      </c>
      <c r="I15" s="241" t="str">
        <f t="shared" ref="I15:I20" si="1">IF(H15,"credit approved", "credit denied")</f>
        <v>credit approved</v>
      </c>
      <c r="J15" s="239">
        <f t="shared" ref="J15:J20" si="2">IF(G15=0, C15, C15+G15+B$7)</f>
        <v>8612</v>
      </c>
      <c r="K15" s="239">
        <f t="shared" ref="K15:K20" si="3">IF(F15&gt;B$8, MAX(B$9, B$10*F15),0)</f>
        <v>0</v>
      </c>
      <c r="L15" s="239">
        <f t="shared" ref="L15:L20" si="4">IF(F15&gt;0,G$7,IF(E15&gt;0,G$8,IF(D15&gt;0,G$9,0)))</f>
        <v>0</v>
      </c>
    </row>
    <row r="16" spans="1:12" x14ac:dyDescent="0.2">
      <c r="A16" s="212" t="s">
        <v>222</v>
      </c>
      <c r="B16" s="149" t="s">
        <v>270</v>
      </c>
      <c r="C16" s="235">
        <v>0</v>
      </c>
      <c r="D16" s="235">
        <v>0</v>
      </c>
      <c r="E16" s="235">
        <v>0</v>
      </c>
      <c r="F16" s="235">
        <v>0</v>
      </c>
      <c r="G16" s="227">
        <f t="shared" si="0"/>
        <v>0</v>
      </c>
      <c r="H16" s="236" t="b">
        <v>1</v>
      </c>
      <c r="I16" s="237" t="str">
        <f t="shared" si="1"/>
        <v>credit approved</v>
      </c>
      <c r="J16" s="227">
        <f t="shared" si="2"/>
        <v>0</v>
      </c>
      <c r="K16" s="227">
        <f t="shared" si="3"/>
        <v>0</v>
      </c>
      <c r="L16" s="227">
        <f t="shared" si="4"/>
        <v>0</v>
      </c>
    </row>
    <row r="17" spans="1:12" x14ac:dyDescent="0.2">
      <c r="A17" s="212" t="s">
        <v>224</v>
      </c>
      <c r="B17" s="149" t="s">
        <v>269</v>
      </c>
      <c r="C17" s="235">
        <v>2345</v>
      </c>
      <c r="D17" s="235">
        <v>3473</v>
      </c>
      <c r="E17" s="235">
        <v>5556.8</v>
      </c>
      <c r="F17" s="235">
        <v>4862.2</v>
      </c>
      <c r="G17" s="227">
        <f t="shared" si="0"/>
        <v>13892</v>
      </c>
      <c r="H17" s="236" t="b">
        <v>1</v>
      </c>
      <c r="I17" s="237" t="str">
        <f t="shared" si="1"/>
        <v>credit approved</v>
      </c>
      <c r="J17" s="227">
        <f t="shared" si="2"/>
        <v>16262</v>
      </c>
      <c r="K17" s="227">
        <f t="shared" si="3"/>
        <v>486.22</v>
      </c>
      <c r="L17" s="227">
        <f t="shared" si="4"/>
        <v>100</v>
      </c>
    </row>
    <row r="18" spans="1:12" x14ac:dyDescent="0.2">
      <c r="A18" s="212" t="s">
        <v>226</v>
      </c>
      <c r="B18" s="149" t="s">
        <v>271</v>
      </c>
      <c r="C18" s="235">
        <v>0</v>
      </c>
      <c r="D18" s="235">
        <v>345</v>
      </c>
      <c r="E18" s="235">
        <v>0</v>
      </c>
      <c r="F18" s="235">
        <v>150</v>
      </c>
      <c r="G18" s="227">
        <f t="shared" si="0"/>
        <v>495</v>
      </c>
      <c r="H18" s="236" t="b">
        <v>1</v>
      </c>
      <c r="I18" s="237" t="str">
        <f t="shared" si="1"/>
        <v>credit approved</v>
      </c>
      <c r="J18" s="227">
        <f t="shared" si="2"/>
        <v>520</v>
      </c>
      <c r="K18" s="227">
        <f t="shared" si="3"/>
        <v>0</v>
      </c>
      <c r="L18" s="227">
        <f t="shared" si="4"/>
        <v>100</v>
      </c>
    </row>
    <row r="19" spans="1:12" x14ac:dyDescent="0.2">
      <c r="A19" s="212" t="s">
        <v>228</v>
      </c>
      <c r="B19" s="149" t="s">
        <v>269</v>
      </c>
      <c r="C19" s="235">
        <v>0</v>
      </c>
      <c r="D19" s="235">
        <v>0</v>
      </c>
      <c r="E19" s="235">
        <v>2000</v>
      </c>
      <c r="F19" s="235">
        <v>899</v>
      </c>
      <c r="G19" s="227">
        <f t="shared" si="0"/>
        <v>2899</v>
      </c>
      <c r="H19" s="236" t="b">
        <v>0</v>
      </c>
      <c r="I19" s="237" t="str">
        <f t="shared" si="1"/>
        <v>credit denied</v>
      </c>
      <c r="J19" s="227">
        <f t="shared" si="2"/>
        <v>2924</v>
      </c>
      <c r="K19" s="227">
        <f t="shared" si="3"/>
        <v>100</v>
      </c>
      <c r="L19" s="227">
        <f t="shared" si="4"/>
        <v>100</v>
      </c>
    </row>
    <row r="20" spans="1:12" x14ac:dyDescent="0.2">
      <c r="A20" s="212" t="s">
        <v>238</v>
      </c>
      <c r="B20" s="149" t="s">
        <v>269</v>
      </c>
      <c r="C20" s="235">
        <v>0</v>
      </c>
      <c r="D20" s="235">
        <v>14000</v>
      </c>
      <c r="E20" s="235">
        <v>383</v>
      </c>
      <c r="F20" s="235">
        <v>0</v>
      </c>
      <c r="G20" s="227">
        <f t="shared" si="0"/>
        <v>14383</v>
      </c>
      <c r="H20" s="236" t="b">
        <v>0</v>
      </c>
      <c r="I20" s="237" t="str">
        <f t="shared" si="1"/>
        <v>credit denied</v>
      </c>
      <c r="J20" s="227">
        <f t="shared" si="2"/>
        <v>14408</v>
      </c>
      <c r="K20" s="227">
        <f t="shared" si="3"/>
        <v>0</v>
      </c>
      <c r="L20" s="227">
        <f t="shared" si="4"/>
        <v>50</v>
      </c>
    </row>
    <row r="21" spans="1:12" x14ac:dyDescent="0.2">
      <c r="B21" s="116"/>
      <c r="L21" s="213"/>
    </row>
    <row r="22" spans="1:12" x14ac:dyDescent="0.2">
      <c r="B22" s="116"/>
    </row>
    <row r="23" spans="1:12" ht="38.25" customHeight="1" x14ac:dyDescent="0.2">
      <c r="A23" s="401" t="s">
        <v>478</v>
      </c>
      <c r="B23" s="402"/>
      <c r="C23" s="402"/>
      <c r="D23" s="402"/>
      <c r="E23" s="402"/>
      <c r="F23" s="402"/>
      <c r="G23" s="402"/>
      <c r="H23" s="402"/>
      <c r="I23" s="402"/>
      <c r="J23" s="402"/>
      <c r="K23" s="402"/>
      <c r="L23" s="402"/>
    </row>
    <row r="24" spans="1:12" x14ac:dyDescent="0.2">
      <c r="B24" s="116"/>
    </row>
    <row r="25" spans="1:12" x14ac:dyDescent="0.2">
      <c r="B25" s="116"/>
    </row>
  </sheetData>
  <mergeCells count="2">
    <mergeCell ref="A12:H12"/>
    <mergeCell ref="A23:L23"/>
  </mergeCells>
  <pageMargins left="0.75" right="0.75" top="1" bottom="1" header="0.5" footer="0.5"/>
  <headerFooter alignWithMargins="0"/>
  <ignoredErrors>
    <ignoredError sqref="G15:G20" formulaRange="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5">
    <outlinePr summaryBelow="0" summaryRight="0"/>
  </sheetPr>
  <dimension ref="A1:L25"/>
  <sheetViews>
    <sheetView zoomScale="160" zoomScaleNormal="160" workbookViewId="0">
      <pane xSplit="1" ySplit="14" topLeftCell="B15" activePane="bottomRight" state="frozen"/>
      <selection sqref="A1:L1048576"/>
      <selection pane="topRight" sqref="A1:L1048576"/>
      <selection pane="bottomLeft" sqref="A1:L1048576"/>
      <selection pane="bottomRight" activeCell="A2" sqref="A2"/>
    </sheetView>
  </sheetViews>
  <sheetFormatPr defaultRowHeight="12.75" outlineLevelRow="1" x14ac:dyDescent="0.2"/>
  <cols>
    <col min="1" max="1" width="21" style="199" customWidth="1"/>
    <col min="2" max="2" width="9.85546875" style="199" customWidth="1"/>
    <col min="3" max="3" width="9.42578125" style="199" customWidth="1"/>
    <col min="4" max="6" width="8.140625" style="199" bestFit="1" customWidth="1"/>
    <col min="7" max="7" width="7.85546875" style="199" customWidth="1"/>
    <col min="8" max="8" width="8.140625" style="199" bestFit="1" customWidth="1"/>
    <col min="9" max="9" width="13.140625" style="199" bestFit="1" customWidth="1"/>
    <col min="10" max="10" width="11.42578125" style="199" customWidth="1"/>
    <col min="11" max="11" width="10.28515625" style="199" customWidth="1"/>
    <col min="12" max="12" width="9.140625" style="199" customWidth="1"/>
    <col min="13" max="25" width="9.140625" style="199"/>
    <col min="26" max="26" width="9.140625" style="199" customWidth="1"/>
    <col min="27" max="16384" width="9.140625" style="199"/>
  </cols>
  <sheetData>
    <row r="1" spans="1:12" ht="18" x14ac:dyDescent="0.25">
      <c r="A1" s="142" t="s">
        <v>519</v>
      </c>
    </row>
    <row r="2" spans="1:12" s="180" customFormat="1" hidden="1" x14ac:dyDescent="0.2"/>
    <row r="3" spans="1:12" s="116" customFormat="1" x14ac:dyDescent="0.2">
      <c r="A3" s="231" t="str">
        <f>IF(A2="","",IF(Disable_Video_Hyperlinks,A2,HYPERLINK(Video_website&amp;A2,A2)))</f>
        <v/>
      </c>
      <c r="B3" s="32"/>
      <c r="C3" s="32"/>
      <c r="E3" s="32"/>
      <c r="H3" s="178"/>
    </row>
    <row r="4" spans="1:12" s="116" customFormat="1" x14ac:dyDescent="0.2">
      <c r="A4" s="309" t="str">
        <f>IF(B2="","",B2)</f>
        <v/>
      </c>
      <c r="B4" s="32"/>
      <c r="C4" s="32"/>
      <c r="D4" s="32"/>
      <c r="E4" s="32"/>
      <c r="H4" s="178"/>
    </row>
    <row r="5" spans="1:12" s="116" customFormat="1" x14ac:dyDescent="0.2">
      <c r="A5" s="309"/>
      <c r="B5" s="32"/>
      <c r="C5" s="32"/>
      <c r="D5" s="32"/>
      <c r="E5" s="32"/>
      <c r="H5" s="178"/>
    </row>
    <row r="6" spans="1:12" s="116" customFormat="1" outlineLevel="1" x14ac:dyDescent="0.2">
      <c r="A6" s="309"/>
      <c r="B6" s="32"/>
      <c r="C6" s="32"/>
      <c r="D6" s="32" t="s">
        <v>249</v>
      </c>
      <c r="E6" s="32"/>
      <c r="H6" s="178"/>
    </row>
    <row r="7" spans="1:12" s="116" customFormat="1" outlineLevel="1" x14ac:dyDescent="0.2">
      <c r="A7" s="202" t="s">
        <v>250</v>
      </c>
      <c r="B7" s="203">
        <v>25</v>
      </c>
      <c r="D7" s="116" t="s">
        <v>251</v>
      </c>
      <c r="G7" s="203">
        <v>100</v>
      </c>
      <c r="H7" s="178"/>
    </row>
    <row r="8" spans="1:12" s="116" customFormat="1" ht="25.5" outlineLevel="1" x14ac:dyDescent="0.2">
      <c r="A8" s="202" t="s">
        <v>252</v>
      </c>
      <c r="B8" s="207">
        <v>200</v>
      </c>
      <c r="D8" s="116" t="s">
        <v>253</v>
      </c>
      <c r="G8" s="207">
        <v>50</v>
      </c>
      <c r="H8" s="178"/>
    </row>
    <row r="9" spans="1:12" s="116" customFormat="1" outlineLevel="1" x14ac:dyDescent="0.2">
      <c r="A9" s="202" t="s">
        <v>254</v>
      </c>
      <c r="B9" s="207">
        <v>100</v>
      </c>
      <c r="D9" s="116" t="s">
        <v>255</v>
      </c>
      <c r="G9" s="207">
        <v>25</v>
      </c>
      <c r="H9" s="178"/>
    </row>
    <row r="10" spans="1:12" s="116" customFormat="1" outlineLevel="1" x14ac:dyDescent="0.2">
      <c r="A10" s="209" t="s">
        <v>256</v>
      </c>
      <c r="B10" s="208">
        <v>0.1</v>
      </c>
      <c r="H10" s="178"/>
    </row>
    <row r="11" spans="1:12" s="116" customFormat="1" x14ac:dyDescent="0.2">
      <c r="A11" s="209"/>
      <c r="H11" s="178"/>
    </row>
    <row r="12" spans="1:12" x14ac:dyDescent="0.2">
      <c r="A12" s="400" t="s">
        <v>257</v>
      </c>
      <c r="B12" s="400"/>
      <c r="C12" s="400"/>
      <c r="D12" s="400"/>
      <c r="E12" s="400"/>
      <c r="F12" s="400"/>
      <c r="G12" s="400"/>
      <c r="H12" s="400"/>
    </row>
    <row r="13" spans="1:12" ht="12" customHeight="1" x14ac:dyDescent="0.2">
      <c r="A13" s="210"/>
      <c r="B13" s="210"/>
      <c r="C13" s="210"/>
      <c r="D13" s="210"/>
      <c r="E13" s="210"/>
      <c r="F13" s="210"/>
      <c r="G13" s="210"/>
      <c r="H13" s="210"/>
    </row>
    <row r="14" spans="1:12" ht="36.75" customHeight="1" x14ac:dyDescent="0.2">
      <c r="A14" s="211" t="s">
        <v>206</v>
      </c>
      <c r="B14" s="200" t="s">
        <v>258</v>
      </c>
      <c r="C14" s="200" t="s">
        <v>259</v>
      </c>
      <c r="D14" s="200" t="s">
        <v>260</v>
      </c>
      <c r="E14" s="200" t="s">
        <v>261</v>
      </c>
      <c r="F14" s="200" t="s">
        <v>262</v>
      </c>
      <c r="G14" s="200" t="s">
        <v>263</v>
      </c>
      <c r="H14" s="200" t="s">
        <v>264</v>
      </c>
      <c r="I14" s="200" t="s">
        <v>265</v>
      </c>
      <c r="J14" s="200" t="s">
        <v>266</v>
      </c>
      <c r="K14" s="200" t="s">
        <v>267</v>
      </c>
      <c r="L14" s="200" t="s">
        <v>268</v>
      </c>
    </row>
    <row r="15" spans="1:12" x14ac:dyDescent="0.2">
      <c r="A15" s="212" t="s">
        <v>220</v>
      </c>
      <c r="B15" s="149" t="s">
        <v>269</v>
      </c>
      <c r="C15" s="238">
        <v>8612</v>
      </c>
      <c r="D15" s="238">
        <v>0</v>
      </c>
      <c r="E15" s="238">
        <v>0</v>
      </c>
      <c r="F15" s="238">
        <v>0</v>
      </c>
      <c r="G15" s="239">
        <f t="shared" ref="G15:G20" si="0">SUM(D15:F15)</f>
        <v>0</v>
      </c>
      <c r="H15" s="240" t="b">
        <v>1</v>
      </c>
      <c r="I15" s="241" t="str">
        <f t="shared" ref="I15:I20" si="1">IF(H15,"credit approved", "credit denied")</f>
        <v>credit approved</v>
      </c>
      <c r="J15" s="239">
        <f t="shared" ref="J15:J20" si="2">IF(G15=0, C15, C15+G15+B$7)</f>
        <v>8612</v>
      </c>
      <c r="K15" s="239">
        <f t="shared" ref="K15:K20" si="3">IF(F15&gt;B$8, MAX(B$9, B$10*F15),0)</f>
        <v>0</v>
      </c>
      <c r="L15" s="239">
        <f t="shared" ref="L15:L20" si="4">IF(F15&gt;0,G$7,IF(E15&gt;0,G$8,IF(D15&gt;0,G$9,0)))</f>
        <v>0</v>
      </c>
    </row>
    <row r="16" spans="1:12" x14ac:dyDescent="0.2">
      <c r="A16" s="212" t="s">
        <v>222</v>
      </c>
      <c r="B16" s="149" t="s">
        <v>270</v>
      </c>
      <c r="C16" s="235">
        <v>0</v>
      </c>
      <c r="D16" s="235">
        <v>0</v>
      </c>
      <c r="E16" s="235">
        <v>0</v>
      </c>
      <c r="F16" s="235">
        <v>0</v>
      </c>
      <c r="G16" s="227">
        <f t="shared" si="0"/>
        <v>0</v>
      </c>
      <c r="H16" s="236" t="b">
        <v>1</v>
      </c>
      <c r="I16" s="237" t="str">
        <f t="shared" si="1"/>
        <v>credit approved</v>
      </c>
      <c r="J16" s="227">
        <f t="shared" si="2"/>
        <v>0</v>
      </c>
      <c r="K16" s="227">
        <f t="shared" si="3"/>
        <v>0</v>
      </c>
      <c r="L16" s="227">
        <f t="shared" si="4"/>
        <v>0</v>
      </c>
    </row>
    <row r="17" spans="1:12" x14ac:dyDescent="0.2">
      <c r="A17" s="212" t="s">
        <v>224</v>
      </c>
      <c r="B17" s="149" t="s">
        <v>269</v>
      </c>
      <c r="C17" s="235">
        <v>2345</v>
      </c>
      <c r="D17" s="235">
        <v>3473</v>
      </c>
      <c r="E17" s="235">
        <v>5556.8</v>
      </c>
      <c r="F17" s="235">
        <v>4862.2</v>
      </c>
      <c r="G17" s="227">
        <f t="shared" si="0"/>
        <v>13892</v>
      </c>
      <c r="H17" s="236" t="b">
        <v>1</v>
      </c>
      <c r="I17" s="237" t="str">
        <f t="shared" si="1"/>
        <v>credit approved</v>
      </c>
      <c r="J17" s="227">
        <f t="shared" si="2"/>
        <v>16262</v>
      </c>
      <c r="K17" s="227">
        <f t="shared" si="3"/>
        <v>486.22</v>
      </c>
      <c r="L17" s="227">
        <f t="shared" si="4"/>
        <v>100</v>
      </c>
    </row>
    <row r="18" spans="1:12" x14ac:dyDescent="0.2">
      <c r="A18" s="212" t="s">
        <v>226</v>
      </c>
      <c r="B18" s="149" t="s">
        <v>271</v>
      </c>
      <c r="C18" s="235">
        <v>0</v>
      </c>
      <c r="D18" s="235">
        <v>345</v>
      </c>
      <c r="E18" s="235">
        <v>0</v>
      </c>
      <c r="F18" s="235">
        <v>150</v>
      </c>
      <c r="G18" s="227">
        <f t="shared" si="0"/>
        <v>495</v>
      </c>
      <c r="H18" s="236" t="b">
        <v>1</v>
      </c>
      <c r="I18" s="237" t="str">
        <f t="shared" si="1"/>
        <v>credit approved</v>
      </c>
      <c r="J18" s="227">
        <f t="shared" si="2"/>
        <v>520</v>
      </c>
      <c r="K18" s="227">
        <f t="shared" si="3"/>
        <v>0</v>
      </c>
      <c r="L18" s="227">
        <f t="shared" si="4"/>
        <v>100</v>
      </c>
    </row>
    <row r="19" spans="1:12" x14ac:dyDescent="0.2">
      <c r="A19" s="212" t="s">
        <v>228</v>
      </c>
      <c r="B19" s="149" t="s">
        <v>269</v>
      </c>
      <c r="C19" s="235">
        <v>0</v>
      </c>
      <c r="D19" s="235">
        <v>0</v>
      </c>
      <c r="E19" s="235">
        <v>2000</v>
      </c>
      <c r="F19" s="235">
        <v>899</v>
      </c>
      <c r="G19" s="227">
        <f t="shared" si="0"/>
        <v>2899</v>
      </c>
      <c r="H19" s="236" t="b">
        <v>0</v>
      </c>
      <c r="I19" s="237" t="str">
        <f t="shared" si="1"/>
        <v>credit denied</v>
      </c>
      <c r="J19" s="227">
        <f t="shared" si="2"/>
        <v>2924</v>
      </c>
      <c r="K19" s="227">
        <f t="shared" si="3"/>
        <v>100</v>
      </c>
      <c r="L19" s="227">
        <f t="shared" si="4"/>
        <v>100</v>
      </c>
    </row>
    <row r="20" spans="1:12" x14ac:dyDescent="0.2">
      <c r="A20" s="212" t="s">
        <v>238</v>
      </c>
      <c r="B20" s="149" t="s">
        <v>269</v>
      </c>
      <c r="C20" s="235">
        <v>0</v>
      </c>
      <c r="D20" s="235">
        <v>14000</v>
      </c>
      <c r="E20" s="235">
        <v>383</v>
      </c>
      <c r="F20" s="235">
        <v>0</v>
      </c>
      <c r="G20" s="227">
        <f t="shared" si="0"/>
        <v>14383</v>
      </c>
      <c r="H20" s="236" t="b">
        <v>0</v>
      </c>
      <c r="I20" s="237" t="str">
        <f t="shared" si="1"/>
        <v>credit denied</v>
      </c>
      <c r="J20" s="227">
        <f t="shared" si="2"/>
        <v>14408</v>
      </c>
      <c r="K20" s="227">
        <f t="shared" si="3"/>
        <v>0</v>
      </c>
      <c r="L20" s="227">
        <f t="shared" si="4"/>
        <v>50</v>
      </c>
    </row>
    <row r="21" spans="1:12" x14ac:dyDescent="0.2">
      <c r="B21" s="116"/>
      <c r="L21" s="213"/>
    </row>
    <row r="22" spans="1:12" x14ac:dyDescent="0.2">
      <c r="B22" s="116"/>
    </row>
    <row r="23" spans="1:12" ht="38.25" customHeight="1" x14ac:dyDescent="0.2">
      <c r="A23" s="401" t="s">
        <v>478</v>
      </c>
      <c r="B23" s="402"/>
      <c r="C23" s="402"/>
      <c r="D23" s="402"/>
      <c r="E23" s="402"/>
      <c r="F23" s="402"/>
      <c r="G23" s="402"/>
      <c r="H23" s="402"/>
      <c r="I23" s="402"/>
      <c r="J23" s="402"/>
      <c r="K23" s="402"/>
      <c r="L23" s="402"/>
    </row>
    <row r="24" spans="1:12" x14ac:dyDescent="0.2">
      <c r="B24" s="116"/>
    </row>
    <row r="25" spans="1:12" x14ac:dyDescent="0.2">
      <c r="B25" s="116"/>
    </row>
  </sheetData>
  <mergeCells count="2">
    <mergeCell ref="A12:H12"/>
    <mergeCell ref="A23:L23"/>
  </mergeCells>
  <pageMargins left="0.75" right="0.75" top="1" bottom="1" header="0.5" footer="0.5"/>
  <headerFooter alignWithMargins="0"/>
  <ignoredErrors>
    <ignoredError sqref="G15:G20" formulaRange="1"/>
  </ignoredErrors>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6">
    <outlinePr summaryBelow="0" summaryRight="0"/>
  </sheetPr>
  <dimension ref="A1:L25"/>
  <sheetViews>
    <sheetView zoomScale="160" zoomScaleNormal="160" workbookViewId="0">
      <pane xSplit="1" ySplit="14" topLeftCell="B15" activePane="bottomRight" state="frozen"/>
      <selection sqref="A1:L1048576"/>
      <selection pane="topRight" sqref="A1:L1048576"/>
      <selection pane="bottomLeft" sqref="A1:L1048576"/>
      <selection pane="bottomRight" activeCell="A2" sqref="A2"/>
    </sheetView>
  </sheetViews>
  <sheetFormatPr defaultRowHeight="12.75" outlineLevelRow="1" x14ac:dyDescent="0.2"/>
  <cols>
    <col min="1" max="1" width="21" style="199" customWidth="1"/>
    <col min="2" max="2" width="9.85546875" style="199" customWidth="1"/>
    <col min="3" max="3" width="9.42578125" style="199" customWidth="1"/>
    <col min="4" max="6" width="8.140625" style="199" bestFit="1" customWidth="1"/>
    <col min="7" max="7" width="7.85546875" style="199" customWidth="1"/>
    <col min="8" max="8" width="8.140625" style="199" bestFit="1" customWidth="1"/>
    <col min="9" max="9" width="13.140625" style="199" bestFit="1" customWidth="1"/>
    <col min="10" max="10" width="11.42578125" style="199" customWidth="1"/>
    <col min="11" max="11" width="10.28515625" style="199" customWidth="1"/>
    <col min="12" max="12" width="9.140625" style="199" customWidth="1"/>
    <col min="13" max="25" width="9.140625" style="199"/>
    <col min="26" max="26" width="9.140625" style="199" customWidth="1"/>
    <col min="27" max="16384" width="9.140625" style="199"/>
  </cols>
  <sheetData>
    <row r="1" spans="1:12" ht="18" x14ac:dyDescent="0.25">
      <c r="A1" s="142" t="s">
        <v>286</v>
      </c>
    </row>
    <row r="2" spans="1:12" s="180" customFormat="1" hidden="1" x14ac:dyDescent="0.2">
      <c r="A2" s="180" t="s">
        <v>530</v>
      </c>
      <c r="B2" s="180">
        <v>3.9120370370370368E-3</v>
      </c>
    </row>
    <row r="3" spans="1:12" x14ac:dyDescent="0.2">
      <c r="A3" s="231" t="str">
        <f>IF(A2="","",IF(Disable_Video_Hyperlinks,A2,HYPERLINK(Video_website&amp;A2,A2)))</f>
        <v>UNC_DAYT_EXCEL_2.7.4_LECTURE_FLEXIBLE_IF_FORMULAS.mp4</v>
      </c>
    </row>
    <row r="4" spans="1:12" x14ac:dyDescent="0.2">
      <c r="A4" s="309">
        <f>IF(B2="","",B2)</f>
        <v>3.9120370370370368E-3</v>
      </c>
    </row>
    <row r="5" spans="1:12" x14ac:dyDescent="0.2">
      <c r="A5" s="309"/>
    </row>
    <row r="6" spans="1:12" s="116" customFormat="1" ht="38.25" x14ac:dyDescent="0.2">
      <c r="B6" s="32"/>
      <c r="C6" s="32"/>
      <c r="D6" s="32"/>
      <c r="E6" s="32" t="s">
        <v>300</v>
      </c>
      <c r="F6" s="32"/>
      <c r="G6" s="32"/>
      <c r="H6" s="32"/>
      <c r="J6" s="200" t="s">
        <v>264</v>
      </c>
      <c r="K6" s="201" t="s">
        <v>265</v>
      </c>
      <c r="L6" s="201"/>
    </row>
    <row r="7" spans="1:12" s="116" customFormat="1" outlineLevel="1" x14ac:dyDescent="0.2">
      <c r="A7" s="202" t="s">
        <v>250</v>
      </c>
      <c r="C7" s="203">
        <v>25</v>
      </c>
      <c r="E7" s="116" t="s">
        <v>293</v>
      </c>
      <c r="H7" s="203">
        <v>100</v>
      </c>
      <c r="J7" s="204" t="s">
        <v>296</v>
      </c>
      <c r="K7" s="205" t="s">
        <v>298</v>
      </c>
      <c r="L7" s="205"/>
    </row>
    <row r="8" spans="1:12" s="116" customFormat="1" outlineLevel="1" x14ac:dyDescent="0.2">
      <c r="A8" s="206" t="s">
        <v>292</v>
      </c>
      <c r="C8" s="207">
        <v>200</v>
      </c>
      <c r="E8" s="116" t="s">
        <v>294</v>
      </c>
      <c r="H8" s="207">
        <v>50</v>
      </c>
      <c r="J8" s="204" t="s">
        <v>297</v>
      </c>
      <c r="K8" s="205" t="s">
        <v>299</v>
      </c>
      <c r="L8" s="205"/>
    </row>
    <row r="9" spans="1:12" s="116" customFormat="1" outlineLevel="1" x14ac:dyDescent="0.2">
      <c r="A9" s="206" t="s">
        <v>254</v>
      </c>
      <c r="C9" s="207">
        <v>100</v>
      </c>
      <c r="E9" s="116" t="s">
        <v>295</v>
      </c>
      <c r="H9" s="207">
        <v>25</v>
      </c>
    </row>
    <row r="10" spans="1:12" s="116" customFormat="1" outlineLevel="1" x14ac:dyDescent="0.2">
      <c r="A10" s="199" t="s">
        <v>256</v>
      </c>
      <c r="C10" s="208">
        <v>0.1</v>
      </c>
    </row>
    <row r="11" spans="1:12" s="116" customFormat="1" x14ac:dyDescent="0.2">
      <c r="A11" s="209"/>
      <c r="H11" s="178"/>
    </row>
    <row r="12" spans="1:12" x14ac:dyDescent="0.2">
      <c r="A12" s="400" t="s">
        <v>257</v>
      </c>
      <c r="B12" s="400"/>
      <c r="C12" s="400"/>
      <c r="D12" s="400"/>
      <c r="E12" s="400"/>
      <c r="F12" s="400"/>
      <c r="G12" s="400"/>
      <c r="H12" s="400"/>
    </row>
    <row r="13" spans="1:12" ht="12" customHeight="1" x14ac:dyDescent="0.2">
      <c r="A13" s="210"/>
      <c r="B13" s="210"/>
      <c r="C13" s="210"/>
      <c r="D13" s="210"/>
      <c r="E13" s="210"/>
      <c r="F13" s="210"/>
      <c r="G13" s="210"/>
      <c r="H13" s="210"/>
    </row>
    <row r="14" spans="1:12" ht="36.75" customHeight="1" x14ac:dyDescent="0.2">
      <c r="A14" s="211" t="s">
        <v>206</v>
      </c>
      <c r="B14" s="200" t="s">
        <v>258</v>
      </c>
      <c r="C14" s="200" t="s">
        <v>259</v>
      </c>
      <c r="D14" s="200" t="s">
        <v>260</v>
      </c>
      <c r="E14" s="200" t="s">
        <v>261</v>
      </c>
      <c r="F14" s="200" t="s">
        <v>262</v>
      </c>
      <c r="G14" s="200" t="s">
        <v>263</v>
      </c>
      <c r="H14" s="200" t="s">
        <v>264</v>
      </c>
      <c r="I14" s="200" t="s">
        <v>265</v>
      </c>
      <c r="J14" s="200" t="s">
        <v>266</v>
      </c>
      <c r="K14" s="200" t="s">
        <v>267</v>
      </c>
      <c r="L14" s="200" t="s">
        <v>268</v>
      </c>
    </row>
    <row r="15" spans="1:12" x14ac:dyDescent="0.2">
      <c r="A15" s="212" t="s">
        <v>220</v>
      </c>
      <c r="B15" s="149" t="s">
        <v>269</v>
      </c>
      <c r="C15" s="238">
        <v>8612</v>
      </c>
      <c r="D15" s="238">
        <v>0</v>
      </c>
      <c r="E15" s="238">
        <v>0</v>
      </c>
      <c r="F15" s="238">
        <v>0</v>
      </c>
      <c r="G15" s="239">
        <f t="shared" ref="G15:G20" si="0">SUM(D15:F15)</f>
        <v>0</v>
      </c>
      <c r="H15" s="240" t="s">
        <v>296</v>
      </c>
      <c r="I15" s="241" t="str">
        <f t="shared" ref="I15" si="1">IF(H15=$J$7,$K$7, $K$8)</f>
        <v>credit approved</v>
      </c>
      <c r="J15" s="239">
        <f t="shared" ref="J15:J20" si="2">IF(G15=0, C15, C15+G15+C$7)</f>
        <v>8612</v>
      </c>
      <c r="K15" s="239">
        <f t="shared" ref="K15:K20" si="3">IF(F15&gt;C$8, MAX(C$9, C$10*F15),0)</f>
        <v>0</v>
      </c>
      <c r="L15" s="239">
        <f t="shared" ref="L15:L20" si="4">IF(F15&gt;0,H$7,IF(E15&gt;0,H$8,IF(D15&gt;0,H$9,0)))</f>
        <v>0</v>
      </c>
    </row>
    <row r="16" spans="1:12" x14ac:dyDescent="0.2">
      <c r="A16" s="212" t="s">
        <v>222</v>
      </c>
      <c r="B16" s="149" t="s">
        <v>270</v>
      </c>
      <c r="C16" s="235">
        <v>0</v>
      </c>
      <c r="D16" s="235">
        <v>0</v>
      </c>
      <c r="E16" s="235">
        <v>0</v>
      </c>
      <c r="F16" s="235">
        <v>0</v>
      </c>
      <c r="G16" s="227">
        <f t="shared" si="0"/>
        <v>0</v>
      </c>
      <c r="H16" s="236" t="s">
        <v>296</v>
      </c>
      <c r="I16" s="237" t="str">
        <f xml:space="preserve"> IF( H16 = $J$7, $K$7, $K$8 )</f>
        <v>credit approved</v>
      </c>
      <c r="J16" s="227">
        <f t="shared" si="2"/>
        <v>0</v>
      </c>
      <c r="K16" s="227">
        <f t="shared" si="3"/>
        <v>0</v>
      </c>
      <c r="L16" s="227">
        <f t="shared" si="4"/>
        <v>0</v>
      </c>
    </row>
    <row r="17" spans="1:12" x14ac:dyDescent="0.2">
      <c r="A17" s="212" t="s">
        <v>224</v>
      </c>
      <c r="B17" s="149" t="s">
        <v>269</v>
      </c>
      <c r="C17" s="235">
        <v>2345</v>
      </c>
      <c r="D17" s="235">
        <v>3473</v>
      </c>
      <c r="E17" s="235">
        <v>5556.8</v>
      </c>
      <c r="F17" s="235">
        <v>4862.2</v>
      </c>
      <c r="G17" s="227">
        <f t="shared" si="0"/>
        <v>13892</v>
      </c>
      <c r="H17" s="236" t="s">
        <v>296</v>
      </c>
      <c r="I17" s="237" t="str">
        <f t="shared" ref="I17:I20" si="5" xml:space="preserve"> IF( H17 = $J$7, $K$7, $K$8 )</f>
        <v>credit approved</v>
      </c>
      <c r="J17" s="227">
        <f t="shared" si="2"/>
        <v>16262</v>
      </c>
      <c r="K17" s="227">
        <f t="shared" si="3"/>
        <v>486.22</v>
      </c>
      <c r="L17" s="227">
        <f t="shared" si="4"/>
        <v>100</v>
      </c>
    </row>
    <row r="18" spans="1:12" x14ac:dyDescent="0.2">
      <c r="A18" s="212" t="s">
        <v>226</v>
      </c>
      <c r="B18" s="149" t="s">
        <v>271</v>
      </c>
      <c r="C18" s="235">
        <v>0</v>
      </c>
      <c r="D18" s="235">
        <v>345</v>
      </c>
      <c r="E18" s="235">
        <v>0</v>
      </c>
      <c r="F18" s="235">
        <v>150</v>
      </c>
      <c r="G18" s="227">
        <f t="shared" si="0"/>
        <v>495</v>
      </c>
      <c r="H18" s="236" t="s">
        <v>296</v>
      </c>
      <c r="I18" s="237" t="str">
        <f t="shared" si="5"/>
        <v>credit approved</v>
      </c>
      <c r="J18" s="227">
        <f t="shared" si="2"/>
        <v>520</v>
      </c>
      <c r="K18" s="227">
        <f t="shared" si="3"/>
        <v>0</v>
      </c>
      <c r="L18" s="227">
        <f t="shared" si="4"/>
        <v>100</v>
      </c>
    </row>
    <row r="19" spans="1:12" x14ac:dyDescent="0.2">
      <c r="A19" s="212" t="s">
        <v>228</v>
      </c>
      <c r="B19" s="149" t="s">
        <v>269</v>
      </c>
      <c r="C19" s="235">
        <v>0</v>
      </c>
      <c r="D19" s="235">
        <v>0</v>
      </c>
      <c r="E19" s="235">
        <v>2000</v>
      </c>
      <c r="F19" s="235">
        <v>899</v>
      </c>
      <c r="G19" s="227">
        <f t="shared" si="0"/>
        <v>2899</v>
      </c>
      <c r="H19" s="236" t="s">
        <v>297</v>
      </c>
      <c r="I19" s="237" t="str">
        <f t="shared" si="5"/>
        <v>credit denied</v>
      </c>
      <c r="J19" s="227">
        <f t="shared" si="2"/>
        <v>2924</v>
      </c>
      <c r="K19" s="227">
        <f t="shared" si="3"/>
        <v>100</v>
      </c>
      <c r="L19" s="227">
        <f t="shared" si="4"/>
        <v>100</v>
      </c>
    </row>
    <row r="20" spans="1:12" x14ac:dyDescent="0.2">
      <c r="A20" s="212" t="s">
        <v>238</v>
      </c>
      <c r="B20" s="149" t="s">
        <v>269</v>
      </c>
      <c r="C20" s="235">
        <v>0</v>
      </c>
      <c r="D20" s="235">
        <v>14000</v>
      </c>
      <c r="E20" s="235">
        <v>383</v>
      </c>
      <c r="F20" s="235">
        <v>0</v>
      </c>
      <c r="G20" s="227">
        <f t="shared" si="0"/>
        <v>14383</v>
      </c>
      <c r="H20" s="236" t="s">
        <v>297</v>
      </c>
      <c r="I20" s="237" t="str">
        <f t="shared" si="5"/>
        <v>credit denied</v>
      </c>
      <c r="J20" s="227">
        <f t="shared" si="2"/>
        <v>14408</v>
      </c>
      <c r="K20" s="227">
        <f t="shared" si="3"/>
        <v>0</v>
      </c>
      <c r="L20" s="227">
        <f t="shared" si="4"/>
        <v>50</v>
      </c>
    </row>
    <row r="21" spans="1:12" x14ac:dyDescent="0.2">
      <c r="B21" s="116"/>
      <c r="L21" s="213"/>
    </row>
    <row r="22" spans="1:12" x14ac:dyDescent="0.2">
      <c r="B22" s="116"/>
    </row>
    <row r="23" spans="1:12" ht="25.5" customHeight="1" x14ac:dyDescent="0.2">
      <c r="A23" s="401" t="s">
        <v>480</v>
      </c>
      <c r="B23" s="402"/>
      <c r="C23" s="402"/>
      <c r="D23" s="402"/>
      <c r="E23" s="402"/>
      <c r="F23" s="402"/>
      <c r="G23" s="402"/>
      <c r="H23" s="402"/>
      <c r="I23" s="402"/>
      <c r="J23" s="402"/>
      <c r="K23" s="402"/>
      <c r="L23" s="402"/>
    </row>
    <row r="24" spans="1:12" x14ac:dyDescent="0.2">
      <c r="B24" s="116"/>
    </row>
    <row r="25" spans="1:12" x14ac:dyDescent="0.2">
      <c r="B25" s="116"/>
    </row>
  </sheetData>
  <mergeCells count="2">
    <mergeCell ref="A12:H12"/>
    <mergeCell ref="A23:L23"/>
  </mergeCells>
  <phoneticPr fontId="2" type="noConversion"/>
  <pageMargins left="0.75" right="0.75" top="1" bottom="1" header="0.5" footer="0.5"/>
  <headerFooter alignWithMargins="0"/>
  <ignoredErrors>
    <ignoredError sqref="G15:G20" formulaRange="1"/>
  </ignoredErrors>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6">
    <outlinePr summaryBelow="0" summaryRight="0"/>
  </sheetPr>
  <dimension ref="A1:R39"/>
  <sheetViews>
    <sheetView zoomScale="145" zoomScaleNormal="145" workbookViewId="0">
      <selection activeCell="A2" sqref="A2"/>
    </sheetView>
  </sheetViews>
  <sheetFormatPr defaultRowHeight="12.75" outlineLevelRow="1" x14ac:dyDescent="0.2"/>
  <cols>
    <col min="1" max="1" width="21" style="199" customWidth="1"/>
    <col min="2" max="2" width="9.85546875" style="199" customWidth="1"/>
    <col min="3" max="3" width="9.42578125" style="199" customWidth="1"/>
    <col min="4" max="6" width="8.140625" style="199" bestFit="1" customWidth="1"/>
    <col min="7" max="7" width="7.85546875" style="199" customWidth="1"/>
    <col min="8" max="8" width="8.140625" style="199" bestFit="1" customWidth="1"/>
    <col min="9" max="9" width="13.140625" style="199" bestFit="1" customWidth="1"/>
    <col min="10" max="10" width="11.42578125" style="199" customWidth="1"/>
    <col min="11" max="11" width="10.28515625" style="199" customWidth="1"/>
    <col min="12" max="12" width="9.140625" style="199" customWidth="1"/>
    <col min="13" max="13" width="6.140625" style="199" customWidth="1"/>
    <col min="14" max="14" width="46.7109375" style="199" customWidth="1"/>
    <col min="15" max="25" width="9.140625" style="199"/>
    <col min="26" max="26" width="9.140625" style="199" customWidth="1"/>
    <col min="27" max="16384" width="9.140625" style="199"/>
  </cols>
  <sheetData>
    <row r="1" spans="1:18" ht="18" x14ac:dyDescent="0.25">
      <c r="A1" s="142" t="s">
        <v>542</v>
      </c>
    </row>
    <row r="2" spans="1:18" s="180" customFormat="1" hidden="1" x14ac:dyDescent="0.2">
      <c r="A2" s="143" t="s">
        <v>531</v>
      </c>
      <c r="B2" s="321">
        <v>8.5879629629629622E-3</v>
      </c>
    </row>
    <row r="3" spans="1:18" x14ac:dyDescent="0.2">
      <c r="A3" s="231" t="str">
        <f>IF(A2="","",IF(Disable_Video_Hyperlinks,A2,HYPERLINK(Video_website&amp;A2,A2)))</f>
        <v>UNC_DAYT_EXCEL_2.7.5_LECTURE_NESTED_IF.mp4</v>
      </c>
    </row>
    <row r="4" spans="1:18" x14ac:dyDescent="0.2">
      <c r="A4" s="309">
        <f>IF(B2="","",B2)</f>
        <v>8.5879629629629622E-3</v>
      </c>
    </row>
    <row r="5" spans="1:18" x14ac:dyDescent="0.2">
      <c r="A5" s="309"/>
    </row>
    <row r="6" spans="1:18" s="116" customFormat="1" ht="38.25" outlineLevel="1" x14ac:dyDescent="0.2">
      <c r="A6" s="231" t="str">
        <f>IF(A2="","",IF(Disable_Video_Hyperlinks,A2,HYPERLINK(Video_website&amp;A2,A2)))</f>
        <v>UNC_DAYT_EXCEL_2.7.5_LECTURE_NESTED_IF.mp4</v>
      </c>
      <c r="B6" s="32"/>
      <c r="C6" s="32"/>
      <c r="D6" s="32"/>
      <c r="E6" s="32" t="s">
        <v>300</v>
      </c>
      <c r="F6" s="32"/>
      <c r="G6" s="32"/>
      <c r="H6" s="32"/>
      <c r="J6" s="200" t="s">
        <v>264</v>
      </c>
      <c r="K6" s="201" t="s">
        <v>265</v>
      </c>
      <c r="L6" s="201"/>
      <c r="N6" s="315" t="s">
        <v>753</v>
      </c>
    </row>
    <row r="7" spans="1:18" s="116" customFormat="1" outlineLevel="1" x14ac:dyDescent="0.2">
      <c r="A7" s="202" t="s">
        <v>250</v>
      </c>
      <c r="C7" s="203">
        <v>25</v>
      </c>
      <c r="E7" s="116" t="s">
        <v>293</v>
      </c>
      <c r="H7" s="203">
        <v>100</v>
      </c>
      <c r="J7" s="204" t="s">
        <v>296</v>
      </c>
      <c r="K7" s="205" t="s">
        <v>298</v>
      </c>
      <c r="L7" s="205"/>
      <c r="N7" s="245"/>
    </row>
    <row r="8" spans="1:18" s="116" customFormat="1" outlineLevel="1" x14ac:dyDescent="0.2">
      <c r="A8" s="206" t="s">
        <v>292</v>
      </c>
      <c r="C8" s="207">
        <v>200</v>
      </c>
      <c r="E8" s="116" t="s">
        <v>294</v>
      </c>
      <c r="H8" s="207">
        <v>50</v>
      </c>
      <c r="J8" s="204" t="s">
        <v>297</v>
      </c>
      <c r="K8" s="205" t="s">
        <v>299</v>
      </c>
      <c r="L8" s="205"/>
    </row>
    <row r="9" spans="1:18" s="116" customFormat="1" outlineLevel="1" x14ac:dyDescent="0.2">
      <c r="A9" s="206" t="s">
        <v>254</v>
      </c>
      <c r="C9" s="207">
        <v>100</v>
      </c>
      <c r="E9" s="116" t="s">
        <v>295</v>
      </c>
      <c r="H9" s="207">
        <v>25</v>
      </c>
      <c r="J9" s="205" t="s">
        <v>543</v>
      </c>
      <c r="K9" s="205" t="s">
        <v>452</v>
      </c>
      <c r="L9" s="205"/>
      <c r="N9" s="246" t="s">
        <v>541</v>
      </c>
    </row>
    <row r="10" spans="1:18" s="116" customFormat="1" outlineLevel="1" x14ac:dyDescent="0.2">
      <c r="A10" s="199" t="s">
        <v>256</v>
      </c>
      <c r="C10" s="208">
        <v>0.1</v>
      </c>
      <c r="N10" s="247" t="s">
        <v>534</v>
      </c>
    </row>
    <row r="11" spans="1:18" s="116" customFormat="1" x14ac:dyDescent="0.2">
      <c r="A11" s="209"/>
      <c r="H11" s="178"/>
      <c r="N11" s="248" t="s">
        <v>535</v>
      </c>
    </row>
    <row r="12" spans="1:18" x14ac:dyDescent="0.2">
      <c r="A12" s="400" t="s">
        <v>257</v>
      </c>
      <c r="B12" s="400"/>
      <c r="C12" s="400"/>
      <c r="D12" s="400"/>
      <c r="E12" s="400"/>
      <c r="F12" s="400"/>
      <c r="G12" s="400"/>
      <c r="H12" s="400"/>
      <c r="N12" s="248" t="s">
        <v>536</v>
      </c>
    </row>
    <row r="13" spans="1:18" ht="12" customHeight="1" x14ac:dyDescent="0.2">
      <c r="A13" s="210"/>
      <c r="B13" s="210"/>
      <c r="C13" s="210"/>
      <c r="D13" s="210"/>
      <c r="E13" s="210"/>
      <c r="F13" s="210"/>
      <c r="G13" s="210"/>
      <c r="H13" s="210"/>
    </row>
    <row r="14" spans="1:18" ht="36.75" customHeight="1" x14ac:dyDescent="0.2">
      <c r="A14" s="211" t="s">
        <v>206</v>
      </c>
      <c r="B14" s="200" t="s">
        <v>258</v>
      </c>
      <c r="C14" s="200" t="s">
        <v>259</v>
      </c>
      <c r="D14" s="200" t="s">
        <v>260</v>
      </c>
      <c r="E14" s="200" t="s">
        <v>261</v>
      </c>
      <c r="F14" s="200" t="s">
        <v>262</v>
      </c>
      <c r="G14" s="200" t="s">
        <v>263</v>
      </c>
      <c r="H14" s="200" t="s">
        <v>264</v>
      </c>
      <c r="I14" s="200" t="s">
        <v>265</v>
      </c>
      <c r="J14" s="200" t="s">
        <v>266</v>
      </c>
      <c r="K14" s="200" t="s">
        <v>267</v>
      </c>
      <c r="L14" s="200" t="s">
        <v>268</v>
      </c>
      <c r="N14" s="331" t="s">
        <v>547</v>
      </c>
      <c r="O14" s="244"/>
      <c r="P14" s="244"/>
      <c r="Q14" s="244"/>
      <c r="R14" s="244"/>
    </row>
    <row r="15" spans="1:18" x14ac:dyDescent="0.2">
      <c r="A15" s="212" t="s">
        <v>220</v>
      </c>
      <c r="B15" s="149" t="s">
        <v>269</v>
      </c>
      <c r="C15" s="238">
        <v>8612</v>
      </c>
      <c r="D15" s="238">
        <v>0</v>
      </c>
      <c r="E15" s="238">
        <v>0</v>
      </c>
      <c r="F15" s="238">
        <v>0</v>
      </c>
      <c r="G15" s="239">
        <f t="shared" ref="G15:G20" si="0">SUM(D15:F15)</f>
        <v>0</v>
      </c>
      <c r="H15" s="240" t="s">
        <v>296</v>
      </c>
      <c r="I15" s="241" t="str">
        <f>IF(H15=$J$7,$K$7,IF(H15=$J$8,$K$8,$K$9))</f>
        <v>credit approved</v>
      </c>
      <c r="J15" s="239">
        <f t="shared" ref="J15:J20" si="1">IF(G15=0, C15, C15+G15+C$7)</f>
        <v>8612</v>
      </c>
      <c r="K15" s="239">
        <f t="shared" ref="K15:K20" si="2">IF(F15&gt;C$8, MAX(C$9, C$10*F15),0)</f>
        <v>0</v>
      </c>
      <c r="L15" s="239">
        <f t="shared" ref="L15:L20" si="3">IF(F15&gt;0,H$7,IF(E15&gt;0,H$8,IF(D15&gt;0,H$9,0)))</f>
        <v>0</v>
      </c>
      <c r="N15" s="249" t="s">
        <v>551</v>
      </c>
      <c r="O15" s="116"/>
      <c r="P15" s="245"/>
      <c r="Q15" s="245"/>
      <c r="R15" s="245"/>
    </row>
    <row r="16" spans="1:18" x14ac:dyDescent="0.2">
      <c r="A16" s="212" t="s">
        <v>222</v>
      </c>
      <c r="B16" s="149" t="s">
        <v>270</v>
      </c>
      <c r="C16" s="235">
        <v>0</v>
      </c>
      <c r="D16" s="235">
        <v>0</v>
      </c>
      <c r="E16" s="235">
        <v>0</v>
      </c>
      <c r="F16" s="235">
        <v>0</v>
      </c>
      <c r="G16" s="227">
        <f t="shared" si="0"/>
        <v>0</v>
      </c>
      <c r="H16" s="236" t="s">
        <v>297</v>
      </c>
      <c r="I16" s="237" t="str">
        <f>IF( H16 = $J$7, $K$7, IF( H16 = $J$8, $K$8, $K$9 ) )</f>
        <v>credit denied</v>
      </c>
      <c r="J16" s="227">
        <f t="shared" si="1"/>
        <v>0</v>
      </c>
      <c r="K16" s="227">
        <f t="shared" si="2"/>
        <v>0</v>
      </c>
      <c r="L16" s="227">
        <f t="shared" si="3"/>
        <v>0</v>
      </c>
      <c r="N16" s="404" t="s">
        <v>548</v>
      </c>
      <c r="O16" s="245"/>
      <c r="P16" s="245"/>
      <c r="Q16" s="245"/>
      <c r="R16" s="245"/>
    </row>
    <row r="17" spans="1:18" x14ac:dyDescent="0.2">
      <c r="A17" s="212" t="s">
        <v>224</v>
      </c>
      <c r="B17" s="149" t="s">
        <v>269</v>
      </c>
      <c r="C17" s="235">
        <v>2345</v>
      </c>
      <c r="D17" s="235">
        <v>3473</v>
      </c>
      <c r="E17" s="235">
        <v>5556.8</v>
      </c>
      <c r="F17" s="235">
        <v>4862.2</v>
      </c>
      <c r="G17" s="227">
        <f t="shared" si="0"/>
        <v>13892</v>
      </c>
      <c r="H17" s="236" t="s">
        <v>296</v>
      </c>
      <c r="I17" s="237" t="str">
        <f>IF( H17 = $J$7, $K$7,
  IF( H17 = $J$8, $K$8,
                               $K$9 ) )</f>
        <v>credit approved</v>
      </c>
      <c r="J17" s="227">
        <f t="shared" si="1"/>
        <v>16262</v>
      </c>
      <c r="K17" s="227">
        <f t="shared" si="2"/>
        <v>486.22</v>
      </c>
      <c r="L17" s="227">
        <f t="shared" si="3"/>
        <v>100</v>
      </c>
      <c r="N17" s="404"/>
      <c r="O17" s="245"/>
      <c r="P17" s="245"/>
      <c r="Q17" s="245"/>
      <c r="R17" s="245"/>
    </row>
    <row r="18" spans="1:18" x14ac:dyDescent="0.2">
      <c r="A18" s="212" t="s">
        <v>226</v>
      </c>
      <c r="B18" s="149" t="s">
        <v>271</v>
      </c>
      <c r="C18" s="235">
        <v>0</v>
      </c>
      <c r="D18" s="235">
        <v>345</v>
      </c>
      <c r="E18" s="235">
        <v>0</v>
      </c>
      <c r="F18" s="235">
        <v>150</v>
      </c>
      <c r="G18" s="227">
        <f t="shared" si="0"/>
        <v>495</v>
      </c>
      <c r="H18" s="236" t="s">
        <v>545</v>
      </c>
      <c r="I18" s="237" t="str">
        <f t="shared" ref="I18:I20" si="4">IF( H18 = $J$7, $K$7,
  IF( H18 = $J$8, $K$8,
                               $K$9 ) )</f>
        <v>?</v>
      </c>
      <c r="J18" s="227">
        <f t="shared" si="1"/>
        <v>520</v>
      </c>
      <c r="K18" s="227">
        <f t="shared" si="2"/>
        <v>0</v>
      </c>
      <c r="L18" s="227">
        <f t="shared" si="3"/>
        <v>100</v>
      </c>
      <c r="N18" s="331"/>
      <c r="O18" s="245"/>
      <c r="P18" s="245"/>
      <c r="Q18" s="245"/>
      <c r="R18" s="245"/>
    </row>
    <row r="19" spans="1:18" x14ac:dyDescent="0.2">
      <c r="A19" s="212" t="s">
        <v>228</v>
      </c>
      <c r="B19" s="149" t="s">
        <v>269</v>
      </c>
      <c r="C19" s="235">
        <v>0</v>
      </c>
      <c r="D19" s="235">
        <v>0</v>
      </c>
      <c r="E19" s="235">
        <v>2000</v>
      </c>
      <c r="F19" s="235">
        <v>899</v>
      </c>
      <c r="G19" s="227">
        <f t="shared" si="0"/>
        <v>2899</v>
      </c>
      <c r="H19" s="236"/>
      <c r="I19" s="237" t="str">
        <f t="shared" si="4"/>
        <v>?</v>
      </c>
      <c r="J19" s="227">
        <f t="shared" si="1"/>
        <v>2924</v>
      </c>
      <c r="K19" s="227">
        <f t="shared" si="2"/>
        <v>100</v>
      </c>
      <c r="L19" s="227">
        <f t="shared" si="3"/>
        <v>100</v>
      </c>
      <c r="N19" s="247" t="s">
        <v>552</v>
      </c>
      <c r="O19" s="245"/>
      <c r="P19" s="245"/>
      <c r="Q19" s="245"/>
      <c r="R19" s="245"/>
    </row>
    <row r="20" spans="1:18" x14ac:dyDescent="0.2">
      <c r="A20" s="212" t="s">
        <v>238</v>
      </c>
      <c r="B20" s="149" t="s">
        <v>269</v>
      </c>
      <c r="C20" s="235">
        <v>0</v>
      </c>
      <c r="D20" s="235">
        <v>14000</v>
      </c>
      <c r="E20" s="235">
        <v>383</v>
      </c>
      <c r="F20" s="235">
        <v>0</v>
      </c>
      <c r="G20" s="227">
        <f t="shared" si="0"/>
        <v>14383</v>
      </c>
      <c r="H20" s="236" t="s">
        <v>297</v>
      </c>
      <c r="I20" s="237" t="str">
        <f t="shared" si="4"/>
        <v>credit denied</v>
      </c>
      <c r="J20" s="227">
        <f t="shared" si="1"/>
        <v>14408</v>
      </c>
      <c r="K20" s="227">
        <f t="shared" si="2"/>
        <v>0</v>
      </c>
      <c r="L20" s="227">
        <f t="shared" si="3"/>
        <v>50</v>
      </c>
      <c r="N20" s="248" t="s">
        <v>537</v>
      </c>
      <c r="O20" s="245"/>
      <c r="P20" s="245"/>
      <c r="Q20" s="245"/>
      <c r="R20" s="245"/>
    </row>
    <row r="21" spans="1:18" x14ac:dyDescent="0.2">
      <c r="B21" s="116"/>
      <c r="L21" s="213"/>
      <c r="N21" s="248" t="s">
        <v>538</v>
      </c>
      <c r="O21" s="245"/>
      <c r="P21" s="245"/>
      <c r="Q21" s="245"/>
      <c r="R21" s="245"/>
    </row>
    <row r="22" spans="1:18" x14ac:dyDescent="0.2">
      <c r="B22" s="116"/>
      <c r="N22" s="248" t="s">
        <v>536</v>
      </c>
      <c r="O22" s="245"/>
      <c r="P22" s="245"/>
      <c r="Q22" s="245"/>
      <c r="R22" s="245"/>
    </row>
    <row r="23" spans="1:18" x14ac:dyDescent="0.2">
      <c r="F23" s="243"/>
      <c r="G23" s="243"/>
      <c r="H23" s="243"/>
      <c r="I23" s="243"/>
      <c r="J23" s="243"/>
      <c r="K23" s="243"/>
      <c r="L23" s="243"/>
      <c r="N23" s="245" t="s">
        <v>730</v>
      </c>
      <c r="O23" s="245"/>
      <c r="P23" s="245"/>
      <c r="Q23" s="245"/>
      <c r="R23" s="245"/>
    </row>
    <row r="24" spans="1:18" x14ac:dyDescent="0.2">
      <c r="N24" s="248"/>
      <c r="O24" s="245"/>
      <c r="P24" s="245"/>
      <c r="Q24" s="245"/>
      <c r="R24" s="245"/>
    </row>
    <row r="25" spans="1:18" ht="38.25" x14ac:dyDescent="0.2">
      <c r="N25" s="316" t="s">
        <v>549</v>
      </c>
      <c r="O25" s="245"/>
      <c r="P25" s="245"/>
      <c r="Q25" s="245"/>
      <c r="R25" s="245"/>
    </row>
    <row r="26" spans="1:18" x14ac:dyDescent="0.2">
      <c r="O26" s="245"/>
      <c r="P26" s="245"/>
      <c r="Q26" s="245"/>
      <c r="R26" s="245"/>
    </row>
    <row r="27" spans="1:18" x14ac:dyDescent="0.2">
      <c r="P27" s="245"/>
      <c r="Q27" s="245"/>
      <c r="R27" s="245"/>
    </row>
    <row r="28" spans="1:18" x14ac:dyDescent="0.2">
      <c r="O28" s="245"/>
      <c r="P28" s="245"/>
      <c r="Q28" s="245"/>
      <c r="R28" s="245"/>
    </row>
    <row r="29" spans="1:18" x14ac:dyDescent="0.2">
      <c r="O29" s="245"/>
      <c r="P29" s="245"/>
      <c r="Q29" s="245"/>
      <c r="R29" s="245"/>
    </row>
    <row r="30" spans="1:18" ht="54" customHeight="1" x14ac:dyDescent="0.2">
      <c r="O30" s="316"/>
      <c r="P30" s="316"/>
      <c r="Q30" s="316"/>
      <c r="R30" s="316"/>
    </row>
    <row r="39" ht="66.75" customHeight="1" x14ac:dyDescent="0.2"/>
  </sheetData>
  <mergeCells count="2">
    <mergeCell ref="A12:H12"/>
    <mergeCell ref="N16:N17"/>
  </mergeCells>
  <pageMargins left="0.75" right="0.75" top="1" bottom="1" header="0.5" footer="0.5"/>
  <headerFooter alignWithMargins="0"/>
  <ignoredErrors>
    <ignoredError sqref="G15:G20" formulaRange="1"/>
  </ignoredErrors>
  <legacy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9">
    <outlinePr summaryBelow="0" summaryRight="0"/>
  </sheetPr>
  <dimension ref="A1:Q30"/>
  <sheetViews>
    <sheetView zoomScale="145" zoomScaleNormal="145" workbookViewId="0">
      <selection activeCell="A2" sqref="A2"/>
    </sheetView>
  </sheetViews>
  <sheetFormatPr defaultRowHeight="12.75" outlineLevelRow="1" x14ac:dyDescent="0.2"/>
  <cols>
    <col min="1" max="1" width="18.28515625" style="199" customWidth="1"/>
    <col min="2" max="2" width="9.85546875" style="199" customWidth="1"/>
    <col min="3" max="3" width="9.42578125" style="199" customWidth="1"/>
    <col min="4" max="6" width="8.140625" style="199" bestFit="1" customWidth="1"/>
    <col min="7" max="7" width="7.85546875" style="199" customWidth="1"/>
    <col min="8" max="8" width="8.140625" style="199" bestFit="1" customWidth="1"/>
    <col min="9" max="9" width="16.5703125" style="199" customWidth="1"/>
    <col min="10" max="10" width="11.42578125" style="199" customWidth="1"/>
    <col min="11" max="11" width="10.28515625" style="199" customWidth="1"/>
    <col min="12" max="12" width="9.140625" style="199" customWidth="1"/>
    <col min="13" max="13" width="5" style="199" customWidth="1"/>
    <col min="14" max="14" width="13.7109375" style="199" customWidth="1"/>
    <col min="15" max="17" width="11" style="199" customWidth="1"/>
    <col min="18" max="25" width="9.140625" style="199"/>
    <col min="26" max="26" width="9.140625" style="199" customWidth="1"/>
    <col min="27" max="16384" width="9.140625" style="199"/>
  </cols>
  <sheetData>
    <row r="1" spans="1:17" ht="18" x14ac:dyDescent="0.25">
      <c r="A1" s="142" t="s">
        <v>518</v>
      </c>
    </row>
    <row r="2" spans="1:17" s="180" customFormat="1" hidden="1" x14ac:dyDescent="0.2"/>
    <row r="3" spans="1:17" x14ac:dyDescent="0.2">
      <c r="A3" s="231" t="str">
        <f>IF(A2="","",IF(Disable_Video_Hyperlinks,A2,HYPERLINK(Video_website&amp;A2,A2)))</f>
        <v/>
      </c>
    </row>
    <row r="4" spans="1:17" x14ac:dyDescent="0.2">
      <c r="A4" s="309" t="str">
        <f>IF(B2="","",B2)</f>
        <v/>
      </c>
    </row>
    <row r="5" spans="1:17" x14ac:dyDescent="0.2">
      <c r="A5" s="309"/>
    </row>
    <row r="6" spans="1:17" s="116" customFormat="1" ht="38.25" outlineLevel="1" x14ac:dyDescent="0.2">
      <c r="A6" s="231" t="str">
        <f>IF(A2="","",IF(Disable_Video_Hyperlinks,A2,HYPERLINK(Video_website&amp;A2,A2)))</f>
        <v/>
      </c>
      <c r="B6" s="32"/>
      <c r="C6" s="32"/>
      <c r="D6" s="32"/>
      <c r="E6" s="32" t="s">
        <v>300</v>
      </c>
      <c r="F6" s="32"/>
      <c r="G6" s="32"/>
      <c r="H6" s="32"/>
      <c r="J6" s="200" t="s">
        <v>264</v>
      </c>
      <c r="K6" s="201" t="s">
        <v>265</v>
      </c>
      <c r="L6" s="201"/>
      <c r="N6" s="252" t="s">
        <v>571</v>
      </c>
      <c r="O6" s="245"/>
    </row>
    <row r="7" spans="1:17" s="116" customFormat="1" outlineLevel="1" x14ac:dyDescent="0.2">
      <c r="A7" s="202" t="s">
        <v>250</v>
      </c>
      <c r="C7" s="203">
        <v>25</v>
      </c>
      <c r="E7" s="116" t="s">
        <v>293</v>
      </c>
      <c r="H7" s="203">
        <v>100</v>
      </c>
      <c r="J7" s="204" t="s">
        <v>296</v>
      </c>
      <c r="K7" s="205" t="s">
        <v>298</v>
      </c>
      <c r="L7" s="205"/>
      <c r="N7" s="251" t="s">
        <v>569</v>
      </c>
    </row>
    <row r="8" spans="1:17" s="116" customFormat="1" outlineLevel="1" x14ac:dyDescent="0.2">
      <c r="A8" s="206" t="s">
        <v>292</v>
      </c>
      <c r="C8" s="207">
        <v>200</v>
      </c>
      <c r="D8" s="223"/>
      <c r="E8" s="116" t="s">
        <v>294</v>
      </c>
      <c r="H8" s="207">
        <v>50</v>
      </c>
      <c r="J8" s="204" t="s">
        <v>297</v>
      </c>
      <c r="K8" s="205" t="s">
        <v>299</v>
      </c>
      <c r="L8" s="205"/>
      <c r="N8" s="246" t="s">
        <v>727</v>
      </c>
    </row>
    <row r="9" spans="1:17" s="116" customFormat="1" outlineLevel="1" x14ac:dyDescent="0.2">
      <c r="A9" s="206" t="s">
        <v>254</v>
      </c>
      <c r="C9" s="207">
        <v>100</v>
      </c>
      <c r="E9" s="116" t="s">
        <v>295</v>
      </c>
      <c r="H9" s="207">
        <v>25</v>
      </c>
      <c r="J9" s="204" t="s">
        <v>546</v>
      </c>
      <c r="K9" s="205" t="s">
        <v>376</v>
      </c>
      <c r="L9" s="205"/>
      <c r="N9" s="251" t="s">
        <v>570</v>
      </c>
      <c r="O9" s="364" t="s">
        <v>535</v>
      </c>
    </row>
    <row r="10" spans="1:17" s="116" customFormat="1" outlineLevel="1" x14ac:dyDescent="0.2">
      <c r="A10" s="199" t="s">
        <v>256</v>
      </c>
      <c r="C10" s="208">
        <v>0.1</v>
      </c>
      <c r="J10" s="205" t="s">
        <v>543</v>
      </c>
      <c r="K10" s="205" t="s">
        <v>452</v>
      </c>
      <c r="L10" s="205"/>
      <c r="O10" s="364" t="s">
        <v>536</v>
      </c>
    </row>
    <row r="11" spans="1:17" s="116" customFormat="1" x14ac:dyDescent="0.2">
      <c r="A11" s="209"/>
      <c r="H11" s="178"/>
      <c r="P11" s="245"/>
      <c r="Q11" s="245"/>
    </row>
    <row r="12" spans="1:17" x14ac:dyDescent="0.2">
      <c r="A12" s="400" t="s">
        <v>257</v>
      </c>
      <c r="B12" s="400"/>
      <c r="C12" s="400"/>
      <c r="D12" s="400"/>
      <c r="E12" s="400"/>
      <c r="F12" s="400"/>
      <c r="G12" s="400"/>
      <c r="H12" s="400"/>
      <c r="N12" s="252" t="s">
        <v>572</v>
      </c>
      <c r="O12" s="245"/>
      <c r="P12" s="245"/>
      <c r="Q12" s="245"/>
    </row>
    <row r="13" spans="1:17" ht="12" customHeight="1" x14ac:dyDescent="0.2">
      <c r="A13" s="210"/>
      <c r="B13" s="210"/>
      <c r="C13" s="210"/>
      <c r="D13" s="210"/>
      <c r="E13" s="210"/>
      <c r="F13" s="210"/>
      <c r="G13" s="210"/>
      <c r="H13" s="210"/>
      <c r="N13" s="251" t="s">
        <v>563</v>
      </c>
      <c r="P13" s="245"/>
      <c r="Q13" s="245"/>
    </row>
    <row r="14" spans="1:17" ht="36.75" customHeight="1" x14ac:dyDescent="0.2">
      <c r="A14" s="211" t="s">
        <v>206</v>
      </c>
      <c r="B14" s="200" t="s">
        <v>258</v>
      </c>
      <c r="C14" s="200" t="s">
        <v>259</v>
      </c>
      <c r="D14" s="200" t="s">
        <v>260</v>
      </c>
      <c r="E14" s="200" t="s">
        <v>261</v>
      </c>
      <c r="F14" s="200" t="s">
        <v>262</v>
      </c>
      <c r="G14" s="200" t="s">
        <v>263</v>
      </c>
      <c r="H14" s="200" t="s">
        <v>264</v>
      </c>
      <c r="I14" s="200" t="s">
        <v>265</v>
      </c>
      <c r="J14" s="200" t="s">
        <v>266</v>
      </c>
      <c r="K14" s="200" t="s">
        <v>267</v>
      </c>
      <c r="L14" s="200" t="s">
        <v>268</v>
      </c>
      <c r="N14" s="404" t="s">
        <v>760</v>
      </c>
      <c r="O14" s="404"/>
      <c r="P14" s="404"/>
      <c r="Q14" s="404"/>
    </row>
    <row r="15" spans="1:17" x14ac:dyDescent="0.2">
      <c r="A15" s="212" t="s">
        <v>220</v>
      </c>
      <c r="B15" s="149" t="s">
        <v>269</v>
      </c>
      <c r="C15" s="238">
        <v>8612</v>
      </c>
      <c r="D15" s="238">
        <v>0</v>
      </c>
      <c r="E15" s="238">
        <v>0</v>
      </c>
      <c r="F15" s="238">
        <v>0</v>
      </c>
      <c r="G15" s="239">
        <f t="shared" ref="G15:G20" si="0">SUM(D15:F15)</f>
        <v>0</v>
      </c>
      <c r="H15" s="240" t="s">
        <v>296</v>
      </c>
      <c r="I15" s="241" t="str">
        <f>IF(H15=$J$7,$K$7,IF(H15=$J$8,$K$8,IF(H15=$J$9,$K$9,$K$10)))</f>
        <v>credit approved</v>
      </c>
      <c r="J15" s="239">
        <f t="shared" ref="J15:J20" si="1">IF(G15=0, C15, C15+G15+C$7)</f>
        <v>8612</v>
      </c>
      <c r="K15" s="239">
        <f t="shared" ref="K15:K20" si="2">IF(F15&gt;C$8, MAX(C$9, C$10*F15),0)</f>
        <v>0</v>
      </c>
      <c r="L15" s="239">
        <f t="shared" ref="L15:L20" si="3">IF(F15&gt;0,H$7,IF(E15&gt;0,H$8,IF(D15&gt;0,H$9,0)))</f>
        <v>0</v>
      </c>
      <c r="N15" s="251" t="s">
        <v>570</v>
      </c>
      <c r="O15" s="364" t="s">
        <v>537</v>
      </c>
      <c r="P15" s="245"/>
      <c r="Q15" s="245"/>
    </row>
    <row r="16" spans="1:17" x14ac:dyDescent="0.2">
      <c r="A16" s="212" t="s">
        <v>222</v>
      </c>
      <c r="B16" s="149" t="s">
        <v>270</v>
      </c>
      <c r="C16" s="235">
        <v>0</v>
      </c>
      <c r="D16" s="235">
        <v>0</v>
      </c>
      <c r="E16" s="235">
        <v>0</v>
      </c>
      <c r="F16" s="235">
        <v>0</v>
      </c>
      <c r="G16" s="227">
        <f t="shared" si="0"/>
        <v>0</v>
      </c>
      <c r="H16" s="236" t="s">
        <v>297</v>
      </c>
      <c r="I16" s="237" t="str">
        <f>IF( H16 = $J$7, $K$7, IF( H16 = $J$8, $K$8, IF( H16 = $J$9, $K$9, $K$10 ) ) )</f>
        <v>credit denied</v>
      </c>
      <c r="J16" s="227">
        <f t="shared" si="1"/>
        <v>0</v>
      </c>
      <c r="K16" s="227">
        <f t="shared" si="2"/>
        <v>0</v>
      </c>
      <c r="L16" s="227">
        <f t="shared" si="3"/>
        <v>0</v>
      </c>
      <c r="N16" s="250"/>
      <c r="O16" s="364" t="s">
        <v>538</v>
      </c>
      <c r="P16" s="245"/>
    </row>
    <row r="17" spans="1:17" x14ac:dyDescent="0.2">
      <c r="A17" s="212" t="s">
        <v>224</v>
      </c>
      <c r="B17" s="149" t="s">
        <v>269</v>
      </c>
      <c r="C17" s="235">
        <v>2345</v>
      </c>
      <c r="D17" s="235">
        <v>3473</v>
      </c>
      <c r="E17" s="235">
        <v>5556.8</v>
      </c>
      <c r="F17" s="235">
        <v>4862.2</v>
      </c>
      <c r="G17" s="227">
        <f t="shared" si="0"/>
        <v>13892</v>
      </c>
      <c r="H17" s="236" t="s">
        <v>296</v>
      </c>
      <c r="I17" s="237" t="str">
        <f>IF( H17 = $J$7, $K$7,
  IF( H17 = $J$8, $K$8,
  IF( H17 = $J$9, $K$9,
                                $K$10 ) ) )</f>
        <v>credit approved</v>
      </c>
      <c r="J17" s="227">
        <f t="shared" si="1"/>
        <v>16262</v>
      </c>
      <c r="K17" s="227">
        <f t="shared" si="2"/>
        <v>486.22</v>
      </c>
      <c r="L17" s="227">
        <f t="shared" si="3"/>
        <v>100</v>
      </c>
      <c r="N17" s="245"/>
      <c r="O17" s="364" t="s">
        <v>536</v>
      </c>
      <c r="P17" s="245"/>
    </row>
    <row r="18" spans="1:17" x14ac:dyDescent="0.2">
      <c r="A18" s="212" t="s">
        <v>226</v>
      </c>
      <c r="B18" s="149" t="s">
        <v>271</v>
      </c>
      <c r="C18" s="235">
        <v>0</v>
      </c>
      <c r="D18" s="235">
        <v>345</v>
      </c>
      <c r="E18" s="235">
        <v>0</v>
      </c>
      <c r="F18" s="235">
        <v>150</v>
      </c>
      <c r="G18" s="227">
        <f t="shared" si="0"/>
        <v>495</v>
      </c>
      <c r="H18" s="236" t="s">
        <v>545</v>
      </c>
      <c r="I18" s="237" t="str">
        <f>IF( H18 = $J$7, $K$7,
  IF( H18 = $J$8, $K$8,
  IF( H18 = $J$9, $K$9,
                                $K$10 ) ) )</f>
        <v>?</v>
      </c>
      <c r="J18" s="227">
        <f t="shared" si="1"/>
        <v>520</v>
      </c>
      <c r="K18" s="227">
        <f t="shared" si="2"/>
        <v>0</v>
      </c>
      <c r="L18" s="227">
        <f t="shared" si="3"/>
        <v>100</v>
      </c>
      <c r="O18" s="245"/>
      <c r="Q18" s="245"/>
    </row>
    <row r="19" spans="1:17" x14ac:dyDescent="0.2">
      <c r="A19" s="212" t="s">
        <v>228</v>
      </c>
      <c r="B19" s="149" t="s">
        <v>269</v>
      </c>
      <c r="C19" s="235">
        <v>0</v>
      </c>
      <c r="D19" s="235">
        <v>0</v>
      </c>
      <c r="E19" s="235">
        <v>2000</v>
      </c>
      <c r="F19" s="235">
        <v>899</v>
      </c>
      <c r="G19" s="227">
        <f t="shared" si="0"/>
        <v>2899</v>
      </c>
      <c r="H19" s="236" t="s">
        <v>520</v>
      </c>
      <c r="I19" s="237" t="str">
        <f>IF( H19 = $J$7, $K$7,
  IF( H19 = $J$8, $K$8,
  IF( H19 = $J$9, $K$9,
                                $K$10 ) ) )</f>
        <v>?</v>
      </c>
      <c r="J19" s="227">
        <f t="shared" si="1"/>
        <v>2924</v>
      </c>
      <c r="K19" s="227">
        <f t="shared" si="2"/>
        <v>100</v>
      </c>
      <c r="L19" s="227">
        <f t="shared" si="3"/>
        <v>100</v>
      </c>
    </row>
    <row r="20" spans="1:17" x14ac:dyDescent="0.2">
      <c r="A20" s="212" t="s">
        <v>238</v>
      </c>
      <c r="B20" s="149" t="s">
        <v>269</v>
      </c>
      <c r="C20" s="235">
        <v>0</v>
      </c>
      <c r="D20" s="235">
        <v>14000</v>
      </c>
      <c r="E20" s="235">
        <v>383</v>
      </c>
      <c r="F20" s="235">
        <v>0</v>
      </c>
      <c r="G20" s="227">
        <f t="shared" si="0"/>
        <v>14383</v>
      </c>
      <c r="H20" s="236" t="s">
        <v>546</v>
      </c>
      <c r="I20" s="237" t="str">
        <f>IF( H20 = $J$7, $K$7,
  IF( H20 = $J$8, $K$8,
  IF( H20 = $J$9, $K$9,
                                $K$10 ) ) )</f>
        <v>show them the door</v>
      </c>
      <c r="J20" s="227">
        <f t="shared" si="1"/>
        <v>14408</v>
      </c>
      <c r="K20" s="227">
        <f t="shared" si="2"/>
        <v>0</v>
      </c>
      <c r="L20" s="227">
        <f t="shared" si="3"/>
        <v>50</v>
      </c>
    </row>
    <row r="21" spans="1:17" x14ac:dyDescent="0.2">
      <c r="B21" s="116"/>
      <c r="L21" s="213"/>
    </row>
    <row r="22" spans="1:17" x14ac:dyDescent="0.2">
      <c r="B22" s="116"/>
      <c r="N22" s="252" t="s">
        <v>573</v>
      </c>
      <c r="Q22" s="245"/>
    </row>
    <row r="23" spans="1:17" x14ac:dyDescent="0.2">
      <c r="A23" s="401" t="s">
        <v>481</v>
      </c>
      <c r="B23" s="402"/>
      <c r="C23" s="402"/>
      <c r="D23" s="402"/>
      <c r="E23" s="402"/>
      <c r="F23" s="402"/>
      <c r="G23" s="402"/>
      <c r="H23" s="402"/>
      <c r="I23" s="402"/>
      <c r="J23" s="402"/>
      <c r="K23" s="402"/>
      <c r="L23" s="402"/>
      <c r="N23" s="251" t="s">
        <v>559</v>
      </c>
      <c r="O23" s="245"/>
      <c r="P23" s="245"/>
    </row>
    <row r="24" spans="1:17" x14ac:dyDescent="0.2">
      <c r="A24" s="242" t="s">
        <v>544</v>
      </c>
      <c r="B24" s="222" t="s">
        <v>482</v>
      </c>
      <c r="N24" s="404" t="s">
        <v>759</v>
      </c>
      <c r="O24" s="404"/>
      <c r="P24" s="404"/>
      <c r="Q24" s="404"/>
    </row>
    <row r="25" spans="1:17" s="245" customFormat="1" x14ac:dyDescent="0.2">
      <c r="N25" s="404"/>
      <c r="O25" s="404"/>
      <c r="P25" s="404"/>
      <c r="Q25" s="404"/>
    </row>
    <row r="26" spans="1:17" s="245" customFormat="1" x14ac:dyDescent="0.2">
      <c r="A26" s="363" t="s">
        <v>758</v>
      </c>
      <c r="F26" s="363" t="s">
        <v>758</v>
      </c>
      <c r="N26" s="404"/>
      <c r="O26" s="404"/>
      <c r="P26" s="404"/>
      <c r="Q26" s="404"/>
    </row>
    <row r="27" spans="1:17" s="245" customFormat="1" x14ac:dyDescent="0.2">
      <c r="A27" s="199" t="s">
        <v>754</v>
      </c>
      <c r="B27" s="199"/>
      <c r="F27" s="199" t="s">
        <v>754</v>
      </c>
      <c r="G27" s="199"/>
      <c r="H27" s="199"/>
      <c r="I27" s="199"/>
      <c r="N27" s="251" t="s">
        <v>570</v>
      </c>
      <c r="O27" s="364" t="s">
        <v>537</v>
      </c>
    </row>
    <row r="28" spans="1:17" x14ac:dyDescent="0.2">
      <c r="A28" s="199" t="s">
        <v>755</v>
      </c>
      <c r="F28" s="199" t="s">
        <v>755</v>
      </c>
      <c r="N28" s="245"/>
      <c r="O28" s="364" t="s">
        <v>539</v>
      </c>
      <c r="P28" s="245"/>
      <c r="Q28" s="245"/>
    </row>
    <row r="29" spans="1:17" x14ac:dyDescent="0.2">
      <c r="A29" s="199" t="s">
        <v>756</v>
      </c>
      <c r="F29" s="199" t="s">
        <v>757</v>
      </c>
      <c r="N29" s="245"/>
      <c r="O29" s="364" t="s">
        <v>540</v>
      </c>
      <c r="P29" s="245"/>
      <c r="Q29" s="245"/>
    </row>
    <row r="30" spans="1:17" x14ac:dyDescent="0.2">
      <c r="N30" s="245"/>
      <c r="O30" s="364" t="s">
        <v>536</v>
      </c>
      <c r="P30" s="245"/>
      <c r="Q30" s="245"/>
    </row>
  </sheetData>
  <sortState xmlns:xlrd2="http://schemas.microsoft.com/office/spreadsheetml/2017/richdata2" ref="A15:L20">
    <sortCondition ref="A18"/>
  </sortState>
  <mergeCells count="4">
    <mergeCell ref="A12:H12"/>
    <mergeCell ref="A23:L23"/>
    <mergeCell ref="N14:Q14"/>
    <mergeCell ref="N24:Q26"/>
  </mergeCells>
  <hyperlinks>
    <hyperlink ref="B24" r:id="rId1" xr:uid="{9EEC1E3B-A3DC-43F4-BC0F-0632D2C4EA5B}"/>
  </hyperlinks>
  <pageMargins left="0.75" right="0.75" top="1" bottom="1" header="0.5" footer="0.5"/>
  <headerFooter alignWithMargins="0"/>
  <ignoredErrors>
    <ignoredError sqref="G15:G20" formulaRange="1"/>
  </ignoredError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3DE4-39DA-4B88-A17C-9CF9F02D4960}">
  <sheetPr codeName="Sheet54">
    <outlinePr summaryBelow="0" summaryRight="0"/>
  </sheetPr>
  <dimension ref="A1:Q60"/>
  <sheetViews>
    <sheetView zoomScale="145" zoomScaleNormal="145" workbookViewId="0">
      <pane xSplit="1" ySplit="14" topLeftCell="B15" activePane="bottomRight" state="frozen"/>
      <selection sqref="A1:L1048576"/>
      <selection pane="topRight" sqref="A1:L1048576"/>
      <selection pane="bottomLeft" sqref="A1:L1048576"/>
      <selection pane="bottomRight" activeCell="B20" sqref="B20"/>
    </sheetView>
  </sheetViews>
  <sheetFormatPr defaultRowHeight="12.75" outlineLevelRow="1" x14ac:dyDescent="0.2"/>
  <cols>
    <col min="1" max="1" width="21" style="199" customWidth="1"/>
    <col min="2" max="2" width="9.85546875" style="199" customWidth="1"/>
    <col min="3" max="3" width="9.42578125" style="199" customWidth="1"/>
    <col min="4" max="6" width="8.140625" style="199" bestFit="1" customWidth="1"/>
    <col min="7" max="7" width="7.85546875" style="199" customWidth="1"/>
    <col min="8" max="8" width="8.140625" style="199" bestFit="1" customWidth="1"/>
    <col min="9" max="9" width="13.140625" style="199" bestFit="1" customWidth="1"/>
    <col min="10" max="10" width="11.42578125" style="199" customWidth="1"/>
    <col min="11" max="11" width="10.28515625" style="199" customWidth="1"/>
    <col min="12" max="12" width="9.140625" style="199" customWidth="1"/>
    <col min="13" max="25" width="9.140625" style="199"/>
    <col min="26" max="26" width="9.140625" style="199" customWidth="1"/>
    <col min="27" max="16384" width="9.140625" style="199"/>
  </cols>
  <sheetData>
    <row r="1" spans="1:12" ht="18" x14ac:dyDescent="0.25">
      <c r="A1" s="142" t="s">
        <v>557</v>
      </c>
    </row>
    <row r="2" spans="1:12" s="180" customFormat="1" hidden="1" x14ac:dyDescent="0.2"/>
    <row r="4" spans="1:12" x14ac:dyDescent="0.2">
      <c r="A4" s="309" t="str">
        <f>IF(B2="","",B2)</f>
        <v/>
      </c>
    </row>
    <row r="5" spans="1:12" x14ac:dyDescent="0.2">
      <c r="A5" s="309"/>
    </row>
    <row r="6" spans="1:12" s="116" customFormat="1" ht="38.25" outlineLevel="1" x14ac:dyDescent="0.2">
      <c r="A6" s="231" t="str">
        <f>IF(A2="","",IF(Disable_Video_Hyperlinks,A2,HYPERLINK(Video_website&amp;A2,A2)))</f>
        <v/>
      </c>
      <c r="B6" s="32"/>
      <c r="C6" s="32"/>
      <c r="D6" s="32"/>
      <c r="E6" s="32" t="s">
        <v>300</v>
      </c>
      <c r="F6" s="32"/>
      <c r="G6" s="32"/>
      <c r="H6" s="32"/>
      <c r="J6" s="200" t="s">
        <v>264</v>
      </c>
      <c r="K6" s="201" t="s">
        <v>265</v>
      </c>
      <c r="L6" s="201"/>
    </row>
    <row r="7" spans="1:12" s="116" customFormat="1" outlineLevel="1" x14ac:dyDescent="0.2">
      <c r="A7" s="202" t="s">
        <v>250</v>
      </c>
      <c r="C7" s="203">
        <v>25</v>
      </c>
      <c r="E7" s="116" t="s">
        <v>293</v>
      </c>
      <c r="H7" s="203">
        <v>100</v>
      </c>
      <c r="J7" s="204" t="s">
        <v>296</v>
      </c>
      <c r="K7" s="205" t="s">
        <v>298</v>
      </c>
      <c r="L7" s="205"/>
    </row>
    <row r="8" spans="1:12" s="116" customFormat="1" outlineLevel="1" x14ac:dyDescent="0.2">
      <c r="A8" s="206" t="s">
        <v>292</v>
      </c>
      <c r="C8" s="207">
        <v>200</v>
      </c>
      <c r="D8" s="223"/>
      <c r="E8" s="116" t="s">
        <v>294</v>
      </c>
      <c r="H8" s="207">
        <v>50</v>
      </c>
      <c r="J8" s="204" t="s">
        <v>297</v>
      </c>
      <c r="K8" s="205" t="s">
        <v>299</v>
      </c>
      <c r="L8" s="205"/>
    </row>
    <row r="9" spans="1:12" s="116" customFormat="1" outlineLevel="1" x14ac:dyDescent="0.2">
      <c r="A9" s="206" t="s">
        <v>254</v>
      </c>
      <c r="C9" s="207">
        <v>100</v>
      </c>
      <c r="E9" s="116" t="s">
        <v>295</v>
      </c>
      <c r="H9" s="207">
        <v>25</v>
      </c>
      <c r="J9" s="204" t="s">
        <v>546</v>
      </c>
      <c r="K9" s="205" t="s">
        <v>376</v>
      </c>
      <c r="L9" s="205"/>
    </row>
    <row r="10" spans="1:12" s="116" customFormat="1" outlineLevel="1" x14ac:dyDescent="0.2">
      <c r="A10" s="199" t="s">
        <v>256</v>
      </c>
      <c r="C10" s="208">
        <v>0.1</v>
      </c>
      <c r="J10" s="205" t="s">
        <v>543</v>
      </c>
      <c r="K10" s="205" t="s">
        <v>452</v>
      </c>
      <c r="L10" s="205"/>
    </row>
    <row r="11" spans="1:12" s="116" customFormat="1" x14ac:dyDescent="0.2">
      <c r="A11" s="209"/>
      <c r="H11" s="178"/>
    </row>
    <row r="12" spans="1:12" x14ac:dyDescent="0.2">
      <c r="A12" s="400" t="s">
        <v>257</v>
      </c>
      <c r="B12" s="400"/>
      <c r="C12" s="400"/>
      <c r="D12" s="400"/>
      <c r="E12" s="400"/>
      <c r="F12" s="400"/>
      <c r="G12" s="400"/>
      <c r="H12" s="400"/>
    </row>
    <row r="13" spans="1:12" ht="12" customHeight="1" x14ac:dyDescent="0.2">
      <c r="A13" s="232"/>
      <c r="B13" s="232"/>
      <c r="C13" s="232"/>
      <c r="D13" s="232"/>
      <c r="E13" s="232"/>
      <c r="F13" s="232"/>
      <c r="G13" s="232"/>
      <c r="H13" s="232"/>
    </row>
    <row r="14" spans="1:12" ht="36.75" customHeight="1" x14ac:dyDescent="0.2">
      <c r="A14" s="211" t="s">
        <v>206</v>
      </c>
      <c r="B14" s="200" t="s">
        <v>258</v>
      </c>
      <c r="C14" s="200" t="s">
        <v>259</v>
      </c>
      <c r="D14" s="200" t="s">
        <v>260</v>
      </c>
      <c r="E14" s="200" t="s">
        <v>261</v>
      </c>
      <c r="F14" s="200" t="s">
        <v>262</v>
      </c>
      <c r="G14" s="200" t="s">
        <v>263</v>
      </c>
      <c r="H14" s="200" t="s">
        <v>264</v>
      </c>
      <c r="I14" s="200" t="s">
        <v>265</v>
      </c>
      <c r="J14" s="200" t="s">
        <v>266</v>
      </c>
      <c r="K14" s="200" t="s">
        <v>267</v>
      </c>
      <c r="L14" s="200" t="s">
        <v>268</v>
      </c>
    </row>
    <row r="15" spans="1:12" x14ac:dyDescent="0.2">
      <c r="A15" s="212" t="s">
        <v>220</v>
      </c>
      <c r="B15" s="149" t="s">
        <v>269</v>
      </c>
      <c r="C15" s="238">
        <v>8612</v>
      </c>
      <c r="D15" s="238">
        <v>0</v>
      </c>
      <c r="E15" s="238">
        <v>0</v>
      </c>
      <c r="F15" s="238">
        <v>0</v>
      </c>
      <c r="G15" s="239">
        <f t="shared" ref="G15:G20" si="0">SUM(D15:F15)</f>
        <v>0</v>
      </c>
      <c r="H15" s="240" t="s">
        <v>296</v>
      </c>
      <c r="I15" s="241" t="str" cm="1">
        <f t="array" ref="I15">_xlfn.IFS(H15=$J$7,$K$7,H15=$J$8,$K$8,H15=$J$9,$K$9,TRUE,$K$10)</f>
        <v>credit approved</v>
      </c>
      <c r="J15" s="239">
        <f t="shared" ref="J15:J20" si="1">IF(G15=0, C15, C15+G15+C$7)</f>
        <v>8612</v>
      </c>
      <c r="K15" s="239">
        <f>IF(F15&gt;C$8, MAX(C$9, C$10*F15),0)</f>
        <v>0</v>
      </c>
      <c r="L15" s="239">
        <f>IF(F15&gt;0,H$7,IF(E15&gt;0,H$8,IF(D15&gt;0,H$9,0)))</f>
        <v>0</v>
      </c>
    </row>
    <row r="16" spans="1:12" x14ac:dyDescent="0.2">
      <c r="A16" s="212" t="s">
        <v>222</v>
      </c>
      <c r="B16" s="149" t="s">
        <v>270</v>
      </c>
      <c r="C16" s="235">
        <v>0</v>
      </c>
      <c r="D16" s="235">
        <v>0</v>
      </c>
      <c r="E16" s="235">
        <v>0</v>
      </c>
      <c r="F16" s="235">
        <v>0</v>
      </c>
      <c r="G16" s="227">
        <f t="shared" si="0"/>
        <v>0</v>
      </c>
      <c r="H16" s="236" t="s">
        <v>297</v>
      </c>
      <c r="I16" s="241" t="str" cm="1">
        <f t="array" ref="I16">_xlfn.IFS( H16 = $J$7, $K$7, H16 = $J$8, $K$8, H16 = $J$9, $K$9, TRUE, $K$10 )</f>
        <v>credit denied</v>
      </c>
      <c r="J16" s="227">
        <f t="shared" si="1"/>
        <v>0</v>
      </c>
      <c r="K16" s="227">
        <f t="shared" ref="K16:K20" si="2">IF(F16&gt;C$8, MAX(C$9, C$10*F16),0)</f>
        <v>0</v>
      </c>
      <c r="L16" s="227">
        <f t="shared" ref="L16:L20" si="3">IF(F16&gt;0,H$7,IF(E16&gt;0,H$8,IF(D16&gt;0,H$9,0)))</f>
        <v>0</v>
      </c>
    </row>
    <row r="17" spans="1:12" x14ac:dyDescent="0.2">
      <c r="A17" s="212" t="s">
        <v>224</v>
      </c>
      <c r="B17" s="149" t="s">
        <v>269</v>
      </c>
      <c r="C17" s="235">
        <v>2345</v>
      </c>
      <c r="D17" s="235">
        <v>3473</v>
      </c>
      <c r="E17" s="235">
        <v>5556.8</v>
      </c>
      <c r="F17" s="235">
        <v>4862.2</v>
      </c>
      <c r="G17" s="227">
        <f t="shared" si="0"/>
        <v>13892</v>
      </c>
      <c r="H17" s="236" t="s">
        <v>296</v>
      </c>
      <c r="I17" s="241" t="str" cm="1">
        <f t="array" ref="I17">_xlfn.IFS( H17 = $J$7, $K$7,
           H17 = $J$8, $K$8,
           H17 = $J$9, $K$9,
           TRUE,            $K$10 )</f>
        <v>credit approved</v>
      </c>
      <c r="J17" s="227">
        <f t="shared" si="1"/>
        <v>16262</v>
      </c>
      <c r="K17" s="227">
        <f t="shared" si="2"/>
        <v>486.22</v>
      </c>
      <c r="L17" s="227">
        <f t="shared" si="3"/>
        <v>100</v>
      </c>
    </row>
    <row r="18" spans="1:12" x14ac:dyDescent="0.2">
      <c r="A18" s="212" t="s">
        <v>226</v>
      </c>
      <c r="B18" s="149" t="s">
        <v>271</v>
      </c>
      <c r="C18" s="235">
        <v>0</v>
      </c>
      <c r="D18" s="235">
        <v>345</v>
      </c>
      <c r="E18" s="235">
        <v>0</v>
      </c>
      <c r="F18" s="235">
        <v>150</v>
      </c>
      <c r="G18" s="227">
        <f t="shared" si="0"/>
        <v>495</v>
      </c>
      <c r="H18" s="236" t="s">
        <v>545</v>
      </c>
      <c r="I18" s="241" t="str" cm="1">
        <f t="array" ref="I18">_xlfn.IFS( H18 = $J$7, $K$7,
           H18 = $J$8, $K$8,
           H18 = $J$9, $K$9,
           TRUE,            $K$10 )</f>
        <v>?</v>
      </c>
      <c r="J18" s="227">
        <f t="shared" si="1"/>
        <v>520</v>
      </c>
      <c r="K18" s="227">
        <f t="shared" si="2"/>
        <v>0</v>
      </c>
      <c r="L18" s="227">
        <f t="shared" si="3"/>
        <v>100</v>
      </c>
    </row>
    <row r="19" spans="1:12" x14ac:dyDescent="0.2">
      <c r="A19" s="212" t="s">
        <v>228</v>
      </c>
      <c r="B19" s="149" t="s">
        <v>269</v>
      </c>
      <c r="C19" s="235">
        <v>0</v>
      </c>
      <c r="D19" s="235">
        <v>0</v>
      </c>
      <c r="E19" s="235">
        <v>2000</v>
      </c>
      <c r="F19" s="235">
        <v>899</v>
      </c>
      <c r="G19" s="227">
        <f t="shared" si="0"/>
        <v>2899</v>
      </c>
      <c r="H19" s="236"/>
      <c r="I19" s="241" t="str" cm="1">
        <f t="array" ref="I19">_xlfn.IFS( H19 = $J$7, $K$7,
           H19 = $J$8, $K$8,
           H19 = $J$9, $K$9,
           TRUE,            $K$10 )</f>
        <v>?</v>
      </c>
      <c r="J19" s="227">
        <f t="shared" si="1"/>
        <v>2924</v>
      </c>
      <c r="K19" s="227">
        <f t="shared" si="2"/>
        <v>100</v>
      </c>
      <c r="L19" s="227">
        <f t="shared" si="3"/>
        <v>100</v>
      </c>
    </row>
    <row r="20" spans="1:12" x14ac:dyDescent="0.2">
      <c r="A20" s="212" t="s">
        <v>238</v>
      </c>
      <c r="B20" s="149" t="s">
        <v>269</v>
      </c>
      <c r="C20" s="235">
        <v>0</v>
      </c>
      <c r="D20" s="235">
        <v>14000</v>
      </c>
      <c r="E20" s="235">
        <v>383</v>
      </c>
      <c r="F20" s="235">
        <v>0</v>
      </c>
      <c r="G20" s="227">
        <f t="shared" si="0"/>
        <v>14383</v>
      </c>
      <c r="H20" s="236" t="s">
        <v>546</v>
      </c>
      <c r="I20" s="241" t="str" cm="1">
        <f t="array" ref="I20">_xlfn.IFS( H20 = $J$7, $K$7,
           H20 = $J$8, $K$8,
           H20 = $J$9, $K$9,
           TRUE,            $K$10 )</f>
        <v>show them the door</v>
      </c>
      <c r="J20" s="227">
        <f t="shared" si="1"/>
        <v>14408</v>
      </c>
      <c r="K20" s="227">
        <f t="shared" si="2"/>
        <v>0</v>
      </c>
      <c r="L20" s="227">
        <f t="shared" si="3"/>
        <v>50</v>
      </c>
    </row>
    <row r="21" spans="1:12" x14ac:dyDescent="0.2">
      <c r="B21" s="116"/>
      <c r="L21" s="213"/>
    </row>
    <row r="22" spans="1:12" x14ac:dyDescent="0.2">
      <c r="B22" s="116"/>
    </row>
    <row r="23" spans="1:12" ht="15" x14ac:dyDescent="0.2">
      <c r="A23" s="233" t="s">
        <v>588</v>
      </c>
      <c r="B23" s="116"/>
    </row>
    <row r="24" spans="1:12" ht="15" x14ac:dyDescent="0.2">
      <c r="A24" s="233" t="s">
        <v>590</v>
      </c>
      <c r="B24" s="116"/>
    </row>
    <row r="25" spans="1:12" ht="15" x14ac:dyDescent="0.2">
      <c r="A25" s="233" t="s">
        <v>589</v>
      </c>
      <c r="B25" s="116"/>
    </row>
    <row r="26" spans="1:12" s="245" customFormat="1" x14ac:dyDescent="0.2"/>
    <row r="27" spans="1:12" s="245" customFormat="1" x14ac:dyDescent="0.2">
      <c r="A27" s="246" t="s">
        <v>556</v>
      </c>
    </row>
    <row r="28" spans="1:12" s="245" customFormat="1" x14ac:dyDescent="0.2">
      <c r="A28" s="246" t="s">
        <v>554</v>
      </c>
    </row>
    <row r="29" spans="1:12" s="245" customFormat="1" x14ac:dyDescent="0.2">
      <c r="A29" s="246" t="s">
        <v>550</v>
      </c>
    </row>
    <row r="30" spans="1:12" s="245" customFormat="1" x14ac:dyDescent="0.2">
      <c r="A30" s="246" t="s">
        <v>555</v>
      </c>
    </row>
    <row r="31" spans="1:12" s="245" customFormat="1" x14ac:dyDescent="0.2">
      <c r="A31" s="246" t="s">
        <v>553</v>
      </c>
    </row>
    <row r="32" spans="1:12" s="245" customFormat="1" x14ac:dyDescent="0.2"/>
    <row r="33" spans="1:17" s="245" customFormat="1" x14ac:dyDescent="0.2"/>
    <row r="34" spans="1:17" s="245" customFormat="1" x14ac:dyDescent="0.2">
      <c r="A34" s="253" t="s">
        <v>562</v>
      </c>
    </row>
    <row r="35" spans="1:17" s="245" customFormat="1" x14ac:dyDescent="0.2">
      <c r="A35" s="254" t="s">
        <v>563</v>
      </c>
      <c r="B35" s="246" t="s">
        <v>560</v>
      </c>
    </row>
    <row r="36" spans="1:17" s="245" customFormat="1" x14ac:dyDescent="0.2">
      <c r="A36" s="254" t="s">
        <v>564</v>
      </c>
      <c r="B36" s="246" t="s">
        <v>561</v>
      </c>
      <c r="M36" s="247"/>
    </row>
    <row r="37" spans="1:17" s="245" customFormat="1" x14ac:dyDescent="0.2">
      <c r="A37" s="249" t="s">
        <v>565</v>
      </c>
      <c r="M37" s="247"/>
    </row>
    <row r="38" spans="1:17" s="245" customFormat="1" x14ac:dyDescent="0.2">
      <c r="A38" s="246"/>
      <c r="M38" s="247"/>
    </row>
    <row r="39" spans="1:17" s="245" customFormat="1" x14ac:dyDescent="0.2">
      <c r="A39" s="246"/>
      <c r="M39" s="247"/>
    </row>
    <row r="40" spans="1:17" s="245" customFormat="1" x14ac:dyDescent="0.2">
      <c r="A40" s="253" t="s">
        <v>558</v>
      </c>
    </row>
    <row r="41" spans="1:17" s="245" customFormat="1" x14ac:dyDescent="0.2">
      <c r="A41" s="254" t="s">
        <v>563</v>
      </c>
      <c r="B41" s="246" t="s">
        <v>560</v>
      </c>
    </row>
    <row r="42" spans="1:17" s="245" customFormat="1" x14ac:dyDescent="0.2">
      <c r="A42" s="254" t="s">
        <v>564</v>
      </c>
      <c r="B42" s="246" t="s">
        <v>561</v>
      </c>
      <c r="M42" s="247"/>
    </row>
    <row r="43" spans="1:17" s="245" customFormat="1" x14ac:dyDescent="0.2">
      <c r="A43" s="249" t="s">
        <v>565</v>
      </c>
      <c r="M43" s="247"/>
    </row>
    <row r="44" spans="1:17" s="245" customFormat="1" x14ac:dyDescent="0.2">
      <c r="A44" s="247"/>
      <c r="M44" s="247"/>
    </row>
    <row r="45" spans="1:17" s="245" customFormat="1" ht="62.25" customHeight="1" x14ac:dyDescent="0.2">
      <c r="A45" s="404" t="s">
        <v>566</v>
      </c>
      <c r="B45" s="404"/>
      <c r="C45" s="404"/>
      <c r="D45" s="404" t="s">
        <v>567</v>
      </c>
      <c r="E45" s="404"/>
      <c r="F45" s="404"/>
      <c r="G45" s="404"/>
      <c r="H45" s="404"/>
      <c r="I45" s="404" t="s">
        <v>568</v>
      </c>
      <c r="J45" s="404"/>
      <c r="K45" s="404"/>
      <c r="L45" s="404" t="s">
        <v>574</v>
      </c>
      <c r="M45" s="404"/>
      <c r="N45" s="404"/>
      <c r="O45" s="404"/>
      <c r="P45" s="404"/>
      <c r="Q45" s="404"/>
    </row>
    <row r="46" spans="1:17" s="245" customFormat="1" x14ac:dyDescent="0.2">
      <c r="A46" s="247"/>
    </row>
    <row r="47" spans="1:17" s="245" customFormat="1" x14ac:dyDescent="0.2">
      <c r="A47" s="247"/>
      <c r="M47" s="247"/>
    </row>
    <row r="48" spans="1:17" s="245" customFormat="1" x14ac:dyDescent="0.2">
      <c r="A48" s="246"/>
      <c r="M48" s="246"/>
    </row>
    <row r="49" spans="1:13" s="245" customFormat="1" x14ac:dyDescent="0.2">
      <c r="A49" s="247"/>
      <c r="M49" s="247"/>
    </row>
    <row r="50" spans="1:13" s="245" customFormat="1" x14ac:dyDescent="0.2">
      <c r="A50" s="247"/>
      <c r="M50" s="247"/>
    </row>
    <row r="51" spans="1:13" s="245" customFormat="1" x14ac:dyDescent="0.2">
      <c r="A51" s="247"/>
      <c r="M51" s="247"/>
    </row>
    <row r="52" spans="1:13" ht="15" x14ac:dyDescent="0.2">
      <c r="A52" s="233"/>
      <c r="M52" s="233"/>
    </row>
    <row r="53" spans="1:13" ht="15" x14ac:dyDescent="0.2">
      <c r="A53" s="233"/>
      <c r="M53" s="233"/>
    </row>
    <row r="54" spans="1:13" ht="15" x14ac:dyDescent="0.2">
      <c r="A54" s="234"/>
      <c r="M54" s="234"/>
    </row>
    <row r="55" spans="1:13" ht="15" x14ac:dyDescent="0.2">
      <c r="A55" s="233"/>
      <c r="M55" s="233"/>
    </row>
    <row r="56" spans="1:13" ht="15" x14ac:dyDescent="0.2">
      <c r="A56" s="233"/>
      <c r="M56" s="233"/>
    </row>
    <row r="57" spans="1:13" ht="15" x14ac:dyDescent="0.2">
      <c r="A57" s="233"/>
      <c r="M57" s="233"/>
    </row>
    <row r="58" spans="1:13" ht="15" x14ac:dyDescent="0.2">
      <c r="A58" s="233"/>
      <c r="M58" s="233"/>
    </row>
    <row r="59" spans="1:13" ht="15" x14ac:dyDescent="0.2">
      <c r="A59" s="233"/>
      <c r="M59" s="233"/>
    </row>
    <row r="60" spans="1:13" ht="15" x14ac:dyDescent="0.2">
      <c r="A60" s="233"/>
    </row>
  </sheetData>
  <mergeCells count="5">
    <mergeCell ref="L45:Q45"/>
    <mergeCell ref="A12:H12"/>
    <mergeCell ref="A45:C45"/>
    <mergeCell ref="D45:H45"/>
    <mergeCell ref="I45:K45"/>
  </mergeCells>
  <pageMargins left="0.75" right="0.75" top="1" bottom="1" header="0.5" footer="0.5"/>
  <headerFooter alignWithMargins="0"/>
  <ignoredErrors>
    <ignoredError sqref="G15:G20" formulaRange="1"/>
  </ignoredErrors>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5">
    <pageSetUpPr autoPageBreaks="0"/>
  </sheetPr>
  <dimension ref="A1:K28"/>
  <sheetViews>
    <sheetView zoomScale="160" zoomScaleNormal="160" workbookViewId="0">
      <selection activeCell="A2" sqref="A2"/>
    </sheetView>
  </sheetViews>
  <sheetFormatPr defaultRowHeight="12.75" x14ac:dyDescent="0.2"/>
  <cols>
    <col min="1" max="2" width="8.7109375" style="116" customWidth="1"/>
    <col min="3" max="3" width="9.140625" style="116"/>
    <col min="4" max="4" width="9" style="116" customWidth="1"/>
    <col min="5" max="5" width="9.140625" style="116"/>
    <col min="6" max="7" width="8.7109375" style="116" customWidth="1"/>
    <col min="8" max="8" width="10" style="116" customWidth="1"/>
    <col min="9" max="9" width="9.5703125" style="116" customWidth="1"/>
    <col min="10" max="25" width="9.140625" style="116"/>
    <col min="26" max="26" width="9.140625" style="116" customWidth="1"/>
    <col min="27" max="16384" width="9.140625" style="116"/>
  </cols>
  <sheetData>
    <row r="1" spans="1:11" ht="18" x14ac:dyDescent="0.25">
      <c r="A1" s="96" t="s">
        <v>301</v>
      </c>
      <c r="B1" s="188"/>
      <c r="C1" s="188"/>
      <c r="D1" s="188"/>
      <c r="E1" s="188"/>
      <c r="F1" s="188"/>
      <c r="G1" s="188"/>
      <c r="H1" s="188"/>
      <c r="I1" s="188"/>
      <c r="J1" s="188"/>
      <c r="K1" s="188"/>
    </row>
    <row r="2" spans="1:11" s="143" customFormat="1" hidden="1" x14ac:dyDescent="0.2"/>
    <row r="3" spans="1:11" s="257" customFormat="1" x14ac:dyDescent="0.2">
      <c r="A3" s="255" t="str">
        <f>IF(A2="","",IF(Disable_Video_Hyperlinks,A2,HYPERLINK(Video_website&amp;A2,A2)))</f>
        <v/>
      </c>
      <c r="B3" s="256"/>
      <c r="C3" s="256"/>
      <c r="D3" s="256"/>
      <c r="E3" s="256"/>
      <c r="F3" s="256"/>
      <c r="G3" s="256"/>
      <c r="H3" s="256"/>
      <c r="I3" s="256"/>
      <c r="J3" s="256"/>
      <c r="K3" s="256"/>
    </row>
    <row r="4" spans="1:11" s="257" customFormat="1" x14ac:dyDescent="0.2">
      <c r="A4" s="309" t="str">
        <f>IF(B2="","",B2)</f>
        <v/>
      </c>
      <c r="B4" s="256"/>
      <c r="C4" s="256"/>
      <c r="D4" s="256"/>
      <c r="E4" s="256"/>
      <c r="F4" s="256"/>
      <c r="G4" s="256"/>
      <c r="H4" s="256"/>
      <c r="I4" s="256"/>
      <c r="J4" s="256"/>
      <c r="K4" s="256"/>
    </row>
    <row r="5" spans="1:11" s="257" customFormat="1" x14ac:dyDescent="0.2">
      <c r="A5" s="309"/>
      <c r="B5" s="256"/>
      <c r="C5" s="256"/>
      <c r="D5" s="256"/>
      <c r="E5" s="256"/>
      <c r="F5" s="256"/>
      <c r="G5" s="256"/>
      <c r="H5" s="256"/>
      <c r="I5" s="256"/>
      <c r="J5" s="256"/>
      <c r="K5" s="256"/>
    </row>
    <row r="6" spans="1:11" x14ac:dyDescent="0.2">
      <c r="A6" s="153" t="s">
        <v>0</v>
      </c>
      <c r="B6" s="189"/>
      <c r="C6" s="189"/>
      <c r="D6" s="189"/>
      <c r="E6" s="189"/>
      <c r="F6" s="189"/>
      <c r="G6" s="189"/>
      <c r="H6" s="189"/>
      <c r="I6" s="189"/>
      <c r="J6" s="189"/>
      <c r="K6" s="189"/>
    </row>
    <row r="7" spans="1:11" ht="21" customHeight="1" x14ac:dyDescent="0.2">
      <c r="A7" s="153" t="s">
        <v>1</v>
      </c>
      <c r="B7" s="189"/>
      <c r="C7" s="189"/>
      <c r="D7" s="189"/>
      <c r="E7" s="189"/>
      <c r="F7" s="189"/>
      <c r="G7" s="189"/>
      <c r="H7" s="189"/>
      <c r="I7" s="189"/>
      <c r="J7" s="189"/>
      <c r="K7" s="189"/>
    </row>
    <row r="10" spans="1:11" ht="12.75" customHeight="1" x14ac:dyDescent="0.2">
      <c r="D10" s="190" t="s">
        <v>3</v>
      </c>
      <c r="E10" s="190"/>
    </row>
    <row r="11" spans="1:11" ht="13.5" thickBot="1" x14ac:dyDescent="0.25">
      <c r="D11" s="197" t="s">
        <v>6</v>
      </c>
      <c r="E11" s="198" t="s">
        <v>5</v>
      </c>
    </row>
    <row r="12" spans="1:11" x14ac:dyDescent="0.2">
      <c r="D12" s="165" t="s">
        <v>8</v>
      </c>
      <c r="E12" s="166">
        <v>0.25</v>
      </c>
    </row>
    <row r="13" spans="1:11" x14ac:dyDescent="0.2">
      <c r="D13" s="167" t="s">
        <v>10</v>
      </c>
      <c r="E13" s="168">
        <v>0.2</v>
      </c>
    </row>
    <row r="14" spans="1:11" x14ac:dyDescent="0.2">
      <c r="D14" s="167" t="s">
        <v>12</v>
      </c>
      <c r="E14" s="168">
        <v>0.15</v>
      </c>
    </row>
    <row r="15" spans="1:11" ht="13.5" thickBot="1" x14ac:dyDescent="0.25">
      <c r="D15" s="169" t="s">
        <v>14</v>
      </c>
      <c r="E15" s="170">
        <v>0</v>
      </c>
    </row>
    <row r="18" spans="1:10" ht="39" thickBot="1" x14ac:dyDescent="0.25">
      <c r="A18" s="195" t="s">
        <v>15</v>
      </c>
      <c r="B18" s="195" t="s">
        <v>16</v>
      </c>
      <c r="C18" s="196" t="s">
        <v>575</v>
      </c>
      <c r="D18" s="195" t="s">
        <v>18</v>
      </c>
      <c r="E18" s="196" t="s">
        <v>19</v>
      </c>
      <c r="F18" s="196" t="s">
        <v>20</v>
      </c>
      <c r="G18" s="196" t="s">
        <v>576</v>
      </c>
      <c r="H18" s="196" t="s">
        <v>22</v>
      </c>
      <c r="I18" s="196" t="s">
        <v>7</v>
      </c>
      <c r="J18" s="196" t="s">
        <v>23</v>
      </c>
    </row>
    <row r="19" spans="1:10" ht="13.5" thickBot="1" x14ac:dyDescent="0.25">
      <c r="A19" s="143">
        <v>1</v>
      </c>
      <c r="B19" s="149" t="s">
        <v>24</v>
      </c>
      <c r="C19" s="152" t="s">
        <v>10</v>
      </c>
      <c r="D19" s="143">
        <v>240</v>
      </c>
      <c r="E19" s="150"/>
      <c r="F19" s="150"/>
      <c r="G19" s="148">
        <f xml:space="preserve"> IF(C19 = $D$12, $E$12,
  IF( C19 = $D$13, $E$13,
  IF( C19 = $D$14, $E$14,
  IF( C19 = $D$15, $E$15, "#N/A" ) ) ) )</f>
        <v>0.2</v>
      </c>
      <c r="H19" s="150"/>
      <c r="I19" s="150"/>
      <c r="J19" s="150"/>
    </row>
    <row r="20" spans="1:10" x14ac:dyDescent="0.2">
      <c r="A20" s="143">
        <v>2</v>
      </c>
      <c r="B20" s="149" t="s">
        <v>25</v>
      </c>
      <c r="C20" s="149" t="s">
        <v>10</v>
      </c>
      <c r="D20" s="143">
        <v>30</v>
      </c>
      <c r="E20" s="150"/>
      <c r="F20" s="150"/>
      <c r="G20" s="151">
        <f xml:space="preserve"> IF(C20 = $D$12, $E$12, IF( C20 = $D$13, $E$13, IF( C20 = $D$14, $E$14, IF( C20 = $D$15, $E$15, "#N/A" ) ) ) )</f>
        <v>0.2</v>
      </c>
      <c r="H20" s="150"/>
      <c r="I20" s="150"/>
      <c r="J20" s="150"/>
    </row>
    <row r="21" spans="1:10" x14ac:dyDescent="0.2">
      <c r="A21" s="143">
        <v>3</v>
      </c>
      <c r="B21" s="149" t="s">
        <v>26</v>
      </c>
      <c r="C21" s="149" t="s">
        <v>12</v>
      </c>
      <c r="D21" s="143">
        <v>160</v>
      </c>
      <c r="E21" s="150"/>
      <c r="F21" s="150"/>
      <c r="G21" s="151">
        <f t="shared" ref="G21:G24" si="0" xml:space="preserve"> IF(C21 = $D$12, $E$12, IF( C21 = $D$13, $E$13, IF( C21 = $D$14, $E$14, IF( C21 = $D$15, $E$15, "#N/A" ) ) ) )</f>
        <v>0.15</v>
      </c>
      <c r="H21" s="150"/>
      <c r="I21" s="150"/>
      <c r="J21" s="150"/>
    </row>
    <row r="22" spans="1:10" x14ac:dyDescent="0.2">
      <c r="A22" s="143">
        <v>4</v>
      </c>
      <c r="B22" s="149" t="s">
        <v>27</v>
      </c>
      <c r="C22" s="149" t="s">
        <v>8</v>
      </c>
      <c r="D22" s="143">
        <v>215</v>
      </c>
      <c r="E22" s="150"/>
      <c r="F22" s="150"/>
      <c r="G22" s="151">
        <f t="shared" si="0"/>
        <v>0.25</v>
      </c>
      <c r="H22" s="150"/>
      <c r="I22" s="150"/>
      <c r="J22" s="150"/>
    </row>
    <row r="23" spans="1:10" x14ac:dyDescent="0.2">
      <c r="A23" s="143">
        <v>5</v>
      </c>
      <c r="B23" s="149" t="s">
        <v>28</v>
      </c>
      <c r="C23" s="149" t="s">
        <v>8</v>
      </c>
      <c r="D23" s="143">
        <v>90</v>
      </c>
      <c r="E23" s="150"/>
      <c r="F23" s="150"/>
      <c r="G23" s="151">
        <f t="shared" si="0"/>
        <v>0.25</v>
      </c>
      <c r="H23" s="150"/>
      <c r="I23" s="150"/>
      <c r="J23" s="150"/>
    </row>
    <row r="24" spans="1:10" x14ac:dyDescent="0.2">
      <c r="A24" s="143">
        <v>6</v>
      </c>
      <c r="B24" s="149" t="s">
        <v>29</v>
      </c>
      <c r="C24" s="149" t="s">
        <v>14</v>
      </c>
      <c r="D24" s="143">
        <v>15</v>
      </c>
      <c r="E24" s="150"/>
      <c r="F24" s="150"/>
      <c r="G24" s="151">
        <f t="shared" si="0"/>
        <v>0</v>
      </c>
      <c r="H24" s="150"/>
      <c r="I24" s="150"/>
      <c r="J24" s="150"/>
    </row>
    <row r="28" spans="1:10" ht="38.25" customHeight="1" x14ac:dyDescent="0.2">
      <c r="A28" s="378" t="s">
        <v>577</v>
      </c>
      <c r="B28" s="402"/>
      <c r="C28" s="402"/>
      <c r="D28" s="402"/>
      <c r="E28" s="402"/>
      <c r="F28" s="402"/>
      <c r="G28" s="402"/>
      <c r="H28" s="402"/>
      <c r="I28" s="402"/>
      <c r="J28" s="402"/>
    </row>
  </sheetData>
  <mergeCells count="1">
    <mergeCell ref="A28:J28"/>
  </mergeCells>
  <phoneticPr fontId="2" type="noConversion"/>
  <pageMargins left="0.75" right="0.75" top="1" bottom="1" header="0.5" footer="0.5"/>
  <pageSetup orientation="portrait" horizontalDpi="300" verticalDpi="300" r:id="rId1"/>
  <headerFooter alignWithMargins="0"/>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9FDEB-AE9A-4209-B882-EB0DFA1C1D5F}">
  <sheetPr codeName="Sheet55">
    <pageSetUpPr autoPageBreaks="0"/>
  </sheetPr>
  <dimension ref="A1:K27"/>
  <sheetViews>
    <sheetView zoomScale="160" zoomScaleNormal="160" workbookViewId="0">
      <selection activeCell="A2" sqref="A2"/>
    </sheetView>
  </sheetViews>
  <sheetFormatPr defaultRowHeight="12.75" x14ac:dyDescent="0.2"/>
  <cols>
    <col min="1" max="2" width="8.7109375" style="116" customWidth="1"/>
    <col min="3" max="3" width="9.140625" style="116"/>
    <col min="4" max="4" width="9" style="116" customWidth="1"/>
    <col min="5" max="5" width="9.140625" style="116"/>
    <col min="6" max="7" width="8.7109375" style="116" customWidth="1"/>
    <col min="8" max="8" width="10" style="116" customWidth="1"/>
    <col min="9" max="9" width="9.5703125" style="116" customWidth="1"/>
    <col min="10" max="25" width="9.140625" style="116"/>
    <col min="26" max="26" width="9.140625" style="116" customWidth="1"/>
    <col min="27" max="16384" width="9.140625" style="116"/>
  </cols>
  <sheetData>
    <row r="1" spans="1:11" ht="18" x14ac:dyDescent="0.25">
      <c r="A1" s="96" t="s">
        <v>583</v>
      </c>
      <c r="B1" s="188"/>
      <c r="C1" s="188"/>
      <c r="D1" s="188"/>
      <c r="E1" s="188"/>
      <c r="F1" s="188"/>
      <c r="G1" s="188"/>
      <c r="H1" s="188"/>
      <c r="I1" s="188"/>
      <c r="J1" s="188"/>
      <c r="K1" s="188"/>
    </row>
    <row r="2" spans="1:11" s="143" customFormat="1" hidden="1" x14ac:dyDescent="0.2"/>
    <row r="3" spans="1:11" x14ac:dyDescent="0.2">
      <c r="A3" s="231" t="str">
        <f>IF(A2="","",IF(Disable_Video_Hyperlinks,A2,HYPERLINK(Video_website&amp;A2,A2)))</f>
        <v/>
      </c>
    </row>
    <row r="4" spans="1:11" x14ac:dyDescent="0.2">
      <c r="A4" s="309" t="str">
        <f>IF(B2="","",B2)</f>
        <v/>
      </c>
    </row>
    <row r="5" spans="1:11" x14ac:dyDescent="0.2">
      <c r="A5" s="309"/>
    </row>
    <row r="6" spans="1:11" x14ac:dyDescent="0.2">
      <c r="A6" s="153" t="s">
        <v>0</v>
      </c>
      <c r="B6" s="189"/>
      <c r="C6" s="189"/>
      <c r="D6" s="189"/>
      <c r="E6" s="189"/>
      <c r="F6" s="189"/>
      <c r="G6" s="189"/>
      <c r="H6" s="189"/>
      <c r="I6" s="189"/>
      <c r="J6" s="189"/>
      <c r="K6" s="189"/>
    </row>
    <row r="7" spans="1:11" ht="21" customHeight="1" x14ac:dyDescent="0.2">
      <c r="A7" s="153" t="s">
        <v>1</v>
      </c>
      <c r="B7" s="189"/>
      <c r="C7" s="189"/>
      <c r="D7" s="189"/>
      <c r="E7" s="189"/>
      <c r="F7" s="189"/>
      <c r="G7" s="189"/>
      <c r="H7" s="189"/>
      <c r="I7" s="189"/>
      <c r="J7" s="189"/>
      <c r="K7" s="189"/>
    </row>
    <row r="10" spans="1:11" ht="12.75" customHeight="1" x14ac:dyDescent="0.2">
      <c r="D10" s="190" t="s">
        <v>3</v>
      </c>
      <c r="E10" s="190"/>
    </row>
    <row r="11" spans="1:11" ht="13.5" thickBot="1" x14ac:dyDescent="0.25">
      <c r="D11" s="197" t="s">
        <v>6</v>
      </c>
      <c r="E11" s="198" t="s">
        <v>5</v>
      </c>
    </row>
    <row r="12" spans="1:11" x14ac:dyDescent="0.2">
      <c r="D12" s="165" t="s">
        <v>8</v>
      </c>
      <c r="E12" s="166">
        <v>0.25</v>
      </c>
    </row>
    <row r="13" spans="1:11" x14ac:dyDescent="0.2">
      <c r="D13" s="167" t="s">
        <v>10</v>
      </c>
      <c r="E13" s="168">
        <v>0.2</v>
      </c>
    </row>
    <row r="14" spans="1:11" x14ac:dyDescent="0.2">
      <c r="D14" s="167" t="s">
        <v>12</v>
      </c>
      <c r="E14" s="168">
        <v>0.15</v>
      </c>
    </row>
    <row r="15" spans="1:11" ht="13.5" thickBot="1" x14ac:dyDescent="0.25">
      <c r="D15" s="169" t="s">
        <v>14</v>
      </c>
      <c r="E15" s="170">
        <v>0</v>
      </c>
    </row>
    <row r="18" spans="1:10" ht="39" thickBot="1" x14ac:dyDescent="0.25">
      <c r="A18" s="195" t="s">
        <v>15</v>
      </c>
      <c r="B18" s="195" t="s">
        <v>16</v>
      </c>
      <c r="C18" s="196" t="s">
        <v>575</v>
      </c>
      <c r="D18" s="195" t="s">
        <v>18</v>
      </c>
      <c r="E18" s="196" t="s">
        <v>19</v>
      </c>
      <c r="F18" s="196" t="s">
        <v>20</v>
      </c>
      <c r="G18" s="196" t="s">
        <v>576</v>
      </c>
      <c r="H18" s="196" t="s">
        <v>22</v>
      </c>
      <c r="I18" s="196" t="s">
        <v>7</v>
      </c>
      <c r="J18" s="196" t="s">
        <v>23</v>
      </c>
    </row>
    <row r="19" spans="1:10" ht="13.5" thickBot="1" x14ac:dyDescent="0.25">
      <c r="A19" s="143">
        <v>1</v>
      </c>
      <c r="B19" s="149" t="s">
        <v>24</v>
      </c>
      <c r="C19" s="152" t="s">
        <v>10</v>
      </c>
      <c r="D19" s="143">
        <v>240</v>
      </c>
      <c r="E19" s="150"/>
      <c r="F19" s="150"/>
      <c r="G19" s="148" cm="1">
        <f t="array" ref="G19" xml:space="preserve"> _xlfn.IFS( C19 = $D$12, $E$12, C19 = $D$13, $E$13, C19 = $D$14, $E$14, C19 = $D$15, $E$15, TRUE, "#N/A" )</f>
        <v>0.2</v>
      </c>
      <c r="H19" s="150"/>
      <c r="I19" s="150"/>
      <c r="J19" s="150"/>
    </row>
    <row r="20" spans="1:10" x14ac:dyDescent="0.2">
      <c r="A20" s="143">
        <v>2</v>
      </c>
      <c r="B20" s="149" t="s">
        <v>25</v>
      </c>
      <c r="C20" s="149" t="s">
        <v>10</v>
      </c>
      <c r="D20" s="143">
        <v>30</v>
      </c>
      <c r="E20" s="150"/>
      <c r="F20" s="150"/>
      <c r="G20" s="151" cm="1">
        <f t="array" ref="G20" xml:space="preserve"> _xlfn.IFS( C20 = $D$12, $E$12, C20 = $D$13, $E$13, C20 = $D$14, $E$14, C20 = $D$15, $E$15, TRUE, "#N/A" )</f>
        <v>0.2</v>
      </c>
      <c r="H20" s="150"/>
      <c r="I20" s="150"/>
      <c r="J20" s="150"/>
    </row>
    <row r="21" spans="1:10" x14ac:dyDescent="0.2">
      <c r="A21" s="143">
        <v>3</v>
      </c>
      <c r="B21" s="149" t="s">
        <v>26</v>
      </c>
      <c r="C21" s="149" t="s">
        <v>12</v>
      </c>
      <c r="D21" s="143">
        <v>160</v>
      </c>
      <c r="E21" s="150"/>
      <c r="F21" s="150"/>
      <c r="G21" s="151" cm="1">
        <f t="array" ref="G21" xml:space="preserve"> _xlfn.IFS( C21 = $D$12, $E$12, C21 = $D$13, $E$13, C21 = $D$14, $E$14, C21 = $D$15, $E$15, TRUE, "#N/A" )</f>
        <v>0.15</v>
      </c>
      <c r="H21" s="150"/>
      <c r="I21" s="150"/>
      <c r="J21" s="150"/>
    </row>
    <row r="22" spans="1:10" x14ac:dyDescent="0.2">
      <c r="A22" s="143">
        <v>4</v>
      </c>
      <c r="B22" s="149" t="s">
        <v>27</v>
      </c>
      <c r="C22" s="149" t="s">
        <v>8</v>
      </c>
      <c r="D22" s="143">
        <v>215</v>
      </c>
      <c r="E22" s="150"/>
      <c r="F22" s="150"/>
      <c r="G22" s="151" cm="1">
        <f t="array" ref="G22" xml:space="preserve"> _xlfn.IFS( C22 = $D$12, $E$12, C22 = $D$13, $E$13, C22 = $D$14, $E$14, C22 = $D$15, $E$15, TRUE, "#N/A" )</f>
        <v>0.25</v>
      </c>
      <c r="H22" s="150"/>
      <c r="I22" s="150"/>
      <c r="J22" s="150"/>
    </row>
    <row r="23" spans="1:10" x14ac:dyDescent="0.2">
      <c r="A23" s="143">
        <v>5</v>
      </c>
      <c r="B23" s="149" t="s">
        <v>28</v>
      </c>
      <c r="C23" s="149" t="s">
        <v>8</v>
      </c>
      <c r="D23" s="143">
        <v>90</v>
      </c>
      <c r="E23" s="150"/>
      <c r="F23" s="150"/>
      <c r="G23" s="151" cm="1">
        <f t="array" ref="G23" xml:space="preserve"> _xlfn.IFS( C23 = $D$12, $E$12, C23 = $D$13, $E$13, C23 = $D$14, $E$14, C23 = $D$15, $E$15, TRUE, "#N/A" )</f>
        <v>0.25</v>
      </c>
      <c r="H23" s="150"/>
      <c r="I23" s="150"/>
      <c r="J23" s="150"/>
    </row>
    <row r="24" spans="1:10" x14ac:dyDescent="0.2">
      <c r="A24" s="143">
        <v>6</v>
      </c>
      <c r="B24" s="149" t="s">
        <v>29</v>
      </c>
      <c r="C24" s="149" t="s">
        <v>14</v>
      </c>
      <c r="D24" s="143">
        <v>15</v>
      </c>
      <c r="E24" s="150"/>
      <c r="F24" s="150"/>
      <c r="G24" s="151" cm="1">
        <f t="array" ref="G24" xml:space="preserve"> _xlfn.IFS( C24 = $D$12, $E$12, C24 = $D$13, $E$13, C24 = $D$14, $E$14, C24 = $D$15, $E$15, TRUE, "#N/A" )</f>
        <v>0</v>
      </c>
      <c r="H24" s="150"/>
      <c r="I24" s="150"/>
      <c r="J24" s="150"/>
    </row>
    <row r="27" spans="1:10" ht="38.25" customHeight="1" x14ac:dyDescent="0.2">
      <c r="A27" s="378" t="s">
        <v>578</v>
      </c>
      <c r="B27" s="402"/>
      <c r="C27" s="402"/>
      <c r="D27" s="402"/>
      <c r="E27" s="402"/>
      <c r="F27" s="402"/>
      <c r="G27" s="402"/>
      <c r="H27" s="402"/>
      <c r="I27" s="402"/>
      <c r="J27" s="402"/>
    </row>
  </sheetData>
  <mergeCells count="1">
    <mergeCell ref="A27:J27"/>
  </mergeCells>
  <pageMargins left="0.75" right="0.75" top="1" bottom="1" header="0.5" footer="0.5"/>
  <pageSetup orientation="portrait" horizontalDpi="300" verticalDpi="300" r:id="rId1"/>
  <headerFooter alignWithMargins="0"/>
  <legacyDrawing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6">
    <pageSetUpPr autoPageBreaks="0"/>
  </sheetPr>
  <dimension ref="A1:K28"/>
  <sheetViews>
    <sheetView zoomScale="160" zoomScaleNormal="160" workbookViewId="0">
      <selection activeCell="A2" sqref="A2"/>
    </sheetView>
  </sheetViews>
  <sheetFormatPr defaultRowHeight="12.75" x14ac:dyDescent="0.2"/>
  <cols>
    <col min="1" max="2" width="8.7109375" style="116" customWidth="1"/>
    <col min="3" max="3" width="9.140625" style="116"/>
    <col min="4" max="4" width="9" style="116" customWidth="1"/>
    <col min="5" max="5" width="9.140625" style="116"/>
    <col min="6" max="7" width="8.7109375" style="116" customWidth="1"/>
    <col min="8" max="8" width="10" style="116" customWidth="1"/>
    <col min="9" max="9" width="9.5703125" style="116" customWidth="1"/>
    <col min="10" max="25" width="9.140625" style="116"/>
    <col min="26" max="26" width="9.140625" style="116" customWidth="1"/>
    <col min="27" max="16384" width="9.140625" style="116"/>
  </cols>
  <sheetData>
    <row r="1" spans="1:11" ht="18" x14ac:dyDescent="0.25">
      <c r="A1" s="96" t="s">
        <v>584</v>
      </c>
      <c r="B1" s="188"/>
      <c r="C1" s="188"/>
      <c r="D1" s="188"/>
      <c r="E1" s="188"/>
      <c r="F1" s="188"/>
      <c r="G1" s="188"/>
      <c r="H1" s="188"/>
      <c r="I1" s="188"/>
      <c r="J1" s="188"/>
      <c r="K1" s="188"/>
    </row>
    <row r="2" spans="1:11" s="143" customFormat="1" hidden="1" x14ac:dyDescent="0.2"/>
    <row r="3" spans="1:11" x14ac:dyDescent="0.2">
      <c r="A3" s="231" t="str">
        <f>IF(A2="","",IF(Disable_Video_Hyperlinks,A2,HYPERLINK(Video_website&amp;A2,A2)))</f>
        <v/>
      </c>
    </row>
    <row r="4" spans="1:11" x14ac:dyDescent="0.2">
      <c r="A4" s="309" t="str">
        <f>IF(B2="","",B2)</f>
        <v/>
      </c>
    </row>
    <row r="5" spans="1:11" x14ac:dyDescent="0.2">
      <c r="A5" s="309"/>
    </row>
    <row r="6" spans="1:11" x14ac:dyDescent="0.2">
      <c r="A6" s="153" t="s">
        <v>0</v>
      </c>
      <c r="B6" s="189"/>
      <c r="C6" s="189"/>
      <c r="D6" s="189"/>
      <c r="E6" s="189"/>
      <c r="F6" s="189"/>
      <c r="G6" s="189"/>
      <c r="H6" s="189"/>
      <c r="I6" s="189"/>
      <c r="J6" s="189"/>
      <c r="K6" s="189"/>
    </row>
    <row r="7" spans="1:11" ht="21" customHeight="1" x14ac:dyDescent="0.2">
      <c r="A7" s="153" t="s">
        <v>1</v>
      </c>
      <c r="B7" s="189"/>
      <c r="C7" s="189"/>
      <c r="D7" s="189"/>
      <c r="E7" s="189"/>
      <c r="F7" s="189"/>
      <c r="G7" s="189"/>
      <c r="H7" s="189"/>
      <c r="I7" s="189"/>
      <c r="J7" s="189"/>
      <c r="K7" s="189"/>
    </row>
    <row r="10" spans="1:11" ht="12.75" customHeight="1" x14ac:dyDescent="0.2">
      <c r="A10" s="190" t="s">
        <v>2</v>
      </c>
      <c r="B10" s="190"/>
      <c r="C10" s="191"/>
    </row>
    <row r="11" spans="1:11" x14ac:dyDescent="0.2">
      <c r="A11" s="192" t="s">
        <v>4</v>
      </c>
      <c r="B11" s="193"/>
      <c r="C11" s="194" t="s">
        <v>5</v>
      </c>
    </row>
    <row r="12" spans="1:11" x14ac:dyDescent="0.2">
      <c r="A12" s="154">
        <v>0</v>
      </c>
      <c r="B12" s="307">
        <f>A13-1</f>
        <v>59</v>
      </c>
      <c r="C12" s="155">
        <v>2.4500000000000002</v>
      </c>
    </row>
    <row r="13" spans="1:11" x14ac:dyDescent="0.2">
      <c r="A13" s="154">
        <v>60</v>
      </c>
      <c r="B13" s="307">
        <f>A14-1</f>
        <v>119</v>
      </c>
      <c r="C13" s="158">
        <v>2.27</v>
      </c>
    </row>
    <row r="14" spans="1:11" x14ac:dyDescent="0.2">
      <c r="A14" s="154">
        <v>120</v>
      </c>
      <c r="B14" s="307">
        <f>A15-1</f>
        <v>239</v>
      </c>
      <c r="C14" s="158">
        <v>2.12</v>
      </c>
    </row>
    <row r="15" spans="1:11" x14ac:dyDescent="0.2">
      <c r="A15" s="154">
        <v>240</v>
      </c>
      <c r="B15" s="308" t="s">
        <v>199</v>
      </c>
      <c r="C15" s="158">
        <v>2</v>
      </c>
    </row>
    <row r="18" spans="1:11" ht="39" thickBot="1" x14ac:dyDescent="0.25">
      <c r="A18" s="195" t="s">
        <v>15</v>
      </c>
      <c r="B18" s="195" t="s">
        <v>16</v>
      </c>
      <c r="C18" s="196" t="s">
        <v>575</v>
      </c>
      <c r="D18" s="195" t="s">
        <v>18</v>
      </c>
      <c r="E18" s="196" t="s">
        <v>19</v>
      </c>
      <c r="F18" s="196" t="s">
        <v>20</v>
      </c>
      <c r="G18" s="196" t="s">
        <v>576</v>
      </c>
      <c r="H18" s="196" t="s">
        <v>22</v>
      </c>
      <c r="I18" s="196" t="s">
        <v>7</v>
      </c>
      <c r="J18" s="196" t="s">
        <v>23</v>
      </c>
    </row>
    <row r="19" spans="1:11" ht="13.5" thickBot="1" x14ac:dyDescent="0.25">
      <c r="A19" s="143">
        <v>1</v>
      </c>
      <c r="B19" s="149" t="s">
        <v>24</v>
      </c>
      <c r="C19" s="149" t="s">
        <v>10</v>
      </c>
      <c r="D19" s="161">
        <v>240</v>
      </c>
      <c r="E19" s="160">
        <f>IF( AND(DA9 &gt;=0, D19 &lt; $A$13), $C$12, IF( AND( D19 &gt;= $A$13, D19 &lt; $A$14 ), $C$13, IF( AND( D19 &gt;= $A$14, D19 &lt; $A$15), $C$14, IF( D19 &gt;= A15, $C$15, "N/A" ) ) ) )</f>
        <v>2</v>
      </c>
      <c r="F19" s="150"/>
      <c r="G19" s="150"/>
      <c r="H19" s="150"/>
      <c r="I19" s="150"/>
      <c r="J19" s="150"/>
    </row>
    <row r="20" spans="1:11" x14ac:dyDescent="0.2">
      <c r="A20" s="143">
        <v>2</v>
      </c>
      <c r="B20" s="149" t="s">
        <v>25</v>
      </c>
      <c r="C20" s="149" t="s">
        <v>10</v>
      </c>
      <c r="D20" s="143">
        <v>30</v>
      </c>
      <c r="E20" s="159">
        <f t="shared" ref="E20:E24" si="0">IF( AND(DA10 &gt;=0, D20 &lt; $A$13), $C$12, IF( AND( D20 &gt;= $A$13, D20 &lt; $A$14 ), $C$13, IF( AND( D20 &gt;= $A$14, D20 &lt; $A$15), $C$14, IF( D20 &gt;= A16, $C$15, "N/A" ) ) ) )</f>
        <v>2.4500000000000002</v>
      </c>
      <c r="F20" s="159"/>
      <c r="G20" s="159"/>
      <c r="H20" s="159"/>
      <c r="I20" s="159"/>
      <c r="J20" s="159"/>
    </row>
    <row r="21" spans="1:11" x14ac:dyDescent="0.2">
      <c r="A21" s="143">
        <v>3</v>
      </c>
      <c r="B21" s="149" t="s">
        <v>26</v>
      </c>
      <c r="C21" s="149" t="s">
        <v>12</v>
      </c>
      <c r="D21" s="143">
        <v>160</v>
      </c>
      <c r="E21" s="159">
        <f t="shared" si="0"/>
        <v>2.12</v>
      </c>
      <c r="F21" s="159"/>
      <c r="G21" s="159"/>
      <c r="H21" s="159"/>
      <c r="I21" s="159"/>
      <c r="J21" s="159"/>
    </row>
    <row r="22" spans="1:11" x14ac:dyDescent="0.2">
      <c r="A22" s="143">
        <v>4</v>
      </c>
      <c r="B22" s="149" t="s">
        <v>27</v>
      </c>
      <c r="C22" s="149" t="s">
        <v>8</v>
      </c>
      <c r="D22" s="143">
        <v>215</v>
      </c>
      <c r="E22" s="159">
        <f t="shared" si="0"/>
        <v>2.12</v>
      </c>
      <c r="F22" s="159"/>
      <c r="G22" s="159"/>
      <c r="H22" s="159"/>
      <c r="I22" s="159"/>
      <c r="J22" s="159"/>
    </row>
    <row r="23" spans="1:11" x14ac:dyDescent="0.2">
      <c r="A23" s="143">
        <v>5</v>
      </c>
      <c r="B23" s="149" t="s">
        <v>28</v>
      </c>
      <c r="C23" s="149" t="s">
        <v>8</v>
      </c>
      <c r="D23" s="143">
        <v>90</v>
      </c>
      <c r="E23" s="159">
        <f t="shared" si="0"/>
        <v>2.27</v>
      </c>
      <c r="F23" s="159"/>
      <c r="G23" s="159"/>
      <c r="H23" s="159"/>
      <c r="I23" s="159"/>
      <c r="J23" s="159"/>
    </row>
    <row r="24" spans="1:11" x14ac:dyDescent="0.2">
      <c r="A24" s="143">
        <v>6</v>
      </c>
      <c r="B24" s="149" t="s">
        <v>29</v>
      </c>
      <c r="C24" s="149" t="s">
        <v>14</v>
      </c>
      <c r="D24" s="143">
        <v>15</v>
      </c>
      <c r="E24" s="159">
        <f t="shared" si="0"/>
        <v>2.4500000000000002</v>
      </c>
      <c r="F24" s="159"/>
      <c r="G24" s="159"/>
      <c r="H24" s="159"/>
      <c r="I24" s="159"/>
      <c r="J24" s="159"/>
    </row>
    <row r="27" spans="1:11" x14ac:dyDescent="0.2">
      <c r="A27" s="116" t="s">
        <v>585</v>
      </c>
    </row>
    <row r="28" spans="1:11" x14ac:dyDescent="0.2">
      <c r="A28" s="244"/>
      <c r="B28" s="243"/>
      <c r="C28" s="243"/>
      <c r="D28" s="243"/>
      <c r="E28" s="243"/>
      <c r="F28" s="243"/>
      <c r="G28" s="243"/>
      <c r="H28" s="243"/>
      <c r="I28" s="243"/>
      <c r="J28" s="243"/>
      <c r="K28" s="243"/>
    </row>
  </sheetData>
  <phoneticPr fontId="2" type="noConversion"/>
  <pageMargins left="0.75" right="0.75" top="1" bottom="1" header="0.5" footer="0.5"/>
  <pageSetup orientation="portrait" horizontalDpi="300" verticalDpi="300" r:id="rId1"/>
  <headerFooter alignWithMargins="0"/>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9C7A-E4E3-4397-8413-631891F74724}">
  <sheetPr codeName="Sheet56">
    <pageSetUpPr autoPageBreaks="0"/>
  </sheetPr>
  <dimension ref="A1:K28"/>
  <sheetViews>
    <sheetView zoomScale="160" zoomScaleNormal="160" workbookViewId="0">
      <selection activeCell="A2" sqref="A2"/>
    </sheetView>
  </sheetViews>
  <sheetFormatPr defaultRowHeight="12.75" x14ac:dyDescent="0.2"/>
  <cols>
    <col min="1" max="2" width="8.7109375" style="116" customWidth="1"/>
    <col min="3" max="3" width="9.140625" style="116"/>
    <col min="4" max="4" width="9" style="116" customWidth="1"/>
    <col min="5" max="5" width="9.140625" style="116"/>
    <col min="6" max="7" width="8.7109375" style="116" customWidth="1"/>
    <col min="8" max="8" width="10" style="116" customWidth="1"/>
    <col min="9" max="9" width="9.5703125" style="116" customWidth="1"/>
    <col min="10" max="25" width="9.140625" style="116"/>
    <col min="26" max="26" width="9.140625" style="116" customWidth="1"/>
    <col min="27" max="16384" width="9.140625" style="116"/>
  </cols>
  <sheetData>
    <row r="1" spans="1:11" ht="18" x14ac:dyDescent="0.25">
      <c r="A1" s="96" t="s">
        <v>581</v>
      </c>
      <c r="B1" s="188"/>
      <c r="C1" s="188"/>
      <c r="D1" s="188"/>
      <c r="E1" s="188"/>
      <c r="F1" s="188"/>
      <c r="G1" s="188"/>
      <c r="H1" s="188"/>
      <c r="I1" s="188"/>
      <c r="J1" s="188"/>
      <c r="K1" s="188"/>
    </row>
    <row r="2" spans="1:11" s="143" customFormat="1" hidden="1" x14ac:dyDescent="0.2"/>
    <row r="3" spans="1:11" x14ac:dyDescent="0.2">
      <c r="A3" s="231" t="str">
        <f>IF(A2="","",IF(Disable_Video_Hyperlinks,A2,HYPERLINK(Video_website&amp;A2,A2)))</f>
        <v/>
      </c>
    </row>
    <row r="4" spans="1:11" x14ac:dyDescent="0.2">
      <c r="A4" s="309" t="str">
        <f>IF(B2="","",B2)</f>
        <v/>
      </c>
    </row>
    <row r="5" spans="1:11" x14ac:dyDescent="0.2">
      <c r="A5" s="309"/>
    </row>
    <row r="6" spans="1:11" x14ac:dyDescent="0.2">
      <c r="A6" s="153" t="s">
        <v>0</v>
      </c>
      <c r="B6" s="189"/>
      <c r="C6" s="189"/>
      <c r="D6" s="189"/>
      <c r="E6" s="189"/>
      <c r="F6" s="189"/>
      <c r="G6" s="189"/>
      <c r="H6" s="189"/>
      <c r="I6" s="189"/>
      <c r="J6" s="189"/>
      <c r="K6" s="189"/>
    </row>
    <row r="7" spans="1:11" ht="21" customHeight="1" x14ac:dyDescent="0.2">
      <c r="A7" s="153" t="s">
        <v>1</v>
      </c>
      <c r="B7" s="189"/>
      <c r="C7" s="189"/>
      <c r="D7" s="189"/>
      <c r="E7" s="189"/>
      <c r="F7" s="189"/>
      <c r="G7" s="189"/>
      <c r="H7" s="189"/>
      <c r="I7" s="189"/>
      <c r="J7" s="189"/>
      <c r="K7" s="189"/>
    </row>
    <row r="10" spans="1:11" ht="12.75" customHeight="1" x14ac:dyDescent="0.2">
      <c r="A10" s="190" t="s">
        <v>2</v>
      </c>
      <c r="B10" s="190"/>
      <c r="C10" s="191"/>
    </row>
    <row r="11" spans="1:11" x14ac:dyDescent="0.2">
      <c r="A11" s="192" t="s">
        <v>4</v>
      </c>
      <c r="B11" s="193"/>
      <c r="C11" s="194" t="s">
        <v>5</v>
      </c>
    </row>
    <row r="12" spans="1:11" x14ac:dyDescent="0.2">
      <c r="A12" s="154">
        <v>0</v>
      </c>
      <c r="B12" s="307">
        <f>A13-1</f>
        <v>59</v>
      </c>
      <c r="C12" s="155">
        <v>2.4500000000000002</v>
      </c>
    </row>
    <row r="13" spans="1:11" x14ac:dyDescent="0.2">
      <c r="A13" s="154">
        <v>60</v>
      </c>
      <c r="B13" s="307">
        <f>A14-1</f>
        <v>119</v>
      </c>
      <c r="C13" s="158">
        <v>2.27</v>
      </c>
    </row>
    <row r="14" spans="1:11" x14ac:dyDescent="0.2">
      <c r="A14" s="154">
        <v>120</v>
      </c>
      <c r="B14" s="307">
        <f>A15-1</f>
        <v>239</v>
      </c>
      <c r="C14" s="158">
        <v>2.12</v>
      </c>
    </row>
    <row r="15" spans="1:11" x14ac:dyDescent="0.2">
      <c r="A15" s="154">
        <v>240</v>
      </c>
      <c r="B15" s="308" t="s">
        <v>199</v>
      </c>
      <c r="C15" s="158">
        <v>2</v>
      </c>
    </row>
    <row r="18" spans="1:11" ht="39" thickBot="1" x14ac:dyDescent="0.25">
      <c r="A18" s="195" t="s">
        <v>15</v>
      </c>
      <c r="B18" s="195" t="s">
        <v>16</v>
      </c>
      <c r="C18" s="196" t="s">
        <v>575</v>
      </c>
      <c r="D18" s="195" t="s">
        <v>18</v>
      </c>
      <c r="E18" s="196" t="s">
        <v>19</v>
      </c>
      <c r="F18" s="196" t="s">
        <v>20</v>
      </c>
      <c r="G18" s="196" t="s">
        <v>576</v>
      </c>
      <c r="H18" s="196" t="s">
        <v>22</v>
      </c>
      <c r="I18" s="196" t="s">
        <v>7</v>
      </c>
      <c r="J18" s="196" t="s">
        <v>23</v>
      </c>
    </row>
    <row r="19" spans="1:11" ht="13.5" thickBot="1" x14ac:dyDescent="0.25">
      <c r="A19" s="143">
        <v>1</v>
      </c>
      <c r="B19" s="149" t="s">
        <v>24</v>
      </c>
      <c r="C19" s="149" t="s">
        <v>10</v>
      </c>
      <c r="D19" s="161">
        <v>240</v>
      </c>
      <c r="E19" s="160">
        <f xml:space="preserve"> IF( D19 &lt; $A$12, "Invalid", IF( D19 &lt; $A$13, $C$12, IF( D19 &lt; $A$14, $C$13, IF( D19 &lt; $A$15, $C$14, $C$15) ) ) )</f>
        <v>2</v>
      </c>
      <c r="F19" s="150"/>
      <c r="G19" s="150"/>
      <c r="H19" s="150"/>
      <c r="I19" s="150"/>
      <c r="J19" s="150"/>
    </row>
    <row r="20" spans="1:11" x14ac:dyDescent="0.2">
      <c r="A20" s="143">
        <v>2</v>
      </c>
      <c r="B20" s="149" t="s">
        <v>25</v>
      </c>
      <c r="C20" s="149" t="s">
        <v>10</v>
      </c>
      <c r="D20" s="143">
        <v>30</v>
      </c>
      <c r="E20" s="159">
        <f t="shared" ref="E20:E24" si="0" xml:space="preserve"> IF( D20 &lt; $A$12, "Invalid", IF( D20 &lt; $A$13, $C$12, IF( D20 &lt; $A$14, $C$13, IF( D20 &lt; $A$15, $C$14, $C$15) ) ) )</f>
        <v>2.4500000000000002</v>
      </c>
      <c r="F20" s="159"/>
      <c r="G20" s="159"/>
      <c r="H20" s="159"/>
      <c r="I20" s="159"/>
      <c r="J20" s="159"/>
    </row>
    <row r="21" spans="1:11" x14ac:dyDescent="0.2">
      <c r="A21" s="143">
        <v>3</v>
      </c>
      <c r="B21" s="149" t="s">
        <v>26</v>
      </c>
      <c r="C21" s="149" t="s">
        <v>12</v>
      </c>
      <c r="D21" s="143">
        <v>160</v>
      </c>
      <c r="E21" s="159">
        <f t="shared" si="0"/>
        <v>2.12</v>
      </c>
      <c r="F21" s="159"/>
      <c r="G21" s="159"/>
      <c r="H21" s="159"/>
      <c r="I21" s="159"/>
      <c r="J21" s="159"/>
    </row>
    <row r="22" spans="1:11" x14ac:dyDescent="0.2">
      <c r="A22" s="143">
        <v>4</v>
      </c>
      <c r="B22" s="149" t="s">
        <v>27</v>
      </c>
      <c r="C22" s="149" t="s">
        <v>8</v>
      </c>
      <c r="D22" s="143">
        <v>215</v>
      </c>
      <c r="E22" s="159">
        <f t="shared" si="0"/>
        <v>2.12</v>
      </c>
      <c r="F22" s="159"/>
      <c r="G22" s="159"/>
      <c r="H22" s="159"/>
      <c r="I22" s="159"/>
      <c r="J22" s="159"/>
    </row>
    <row r="23" spans="1:11" x14ac:dyDescent="0.2">
      <c r="A23" s="143">
        <v>5</v>
      </c>
      <c r="B23" s="149" t="s">
        <v>28</v>
      </c>
      <c r="C23" s="149" t="s">
        <v>8</v>
      </c>
      <c r="D23" s="143">
        <v>90</v>
      </c>
      <c r="E23" s="159">
        <f t="shared" si="0"/>
        <v>2.27</v>
      </c>
      <c r="F23" s="159"/>
      <c r="G23" s="159"/>
      <c r="H23" s="159"/>
      <c r="I23" s="159"/>
      <c r="J23" s="159"/>
    </row>
    <row r="24" spans="1:11" x14ac:dyDescent="0.2">
      <c r="A24" s="143">
        <v>6</v>
      </c>
      <c r="B24" s="149" t="s">
        <v>29</v>
      </c>
      <c r="C24" s="149" t="s">
        <v>14</v>
      </c>
      <c r="D24" s="143">
        <v>15</v>
      </c>
      <c r="E24" s="159">
        <f t="shared" si="0"/>
        <v>2.4500000000000002</v>
      </c>
      <c r="F24" s="159"/>
      <c r="G24" s="159"/>
      <c r="H24" s="159"/>
      <c r="I24" s="159"/>
      <c r="J24" s="159"/>
    </row>
    <row r="28" spans="1:11" x14ac:dyDescent="0.2">
      <c r="A28" s="244" t="s">
        <v>580</v>
      </c>
      <c r="B28" s="243"/>
      <c r="C28" s="243"/>
      <c r="D28" s="243"/>
      <c r="E28" s="243"/>
      <c r="F28" s="243"/>
      <c r="G28" s="243"/>
      <c r="H28" s="243"/>
      <c r="I28" s="243"/>
      <c r="J28" s="243"/>
      <c r="K28" s="243"/>
    </row>
  </sheetData>
  <pageMargins left="0.75" right="0.75" top="1" bottom="1" header="0.5" footer="0.5"/>
  <pageSetup orientation="portrait" horizontalDpi="300" verticalDpi="300" r:id="rId1"/>
  <headerFooter alignWithMargins="0"/>
  <legacyDrawing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DC43A-781A-4383-9CE1-C7ED29EB6A8C}">
  <sheetPr codeName="Sheet57">
    <pageSetUpPr autoPageBreaks="0"/>
  </sheetPr>
  <dimension ref="A1:K28"/>
  <sheetViews>
    <sheetView zoomScale="160" zoomScaleNormal="160" workbookViewId="0">
      <selection activeCell="A2" sqref="A2"/>
    </sheetView>
  </sheetViews>
  <sheetFormatPr defaultRowHeight="12.75" x14ac:dyDescent="0.2"/>
  <cols>
    <col min="1" max="2" width="8.7109375" style="116" customWidth="1"/>
    <col min="3" max="3" width="9.140625" style="116"/>
    <col min="4" max="4" width="9" style="116" customWidth="1"/>
    <col min="5" max="5" width="9.140625" style="116"/>
    <col min="6" max="7" width="8.7109375" style="116" customWidth="1"/>
    <col min="8" max="8" width="10" style="116" customWidth="1"/>
    <col min="9" max="9" width="9.5703125" style="116" customWidth="1"/>
    <col min="10" max="25" width="9.140625" style="116"/>
    <col min="26" max="26" width="9.140625" style="116" customWidth="1"/>
    <col min="27" max="16384" width="9.140625" style="116"/>
  </cols>
  <sheetData>
    <row r="1" spans="1:11" ht="18" x14ac:dyDescent="0.25">
      <c r="A1" s="96" t="s">
        <v>586</v>
      </c>
      <c r="B1" s="188"/>
      <c r="C1" s="188"/>
      <c r="D1" s="188"/>
      <c r="E1" s="188"/>
      <c r="F1" s="188"/>
      <c r="G1" s="188"/>
      <c r="H1" s="188"/>
      <c r="I1" s="188"/>
      <c r="J1" s="188"/>
      <c r="K1" s="188"/>
    </row>
    <row r="2" spans="1:11" s="143" customFormat="1" hidden="1" x14ac:dyDescent="0.2"/>
    <row r="3" spans="1:11" x14ac:dyDescent="0.2">
      <c r="A3" s="231" t="str">
        <f>IF(A2="","",IF(Disable_Video_Hyperlinks,A2,HYPERLINK(Video_website&amp;A2,A2)))</f>
        <v/>
      </c>
    </row>
    <row r="4" spans="1:11" x14ac:dyDescent="0.2">
      <c r="A4" s="309" t="str">
        <f>IF(B2="","",B2)</f>
        <v/>
      </c>
    </row>
    <row r="5" spans="1:11" x14ac:dyDescent="0.2">
      <c r="A5" s="309"/>
    </row>
    <row r="6" spans="1:11" x14ac:dyDescent="0.2">
      <c r="A6" s="153" t="s">
        <v>0</v>
      </c>
      <c r="B6" s="189"/>
      <c r="C6" s="189"/>
      <c r="D6" s="189"/>
      <c r="E6" s="189"/>
      <c r="F6" s="189"/>
      <c r="G6" s="189"/>
      <c r="H6" s="189"/>
      <c r="I6" s="189"/>
      <c r="J6" s="189"/>
      <c r="K6" s="189"/>
    </row>
    <row r="7" spans="1:11" ht="21" customHeight="1" x14ac:dyDescent="0.2">
      <c r="A7" s="153" t="s">
        <v>1</v>
      </c>
      <c r="B7" s="189"/>
      <c r="C7" s="189"/>
      <c r="D7" s="189"/>
      <c r="E7" s="189"/>
      <c r="F7" s="189"/>
      <c r="G7" s="189"/>
      <c r="H7" s="189"/>
      <c r="I7" s="189"/>
      <c r="J7" s="189"/>
      <c r="K7" s="189"/>
    </row>
    <row r="10" spans="1:11" ht="12.75" customHeight="1" x14ac:dyDescent="0.2">
      <c r="A10" s="190" t="s">
        <v>2</v>
      </c>
      <c r="B10" s="190"/>
      <c r="C10" s="191"/>
    </row>
    <row r="11" spans="1:11" x14ac:dyDescent="0.2">
      <c r="A11" s="192" t="s">
        <v>4</v>
      </c>
      <c r="B11" s="193"/>
      <c r="C11" s="194" t="s">
        <v>5</v>
      </c>
    </row>
    <row r="12" spans="1:11" x14ac:dyDescent="0.2">
      <c r="A12" s="154">
        <v>0</v>
      </c>
      <c r="B12" s="307">
        <f>A13-1</f>
        <v>59</v>
      </c>
      <c r="C12" s="155">
        <v>2.4500000000000002</v>
      </c>
    </row>
    <row r="13" spans="1:11" x14ac:dyDescent="0.2">
      <c r="A13" s="154">
        <v>60</v>
      </c>
      <c r="B13" s="307">
        <f>A14-1</f>
        <v>119</v>
      </c>
      <c r="C13" s="158">
        <v>2.27</v>
      </c>
    </row>
    <row r="14" spans="1:11" x14ac:dyDescent="0.2">
      <c r="A14" s="154">
        <v>120</v>
      </c>
      <c r="B14" s="307">
        <f>A15-1</f>
        <v>239</v>
      </c>
      <c r="C14" s="158">
        <v>2.12</v>
      </c>
    </row>
    <row r="15" spans="1:11" x14ac:dyDescent="0.2">
      <c r="A15" s="154">
        <v>240</v>
      </c>
      <c r="B15" s="308" t="s">
        <v>199</v>
      </c>
      <c r="C15" s="158">
        <v>2</v>
      </c>
    </row>
    <row r="18" spans="1:11" ht="39" thickBot="1" x14ac:dyDescent="0.25">
      <c r="A18" s="195" t="s">
        <v>15</v>
      </c>
      <c r="B18" s="195" t="s">
        <v>16</v>
      </c>
      <c r="C18" s="196" t="s">
        <v>575</v>
      </c>
      <c r="D18" s="195" t="s">
        <v>18</v>
      </c>
      <c r="E18" s="196" t="s">
        <v>19</v>
      </c>
      <c r="F18" s="196" t="s">
        <v>20</v>
      </c>
      <c r="G18" s="196" t="s">
        <v>576</v>
      </c>
      <c r="H18" s="196" t="s">
        <v>22</v>
      </c>
      <c r="I18" s="196" t="s">
        <v>7</v>
      </c>
      <c r="J18" s="196" t="s">
        <v>23</v>
      </c>
    </row>
    <row r="19" spans="1:11" ht="13.5" thickBot="1" x14ac:dyDescent="0.25">
      <c r="A19" s="143">
        <v>1</v>
      </c>
      <c r="B19" s="149" t="s">
        <v>24</v>
      </c>
      <c r="C19" s="149" t="s">
        <v>10</v>
      </c>
      <c r="D19" s="161">
        <v>240</v>
      </c>
      <c r="E19" s="160">
        <f xml:space="preserve"> IF( D19 &gt;= $A$15, $C$15, IF( D19 &gt;= $A$14, $C$14, IF( D19 &gt;= $A$13, $C$13, IF( D19 &gt;= $A$12, $C$12, "N/A") ) ) )</f>
        <v>2</v>
      </c>
      <c r="F19" s="150"/>
      <c r="G19" s="150"/>
      <c r="H19" s="150"/>
      <c r="I19" s="150"/>
      <c r="J19" s="150"/>
    </row>
    <row r="20" spans="1:11" x14ac:dyDescent="0.2">
      <c r="A20" s="143">
        <v>2</v>
      </c>
      <c r="B20" s="149" t="s">
        <v>25</v>
      </c>
      <c r="C20" s="149" t="s">
        <v>10</v>
      </c>
      <c r="D20" s="143">
        <v>30</v>
      </c>
      <c r="E20" s="159">
        <f t="shared" ref="E20:E24" si="0" xml:space="preserve"> IF( D20 &gt;= $A$15, $C$15, IF( D20 &gt;= $A$14, $C$14, IF( D20 &gt;= $A$13, $C$13, IF( D20 &gt;= $A$12, $C$12, "N/A") ) ) )</f>
        <v>2.4500000000000002</v>
      </c>
      <c r="F20" s="159"/>
      <c r="G20" s="159"/>
      <c r="H20" s="159"/>
      <c r="I20" s="159"/>
      <c r="J20" s="159"/>
    </row>
    <row r="21" spans="1:11" x14ac:dyDescent="0.2">
      <c r="A21" s="143">
        <v>3</v>
      </c>
      <c r="B21" s="149" t="s">
        <v>26</v>
      </c>
      <c r="C21" s="149" t="s">
        <v>12</v>
      </c>
      <c r="D21" s="143">
        <v>160</v>
      </c>
      <c r="E21" s="159">
        <f t="shared" si="0"/>
        <v>2.12</v>
      </c>
      <c r="F21" s="159"/>
      <c r="G21" s="159"/>
      <c r="H21" s="159"/>
      <c r="I21" s="159"/>
      <c r="J21" s="159"/>
    </row>
    <row r="22" spans="1:11" x14ac:dyDescent="0.2">
      <c r="A22" s="143">
        <v>4</v>
      </c>
      <c r="B22" s="149" t="s">
        <v>27</v>
      </c>
      <c r="C22" s="149" t="s">
        <v>8</v>
      </c>
      <c r="D22" s="143">
        <v>215</v>
      </c>
      <c r="E22" s="159">
        <f t="shared" si="0"/>
        <v>2.12</v>
      </c>
      <c r="F22" s="159"/>
      <c r="G22" s="159"/>
      <c r="H22" s="159"/>
      <c r="I22" s="159"/>
      <c r="J22" s="159"/>
    </row>
    <row r="23" spans="1:11" x14ac:dyDescent="0.2">
      <c r="A23" s="143">
        <v>5</v>
      </c>
      <c r="B23" s="149" t="s">
        <v>28</v>
      </c>
      <c r="C23" s="149" t="s">
        <v>8</v>
      </c>
      <c r="D23" s="143">
        <v>90</v>
      </c>
      <c r="E23" s="159">
        <f t="shared" si="0"/>
        <v>2.27</v>
      </c>
      <c r="F23" s="159"/>
      <c r="G23" s="159"/>
      <c r="H23" s="159"/>
      <c r="I23" s="159"/>
      <c r="J23" s="159"/>
    </row>
    <row r="24" spans="1:11" x14ac:dyDescent="0.2">
      <c r="A24" s="143">
        <v>6</v>
      </c>
      <c r="B24" s="149" t="s">
        <v>29</v>
      </c>
      <c r="C24" s="149" t="s">
        <v>14</v>
      </c>
      <c r="D24" s="143">
        <v>15</v>
      </c>
      <c r="E24" s="159">
        <f t="shared" si="0"/>
        <v>2.4500000000000002</v>
      </c>
      <c r="F24" s="159"/>
      <c r="G24" s="159"/>
      <c r="H24" s="159"/>
      <c r="I24" s="159"/>
      <c r="J24" s="159"/>
    </row>
    <row r="28" spans="1:11" x14ac:dyDescent="0.2">
      <c r="A28" s="244" t="s">
        <v>587</v>
      </c>
      <c r="B28" s="243"/>
      <c r="C28" s="243"/>
      <c r="D28" s="243"/>
      <c r="E28" s="243"/>
      <c r="F28" s="243"/>
      <c r="G28" s="243"/>
      <c r="H28" s="243"/>
      <c r="I28" s="243"/>
      <c r="J28" s="243"/>
      <c r="K28" s="243"/>
    </row>
  </sheetData>
  <pageMargins left="0.75" right="0.75" top="1" bottom="1" header="0.5" footer="0.5"/>
  <pageSetup orientation="portrait" horizontalDpi="300" verticalDpi="300" r:id="rId1"/>
  <headerFooter alignWithMargins="0"/>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CC6BA-EF2D-4D2E-A89B-48A2AB16C0DC}">
  <sheetPr codeName="Sheet58">
    <pageSetUpPr autoPageBreaks="0"/>
  </sheetPr>
  <dimension ref="A1:K27"/>
  <sheetViews>
    <sheetView zoomScale="130" zoomScaleNormal="130" workbookViewId="0">
      <selection activeCell="E14" sqref="E14"/>
    </sheetView>
  </sheetViews>
  <sheetFormatPr defaultRowHeight="12.75" x14ac:dyDescent="0.2"/>
  <cols>
    <col min="1" max="2" width="8.7109375" style="116" customWidth="1"/>
    <col min="3" max="3" width="9.140625" style="116"/>
    <col min="4" max="4" width="9" style="116" customWidth="1"/>
    <col min="5" max="5" width="9.140625" style="116"/>
    <col min="6" max="7" width="8.7109375" style="116" customWidth="1"/>
    <col min="8" max="8" width="10" style="116" customWidth="1"/>
    <col min="9" max="9" width="9.5703125" style="116" customWidth="1"/>
    <col min="10" max="25" width="9.140625" style="116"/>
    <col min="26" max="26" width="9.140625" style="116" customWidth="1"/>
    <col min="27" max="16384" width="9.140625" style="116"/>
  </cols>
  <sheetData>
    <row r="1" spans="1:11" ht="18" x14ac:dyDescent="0.25">
      <c r="A1" s="96" t="s">
        <v>302</v>
      </c>
      <c r="B1" s="188"/>
      <c r="C1" s="188"/>
      <c r="D1" s="188"/>
      <c r="E1" s="188"/>
      <c r="F1" s="188"/>
      <c r="G1" s="188"/>
      <c r="H1" s="188"/>
      <c r="I1" s="188"/>
      <c r="J1" s="188"/>
      <c r="K1" s="188"/>
    </row>
    <row r="2" spans="1:11" hidden="1" x14ac:dyDescent="0.2"/>
    <row r="3" spans="1:11" x14ac:dyDescent="0.2">
      <c r="A3" s="231" t="str">
        <f>IF(A2="","",IF(Disable_Video_Hyperlinks,A2,HYPERLINK(Video_website&amp;A2,A2)))</f>
        <v/>
      </c>
    </row>
    <row r="4" spans="1:11" x14ac:dyDescent="0.2">
      <c r="A4" s="309" t="str">
        <f>IF(B2="","",B2)</f>
        <v/>
      </c>
    </row>
    <row r="5" spans="1:11" x14ac:dyDescent="0.2">
      <c r="A5" s="231"/>
    </row>
    <row r="6" spans="1:11" x14ac:dyDescent="0.2">
      <c r="A6" s="153" t="s">
        <v>0</v>
      </c>
      <c r="B6" s="189"/>
      <c r="C6" s="189"/>
      <c r="D6" s="189"/>
      <c r="E6" s="189"/>
      <c r="F6" s="189"/>
      <c r="G6" s="189"/>
      <c r="H6" s="189"/>
      <c r="I6" s="189"/>
      <c r="J6" s="189"/>
      <c r="K6" s="189"/>
    </row>
    <row r="7" spans="1:11" ht="21" customHeight="1" x14ac:dyDescent="0.2">
      <c r="A7" s="153" t="s">
        <v>1</v>
      </c>
      <c r="B7" s="189"/>
      <c r="C7" s="189"/>
      <c r="D7" s="189"/>
      <c r="E7" s="189"/>
      <c r="F7" s="189"/>
      <c r="G7" s="189"/>
      <c r="H7" s="189"/>
      <c r="I7" s="189"/>
      <c r="J7" s="189"/>
      <c r="K7" s="189"/>
    </row>
    <row r="10" spans="1:11" ht="12.75" customHeight="1" x14ac:dyDescent="0.2">
      <c r="A10" s="190" t="s">
        <v>2</v>
      </c>
      <c r="B10" s="190"/>
      <c r="C10" s="191"/>
    </row>
    <row r="11" spans="1:11" x14ac:dyDescent="0.2">
      <c r="A11" s="192" t="s">
        <v>4</v>
      </c>
      <c r="B11" s="193"/>
      <c r="C11" s="194" t="s">
        <v>5</v>
      </c>
    </row>
    <row r="12" spans="1:11" x14ac:dyDescent="0.2">
      <c r="A12" s="154">
        <v>0</v>
      </c>
      <c r="B12" s="156">
        <f>A13-1</f>
        <v>59</v>
      </c>
      <c r="C12" s="155">
        <v>2.4500000000000002</v>
      </c>
    </row>
    <row r="13" spans="1:11" x14ac:dyDescent="0.2">
      <c r="A13" s="154">
        <v>60</v>
      </c>
      <c r="B13" s="156">
        <f>A14-1</f>
        <v>119</v>
      </c>
      <c r="C13" s="158">
        <v>2.27</v>
      </c>
    </row>
    <row r="14" spans="1:11" x14ac:dyDescent="0.2">
      <c r="A14" s="154">
        <v>120</v>
      </c>
      <c r="B14" s="156">
        <f>A15-1</f>
        <v>239</v>
      </c>
      <c r="C14" s="158">
        <v>2.12</v>
      </c>
    </row>
    <row r="15" spans="1:11" x14ac:dyDescent="0.2">
      <c r="A15" s="154">
        <v>240</v>
      </c>
      <c r="B15" s="157" t="s">
        <v>199</v>
      </c>
      <c r="C15" s="158">
        <v>2</v>
      </c>
    </row>
    <row r="18" spans="1:11" ht="39" thickBot="1" x14ac:dyDescent="0.25">
      <c r="A18" s="195" t="s">
        <v>15</v>
      </c>
      <c r="B18" s="195" t="s">
        <v>16</v>
      </c>
      <c r="C18" s="196" t="s">
        <v>575</v>
      </c>
      <c r="D18" s="195" t="s">
        <v>18</v>
      </c>
      <c r="E18" s="196" t="s">
        <v>19</v>
      </c>
      <c r="F18" s="196" t="s">
        <v>20</v>
      </c>
      <c r="G18" s="196" t="s">
        <v>576</v>
      </c>
      <c r="H18" s="196" t="s">
        <v>22</v>
      </c>
      <c r="I18" s="196" t="s">
        <v>7</v>
      </c>
      <c r="J18" s="196" t="s">
        <v>23</v>
      </c>
    </row>
    <row r="19" spans="1:11" ht="13.5" thickBot="1" x14ac:dyDescent="0.25">
      <c r="A19" s="143">
        <v>1</v>
      </c>
      <c r="B19" s="149" t="s">
        <v>24</v>
      </c>
      <c r="C19" s="149" t="s">
        <v>10</v>
      </c>
      <c r="D19" s="161">
        <v>240</v>
      </c>
      <c r="E19" s="160" cm="1">
        <f t="array" ref="E19">_xlfn.IFS(D19&lt;$A$13,$C$12,AND(D19&gt;=$A$13,D19&lt;$A$14),$C$13,AND(D19&gt;=$A$14,D19&lt;$A$15),$C$14,D19&gt;=A15,$C$15,TRUE,"N/A")</f>
        <v>2</v>
      </c>
      <c r="F19" s="150"/>
      <c r="G19" s="150"/>
      <c r="H19" s="150"/>
      <c r="I19" s="150"/>
      <c r="J19" s="150"/>
    </row>
    <row r="20" spans="1:11" x14ac:dyDescent="0.2">
      <c r="A20" s="143">
        <v>2</v>
      </c>
      <c r="B20" s="149" t="s">
        <v>25</v>
      </c>
      <c r="C20" s="149" t="s">
        <v>10</v>
      </c>
      <c r="D20" s="143">
        <v>30</v>
      </c>
      <c r="E20" s="159" cm="1">
        <f t="array" ref="E20" xml:space="preserve"> _xlfn.IFS( D20 &lt; $A$13, $C$12, AND( D20 &gt;= $A$13, D20 &lt; $A$14 ), $C$13, AND( D20 &gt;= $A$14, D20 &lt; $A$15 ), $C$14, D20 &gt;= A16, $C$15, TRUE, "N/A" )</f>
        <v>2.4500000000000002</v>
      </c>
      <c r="F20" s="159"/>
      <c r="G20" s="159"/>
      <c r="H20" s="159"/>
      <c r="I20" s="159"/>
      <c r="J20" s="159"/>
    </row>
    <row r="21" spans="1:11" x14ac:dyDescent="0.2">
      <c r="A21" s="143">
        <v>3</v>
      </c>
      <c r="B21" s="149" t="s">
        <v>26</v>
      </c>
      <c r="C21" s="149" t="s">
        <v>12</v>
      </c>
      <c r="D21" s="143">
        <v>160</v>
      </c>
      <c r="E21" s="159" cm="1">
        <f t="array" ref="E21" xml:space="preserve"> _xlfn.IFS( D21 &lt; $A$13, $C$12,
    AND( D21 &gt;= $A$13, D21 &lt; $A$14 ), $C$13,
     AND( D21 &gt;= $A$14, D21 &lt; $A$15 ), $C$14,
      D21 &gt;= A17, $C$15,
       TRUE, "N/A" )</f>
        <v>2.12</v>
      </c>
      <c r="F21" s="159"/>
      <c r="G21" s="159"/>
      <c r="H21" s="159"/>
      <c r="I21" s="159"/>
      <c r="J21" s="159"/>
    </row>
    <row r="22" spans="1:11" x14ac:dyDescent="0.2">
      <c r="A22" s="143">
        <v>4</v>
      </c>
      <c r="B22" s="149" t="s">
        <v>27</v>
      </c>
      <c r="C22" s="149" t="s">
        <v>8</v>
      </c>
      <c r="D22" s="143">
        <v>215</v>
      </c>
      <c r="E22" s="159" cm="1">
        <f t="array" ref="E22" xml:space="preserve"> _xlfn.IFS( D22 &lt; $A$13, $C$12,
    AND( D22 &gt;= $A$13, D22 &lt; $A$14 ), $C$13,
     AND( D22 &gt;= $A$14, D22 &lt; $A$15 ), $C$14,
      D22 &gt;= A18, $C$15,
       TRUE, "N/A" )</f>
        <v>2.12</v>
      </c>
      <c r="F22" s="159"/>
      <c r="G22" s="159"/>
      <c r="H22" s="159"/>
      <c r="I22" s="159"/>
      <c r="J22" s="159"/>
    </row>
    <row r="23" spans="1:11" x14ac:dyDescent="0.2">
      <c r="A23" s="143">
        <v>5</v>
      </c>
      <c r="B23" s="149" t="s">
        <v>28</v>
      </c>
      <c r="C23" s="149" t="s">
        <v>8</v>
      </c>
      <c r="D23" s="143">
        <v>90</v>
      </c>
      <c r="E23" s="159" cm="1">
        <f t="array" ref="E23" xml:space="preserve"> _xlfn.IFS( D23 &lt; $A$13, $C$12,
    AND( D23 &gt;= $A$13, D23 &lt; $A$14 ), $C$13,
     AND( D23 &gt;= $A$14, D23 &lt; $A$15 ), $C$14,
      D23 &gt;= A19, $C$15,
       TRUE, "N/A" )</f>
        <v>2.27</v>
      </c>
      <c r="F23" s="159"/>
      <c r="G23" s="159"/>
      <c r="H23" s="159"/>
      <c r="I23" s="159"/>
      <c r="J23" s="159"/>
    </row>
    <row r="24" spans="1:11" x14ac:dyDescent="0.2">
      <c r="A24" s="143">
        <v>6</v>
      </c>
      <c r="B24" s="149" t="s">
        <v>29</v>
      </c>
      <c r="C24" s="149" t="s">
        <v>14</v>
      </c>
      <c r="D24" s="143">
        <v>15</v>
      </c>
      <c r="E24" s="159" cm="1">
        <f t="array" ref="E24" xml:space="preserve"> _xlfn.IFS( D24 &lt; $A$13, $C$12,
    AND( D24 &gt;= $A$13, D24 &lt; $A$14 ), $C$13,
     AND( D24 &gt;= $A$14, D24 &lt; $A$15 ), $C$14,
      D24 &gt;= A20, $C$15,
       TRUE, "N/A" )</f>
        <v>2.4500000000000002</v>
      </c>
      <c r="F24" s="159"/>
      <c r="G24" s="159"/>
      <c r="H24" s="159"/>
      <c r="I24" s="159"/>
      <c r="J24" s="159"/>
    </row>
    <row r="27" spans="1:11" ht="25.5" customHeight="1" x14ac:dyDescent="0.2">
      <c r="A27" s="378" t="s">
        <v>579</v>
      </c>
      <c r="B27" s="402"/>
      <c r="C27" s="402"/>
      <c r="D27" s="402"/>
      <c r="E27" s="402"/>
      <c r="F27" s="402"/>
      <c r="G27" s="402"/>
      <c r="H27" s="402"/>
      <c r="I27" s="402"/>
      <c r="J27" s="402"/>
      <c r="K27" s="402"/>
    </row>
  </sheetData>
  <mergeCells count="1">
    <mergeCell ref="A27:K27"/>
  </mergeCells>
  <pageMargins left="0.75" right="0.75" top="1" bottom="1" header="0.5" footer="0.5"/>
  <pageSetup orientation="portrait" horizontalDpi="300" verticalDpi="300" r:id="rId1"/>
  <headerFooter alignWithMargins="0"/>
  <legacyDrawing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6DCE7-C4F3-4A4B-A41D-63DA4B01DC5A}">
  <sheetPr codeName="Sheet59">
    <pageSetUpPr autoPageBreaks="0"/>
  </sheetPr>
  <dimension ref="A1:K27"/>
  <sheetViews>
    <sheetView zoomScale="160" zoomScaleNormal="160" workbookViewId="0">
      <selection activeCell="A2" sqref="A2"/>
    </sheetView>
  </sheetViews>
  <sheetFormatPr defaultRowHeight="12.75" x14ac:dyDescent="0.2"/>
  <cols>
    <col min="1" max="2" width="8.7109375" style="116" customWidth="1"/>
    <col min="3" max="3" width="9.140625" style="116"/>
    <col min="4" max="4" width="9" style="116" customWidth="1"/>
    <col min="5" max="5" width="9.140625" style="116"/>
    <col min="6" max="7" width="8.7109375" style="116" customWidth="1"/>
    <col min="8" max="8" width="10" style="116" customWidth="1"/>
    <col min="9" max="9" width="9.5703125" style="116" customWidth="1"/>
    <col min="10" max="25" width="9.140625" style="116"/>
    <col min="26" max="26" width="9.140625" style="116" customWidth="1"/>
    <col min="27" max="16384" width="9.140625" style="116"/>
  </cols>
  <sheetData>
    <row r="1" spans="1:11" ht="18" x14ac:dyDescent="0.25">
      <c r="A1" s="96" t="s">
        <v>582</v>
      </c>
      <c r="B1" s="188"/>
      <c r="C1" s="188"/>
      <c r="D1" s="188"/>
      <c r="E1" s="188"/>
      <c r="F1" s="188"/>
      <c r="G1" s="188"/>
      <c r="H1" s="188"/>
      <c r="I1" s="188"/>
      <c r="J1" s="188"/>
      <c r="K1" s="188"/>
    </row>
    <row r="2" spans="1:11" s="143" customFormat="1" hidden="1" x14ac:dyDescent="0.2"/>
    <row r="3" spans="1:11" x14ac:dyDescent="0.2">
      <c r="A3" s="231" t="str">
        <f>IF(A2="","",IF(Disable_Video_Hyperlinks,A2,HYPERLINK(Video_website&amp;A2,A2)))</f>
        <v/>
      </c>
    </row>
    <row r="4" spans="1:11" x14ac:dyDescent="0.2">
      <c r="A4" s="309" t="str">
        <f>IF(B2="","",B2)</f>
        <v/>
      </c>
    </row>
    <row r="5" spans="1:11" x14ac:dyDescent="0.2">
      <c r="A5" s="309"/>
    </row>
    <row r="6" spans="1:11" x14ac:dyDescent="0.2">
      <c r="A6" s="153" t="s">
        <v>0</v>
      </c>
      <c r="B6" s="189"/>
      <c r="C6" s="189"/>
      <c r="D6" s="189"/>
      <c r="E6" s="189"/>
      <c r="F6" s="189"/>
      <c r="G6" s="189"/>
      <c r="H6" s="189"/>
      <c r="I6" s="189"/>
      <c r="J6" s="189"/>
      <c r="K6" s="189"/>
    </row>
    <row r="7" spans="1:11" ht="21" customHeight="1" x14ac:dyDescent="0.2">
      <c r="A7" s="153" t="s">
        <v>1</v>
      </c>
      <c r="B7" s="189"/>
      <c r="C7" s="189"/>
      <c r="D7" s="189"/>
      <c r="E7" s="189"/>
      <c r="F7" s="189"/>
      <c r="G7" s="189"/>
      <c r="H7" s="189"/>
      <c r="I7" s="189"/>
      <c r="J7" s="189"/>
      <c r="K7" s="189"/>
    </row>
    <row r="10" spans="1:11" ht="12.75" customHeight="1" x14ac:dyDescent="0.2">
      <c r="A10" s="190" t="s">
        <v>2</v>
      </c>
      <c r="B10" s="190"/>
      <c r="C10" s="191"/>
    </row>
    <row r="11" spans="1:11" x14ac:dyDescent="0.2">
      <c r="A11" s="192" t="s">
        <v>4</v>
      </c>
      <c r="B11" s="193"/>
      <c r="C11" s="194" t="s">
        <v>5</v>
      </c>
    </row>
    <row r="12" spans="1:11" x14ac:dyDescent="0.2">
      <c r="A12" s="154">
        <v>0</v>
      </c>
      <c r="B12" s="307">
        <f>A13-1</f>
        <v>59</v>
      </c>
      <c r="C12" s="155">
        <v>2.4500000000000002</v>
      </c>
    </row>
    <row r="13" spans="1:11" x14ac:dyDescent="0.2">
      <c r="A13" s="154">
        <v>60</v>
      </c>
      <c r="B13" s="307">
        <f>A14-1</f>
        <v>119</v>
      </c>
      <c r="C13" s="158">
        <v>2.27</v>
      </c>
    </row>
    <row r="14" spans="1:11" x14ac:dyDescent="0.2">
      <c r="A14" s="154">
        <v>120</v>
      </c>
      <c r="B14" s="307">
        <f>A15-1</f>
        <v>239</v>
      </c>
      <c r="C14" s="158">
        <v>2.12</v>
      </c>
    </row>
    <row r="15" spans="1:11" x14ac:dyDescent="0.2">
      <c r="A15" s="154">
        <v>240</v>
      </c>
      <c r="B15" s="308" t="s">
        <v>199</v>
      </c>
      <c r="C15" s="158">
        <v>2</v>
      </c>
    </row>
    <row r="18" spans="1:11" ht="39" thickBot="1" x14ac:dyDescent="0.25">
      <c r="A18" s="195" t="s">
        <v>15</v>
      </c>
      <c r="B18" s="195" t="s">
        <v>16</v>
      </c>
      <c r="C18" s="196" t="s">
        <v>575</v>
      </c>
      <c r="D18" s="195" t="s">
        <v>18</v>
      </c>
      <c r="E18" s="196" t="s">
        <v>19</v>
      </c>
      <c r="F18" s="196" t="s">
        <v>20</v>
      </c>
      <c r="G18" s="196" t="s">
        <v>576</v>
      </c>
      <c r="H18" s="196" t="s">
        <v>22</v>
      </c>
      <c r="I18" s="196" t="s">
        <v>7</v>
      </c>
      <c r="J18" s="196" t="s">
        <v>23</v>
      </c>
    </row>
    <row r="19" spans="1:11" ht="13.5" thickBot="1" x14ac:dyDescent="0.25">
      <c r="A19" s="143">
        <v>1</v>
      </c>
      <c r="B19" s="149" t="s">
        <v>24</v>
      </c>
      <c r="C19" s="149" t="s">
        <v>10</v>
      </c>
      <c r="D19" s="161">
        <v>240</v>
      </c>
      <c r="E19" s="160" cm="1">
        <f t="array" ref="E19" xml:space="preserve"> _xlfn.IFS( D19 &lt; $A$12, "Invalid", D19 &lt; $A$13, $C$12, D19 &lt; $A$14, $C$13, D19 &lt; $A$15, $C$14, TRUE, $C$15 )</f>
        <v>2</v>
      </c>
      <c r="F19" s="150"/>
      <c r="G19" s="150"/>
      <c r="H19" s="150"/>
      <c r="I19" s="150"/>
      <c r="J19" s="150"/>
    </row>
    <row r="20" spans="1:11" x14ac:dyDescent="0.2">
      <c r="A20" s="143">
        <v>2</v>
      </c>
      <c r="B20" s="149" t="s">
        <v>25</v>
      </c>
      <c r="C20" s="149" t="s">
        <v>10</v>
      </c>
      <c r="D20" s="143">
        <v>30</v>
      </c>
      <c r="E20" s="159" cm="1">
        <f t="array" ref="E20" xml:space="preserve"> _xlfn.IFS( D20 &lt; $A$12, "Invalid", D20 &lt; $A$13, $C$12, D20 &lt; $A$14, $C$13, D20 &lt; $A$15, $C$14, TRUE, $C$15 )</f>
        <v>2.4500000000000002</v>
      </c>
      <c r="F20" s="159"/>
      <c r="G20" s="159"/>
      <c r="H20" s="159"/>
      <c r="I20" s="159"/>
      <c r="J20" s="159"/>
    </row>
    <row r="21" spans="1:11" x14ac:dyDescent="0.2">
      <c r="A21" s="143">
        <v>3</v>
      </c>
      <c r="B21" s="149" t="s">
        <v>26</v>
      </c>
      <c r="C21" s="149" t="s">
        <v>12</v>
      </c>
      <c r="D21" s="143">
        <v>160</v>
      </c>
      <c r="E21" s="159" cm="1">
        <f t="array" ref="E21" xml:space="preserve"> _xlfn.IFS( D21 &lt; $A$12, "Invalid", D21 &lt; $A$13, $C$12, D21 &lt; $A$14, $C$13, D21 &lt; $A$15, $C$14, TRUE, $C$15 )</f>
        <v>2.12</v>
      </c>
      <c r="F21" s="159"/>
      <c r="G21" s="159"/>
      <c r="H21" s="159"/>
      <c r="I21" s="159"/>
      <c r="J21" s="159"/>
    </row>
    <row r="22" spans="1:11" x14ac:dyDescent="0.2">
      <c r="A22" s="143">
        <v>4</v>
      </c>
      <c r="B22" s="149" t="s">
        <v>27</v>
      </c>
      <c r="C22" s="149" t="s">
        <v>8</v>
      </c>
      <c r="D22" s="143">
        <v>215</v>
      </c>
      <c r="E22" s="159" cm="1">
        <f t="array" ref="E22" xml:space="preserve"> _xlfn.IFS( D22 &lt; $A$12, "Invalid", D22 &lt; $A$13, $C$12, D22 &lt; $A$14, $C$13, D22 &lt; $A$15, $C$14, TRUE, $C$15 )</f>
        <v>2.12</v>
      </c>
      <c r="F22" s="159"/>
      <c r="G22" s="159"/>
      <c r="H22" s="159"/>
      <c r="I22" s="159"/>
      <c r="J22" s="159"/>
    </row>
    <row r="23" spans="1:11" x14ac:dyDescent="0.2">
      <c r="A23" s="143">
        <v>5</v>
      </c>
      <c r="B23" s="149" t="s">
        <v>28</v>
      </c>
      <c r="C23" s="149" t="s">
        <v>8</v>
      </c>
      <c r="D23" s="143">
        <v>90</v>
      </c>
      <c r="E23" s="159" cm="1">
        <f t="array" ref="E23" xml:space="preserve"> _xlfn.IFS( D23 &lt; $A$12, "Invalid", D23 &lt; $A$13, $C$12, D23 &lt; $A$14, $C$13, D23 &lt; $A$15, $C$14, TRUE, $C$15 )</f>
        <v>2.27</v>
      </c>
      <c r="F23" s="159"/>
      <c r="G23" s="159"/>
      <c r="H23" s="159"/>
      <c r="I23" s="159"/>
      <c r="J23" s="159"/>
    </row>
    <row r="24" spans="1:11" x14ac:dyDescent="0.2">
      <c r="A24" s="143">
        <v>6</v>
      </c>
      <c r="B24" s="149" t="s">
        <v>29</v>
      </c>
      <c r="C24" s="149" t="s">
        <v>14</v>
      </c>
      <c r="D24" s="143">
        <v>15</v>
      </c>
      <c r="E24" s="159" cm="1">
        <f t="array" ref="E24" xml:space="preserve"> _xlfn.IFS( D24 &lt; $A$12, "Invalid", D24 &lt; $A$13, $C$12, D24 &lt; $A$14, $C$13, D24 &lt; $A$15, $C$14, TRUE, $C$15 )</f>
        <v>2.4500000000000002</v>
      </c>
      <c r="F24" s="159"/>
      <c r="G24" s="159"/>
      <c r="H24" s="159"/>
      <c r="I24" s="159"/>
      <c r="J24" s="159"/>
    </row>
    <row r="27" spans="1:11" ht="25.5" customHeight="1" x14ac:dyDescent="0.2">
      <c r="A27" s="378" t="s">
        <v>579</v>
      </c>
      <c r="B27" s="402"/>
      <c r="C27" s="402"/>
      <c r="D27" s="402"/>
      <c r="E27" s="402"/>
      <c r="F27" s="402"/>
      <c r="G27" s="402"/>
      <c r="H27" s="402"/>
      <c r="I27" s="402"/>
      <c r="J27" s="402"/>
      <c r="K27" s="402"/>
    </row>
  </sheetData>
  <mergeCells count="1">
    <mergeCell ref="A27:K27"/>
  </mergeCells>
  <pageMargins left="0.75" right="0.75" top="1" bottom="1" header="0.5" footer="0.5"/>
  <pageSetup orientation="portrait" horizontalDpi="300" verticalDpi="300" r:id="rId1"/>
  <headerFooter alignWithMargins="0"/>
  <legacyDrawing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0"/>
  <dimension ref="A1:G71"/>
  <sheetViews>
    <sheetView zoomScale="160" zoomScaleNormal="160" workbookViewId="0">
      <pane xSplit="1" ySplit="10" topLeftCell="B50" activePane="bottomRight" state="frozen"/>
      <selection activeCell="A10" sqref="A10:G10"/>
      <selection pane="topRight" activeCell="A10" sqref="A10:G10"/>
      <selection pane="bottomLeft" activeCell="A10" sqref="A10:G10"/>
      <selection pane="bottomRight" activeCell="A3" sqref="A3"/>
    </sheetView>
  </sheetViews>
  <sheetFormatPr defaultRowHeight="12.75" x14ac:dyDescent="0.2"/>
  <cols>
    <col min="1" max="1" width="21.7109375" style="101" customWidth="1"/>
    <col min="2" max="2" width="14.85546875" style="106" bestFit="1" customWidth="1"/>
    <col min="3" max="3" width="15.42578125" style="101" customWidth="1"/>
    <col min="4" max="4" width="10.5703125" style="101" bestFit="1" customWidth="1"/>
    <col min="5" max="5" width="10.42578125" style="101" bestFit="1" customWidth="1"/>
    <col min="6" max="7" width="11.5703125" style="101" bestFit="1" customWidth="1"/>
    <col min="8" max="256" width="9.140625" style="101"/>
    <col min="257" max="257" width="21.7109375" style="101" customWidth="1"/>
    <col min="258" max="258" width="14.85546875" style="101" bestFit="1" customWidth="1"/>
    <col min="259" max="259" width="15.42578125" style="101" customWidth="1"/>
    <col min="260" max="260" width="10.5703125" style="101" bestFit="1" customWidth="1"/>
    <col min="261" max="261" width="10.42578125" style="101" bestFit="1" customWidth="1"/>
    <col min="262" max="263" width="11.5703125" style="101" bestFit="1" customWidth="1"/>
    <col min="264" max="512" width="9.140625" style="101"/>
    <col min="513" max="513" width="21.7109375" style="101" customWidth="1"/>
    <col min="514" max="514" width="14.85546875" style="101" bestFit="1" customWidth="1"/>
    <col min="515" max="515" width="15.42578125" style="101" customWidth="1"/>
    <col min="516" max="516" width="10.5703125" style="101" bestFit="1" customWidth="1"/>
    <col min="517" max="517" width="10.42578125" style="101" bestFit="1" customWidth="1"/>
    <col min="518" max="519" width="11.5703125" style="101" bestFit="1" customWidth="1"/>
    <col min="520" max="768" width="9.140625" style="101"/>
    <col min="769" max="769" width="21.7109375" style="101" customWidth="1"/>
    <col min="770" max="770" width="14.85546875" style="101" bestFit="1" customWidth="1"/>
    <col min="771" max="771" width="15.42578125" style="101" customWidth="1"/>
    <col min="772" max="772" width="10.5703125" style="101" bestFit="1" customWidth="1"/>
    <col min="773" max="773" width="10.42578125" style="101" bestFit="1" customWidth="1"/>
    <col min="774" max="775" width="11.5703125" style="101" bestFit="1" customWidth="1"/>
    <col min="776" max="1024" width="9.140625" style="101"/>
    <col min="1025" max="1025" width="21.7109375" style="101" customWidth="1"/>
    <col min="1026" max="1026" width="14.85546875" style="101" bestFit="1" customWidth="1"/>
    <col min="1027" max="1027" width="15.42578125" style="101" customWidth="1"/>
    <col min="1028" max="1028" width="10.5703125" style="101" bestFit="1" customWidth="1"/>
    <col min="1029" max="1029" width="10.42578125" style="101" bestFit="1" customWidth="1"/>
    <col min="1030" max="1031" width="11.5703125" style="101" bestFit="1" customWidth="1"/>
    <col min="1032" max="1280" width="9.140625" style="101"/>
    <col min="1281" max="1281" width="21.7109375" style="101" customWidth="1"/>
    <col min="1282" max="1282" width="14.85546875" style="101" bestFit="1" customWidth="1"/>
    <col min="1283" max="1283" width="15.42578125" style="101" customWidth="1"/>
    <col min="1284" max="1284" width="10.5703125" style="101" bestFit="1" customWidth="1"/>
    <col min="1285" max="1285" width="10.42578125" style="101" bestFit="1" customWidth="1"/>
    <col min="1286" max="1287" width="11.5703125" style="101" bestFit="1" customWidth="1"/>
    <col min="1288" max="1536" width="9.140625" style="101"/>
    <col min="1537" max="1537" width="21.7109375" style="101" customWidth="1"/>
    <col min="1538" max="1538" width="14.85546875" style="101" bestFit="1" customWidth="1"/>
    <col min="1539" max="1539" width="15.42578125" style="101" customWidth="1"/>
    <col min="1540" max="1540" width="10.5703125" style="101" bestFit="1" customWidth="1"/>
    <col min="1541" max="1541" width="10.42578125" style="101" bestFit="1" customWidth="1"/>
    <col min="1542" max="1543" width="11.5703125" style="101" bestFit="1" customWidth="1"/>
    <col min="1544" max="1792" width="9.140625" style="101"/>
    <col min="1793" max="1793" width="21.7109375" style="101" customWidth="1"/>
    <col min="1794" max="1794" width="14.85546875" style="101" bestFit="1" customWidth="1"/>
    <col min="1795" max="1795" width="15.42578125" style="101" customWidth="1"/>
    <col min="1796" max="1796" width="10.5703125" style="101" bestFit="1" customWidth="1"/>
    <col min="1797" max="1797" width="10.42578125" style="101" bestFit="1" customWidth="1"/>
    <col min="1798" max="1799" width="11.5703125" style="101" bestFit="1" customWidth="1"/>
    <col min="1800" max="2048" width="9.140625" style="101"/>
    <col min="2049" max="2049" width="21.7109375" style="101" customWidth="1"/>
    <col min="2050" max="2050" width="14.85546875" style="101" bestFit="1" customWidth="1"/>
    <col min="2051" max="2051" width="15.42578125" style="101" customWidth="1"/>
    <col min="2052" max="2052" width="10.5703125" style="101" bestFit="1" customWidth="1"/>
    <col min="2053" max="2053" width="10.42578125" style="101" bestFit="1" customWidth="1"/>
    <col min="2054" max="2055" width="11.5703125" style="101" bestFit="1" customWidth="1"/>
    <col min="2056" max="2304" width="9.140625" style="101"/>
    <col min="2305" max="2305" width="21.7109375" style="101" customWidth="1"/>
    <col min="2306" max="2306" width="14.85546875" style="101" bestFit="1" customWidth="1"/>
    <col min="2307" max="2307" width="15.42578125" style="101" customWidth="1"/>
    <col min="2308" max="2308" width="10.5703125" style="101" bestFit="1" customWidth="1"/>
    <col min="2309" max="2309" width="10.42578125" style="101" bestFit="1" customWidth="1"/>
    <col min="2310" max="2311" width="11.5703125" style="101" bestFit="1" customWidth="1"/>
    <col min="2312" max="2560" width="9.140625" style="101"/>
    <col min="2561" max="2561" width="21.7109375" style="101" customWidth="1"/>
    <col min="2562" max="2562" width="14.85546875" style="101" bestFit="1" customWidth="1"/>
    <col min="2563" max="2563" width="15.42578125" style="101" customWidth="1"/>
    <col min="2564" max="2564" width="10.5703125" style="101" bestFit="1" customWidth="1"/>
    <col min="2565" max="2565" width="10.42578125" style="101" bestFit="1" customWidth="1"/>
    <col min="2566" max="2567" width="11.5703125" style="101" bestFit="1" customWidth="1"/>
    <col min="2568" max="2816" width="9.140625" style="101"/>
    <col min="2817" max="2817" width="21.7109375" style="101" customWidth="1"/>
    <col min="2818" max="2818" width="14.85546875" style="101" bestFit="1" customWidth="1"/>
    <col min="2819" max="2819" width="15.42578125" style="101" customWidth="1"/>
    <col min="2820" max="2820" width="10.5703125" style="101" bestFit="1" customWidth="1"/>
    <col min="2821" max="2821" width="10.42578125" style="101" bestFit="1" customWidth="1"/>
    <col min="2822" max="2823" width="11.5703125" style="101" bestFit="1" customWidth="1"/>
    <col min="2824" max="3072" width="9.140625" style="101"/>
    <col min="3073" max="3073" width="21.7109375" style="101" customWidth="1"/>
    <col min="3074" max="3074" width="14.85546875" style="101" bestFit="1" customWidth="1"/>
    <col min="3075" max="3075" width="15.42578125" style="101" customWidth="1"/>
    <col min="3076" max="3076" width="10.5703125" style="101" bestFit="1" customWidth="1"/>
    <col min="3077" max="3077" width="10.42578125" style="101" bestFit="1" customWidth="1"/>
    <col min="3078" max="3079" width="11.5703125" style="101" bestFit="1" customWidth="1"/>
    <col min="3080" max="3328" width="9.140625" style="101"/>
    <col min="3329" max="3329" width="21.7109375" style="101" customWidth="1"/>
    <col min="3330" max="3330" width="14.85546875" style="101" bestFit="1" customWidth="1"/>
    <col min="3331" max="3331" width="15.42578125" style="101" customWidth="1"/>
    <col min="3332" max="3332" width="10.5703125" style="101" bestFit="1" customWidth="1"/>
    <col min="3333" max="3333" width="10.42578125" style="101" bestFit="1" customWidth="1"/>
    <col min="3334" max="3335" width="11.5703125" style="101" bestFit="1" customWidth="1"/>
    <col min="3336" max="3584" width="9.140625" style="101"/>
    <col min="3585" max="3585" width="21.7109375" style="101" customWidth="1"/>
    <col min="3586" max="3586" width="14.85546875" style="101" bestFit="1" customWidth="1"/>
    <col min="3587" max="3587" width="15.42578125" style="101" customWidth="1"/>
    <col min="3588" max="3588" width="10.5703125" style="101" bestFit="1" customWidth="1"/>
    <col min="3589" max="3589" width="10.42578125" style="101" bestFit="1" customWidth="1"/>
    <col min="3590" max="3591" width="11.5703125" style="101" bestFit="1" customWidth="1"/>
    <col min="3592" max="3840" width="9.140625" style="101"/>
    <col min="3841" max="3841" width="21.7109375" style="101" customWidth="1"/>
    <col min="3842" max="3842" width="14.85546875" style="101" bestFit="1" customWidth="1"/>
    <col min="3843" max="3843" width="15.42578125" style="101" customWidth="1"/>
    <col min="3844" max="3844" width="10.5703125" style="101" bestFit="1" customWidth="1"/>
    <col min="3845" max="3845" width="10.42578125" style="101" bestFit="1" customWidth="1"/>
    <col min="3846" max="3847" width="11.5703125" style="101" bestFit="1" customWidth="1"/>
    <col min="3848" max="4096" width="9.140625" style="101"/>
    <col min="4097" max="4097" width="21.7109375" style="101" customWidth="1"/>
    <col min="4098" max="4098" width="14.85546875" style="101" bestFit="1" customWidth="1"/>
    <col min="4099" max="4099" width="15.42578125" style="101" customWidth="1"/>
    <col min="4100" max="4100" width="10.5703125" style="101" bestFit="1" customWidth="1"/>
    <col min="4101" max="4101" width="10.42578125" style="101" bestFit="1" customWidth="1"/>
    <col min="4102" max="4103" width="11.5703125" style="101" bestFit="1" customWidth="1"/>
    <col min="4104" max="4352" width="9.140625" style="101"/>
    <col min="4353" max="4353" width="21.7109375" style="101" customWidth="1"/>
    <col min="4354" max="4354" width="14.85546875" style="101" bestFit="1" customWidth="1"/>
    <col min="4355" max="4355" width="15.42578125" style="101" customWidth="1"/>
    <col min="4356" max="4356" width="10.5703125" style="101" bestFit="1" customWidth="1"/>
    <col min="4357" max="4357" width="10.42578125" style="101" bestFit="1" customWidth="1"/>
    <col min="4358" max="4359" width="11.5703125" style="101" bestFit="1" customWidth="1"/>
    <col min="4360" max="4608" width="9.140625" style="101"/>
    <col min="4609" max="4609" width="21.7109375" style="101" customWidth="1"/>
    <col min="4610" max="4610" width="14.85546875" style="101" bestFit="1" customWidth="1"/>
    <col min="4611" max="4611" width="15.42578125" style="101" customWidth="1"/>
    <col min="4612" max="4612" width="10.5703125" style="101" bestFit="1" customWidth="1"/>
    <col min="4613" max="4613" width="10.42578125" style="101" bestFit="1" customWidth="1"/>
    <col min="4614" max="4615" width="11.5703125" style="101" bestFit="1" customWidth="1"/>
    <col min="4616" max="4864" width="9.140625" style="101"/>
    <col min="4865" max="4865" width="21.7109375" style="101" customWidth="1"/>
    <col min="4866" max="4866" width="14.85546875" style="101" bestFit="1" customWidth="1"/>
    <col min="4867" max="4867" width="15.42578125" style="101" customWidth="1"/>
    <col min="4868" max="4868" width="10.5703125" style="101" bestFit="1" customWidth="1"/>
    <col min="4869" max="4869" width="10.42578125" style="101" bestFit="1" customWidth="1"/>
    <col min="4870" max="4871" width="11.5703125" style="101" bestFit="1" customWidth="1"/>
    <col min="4872" max="5120" width="9.140625" style="101"/>
    <col min="5121" max="5121" width="21.7109375" style="101" customWidth="1"/>
    <col min="5122" max="5122" width="14.85546875" style="101" bestFit="1" customWidth="1"/>
    <col min="5123" max="5123" width="15.42578125" style="101" customWidth="1"/>
    <col min="5124" max="5124" width="10.5703125" style="101" bestFit="1" customWidth="1"/>
    <col min="5125" max="5125" width="10.42578125" style="101" bestFit="1" customWidth="1"/>
    <col min="5126" max="5127" width="11.5703125" style="101" bestFit="1" customWidth="1"/>
    <col min="5128" max="5376" width="9.140625" style="101"/>
    <col min="5377" max="5377" width="21.7109375" style="101" customWidth="1"/>
    <col min="5378" max="5378" width="14.85546875" style="101" bestFit="1" customWidth="1"/>
    <col min="5379" max="5379" width="15.42578125" style="101" customWidth="1"/>
    <col min="5380" max="5380" width="10.5703125" style="101" bestFit="1" customWidth="1"/>
    <col min="5381" max="5381" width="10.42578125" style="101" bestFit="1" customWidth="1"/>
    <col min="5382" max="5383" width="11.5703125" style="101" bestFit="1" customWidth="1"/>
    <col min="5384" max="5632" width="9.140625" style="101"/>
    <col min="5633" max="5633" width="21.7109375" style="101" customWidth="1"/>
    <col min="5634" max="5634" width="14.85546875" style="101" bestFit="1" customWidth="1"/>
    <col min="5635" max="5635" width="15.42578125" style="101" customWidth="1"/>
    <col min="5636" max="5636" width="10.5703125" style="101" bestFit="1" customWidth="1"/>
    <col min="5637" max="5637" width="10.42578125" style="101" bestFit="1" customWidth="1"/>
    <col min="5638" max="5639" width="11.5703125" style="101" bestFit="1" customWidth="1"/>
    <col min="5640" max="5888" width="9.140625" style="101"/>
    <col min="5889" max="5889" width="21.7109375" style="101" customWidth="1"/>
    <col min="5890" max="5890" width="14.85546875" style="101" bestFit="1" customWidth="1"/>
    <col min="5891" max="5891" width="15.42578125" style="101" customWidth="1"/>
    <col min="5892" max="5892" width="10.5703125" style="101" bestFit="1" customWidth="1"/>
    <col min="5893" max="5893" width="10.42578125" style="101" bestFit="1" customWidth="1"/>
    <col min="5894" max="5895" width="11.5703125" style="101" bestFit="1" customWidth="1"/>
    <col min="5896" max="6144" width="9.140625" style="101"/>
    <col min="6145" max="6145" width="21.7109375" style="101" customWidth="1"/>
    <col min="6146" max="6146" width="14.85546875" style="101" bestFit="1" customWidth="1"/>
    <col min="6147" max="6147" width="15.42578125" style="101" customWidth="1"/>
    <col min="6148" max="6148" width="10.5703125" style="101" bestFit="1" customWidth="1"/>
    <col min="6149" max="6149" width="10.42578125" style="101" bestFit="1" customWidth="1"/>
    <col min="6150" max="6151" width="11.5703125" style="101" bestFit="1" customWidth="1"/>
    <col min="6152" max="6400" width="9.140625" style="101"/>
    <col min="6401" max="6401" width="21.7109375" style="101" customWidth="1"/>
    <col min="6402" max="6402" width="14.85546875" style="101" bestFit="1" customWidth="1"/>
    <col min="6403" max="6403" width="15.42578125" style="101" customWidth="1"/>
    <col min="6404" max="6404" width="10.5703125" style="101" bestFit="1" customWidth="1"/>
    <col min="6405" max="6405" width="10.42578125" style="101" bestFit="1" customWidth="1"/>
    <col min="6406" max="6407" width="11.5703125" style="101" bestFit="1" customWidth="1"/>
    <col min="6408" max="6656" width="9.140625" style="101"/>
    <col min="6657" max="6657" width="21.7109375" style="101" customWidth="1"/>
    <col min="6658" max="6658" width="14.85546875" style="101" bestFit="1" customWidth="1"/>
    <col min="6659" max="6659" width="15.42578125" style="101" customWidth="1"/>
    <col min="6660" max="6660" width="10.5703125" style="101" bestFit="1" customWidth="1"/>
    <col min="6661" max="6661" width="10.42578125" style="101" bestFit="1" customWidth="1"/>
    <col min="6662" max="6663" width="11.5703125" style="101" bestFit="1" customWidth="1"/>
    <col min="6664" max="6912" width="9.140625" style="101"/>
    <col min="6913" max="6913" width="21.7109375" style="101" customWidth="1"/>
    <col min="6914" max="6914" width="14.85546875" style="101" bestFit="1" customWidth="1"/>
    <col min="6915" max="6915" width="15.42578125" style="101" customWidth="1"/>
    <col min="6916" max="6916" width="10.5703125" style="101" bestFit="1" customWidth="1"/>
    <col min="6917" max="6917" width="10.42578125" style="101" bestFit="1" customWidth="1"/>
    <col min="6918" max="6919" width="11.5703125" style="101" bestFit="1" customWidth="1"/>
    <col min="6920" max="7168" width="9.140625" style="101"/>
    <col min="7169" max="7169" width="21.7109375" style="101" customWidth="1"/>
    <col min="7170" max="7170" width="14.85546875" style="101" bestFit="1" customWidth="1"/>
    <col min="7171" max="7171" width="15.42578125" style="101" customWidth="1"/>
    <col min="7172" max="7172" width="10.5703125" style="101" bestFit="1" customWidth="1"/>
    <col min="7173" max="7173" width="10.42578125" style="101" bestFit="1" customWidth="1"/>
    <col min="7174" max="7175" width="11.5703125" style="101" bestFit="1" customWidth="1"/>
    <col min="7176" max="7424" width="9.140625" style="101"/>
    <col min="7425" max="7425" width="21.7109375" style="101" customWidth="1"/>
    <col min="7426" max="7426" width="14.85546875" style="101" bestFit="1" customWidth="1"/>
    <col min="7427" max="7427" width="15.42578125" style="101" customWidth="1"/>
    <col min="7428" max="7428" width="10.5703125" style="101" bestFit="1" customWidth="1"/>
    <col min="7429" max="7429" width="10.42578125" style="101" bestFit="1" customWidth="1"/>
    <col min="7430" max="7431" width="11.5703125" style="101" bestFit="1" customWidth="1"/>
    <col min="7432" max="7680" width="9.140625" style="101"/>
    <col min="7681" max="7681" width="21.7109375" style="101" customWidth="1"/>
    <col min="7682" max="7682" width="14.85546875" style="101" bestFit="1" customWidth="1"/>
    <col min="7683" max="7683" width="15.42578125" style="101" customWidth="1"/>
    <col min="7684" max="7684" width="10.5703125" style="101" bestFit="1" customWidth="1"/>
    <col min="7685" max="7685" width="10.42578125" style="101" bestFit="1" customWidth="1"/>
    <col min="7686" max="7687" width="11.5703125" style="101" bestFit="1" customWidth="1"/>
    <col min="7688" max="7936" width="9.140625" style="101"/>
    <col min="7937" max="7937" width="21.7109375" style="101" customWidth="1"/>
    <col min="7938" max="7938" width="14.85546875" style="101" bestFit="1" customWidth="1"/>
    <col min="7939" max="7939" width="15.42578125" style="101" customWidth="1"/>
    <col min="7940" max="7940" width="10.5703125" style="101" bestFit="1" customWidth="1"/>
    <col min="7941" max="7941" width="10.42578125" style="101" bestFit="1" customWidth="1"/>
    <col min="7942" max="7943" width="11.5703125" style="101" bestFit="1" customWidth="1"/>
    <col min="7944" max="8192" width="9.140625" style="101"/>
    <col min="8193" max="8193" width="21.7109375" style="101" customWidth="1"/>
    <col min="8194" max="8194" width="14.85546875" style="101" bestFit="1" customWidth="1"/>
    <col min="8195" max="8195" width="15.42578125" style="101" customWidth="1"/>
    <col min="8196" max="8196" width="10.5703125" style="101" bestFit="1" customWidth="1"/>
    <col min="8197" max="8197" width="10.42578125" style="101" bestFit="1" customWidth="1"/>
    <col min="8198" max="8199" width="11.5703125" style="101" bestFit="1" customWidth="1"/>
    <col min="8200" max="8448" width="9.140625" style="101"/>
    <col min="8449" max="8449" width="21.7109375" style="101" customWidth="1"/>
    <col min="8450" max="8450" width="14.85546875" style="101" bestFit="1" customWidth="1"/>
    <col min="8451" max="8451" width="15.42578125" style="101" customWidth="1"/>
    <col min="8452" max="8452" width="10.5703125" style="101" bestFit="1" customWidth="1"/>
    <col min="8453" max="8453" width="10.42578125" style="101" bestFit="1" customWidth="1"/>
    <col min="8454" max="8455" width="11.5703125" style="101" bestFit="1" customWidth="1"/>
    <col min="8456" max="8704" width="9.140625" style="101"/>
    <col min="8705" max="8705" width="21.7109375" style="101" customWidth="1"/>
    <col min="8706" max="8706" width="14.85546875" style="101" bestFit="1" customWidth="1"/>
    <col min="8707" max="8707" width="15.42578125" style="101" customWidth="1"/>
    <col min="8708" max="8708" width="10.5703125" style="101" bestFit="1" customWidth="1"/>
    <col min="8709" max="8709" width="10.42578125" style="101" bestFit="1" customWidth="1"/>
    <col min="8710" max="8711" width="11.5703125" style="101" bestFit="1" customWidth="1"/>
    <col min="8712" max="8960" width="9.140625" style="101"/>
    <col min="8961" max="8961" width="21.7109375" style="101" customWidth="1"/>
    <col min="8962" max="8962" width="14.85546875" style="101" bestFit="1" customWidth="1"/>
    <col min="8963" max="8963" width="15.42578125" style="101" customWidth="1"/>
    <col min="8964" max="8964" width="10.5703125" style="101" bestFit="1" customWidth="1"/>
    <col min="8965" max="8965" width="10.42578125" style="101" bestFit="1" customWidth="1"/>
    <col min="8966" max="8967" width="11.5703125" style="101" bestFit="1" customWidth="1"/>
    <col min="8968" max="9216" width="9.140625" style="101"/>
    <col min="9217" max="9217" width="21.7109375" style="101" customWidth="1"/>
    <col min="9218" max="9218" width="14.85546875" style="101" bestFit="1" customWidth="1"/>
    <col min="9219" max="9219" width="15.42578125" style="101" customWidth="1"/>
    <col min="9220" max="9220" width="10.5703125" style="101" bestFit="1" customWidth="1"/>
    <col min="9221" max="9221" width="10.42578125" style="101" bestFit="1" customWidth="1"/>
    <col min="9222" max="9223" width="11.5703125" style="101" bestFit="1" customWidth="1"/>
    <col min="9224" max="9472" width="9.140625" style="101"/>
    <col min="9473" max="9473" width="21.7109375" style="101" customWidth="1"/>
    <col min="9474" max="9474" width="14.85546875" style="101" bestFit="1" customWidth="1"/>
    <col min="9475" max="9475" width="15.42578125" style="101" customWidth="1"/>
    <col min="9476" max="9476" width="10.5703125" style="101" bestFit="1" customWidth="1"/>
    <col min="9477" max="9477" width="10.42578125" style="101" bestFit="1" customWidth="1"/>
    <col min="9478" max="9479" width="11.5703125" style="101" bestFit="1" customWidth="1"/>
    <col min="9480" max="9728" width="9.140625" style="101"/>
    <col min="9729" max="9729" width="21.7109375" style="101" customWidth="1"/>
    <col min="9730" max="9730" width="14.85546875" style="101" bestFit="1" customWidth="1"/>
    <col min="9731" max="9731" width="15.42578125" style="101" customWidth="1"/>
    <col min="9732" max="9732" width="10.5703125" style="101" bestFit="1" customWidth="1"/>
    <col min="9733" max="9733" width="10.42578125" style="101" bestFit="1" customWidth="1"/>
    <col min="9734" max="9735" width="11.5703125" style="101" bestFit="1" customWidth="1"/>
    <col min="9736" max="9984" width="9.140625" style="101"/>
    <col min="9985" max="9985" width="21.7109375" style="101" customWidth="1"/>
    <col min="9986" max="9986" width="14.85546875" style="101" bestFit="1" customWidth="1"/>
    <col min="9987" max="9987" width="15.42578125" style="101" customWidth="1"/>
    <col min="9988" max="9988" width="10.5703125" style="101" bestFit="1" customWidth="1"/>
    <col min="9989" max="9989" width="10.42578125" style="101" bestFit="1" customWidth="1"/>
    <col min="9990" max="9991" width="11.5703125" style="101" bestFit="1" customWidth="1"/>
    <col min="9992" max="10240" width="9.140625" style="101"/>
    <col min="10241" max="10241" width="21.7109375" style="101" customWidth="1"/>
    <col min="10242" max="10242" width="14.85546875" style="101" bestFit="1" customWidth="1"/>
    <col min="10243" max="10243" width="15.42578125" style="101" customWidth="1"/>
    <col min="10244" max="10244" width="10.5703125" style="101" bestFit="1" customWidth="1"/>
    <col min="10245" max="10245" width="10.42578125" style="101" bestFit="1" customWidth="1"/>
    <col min="10246" max="10247" width="11.5703125" style="101" bestFit="1" customWidth="1"/>
    <col min="10248" max="10496" width="9.140625" style="101"/>
    <col min="10497" max="10497" width="21.7109375" style="101" customWidth="1"/>
    <col min="10498" max="10498" width="14.85546875" style="101" bestFit="1" customWidth="1"/>
    <col min="10499" max="10499" width="15.42578125" style="101" customWidth="1"/>
    <col min="10500" max="10500" width="10.5703125" style="101" bestFit="1" customWidth="1"/>
    <col min="10501" max="10501" width="10.42578125" style="101" bestFit="1" customWidth="1"/>
    <col min="10502" max="10503" width="11.5703125" style="101" bestFit="1" customWidth="1"/>
    <col min="10504" max="10752" width="9.140625" style="101"/>
    <col min="10753" max="10753" width="21.7109375" style="101" customWidth="1"/>
    <col min="10754" max="10754" width="14.85546875" style="101" bestFit="1" customWidth="1"/>
    <col min="10755" max="10755" width="15.42578125" style="101" customWidth="1"/>
    <col min="10756" max="10756" width="10.5703125" style="101" bestFit="1" customWidth="1"/>
    <col min="10757" max="10757" width="10.42578125" style="101" bestFit="1" customWidth="1"/>
    <col min="10758" max="10759" width="11.5703125" style="101" bestFit="1" customWidth="1"/>
    <col min="10760" max="11008" width="9.140625" style="101"/>
    <col min="11009" max="11009" width="21.7109375" style="101" customWidth="1"/>
    <col min="11010" max="11010" width="14.85546875" style="101" bestFit="1" customWidth="1"/>
    <col min="11011" max="11011" width="15.42578125" style="101" customWidth="1"/>
    <col min="11012" max="11012" width="10.5703125" style="101" bestFit="1" customWidth="1"/>
    <col min="11013" max="11013" width="10.42578125" style="101" bestFit="1" customWidth="1"/>
    <col min="11014" max="11015" width="11.5703125" style="101" bestFit="1" customWidth="1"/>
    <col min="11016" max="11264" width="9.140625" style="101"/>
    <col min="11265" max="11265" width="21.7109375" style="101" customWidth="1"/>
    <col min="11266" max="11266" width="14.85546875" style="101" bestFit="1" customWidth="1"/>
    <col min="11267" max="11267" width="15.42578125" style="101" customWidth="1"/>
    <col min="11268" max="11268" width="10.5703125" style="101" bestFit="1" customWidth="1"/>
    <col min="11269" max="11269" width="10.42578125" style="101" bestFit="1" customWidth="1"/>
    <col min="11270" max="11271" width="11.5703125" style="101" bestFit="1" customWidth="1"/>
    <col min="11272" max="11520" width="9.140625" style="101"/>
    <col min="11521" max="11521" width="21.7109375" style="101" customWidth="1"/>
    <col min="11522" max="11522" width="14.85546875" style="101" bestFit="1" customWidth="1"/>
    <col min="11523" max="11523" width="15.42578125" style="101" customWidth="1"/>
    <col min="11524" max="11524" width="10.5703125" style="101" bestFit="1" customWidth="1"/>
    <col min="11525" max="11525" width="10.42578125" style="101" bestFit="1" customWidth="1"/>
    <col min="11526" max="11527" width="11.5703125" style="101" bestFit="1" customWidth="1"/>
    <col min="11528" max="11776" width="9.140625" style="101"/>
    <col min="11777" max="11777" width="21.7109375" style="101" customWidth="1"/>
    <col min="11778" max="11778" width="14.85546875" style="101" bestFit="1" customWidth="1"/>
    <col min="11779" max="11779" width="15.42578125" style="101" customWidth="1"/>
    <col min="11780" max="11780" width="10.5703125" style="101" bestFit="1" customWidth="1"/>
    <col min="11781" max="11781" width="10.42578125" style="101" bestFit="1" customWidth="1"/>
    <col min="11782" max="11783" width="11.5703125" style="101" bestFit="1" customWidth="1"/>
    <col min="11784" max="12032" width="9.140625" style="101"/>
    <col min="12033" max="12033" width="21.7109375" style="101" customWidth="1"/>
    <col min="12034" max="12034" width="14.85546875" style="101" bestFit="1" customWidth="1"/>
    <col min="12035" max="12035" width="15.42578125" style="101" customWidth="1"/>
    <col min="12036" max="12036" width="10.5703125" style="101" bestFit="1" customWidth="1"/>
    <col min="12037" max="12037" width="10.42578125" style="101" bestFit="1" customWidth="1"/>
    <col min="12038" max="12039" width="11.5703125" style="101" bestFit="1" customWidth="1"/>
    <col min="12040" max="12288" width="9.140625" style="101"/>
    <col min="12289" max="12289" width="21.7109375" style="101" customWidth="1"/>
    <col min="12290" max="12290" width="14.85546875" style="101" bestFit="1" customWidth="1"/>
    <col min="12291" max="12291" width="15.42578125" style="101" customWidth="1"/>
    <col min="12292" max="12292" width="10.5703125" style="101" bestFit="1" customWidth="1"/>
    <col min="12293" max="12293" width="10.42578125" style="101" bestFit="1" customWidth="1"/>
    <col min="12294" max="12295" width="11.5703125" style="101" bestFit="1" customWidth="1"/>
    <col min="12296" max="12544" width="9.140625" style="101"/>
    <col min="12545" max="12545" width="21.7109375" style="101" customWidth="1"/>
    <col min="12546" max="12546" width="14.85546875" style="101" bestFit="1" customWidth="1"/>
    <col min="12547" max="12547" width="15.42578125" style="101" customWidth="1"/>
    <col min="12548" max="12548" width="10.5703125" style="101" bestFit="1" customWidth="1"/>
    <col min="12549" max="12549" width="10.42578125" style="101" bestFit="1" customWidth="1"/>
    <col min="12550" max="12551" width="11.5703125" style="101" bestFit="1" customWidth="1"/>
    <col min="12552" max="12800" width="9.140625" style="101"/>
    <col min="12801" max="12801" width="21.7109375" style="101" customWidth="1"/>
    <col min="12802" max="12802" width="14.85546875" style="101" bestFit="1" customWidth="1"/>
    <col min="12803" max="12803" width="15.42578125" style="101" customWidth="1"/>
    <col min="12804" max="12804" width="10.5703125" style="101" bestFit="1" customWidth="1"/>
    <col min="12805" max="12805" width="10.42578125" style="101" bestFit="1" customWidth="1"/>
    <col min="12806" max="12807" width="11.5703125" style="101" bestFit="1" customWidth="1"/>
    <col min="12808" max="13056" width="9.140625" style="101"/>
    <col min="13057" max="13057" width="21.7109375" style="101" customWidth="1"/>
    <col min="13058" max="13058" width="14.85546875" style="101" bestFit="1" customWidth="1"/>
    <col min="13059" max="13059" width="15.42578125" style="101" customWidth="1"/>
    <col min="13060" max="13060" width="10.5703125" style="101" bestFit="1" customWidth="1"/>
    <col min="13061" max="13061" width="10.42578125" style="101" bestFit="1" customWidth="1"/>
    <col min="13062" max="13063" width="11.5703125" style="101" bestFit="1" customWidth="1"/>
    <col min="13064" max="13312" width="9.140625" style="101"/>
    <col min="13313" max="13313" width="21.7109375" style="101" customWidth="1"/>
    <col min="13314" max="13314" width="14.85546875" style="101" bestFit="1" customWidth="1"/>
    <col min="13315" max="13315" width="15.42578125" style="101" customWidth="1"/>
    <col min="13316" max="13316" width="10.5703125" style="101" bestFit="1" customWidth="1"/>
    <col min="13317" max="13317" width="10.42578125" style="101" bestFit="1" customWidth="1"/>
    <col min="13318" max="13319" width="11.5703125" style="101" bestFit="1" customWidth="1"/>
    <col min="13320" max="13568" width="9.140625" style="101"/>
    <col min="13569" max="13569" width="21.7109375" style="101" customWidth="1"/>
    <col min="13570" max="13570" width="14.85546875" style="101" bestFit="1" customWidth="1"/>
    <col min="13571" max="13571" width="15.42578125" style="101" customWidth="1"/>
    <col min="13572" max="13572" width="10.5703125" style="101" bestFit="1" customWidth="1"/>
    <col min="13573" max="13573" width="10.42578125" style="101" bestFit="1" customWidth="1"/>
    <col min="13574" max="13575" width="11.5703125" style="101" bestFit="1" customWidth="1"/>
    <col min="13576" max="13824" width="9.140625" style="101"/>
    <col min="13825" max="13825" width="21.7109375" style="101" customWidth="1"/>
    <col min="13826" max="13826" width="14.85546875" style="101" bestFit="1" customWidth="1"/>
    <col min="13827" max="13827" width="15.42578125" style="101" customWidth="1"/>
    <col min="13828" max="13828" width="10.5703125" style="101" bestFit="1" customWidth="1"/>
    <col min="13829" max="13829" width="10.42578125" style="101" bestFit="1" customWidth="1"/>
    <col min="13830" max="13831" width="11.5703125" style="101" bestFit="1" customWidth="1"/>
    <col min="13832" max="14080" width="9.140625" style="101"/>
    <col min="14081" max="14081" width="21.7109375" style="101" customWidth="1"/>
    <col min="14082" max="14082" width="14.85546875" style="101" bestFit="1" customWidth="1"/>
    <col min="14083" max="14083" width="15.42578125" style="101" customWidth="1"/>
    <col min="14084" max="14084" width="10.5703125" style="101" bestFit="1" customWidth="1"/>
    <col min="14085" max="14085" width="10.42578125" style="101" bestFit="1" customWidth="1"/>
    <col min="14086" max="14087" width="11.5703125" style="101" bestFit="1" customWidth="1"/>
    <col min="14088" max="14336" width="9.140625" style="101"/>
    <col min="14337" max="14337" width="21.7109375" style="101" customWidth="1"/>
    <col min="14338" max="14338" width="14.85546875" style="101" bestFit="1" customWidth="1"/>
    <col min="14339" max="14339" width="15.42578125" style="101" customWidth="1"/>
    <col min="14340" max="14340" width="10.5703125" style="101" bestFit="1" customWidth="1"/>
    <col min="14341" max="14341" width="10.42578125" style="101" bestFit="1" customWidth="1"/>
    <col min="14342" max="14343" width="11.5703125" style="101" bestFit="1" customWidth="1"/>
    <col min="14344" max="14592" width="9.140625" style="101"/>
    <col min="14593" max="14593" width="21.7109375" style="101" customWidth="1"/>
    <col min="14594" max="14594" width="14.85546875" style="101" bestFit="1" customWidth="1"/>
    <col min="14595" max="14595" width="15.42578125" style="101" customWidth="1"/>
    <col min="14596" max="14596" width="10.5703125" style="101" bestFit="1" customWidth="1"/>
    <col min="14597" max="14597" width="10.42578125" style="101" bestFit="1" customWidth="1"/>
    <col min="14598" max="14599" width="11.5703125" style="101" bestFit="1" customWidth="1"/>
    <col min="14600" max="14848" width="9.140625" style="101"/>
    <col min="14849" max="14849" width="21.7109375" style="101" customWidth="1"/>
    <col min="14850" max="14850" width="14.85546875" style="101" bestFit="1" customWidth="1"/>
    <col min="14851" max="14851" width="15.42578125" style="101" customWidth="1"/>
    <col min="14852" max="14852" width="10.5703125" style="101" bestFit="1" customWidth="1"/>
    <col min="14853" max="14853" width="10.42578125" style="101" bestFit="1" customWidth="1"/>
    <col min="14854" max="14855" width="11.5703125" style="101" bestFit="1" customWidth="1"/>
    <col min="14856" max="15104" width="9.140625" style="101"/>
    <col min="15105" max="15105" width="21.7109375" style="101" customWidth="1"/>
    <col min="15106" max="15106" width="14.85546875" style="101" bestFit="1" customWidth="1"/>
    <col min="15107" max="15107" width="15.42578125" style="101" customWidth="1"/>
    <col min="15108" max="15108" width="10.5703125" style="101" bestFit="1" customWidth="1"/>
    <col min="15109" max="15109" width="10.42578125" style="101" bestFit="1" customWidth="1"/>
    <col min="15110" max="15111" width="11.5703125" style="101" bestFit="1" customWidth="1"/>
    <col min="15112" max="15360" width="9.140625" style="101"/>
    <col min="15361" max="15361" width="21.7109375" style="101" customWidth="1"/>
    <col min="15362" max="15362" width="14.85546875" style="101" bestFit="1" customWidth="1"/>
    <col min="15363" max="15363" width="15.42578125" style="101" customWidth="1"/>
    <col min="15364" max="15364" width="10.5703125" style="101" bestFit="1" customWidth="1"/>
    <col min="15365" max="15365" width="10.42578125" style="101" bestFit="1" customWidth="1"/>
    <col min="15366" max="15367" width="11.5703125" style="101" bestFit="1" customWidth="1"/>
    <col min="15368" max="15616" width="9.140625" style="101"/>
    <col min="15617" max="15617" width="21.7109375" style="101" customWidth="1"/>
    <col min="15618" max="15618" width="14.85546875" style="101" bestFit="1" customWidth="1"/>
    <col min="15619" max="15619" width="15.42578125" style="101" customWidth="1"/>
    <col min="15620" max="15620" width="10.5703125" style="101" bestFit="1" customWidth="1"/>
    <col min="15621" max="15621" width="10.42578125" style="101" bestFit="1" customWidth="1"/>
    <col min="15622" max="15623" width="11.5703125" style="101" bestFit="1" customWidth="1"/>
    <col min="15624" max="15872" width="9.140625" style="101"/>
    <col min="15873" max="15873" width="21.7109375" style="101" customWidth="1"/>
    <col min="15874" max="15874" width="14.85546875" style="101" bestFit="1" customWidth="1"/>
    <col min="15875" max="15875" width="15.42578125" style="101" customWidth="1"/>
    <col min="15876" max="15876" width="10.5703125" style="101" bestFit="1" customWidth="1"/>
    <col min="15877" max="15877" width="10.42578125" style="101" bestFit="1" customWidth="1"/>
    <col min="15878" max="15879" width="11.5703125" style="101" bestFit="1" customWidth="1"/>
    <col min="15880" max="16128" width="9.140625" style="101"/>
    <col min="16129" max="16129" width="21.7109375" style="101" customWidth="1"/>
    <col min="16130" max="16130" width="14.85546875" style="101" bestFit="1" customWidth="1"/>
    <col min="16131" max="16131" width="15.42578125" style="101" customWidth="1"/>
    <col min="16132" max="16132" width="10.5703125" style="101" bestFit="1" customWidth="1"/>
    <col min="16133" max="16133" width="10.42578125" style="101" bestFit="1" customWidth="1"/>
    <col min="16134" max="16135" width="11.5703125" style="101" bestFit="1" customWidth="1"/>
    <col min="16136" max="16384" width="9.140625" style="101"/>
  </cols>
  <sheetData>
    <row r="1" spans="1:7" ht="18" x14ac:dyDescent="0.2">
      <c r="A1" s="214" t="s">
        <v>771</v>
      </c>
      <c r="B1" s="187"/>
      <c r="C1" s="187"/>
      <c r="D1" s="187"/>
      <c r="E1" s="187"/>
      <c r="F1" s="187"/>
      <c r="G1" s="187"/>
    </row>
    <row r="2" spans="1:7" s="162" customFormat="1" hidden="1" x14ac:dyDescent="0.2"/>
    <row r="3" spans="1:7" x14ac:dyDescent="0.2">
      <c r="A3" s="231" t="str">
        <f>IF(A2="","",IF(Disable_Video_Hyperlinks,A2,HYPERLINK(Video_website&amp;A2,A2)))</f>
        <v/>
      </c>
      <c r="B3" s="101"/>
    </row>
    <row r="4" spans="1:7" x14ac:dyDescent="0.2">
      <c r="A4" s="309" t="str">
        <f>IF(B2="","",B2)</f>
        <v/>
      </c>
      <c r="B4" s="101"/>
    </row>
    <row r="5" spans="1:7" ht="18" x14ac:dyDescent="0.2">
      <c r="A5" s="214" t="s">
        <v>307</v>
      </c>
      <c r="B5" s="372"/>
      <c r="C5" s="372"/>
      <c r="D5" s="372"/>
      <c r="E5" s="372"/>
      <c r="F5" s="372"/>
      <c r="G5" s="372"/>
    </row>
    <row r="6" spans="1:7" x14ac:dyDescent="0.2">
      <c r="B6" s="104" t="s">
        <v>308</v>
      </c>
      <c r="C6" s="105" t="s">
        <v>309</v>
      </c>
      <c r="E6" s="405"/>
      <c r="F6" s="405"/>
      <c r="G6" s="106"/>
    </row>
    <row r="7" spans="1:7" x14ac:dyDescent="0.2">
      <c r="A7" s="107" t="s">
        <v>310</v>
      </c>
      <c r="B7" s="108">
        <f>SUM(D11:D61)</f>
        <v>50133912</v>
      </c>
      <c r="C7" s="108">
        <f>SUM(E11:E61)</f>
        <v>49805216</v>
      </c>
      <c r="E7" s="106"/>
      <c r="F7" s="106"/>
      <c r="G7" s="106"/>
    </row>
    <row r="8" spans="1:7" x14ac:dyDescent="0.2">
      <c r="A8" s="107" t="s">
        <v>311</v>
      </c>
      <c r="B8" s="101">
        <f>SUMIF($C$11:$C$61,B$6,$B$11:$B$61)</f>
        <v>267</v>
      </c>
      <c r="C8" s="101">
        <f>SUMIF($C$11:$C$61,C$6,$B$11:$B$61)</f>
        <v>271</v>
      </c>
      <c r="E8" s="104"/>
      <c r="F8" s="105"/>
    </row>
    <row r="10" spans="1:7" x14ac:dyDescent="0.2">
      <c r="A10" s="332" t="s">
        <v>312</v>
      </c>
      <c r="B10" s="332" t="s">
        <v>313</v>
      </c>
      <c r="C10" s="332" t="s">
        <v>314</v>
      </c>
      <c r="D10" s="332" t="s">
        <v>308</v>
      </c>
      <c r="E10" s="332" t="s">
        <v>309</v>
      </c>
      <c r="F10" s="332" t="s">
        <v>315</v>
      </c>
      <c r="G10" s="332" t="s">
        <v>316</v>
      </c>
    </row>
    <row r="11" spans="1:7" x14ac:dyDescent="0.2">
      <c r="A11" s="162" t="s">
        <v>317</v>
      </c>
      <c r="B11" s="163">
        <v>9</v>
      </c>
      <c r="C11" s="106" t="str">
        <f>IF(D11&gt;E11,D$10,IF(E11&gt;D11,E$10,"Tie"))</f>
        <v>Bush</v>
      </c>
      <c r="D11" s="164">
        <v>696741</v>
      </c>
      <c r="E11" s="164">
        <v>943799</v>
      </c>
      <c r="F11" s="110">
        <f t="shared" ref="F11:F61" si="0">ABS(D11-E11)</f>
        <v>247058</v>
      </c>
      <c r="G11" s="111">
        <f t="shared" ref="G11:G61" si="1">F11/(D11+E11)</f>
        <v>0.15059553561632147</v>
      </c>
    </row>
    <row r="12" spans="1:7" x14ac:dyDescent="0.2">
      <c r="A12" s="162" t="s">
        <v>318</v>
      </c>
      <c r="B12" s="163">
        <v>3</v>
      </c>
      <c r="C12" s="106" t="str">
        <f t="shared" ref="C12:C61" si="2">IF(D12&gt;E12,D$10,IF(E12&gt;D12,E$10,"Tie"))</f>
        <v>Bush</v>
      </c>
      <c r="D12" s="164">
        <v>64252</v>
      </c>
      <c r="E12" s="164">
        <v>136068</v>
      </c>
      <c r="F12" s="110">
        <f t="shared" si="0"/>
        <v>71816</v>
      </c>
      <c r="G12" s="111">
        <f t="shared" si="1"/>
        <v>0.35850638977635785</v>
      </c>
    </row>
    <row r="13" spans="1:7" x14ac:dyDescent="0.2">
      <c r="A13" s="162" t="s">
        <v>319</v>
      </c>
      <c r="B13" s="163">
        <v>8</v>
      </c>
      <c r="C13" s="106" t="str">
        <f t="shared" si="2"/>
        <v>Bush</v>
      </c>
      <c r="D13" s="164">
        <v>635730</v>
      </c>
      <c r="E13" s="164">
        <v>715112</v>
      </c>
      <c r="F13" s="110">
        <f t="shared" si="0"/>
        <v>79382</v>
      </c>
      <c r="G13" s="111">
        <f t="shared" si="1"/>
        <v>5.8764829639587755E-2</v>
      </c>
    </row>
    <row r="14" spans="1:7" x14ac:dyDescent="0.2">
      <c r="A14" s="162" t="s">
        <v>320</v>
      </c>
      <c r="B14" s="163">
        <v>6</v>
      </c>
      <c r="C14" s="106" t="str">
        <f t="shared" si="2"/>
        <v>Bush</v>
      </c>
      <c r="D14" s="164">
        <v>421136</v>
      </c>
      <c r="E14" s="164">
        <v>471800</v>
      </c>
      <c r="F14" s="110">
        <f t="shared" si="0"/>
        <v>50664</v>
      </c>
      <c r="G14" s="111">
        <f t="shared" si="1"/>
        <v>5.6738668840767982E-2</v>
      </c>
    </row>
    <row r="15" spans="1:7" x14ac:dyDescent="0.2">
      <c r="A15" s="162" t="s">
        <v>321</v>
      </c>
      <c r="B15" s="163">
        <v>54</v>
      </c>
      <c r="C15" s="106" t="str">
        <f t="shared" si="2"/>
        <v>Gore</v>
      </c>
      <c r="D15" s="164">
        <v>5699920</v>
      </c>
      <c r="E15" s="164">
        <v>4425572</v>
      </c>
      <c r="F15" s="110">
        <f t="shared" si="0"/>
        <v>1274348</v>
      </c>
      <c r="G15" s="111">
        <f t="shared" si="1"/>
        <v>0.12585541522328</v>
      </c>
    </row>
    <row r="16" spans="1:7" x14ac:dyDescent="0.2">
      <c r="A16" s="162" t="s">
        <v>322</v>
      </c>
      <c r="B16" s="163">
        <v>8</v>
      </c>
      <c r="C16" s="106" t="str">
        <f t="shared" si="2"/>
        <v>Bush</v>
      </c>
      <c r="D16" s="164">
        <v>738718</v>
      </c>
      <c r="E16" s="164">
        <v>885147</v>
      </c>
      <c r="F16" s="110">
        <f t="shared" si="0"/>
        <v>146429</v>
      </c>
      <c r="G16" s="111">
        <f t="shared" si="1"/>
        <v>9.0173136313671395E-2</v>
      </c>
    </row>
    <row r="17" spans="1:7" x14ac:dyDescent="0.2">
      <c r="A17" s="162" t="s">
        <v>323</v>
      </c>
      <c r="B17" s="163">
        <v>8</v>
      </c>
      <c r="C17" s="106" t="str">
        <f t="shared" si="2"/>
        <v>Gore</v>
      </c>
      <c r="D17" s="164">
        <v>808955</v>
      </c>
      <c r="E17" s="164">
        <v>558069</v>
      </c>
      <c r="F17" s="110">
        <f t="shared" si="0"/>
        <v>250886</v>
      </c>
      <c r="G17" s="111">
        <f t="shared" si="1"/>
        <v>0.18352713631947939</v>
      </c>
    </row>
    <row r="18" spans="1:7" x14ac:dyDescent="0.2">
      <c r="A18" s="162" t="s">
        <v>324</v>
      </c>
      <c r="B18" s="163">
        <v>3</v>
      </c>
      <c r="C18" s="106" t="str">
        <f t="shared" si="2"/>
        <v>Gore</v>
      </c>
      <c r="D18" s="164">
        <v>180638</v>
      </c>
      <c r="E18" s="164">
        <v>137081</v>
      </c>
      <c r="F18" s="110">
        <f t="shared" si="0"/>
        <v>43557</v>
      </c>
      <c r="G18" s="111">
        <f t="shared" si="1"/>
        <v>0.13709283989940796</v>
      </c>
    </row>
    <row r="19" spans="1:7" x14ac:dyDescent="0.2">
      <c r="A19" s="162" t="s">
        <v>325</v>
      </c>
      <c r="B19" s="163">
        <v>3</v>
      </c>
      <c r="C19" s="106" t="str">
        <f t="shared" si="2"/>
        <v>Gore</v>
      </c>
      <c r="D19" s="164">
        <v>162004</v>
      </c>
      <c r="E19" s="164">
        <v>17020</v>
      </c>
      <c r="F19" s="110">
        <f t="shared" si="0"/>
        <v>144984</v>
      </c>
      <c r="G19" s="111">
        <f t="shared" si="1"/>
        <v>0.80985789614800252</v>
      </c>
    </row>
    <row r="20" spans="1:7" x14ac:dyDescent="0.2">
      <c r="A20" s="162" t="s">
        <v>326</v>
      </c>
      <c r="B20" s="163">
        <v>25</v>
      </c>
      <c r="C20" s="106" t="str">
        <f t="shared" si="2"/>
        <v>Bush</v>
      </c>
      <c r="D20" s="164">
        <v>2910942</v>
      </c>
      <c r="E20" s="164">
        <v>2911872</v>
      </c>
      <c r="F20" s="110">
        <f t="shared" si="0"/>
        <v>930</v>
      </c>
      <c r="G20" s="111">
        <f t="shared" si="1"/>
        <v>1.5971659063813477E-4</v>
      </c>
    </row>
    <row r="21" spans="1:7" x14ac:dyDescent="0.2">
      <c r="A21" s="162" t="s">
        <v>327</v>
      </c>
      <c r="B21" s="163">
        <v>13</v>
      </c>
      <c r="C21" s="106" t="str">
        <f t="shared" si="2"/>
        <v>Bush</v>
      </c>
      <c r="D21" s="164">
        <v>1110133</v>
      </c>
      <c r="E21" s="164">
        <v>1415277</v>
      </c>
      <c r="F21" s="110">
        <f t="shared" si="0"/>
        <v>305144</v>
      </c>
      <c r="G21" s="111">
        <f t="shared" si="1"/>
        <v>0.1208294890730614</v>
      </c>
    </row>
    <row r="22" spans="1:7" x14ac:dyDescent="0.2">
      <c r="A22" s="162" t="s">
        <v>328</v>
      </c>
      <c r="B22" s="163">
        <v>4</v>
      </c>
      <c r="C22" s="106" t="str">
        <f t="shared" si="2"/>
        <v>Gore</v>
      </c>
      <c r="D22" s="164">
        <v>239621</v>
      </c>
      <c r="E22" s="164">
        <v>155361</v>
      </c>
      <c r="F22" s="110">
        <f t="shared" si="0"/>
        <v>84260</v>
      </c>
      <c r="G22" s="111">
        <f t="shared" si="1"/>
        <v>0.21332617688907343</v>
      </c>
    </row>
    <row r="23" spans="1:7" x14ac:dyDescent="0.2">
      <c r="A23" s="162" t="s">
        <v>329</v>
      </c>
      <c r="B23" s="163">
        <v>4</v>
      </c>
      <c r="C23" s="106" t="str">
        <f t="shared" si="2"/>
        <v>Bush</v>
      </c>
      <c r="D23" s="164">
        <v>138354</v>
      </c>
      <c r="E23" s="164">
        <v>336299</v>
      </c>
      <c r="F23" s="110">
        <f t="shared" si="0"/>
        <v>197945</v>
      </c>
      <c r="G23" s="111">
        <f t="shared" si="1"/>
        <v>0.41703096788601357</v>
      </c>
    </row>
    <row r="24" spans="1:7" x14ac:dyDescent="0.2">
      <c r="A24" s="162" t="s">
        <v>330</v>
      </c>
      <c r="B24" s="163">
        <v>22</v>
      </c>
      <c r="C24" s="106" t="str">
        <f t="shared" si="2"/>
        <v>Gore</v>
      </c>
      <c r="D24" s="164">
        <v>2599814</v>
      </c>
      <c r="E24" s="164">
        <v>2025764</v>
      </c>
      <c r="F24" s="110">
        <f t="shared" si="0"/>
        <v>574050</v>
      </c>
      <c r="G24" s="111">
        <f t="shared" si="1"/>
        <v>0.12410340934689676</v>
      </c>
    </row>
    <row r="25" spans="1:7" x14ac:dyDescent="0.2">
      <c r="A25" s="162" t="s">
        <v>331</v>
      </c>
      <c r="B25" s="163">
        <v>12</v>
      </c>
      <c r="C25" s="106" t="str">
        <f t="shared" si="2"/>
        <v>Bush</v>
      </c>
      <c r="D25" s="164">
        <v>899836</v>
      </c>
      <c r="E25" s="164">
        <v>1242372</v>
      </c>
      <c r="F25" s="110">
        <f t="shared" si="0"/>
        <v>342536</v>
      </c>
      <c r="G25" s="111">
        <f t="shared" si="1"/>
        <v>0.15989857194072657</v>
      </c>
    </row>
    <row r="26" spans="1:7" x14ac:dyDescent="0.2">
      <c r="A26" s="162" t="s">
        <v>332</v>
      </c>
      <c r="B26" s="163">
        <v>7</v>
      </c>
      <c r="C26" s="106" t="str">
        <f t="shared" si="2"/>
        <v>Gore</v>
      </c>
      <c r="D26" s="164">
        <v>638355</v>
      </c>
      <c r="E26" s="164">
        <v>634225</v>
      </c>
      <c r="F26" s="110">
        <f t="shared" si="0"/>
        <v>4130</v>
      </c>
      <c r="G26" s="111">
        <f t="shared" si="1"/>
        <v>3.245375536312059E-3</v>
      </c>
    </row>
    <row r="27" spans="1:7" x14ac:dyDescent="0.2">
      <c r="A27" s="162" t="s">
        <v>333</v>
      </c>
      <c r="B27" s="163">
        <v>6</v>
      </c>
      <c r="C27" s="106" t="str">
        <f t="shared" si="2"/>
        <v>Bush</v>
      </c>
      <c r="D27" s="164">
        <v>392867</v>
      </c>
      <c r="E27" s="164">
        <v>616829</v>
      </c>
      <c r="F27" s="110">
        <f t="shared" si="0"/>
        <v>223962</v>
      </c>
      <c r="G27" s="111">
        <f t="shared" si="1"/>
        <v>0.22181131746585112</v>
      </c>
    </row>
    <row r="28" spans="1:7" x14ac:dyDescent="0.2">
      <c r="A28" s="162" t="s">
        <v>334</v>
      </c>
      <c r="B28" s="163">
        <v>8</v>
      </c>
      <c r="C28" s="106" t="str">
        <f t="shared" si="2"/>
        <v>Bush</v>
      </c>
      <c r="D28" s="164">
        <v>640123</v>
      </c>
      <c r="E28" s="164">
        <v>872141</v>
      </c>
      <c r="F28" s="110">
        <f t="shared" si="0"/>
        <v>232018</v>
      </c>
      <c r="G28" s="111">
        <f t="shared" si="1"/>
        <v>0.15342426983648358</v>
      </c>
    </row>
    <row r="29" spans="1:7" x14ac:dyDescent="0.2">
      <c r="A29" s="162" t="s">
        <v>335</v>
      </c>
      <c r="B29" s="163">
        <v>9</v>
      </c>
      <c r="C29" s="106" t="str">
        <f t="shared" si="2"/>
        <v>Bush</v>
      </c>
      <c r="D29" s="164">
        <v>792344</v>
      </c>
      <c r="E29" s="164">
        <v>927871</v>
      </c>
      <c r="F29" s="110">
        <f t="shared" si="0"/>
        <v>135527</v>
      </c>
      <c r="G29" s="111">
        <f t="shared" si="1"/>
        <v>7.8784919326944591E-2</v>
      </c>
    </row>
    <row r="30" spans="1:7" x14ac:dyDescent="0.2">
      <c r="A30" s="162" t="s">
        <v>336</v>
      </c>
      <c r="B30" s="163">
        <v>4</v>
      </c>
      <c r="C30" s="106" t="str">
        <f t="shared" si="2"/>
        <v>Gore</v>
      </c>
      <c r="D30" s="164">
        <v>315466</v>
      </c>
      <c r="E30" s="164">
        <v>283988</v>
      </c>
      <c r="F30" s="110">
        <f t="shared" si="0"/>
        <v>31478</v>
      </c>
      <c r="G30" s="111">
        <f t="shared" si="1"/>
        <v>5.2511118451123856E-2</v>
      </c>
    </row>
    <row r="31" spans="1:7" x14ac:dyDescent="0.2">
      <c r="A31" s="162" t="s">
        <v>337</v>
      </c>
      <c r="B31" s="163">
        <v>10</v>
      </c>
      <c r="C31" s="106" t="str">
        <f t="shared" si="2"/>
        <v>Gore</v>
      </c>
      <c r="D31" s="164">
        <v>1093344</v>
      </c>
      <c r="E31" s="164">
        <v>770911</v>
      </c>
      <c r="F31" s="110">
        <f t="shared" si="0"/>
        <v>322433</v>
      </c>
      <c r="G31" s="111">
        <f t="shared" si="1"/>
        <v>0.172955416506862</v>
      </c>
    </row>
    <row r="32" spans="1:7" x14ac:dyDescent="0.2">
      <c r="A32" s="162" t="s">
        <v>338</v>
      </c>
      <c r="B32" s="163">
        <v>12</v>
      </c>
      <c r="C32" s="106" t="str">
        <f t="shared" si="2"/>
        <v>Gore</v>
      </c>
      <c r="D32" s="164">
        <v>1609048</v>
      </c>
      <c r="E32" s="164">
        <v>875658</v>
      </c>
      <c r="F32" s="110">
        <f t="shared" si="0"/>
        <v>733390</v>
      </c>
      <c r="G32" s="111">
        <f t="shared" si="1"/>
        <v>0.29516168110029917</v>
      </c>
    </row>
    <row r="33" spans="1:7" x14ac:dyDescent="0.2">
      <c r="A33" s="162" t="s">
        <v>339</v>
      </c>
      <c r="B33" s="163">
        <v>18</v>
      </c>
      <c r="C33" s="106" t="str">
        <f t="shared" si="2"/>
        <v>Gore</v>
      </c>
      <c r="D33" s="164">
        <v>2141721</v>
      </c>
      <c r="E33" s="164">
        <v>1947100</v>
      </c>
      <c r="F33" s="110">
        <f t="shared" si="0"/>
        <v>194621</v>
      </c>
      <c r="G33" s="111">
        <f t="shared" si="1"/>
        <v>4.7598317461194806E-2</v>
      </c>
    </row>
    <row r="34" spans="1:7" x14ac:dyDescent="0.2">
      <c r="A34" s="162" t="s">
        <v>340</v>
      </c>
      <c r="B34" s="163">
        <v>10</v>
      </c>
      <c r="C34" s="106" t="str">
        <f t="shared" si="2"/>
        <v>Gore</v>
      </c>
      <c r="D34" s="164">
        <v>1168190</v>
      </c>
      <c r="E34" s="164">
        <v>1110290</v>
      </c>
      <c r="F34" s="110">
        <f t="shared" si="0"/>
        <v>57900</v>
      </c>
      <c r="G34" s="111">
        <f t="shared" si="1"/>
        <v>2.5411677960745761E-2</v>
      </c>
    </row>
    <row r="35" spans="1:7" x14ac:dyDescent="0.2">
      <c r="A35" s="162" t="s">
        <v>341</v>
      </c>
      <c r="B35" s="163">
        <v>7</v>
      </c>
      <c r="C35" s="106" t="str">
        <f t="shared" si="2"/>
        <v>Bush</v>
      </c>
      <c r="D35" s="164">
        <v>392587</v>
      </c>
      <c r="E35" s="164">
        <v>558884</v>
      </c>
      <c r="F35" s="110">
        <f t="shared" si="0"/>
        <v>166297</v>
      </c>
      <c r="G35" s="111">
        <f t="shared" si="1"/>
        <v>0.1747788424450141</v>
      </c>
    </row>
    <row r="36" spans="1:7" x14ac:dyDescent="0.2">
      <c r="A36" s="162" t="s">
        <v>342</v>
      </c>
      <c r="B36" s="163">
        <v>11</v>
      </c>
      <c r="C36" s="106" t="str">
        <f t="shared" si="2"/>
        <v>Bush</v>
      </c>
      <c r="D36" s="164">
        <v>1110826</v>
      </c>
      <c r="E36" s="164">
        <v>1189521</v>
      </c>
      <c r="F36" s="110">
        <f t="shared" si="0"/>
        <v>78695</v>
      </c>
      <c r="G36" s="111">
        <f t="shared" si="1"/>
        <v>3.4210056135009194E-2</v>
      </c>
    </row>
    <row r="37" spans="1:7" x14ac:dyDescent="0.2">
      <c r="A37" s="162" t="s">
        <v>343</v>
      </c>
      <c r="B37" s="163">
        <v>3</v>
      </c>
      <c r="C37" s="106" t="str">
        <f t="shared" si="2"/>
        <v>Bush</v>
      </c>
      <c r="D37" s="164">
        <v>137264</v>
      </c>
      <c r="E37" s="164">
        <v>239755</v>
      </c>
      <c r="F37" s="110">
        <f t="shared" si="0"/>
        <v>102491</v>
      </c>
      <c r="G37" s="111">
        <f t="shared" si="1"/>
        <v>0.27184571599839796</v>
      </c>
    </row>
    <row r="38" spans="1:7" x14ac:dyDescent="0.2">
      <c r="A38" s="162" t="s">
        <v>344</v>
      </c>
      <c r="B38" s="163">
        <v>5</v>
      </c>
      <c r="C38" s="106" t="str">
        <f t="shared" si="2"/>
        <v>Bush</v>
      </c>
      <c r="D38" s="164">
        <v>215616</v>
      </c>
      <c r="E38" s="164">
        <v>408719</v>
      </c>
      <c r="F38" s="110">
        <f t="shared" si="0"/>
        <v>193103</v>
      </c>
      <c r="G38" s="111">
        <f t="shared" si="1"/>
        <v>0.30929388869757424</v>
      </c>
    </row>
    <row r="39" spans="1:7" x14ac:dyDescent="0.2">
      <c r="A39" s="162" t="s">
        <v>345</v>
      </c>
      <c r="B39" s="163">
        <v>4</v>
      </c>
      <c r="C39" s="106" t="str">
        <f t="shared" si="2"/>
        <v>Bush</v>
      </c>
      <c r="D39" s="164">
        <v>279749</v>
      </c>
      <c r="E39" s="164">
        <v>301539</v>
      </c>
      <c r="F39" s="110">
        <f t="shared" si="0"/>
        <v>21790</v>
      </c>
      <c r="G39" s="111">
        <f t="shared" si="1"/>
        <v>3.7485721363592572E-2</v>
      </c>
    </row>
    <row r="40" spans="1:7" x14ac:dyDescent="0.2">
      <c r="A40" s="162" t="s">
        <v>346</v>
      </c>
      <c r="B40" s="163">
        <v>4</v>
      </c>
      <c r="C40" s="106" t="str">
        <f t="shared" si="2"/>
        <v>Bush</v>
      </c>
      <c r="D40" s="164">
        <v>265853</v>
      </c>
      <c r="E40" s="164">
        <v>273135</v>
      </c>
      <c r="F40" s="110">
        <f t="shared" si="0"/>
        <v>7282</v>
      </c>
      <c r="G40" s="111">
        <f t="shared" si="1"/>
        <v>1.3510504872093628E-2</v>
      </c>
    </row>
    <row r="41" spans="1:7" x14ac:dyDescent="0.2">
      <c r="A41" s="162" t="s">
        <v>347</v>
      </c>
      <c r="B41" s="163">
        <v>15</v>
      </c>
      <c r="C41" s="106" t="str">
        <f t="shared" si="2"/>
        <v>Gore</v>
      </c>
      <c r="D41" s="164">
        <v>1728956</v>
      </c>
      <c r="E41" s="164">
        <v>1247515</v>
      </c>
      <c r="F41" s="110">
        <f t="shared" si="0"/>
        <v>481441</v>
      </c>
      <c r="G41" s="111">
        <f t="shared" si="1"/>
        <v>0.16174893019283573</v>
      </c>
    </row>
    <row r="42" spans="1:7" x14ac:dyDescent="0.2">
      <c r="A42" s="162" t="s">
        <v>348</v>
      </c>
      <c r="B42" s="163">
        <v>5</v>
      </c>
      <c r="C42" s="106" t="str">
        <f t="shared" si="2"/>
        <v>Gore</v>
      </c>
      <c r="D42" s="164">
        <v>286565</v>
      </c>
      <c r="E42" s="164">
        <v>286079</v>
      </c>
      <c r="F42" s="110">
        <f t="shared" si="0"/>
        <v>486</v>
      </c>
      <c r="G42" s="111">
        <f t="shared" si="1"/>
        <v>8.4869482610487493E-4</v>
      </c>
    </row>
    <row r="43" spans="1:7" x14ac:dyDescent="0.2">
      <c r="A43" s="162" t="s">
        <v>349</v>
      </c>
      <c r="B43" s="163">
        <v>33</v>
      </c>
      <c r="C43" s="106" t="str">
        <f t="shared" si="2"/>
        <v>Gore</v>
      </c>
      <c r="D43" s="164">
        <v>3746839</v>
      </c>
      <c r="E43" s="164">
        <v>2222283</v>
      </c>
      <c r="F43" s="110">
        <f t="shared" si="0"/>
        <v>1524556</v>
      </c>
      <c r="G43" s="111">
        <f t="shared" si="1"/>
        <v>0.25540707661863837</v>
      </c>
    </row>
    <row r="44" spans="1:7" x14ac:dyDescent="0.2">
      <c r="A44" s="162" t="s">
        <v>350</v>
      </c>
      <c r="B44" s="163">
        <v>14</v>
      </c>
      <c r="C44" s="106" t="str">
        <f t="shared" si="2"/>
        <v>Bush</v>
      </c>
      <c r="D44" s="164">
        <v>1241307</v>
      </c>
      <c r="E44" s="164">
        <v>1608390</v>
      </c>
      <c r="F44" s="110">
        <f t="shared" si="0"/>
        <v>367083</v>
      </c>
      <c r="G44" s="111">
        <f t="shared" si="1"/>
        <v>0.12881474767317366</v>
      </c>
    </row>
    <row r="45" spans="1:7" x14ac:dyDescent="0.2">
      <c r="A45" s="162" t="s">
        <v>351</v>
      </c>
      <c r="B45" s="163">
        <v>3</v>
      </c>
      <c r="C45" s="106" t="str">
        <f t="shared" si="2"/>
        <v>Bush</v>
      </c>
      <c r="D45" s="164">
        <v>95892</v>
      </c>
      <c r="E45" s="164">
        <v>175558</v>
      </c>
      <c r="F45" s="110">
        <f t="shared" si="0"/>
        <v>79666</v>
      </c>
      <c r="G45" s="111">
        <f t="shared" si="1"/>
        <v>0.29348314606741571</v>
      </c>
    </row>
    <row r="46" spans="1:7" x14ac:dyDescent="0.2">
      <c r="A46" s="162" t="s">
        <v>352</v>
      </c>
      <c r="B46" s="163">
        <v>21</v>
      </c>
      <c r="C46" s="106" t="str">
        <f t="shared" si="2"/>
        <v>Bush</v>
      </c>
      <c r="D46" s="164">
        <v>2111499</v>
      </c>
      <c r="E46" s="164">
        <v>2284205</v>
      </c>
      <c r="F46" s="110">
        <f t="shared" si="0"/>
        <v>172706</v>
      </c>
      <c r="G46" s="111">
        <f t="shared" si="1"/>
        <v>3.9289724694838414E-2</v>
      </c>
    </row>
    <row r="47" spans="1:7" x14ac:dyDescent="0.2">
      <c r="A47" s="162" t="s">
        <v>353</v>
      </c>
      <c r="B47" s="163">
        <v>8</v>
      </c>
      <c r="C47" s="106" t="str">
        <f t="shared" si="2"/>
        <v>Bush</v>
      </c>
      <c r="D47" s="164">
        <v>475596</v>
      </c>
      <c r="E47" s="164">
        <v>745017</v>
      </c>
      <c r="F47" s="110">
        <f t="shared" si="0"/>
        <v>269421</v>
      </c>
      <c r="G47" s="111">
        <f t="shared" si="1"/>
        <v>0.22072597948735595</v>
      </c>
    </row>
    <row r="48" spans="1:7" x14ac:dyDescent="0.2">
      <c r="A48" s="162" t="s">
        <v>354</v>
      </c>
      <c r="B48" s="163">
        <v>7</v>
      </c>
      <c r="C48" s="106" t="str">
        <f t="shared" si="2"/>
        <v>Gore</v>
      </c>
      <c r="D48" s="164">
        <v>719142</v>
      </c>
      <c r="E48" s="164">
        <v>712547</v>
      </c>
      <c r="F48" s="110">
        <f t="shared" si="0"/>
        <v>6595</v>
      </c>
      <c r="G48" s="111">
        <f t="shared" si="1"/>
        <v>4.6064473499482081E-3</v>
      </c>
    </row>
    <row r="49" spans="1:7" x14ac:dyDescent="0.2">
      <c r="A49" s="162" t="s">
        <v>355</v>
      </c>
      <c r="B49" s="163">
        <v>23</v>
      </c>
      <c r="C49" s="106" t="str">
        <f t="shared" si="2"/>
        <v>Gore</v>
      </c>
      <c r="D49" s="164">
        <v>2465412</v>
      </c>
      <c r="E49" s="164">
        <v>2264309</v>
      </c>
      <c r="F49" s="110">
        <f t="shared" si="0"/>
        <v>201103</v>
      </c>
      <c r="G49" s="111">
        <f t="shared" si="1"/>
        <v>4.2518998477922905E-2</v>
      </c>
    </row>
    <row r="50" spans="1:7" x14ac:dyDescent="0.2">
      <c r="A50" s="162" t="s">
        <v>356</v>
      </c>
      <c r="B50" s="163">
        <v>4</v>
      </c>
      <c r="C50" s="106" t="str">
        <f t="shared" si="2"/>
        <v>Gore</v>
      </c>
      <c r="D50" s="164">
        <v>252844</v>
      </c>
      <c r="E50" s="164">
        <v>132212</v>
      </c>
      <c r="F50" s="110">
        <f t="shared" si="0"/>
        <v>120632</v>
      </c>
      <c r="G50" s="111">
        <f t="shared" si="1"/>
        <v>0.31328430150419678</v>
      </c>
    </row>
    <row r="51" spans="1:7" x14ac:dyDescent="0.2">
      <c r="A51" s="162" t="s">
        <v>357</v>
      </c>
      <c r="B51" s="163">
        <v>8</v>
      </c>
      <c r="C51" s="106" t="str">
        <f t="shared" si="2"/>
        <v>Bush</v>
      </c>
      <c r="D51" s="164">
        <v>578143</v>
      </c>
      <c r="E51" s="164">
        <v>804826</v>
      </c>
      <c r="F51" s="110">
        <f t="shared" si="0"/>
        <v>226683</v>
      </c>
      <c r="G51" s="111">
        <f t="shared" si="1"/>
        <v>0.16391039857003303</v>
      </c>
    </row>
    <row r="52" spans="1:7" x14ac:dyDescent="0.2">
      <c r="A52" s="162" t="s">
        <v>358</v>
      </c>
      <c r="B52" s="163">
        <v>3</v>
      </c>
      <c r="C52" s="106" t="str">
        <f t="shared" si="2"/>
        <v>Bush</v>
      </c>
      <c r="D52" s="164">
        <v>118750</v>
      </c>
      <c r="E52" s="164">
        <v>190515</v>
      </c>
      <c r="F52" s="110">
        <f t="shared" si="0"/>
        <v>71765</v>
      </c>
      <c r="G52" s="111">
        <f t="shared" si="1"/>
        <v>0.23205018349958773</v>
      </c>
    </row>
    <row r="53" spans="1:7" x14ac:dyDescent="0.2">
      <c r="A53" s="162" t="s">
        <v>359</v>
      </c>
      <c r="B53" s="163">
        <v>11</v>
      </c>
      <c r="C53" s="106" t="str">
        <f t="shared" si="2"/>
        <v>Bush</v>
      </c>
      <c r="D53" s="164">
        <v>980353</v>
      </c>
      <c r="E53" s="164">
        <v>1059842</v>
      </c>
      <c r="F53" s="110">
        <f t="shared" si="0"/>
        <v>79489</v>
      </c>
      <c r="G53" s="111">
        <f t="shared" si="1"/>
        <v>3.8961471820095628E-2</v>
      </c>
    </row>
    <row r="54" spans="1:7" x14ac:dyDescent="0.2">
      <c r="A54" s="162" t="s">
        <v>360</v>
      </c>
      <c r="B54" s="163">
        <v>32</v>
      </c>
      <c r="C54" s="106" t="str">
        <f t="shared" si="2"/>
        <v>Bush</v>
      </c>
      <c r="D54" s="164">
        <v>2428187</v>
      </c>
      <c r="E54" s="164">
        <v>3795262</v>
      </c>
      <c r="F54" s="110">
        <f t="shared" si="0"/>
        <v>1367075</v>
      </c>
      <c r="G54" s="111">
        <f t="shared" si="1"/>
        <v>0.21966517280048412</v>
      </c>
    </row>
    <row r="55" spans="1:7" x14ac:dyDescent="0.2">
      <c r="A55" s="162" t="s">
        <v>361</v>
      </c>
      <c r="B55" s="163">
        <v>5</v>
      </c>
      <c r="C55" s="106" t="str">
        <f t="shared" si="2"/>
        <v>Bush</v>
      </c>
      <c r="D55" s="164">
        <v>201732</v>
      </c>
      <c r="E55" s="164">
        <v>512161</v>
      </c>
      <c r="F55" s="110">
        <f t="shared" si="0"/>
        <v>310429</v>
      </c>
      <c r="G55" s="111">
        <f t="shared" si="1"/>
        <v>0.43483967485323433</v>
      </c>
    </row>
    <row r="56" spans="1:7" x14ac:dyDescent="0.2">
      <c r="A56" s="162" t="s">
        <v>362</v>
      </c>
      <c r="B56" s="163">
        <v>3</v>
      </c>
      <c r="C56" s="106" t="str">
        <f t="shared" si="2"/>
        <v>Gore</v>
      </c>
      <c r="D56" s="164">
        <v>148166</v>
      </c>
      <c r="E56" s="164">
        <v>119273</v>
      </c>
      <c r="F56" s="110">
        <f t="shared" si="0"/>
        <v>28893</v>
      </c>
      <c r="G56" s="111">
        <f t="shared" si="1"/>
        <v>0.10803585116606029</v>
      </c>
    </row>
    <row r="57" spans="1:7" x14ac:dyDescent="0.2">
      <c r="A57" s="162" t="s">
        <v>363</v>
      </c>
      <c r="B57" s="163">
        <v>13</v>
      </c>
      <c r="C57" s="106" t="str">
        <f t="shared" si="2"/>
        <v>Bush</v>
      </c>
      <c r="D57" s="164">
        <v>1213714</v>
      </c>
      <c r="E57" s="164">
        <v>1434754</v>
      </c>
      <c r="F57" s="110">
        <f t="shared" si="0"/>
        <v>221040</v>
      </c>
      <c r="G57" s="111">
        <f t="shared" si="1"/>
        <v>8.3459569834334418E-2</v>
      </c>
    </row>
    <row r="58" spans="1:7" x14ac:dyDescent="0.2">
      <c r="A58" s="162" t="s">
        <v>364</v>
      </c>
      <c r="B58" s="163">
        <v>11</v>
      </c>
      <c r="C58" s="106" t="str">
        <f t="shared" si="2"/>
        <v>Gore</v>
      </c>
      <c r="D58" s="164">
        <v>1246056</v>
      </c>
      <c r="E58" s="164">
        <v>1106465</v>
      </c>
      <c r="F58" s="110">
        <f t="shared" si="0"/>
        <v>139591</v>
      </c>
      <c r="G58" s="111">
        <f t="shared" si="1"/>
        <v>5.9336771063892735E-2</v>
      </c>
    </row>
    <row r="59" spans="1:7" x14ac:dyDescent="0.2">
      <c r="A59" s="162" t="s">
        <v>365</v>
      </c>
      <c r="B59" s="163">
        <v>5</v>
      </c>
      <c r="C59" s="106" t="str">
        <f t="shared" si="2"/>
        <v>Bush</v>
      </c>
      <c r="D59" s="164">
        <v>291204</v>
      </c>
      <c r="E59" s="164">
        <v>331871</v>
      </c>
      <c r="F59" s="110">
        <f t="shared" si="0"/>
        <v>40667</v>
      </c>
      <c r="G59" s="111">
        <f t="shared" si="1"/>
        <v>6.5268226136500421E-2</v>
      </c>
    </row>
    <row r="60" spans="1:7" x14ac:dyDescent="0.2">
      <c r="A60" s="162" t="s">
        <v>366</v>
      </c>
      <c r="B60" s="163">
        <v>11</v>
      </c>
      <c r="C60" s="106" t="str">
        <f t="shared" si="2"/>
        <v>Gore</v>
      </c>
      <c r="D60" s="164">
        <v>1242987</v>
      </c>
      <c r="E60" s="164">
        <v>1237279</v>
      </c>
      <c r="F60" s="110">
        <f t="shared" si="0"/>
        <v>5708</v>
      </c>
      <c r="G60" s="111">
        <f t="shared" si="1"/>
        <v>2.3013660631561292E-3</v>
      </c>
    </row>
    <row r="61" spans="1:7" x14ac:dyDescent="0.2">
      <c r="A61" s="162" t="s">
        <v>367</v>
      </c>
      <c r="B61" s="163">
        <v>3</v>
      </c>
      <c r="C61" s="106" t="str">
        <f t="shared" si="2"/>
        <v>Bush</v>
      </c>
      <c r="D61" s="164">
        <v>60421</v>
      </c>
      <c r="E61" s="164">
        <v>147674</v>
      </c>
      <c r="F61" s="110">
        <f t="shared" si="0"/>
        <v>87253</v>
      </c>
      <c r="G61" s="111">
        <f t="shared" si="1"/>
        <v>0.41929407241884714</v>
      </c>
    </row>
    <row r="62" spans="1:7" x14ac:dyDescent="0.2">
      <c r="A62" s="333"/>
      <c r="B62" s="334"/>
      <c r="C62" s="334"/>
      <c r="D62" s="333"/>
      <c r="E62" s="333"/>
      <c r="F62" s="333"/>
      <c r="G62" s="333"/>
    </row>
    <row r="63" spans="1:7" x14ac:dyDescent="0.2">
      <c r="C63" s="106"/>
    </row>
    <row r="64" spans="1:7" x14ac:dyDescent="0.2">
      <c r="C64" s="106"/>
    </row>
    <row r="65" spans="1:3" x14ac:dyDescent="0.2">
      <c r="C65" s="106"/>
    </row>
    <row r="66" spans="1:3" x14ac:dyDescent="0.2">
      <c r="A66" s="101" t="s">
        <v>368</v>
      </c>
      <c r="B66" s="112">
        <f ca="1">TODAY()</f>
        <v>44788</v>
      </c>
    </row>
    <row r="67" spans="1:3" x14ac:dyDescent="0.2">
      <c r="A67" s="101" t="s">
        <v>369</v>
      </c>
      <c r="B67" s="113">
        <v>365.25</v>
      </c>
    </row>
    <row r="68" spans="1:3" x14ac:dyDescent="0.2">
      <c r="A68" s="101" t="s">
        <v>370</v>
      </c>
      <c r="B68" s="114">
        <v>26018</v>
      </c>
    </row>
    <row r="69" spans="1:3" x14ac:dyDescent="0.2">
      <c r="A69" s="101" t="s">
        <v>371</v>
      </c>
      <c r="B69" s="115">
        <f ca="1">ROUNDDOWN(($B$66-B68)/$B$67,0)</f>
        <v>51</v>
      </c>
    </row>
    <row r="70" spans="1:3" x14ac:dyDescent="0.2">
      <c r="A70" s="101" t="s">
        <v>372</v>
      </c>
      <c r="B70" s="114">
        <v>36837</v>
      </c>
    </row>
    <row r="71" spans="1:3" x14ac:dyDescent="0.2">
      <c r="A71" s="101" t="s">
        <v>373</v>
      </c>
      <c r="B71" s="115">
        <f>ROUNDDOWN((B70-B68)/B67,0)</f>
        <v>29</v>
      </c>
    </row>
  </sheetData>
  <mergeCells count="1">
    <mergeCell ref="E6:F6"/>
  </mergeCells>
  <conditionalFormatting sqref="C11:C61">
    <cfRule type="cellIs" dxfId="10" priority="1" stopIfTrue="1" operator="equal">
      <formula>$C$6</formula>
    </cfRule>
    <cfRule type="cellIs" dxfId="9" priority="2" stopIfTrue="1" operator="equal">
      <formula>$B$6</formula>
    </cfRule>
  </conditionalFormatting>
  <pageMargins left="0.75" right="0.75" top="1" bottom="1" header="0.5" footer="0.5"/>
  <pageSetup scale="87" orientation="portrait" r:id="rId1"/>
  <headerFooter alignWithMargins="0"/>
  <rowBreaks count="1" manualBreakCount="1">
    <brk id="61" max="16383" man="1"/>
  </rowBreaks>
  <legacyDrawing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3234-D19C-4EC1-BF6A-B23D52C987A3}">
  <sheetPr codeName="Sheet53"/>
  <dimension ref="A1:G71"/>
  <sheetViews>
    <sheetView zoomScale="160" zoomScaleNormal="160" workbookViewId="0">
      <pane xSplit="1" ySplit="10" topLeftCell="B11" activePane="bottomRight" state="frozen"/>
      <selection activeCell="A62" sqref="A62:G62"/>
      <selection pane="topRight" activeCell="A62" sqref="A62:G62"/>
      <selection pane="bottomLeft" activeCell="A62" sqref="A62:G62"/>
      <selection pane="bottomRight" activeCell="C11" sqref="C11"/>
    </sheetView>
  </sheetViews>
  <sheetFormatPr defaultRowHeight="12.75" x14ac:dyDescent="0.2"/>
  <cols>
    <col min="1" max="1" width="21.7109375" style="101" customWidth="1"/>
    <col min="2" max="2" width="14.85546875" style="106" bestFit="1" customWidth="1"/>
    <col min="3" max="3" width="15.42578125" style="101" customWidth="1"/>
    <col min="4" max="4" width="10.5703125" style="101" bestFit="1" customWidth="1"/>
    <col min="5" max="5" width="10.42578125" style="101" bestFit="1" customWidth="1"/>
    <col min="6" max="7" width="11.5703125" style="101" bestFit="1" customWidth="1"/>
    <col min="8" max="256" width="9.140625" style="101"/>
    <col min="257" max="257" width="21.7109375" style="101" customWidth="1"/>
    <col min="258" max="258" width="14.85546875" style="101" bestFit="1" customWidth="1"/>
    <col min="259" max="259" width="15.42578125" style="101" customWidth="1"/>
    <col min="260" max="260" width="10.5703125" style="101" bestFit="1" customWidth="1"/>
    <col min="261" max="261" width="10.42578125" style="101" bestFit="1" customWidth="1"/>
    <col min="262" max="263" width="11.5703125" style="101" bestFit="1" customWidth="1"/>
    <col min="264" max="512" width="9.140625" style="101"/>
    <col min="513" max="513" width="21.7109375" style="101" customWidth="1"/>
    <col min="514" max="514" width="14.85546875" style="101" bestFit="1" customWidth="1"/>
    <col min="515" max="515" width="15.42578125" style="101" customWidth="1"/>
    <col min="516" max="516" width="10.5703125" style="101" bestFit="1" customWidth="1"/>
    <col min="517" max="517" width="10.42578125" style="101" bestFit="1" customWidth="1"/>
    <col min="518" max="519" width="11.5703125" style="101" bestFit="1" customWidth="1"/>
    <col min="520" max="768" width="9.140625" style="101"/>
    <col min="769" max="769" width="21.7109375" style="101" customWidth="1"/>
    <col min="770" max="770" width="14.85546875" style="101" bestFit="1" customWidth="1"/>
    <col min="771" max="771" width="15.42578125" style="101" customWidth="1"/>
    <col min="772" max="772" width="10.5703125" style="101" bestFit="1" customWidth="1"/>
    <col min="773" max="773" width="10.42578125" style="101" bestFit="1" customWidth="1"/>
    <col min="774" max="775" width="11.5703125" style="101" bestFit="1" customWidth="1"/>
    <col min="776" max="1024" width="9.140625" style="101"/>
    <col min="1025" max="1025" width="21.7109375" style="101" customWidth="1"/>
    <col min="1026" max="1026" width="14.85546875" style="101" bestFit="1" customWidth="1"/>
    <col min="1027" max="1027" width="15.42578125" style="101" customWidth="1"/>
    <col min="1028" max="1028" width="10.5703125" style="101" bestFit="1" customWidth="1"/>
    <col min="1029" max="1029" width="10.42578125" style="101" bestFit="1" customWidth="1"/>
    <col min="1030" max="1031" width="11.5703125" style="101" bestFit="1" customWidth="1"/>
    <col min="1032" max="1280" width="9.140625" style="101"/>
    <col min="1281" max="1281" width="21.7109375" style="101" customWidth="1"/>
    <col min="1282" max="1282" width="14.85546875" style="101" bestFit="1" customWidth="1"/>
    <col min="1283" max="1283" width="15.42578125" style="101" customWidth="1"/>
    <col min="1284" max="1284" width="10.5703125" style="101" bestFit="1" customWidth="1"/>
    <col min="1285" max="1285" width="10.42578125" style="101" bestFit="1" customWidth="1"/>
    <col min="1286" max="1287" width="11.5703125" style="101" bestFit="1" customWidth="1"/>
    <col min="1288" max="1536" width="9.140625" style="101"/>
    <col min="1537" max="1537" width="21.7109375" style="101" customWidth="1"/>
    <col min="1538" max="1538" width="14.85546875" style="101" bestFit="1" customWidth="1"/>
    <col min="1539" max="1539" width="15.42578125" style="101" customWidth="1"/>
    <col min="1540" max="1540" width="10.5703125" style="101" bestFit="1" customWidth="1"/>
    <col min="1541" max="1541" width="10.42578125" style="101" bestFit="1" customWidth="1"/>
    <col min="1542" max="1543" width="11.5703125" style="101" bestFit="1" customWidth="1"/>
    <col min="1544" max="1792" width="9.140625" style="101"/>
    <col min="1793" max="1793" width="21.7109375" style="101" customWidth="1"/>
    <col min="1794" max="1794" width="14.85546875" style="101" bestFit="1" customWidth="1"/>
    <col min="1795" max="1795" width="15.42578125" style="101" customWidth="1"/>
    <col min="1796" max="1796" width="10.5703125" style="101" bestFit="1" customWidth="1"/>
    <col min="1797" max="1797" width="10.42578125" style="101" bestFit="1" customWidth="1"/>
    <col min="1798" max="1799" width="11.5703125" style="101" bestFit="1" customWidth="1"/>
    <col min="1800" max="2048" width="9.140625" style="101"/>
    <col min="2049" max="2049" width="21.7109375" style="101" customWidth="1"/>
    <col min="2050" max="2050" width="14.85546875" style="101" bestFit="1" customWidth="1"/>
    <col min="2051" max="2051" width="15.42578125" style="101" customWidth="1"/>
    <col min="2052" max="2052" width="10.5703125" style="101" bestFit="1" customWidth="1"/>
    <col min="2053" max="2053" width="10.42578125" style="101" bestFit="1" customWidth="1"/>
    <col min="2054" max="2055" width="11.5703125" style="101" bestFit="1" customWidth="1"/>
    <col min="2056" max="2304" width="9.140625" style="101"/>
    <col min="2305" max="2305" width="21.7109375" style="101" customWidth="1"/>
    <col min="2306" max="2306" width="14.85546875" style="101" bestFit="1" customWidth="1"/>
    <col min="2307" max="2307" width="15.42578125" style="101" customWidth="1"/>
    <col min="2308" max="2308" width="10.5703125" style="101" bestFit="1" customWidth="1"/>
    <col min="2309" max="2309" width="10.42578125" style="101" bestFit="1" customWidth="1"/>
    <col min="2310" max="2311" width="11.5703125" style="101" bestFit="1" customWidth="1"/>
    <col min="2312" max="2560" width="9.140625" style="101"/>
    <col min="2561" max="2561" width="21.7109375" style="101" customWidth="1"/>
    <col min="2562" max="2562" width="14.85546875" style="101" bestFit="1" customWidth="1"/>
    <col min="2563" max="2563" width="15.42578125" style="101" customWidth="1"/>
    <col min="2564" max="2564" width="10.5703125" style="101" bestFit="1" customWidth="1"/>
    <col min="2565" max="2565" width="10.42578125" style="101" bestFit="1" customWidth="1"/>
    <col min="2566" max="2567" width="11.5703125" style="101" bestFit="1" customWidth="1"/>
    <col min="2568" max="2816" width="9.140625" style="101"/>
    <col min="2817" max="2817" width="21.7109375" style="101" customWidth="1"/>
    <col min="2818" max="2818" width="14.85546875" style="101" bestFit="1" customWidth="1"/>
    <col min="2819" max="2819" width="15.42578125" style="101" customWidth="1"/>
    <col min="2820" max="2820" width="10.5703125" style="101" bestFit="1" customWidth="1"/>
    <col min="2821" max="2821" width="10.42578125" style="101" bestFit="1" customWidth="1"/>
    <col min="2822" max="2823" width="11.5703125" style="101" bestFit="1" customWidth="1"/>
    <col min="2824" max="3072" width="9.140625" style="101"/>
    <col min="3073" max="3073" width="21.7109375" style="101" customWidth="1"/>
    <col min="3074" max="3074" width="14.85546875" style="101" bestFit="1" customWidth="1"/>
    <col min="3075" max="3075" width="15.42578125" style="101" customWidth="1"/>
    <col min="3076" max="3076" width="10.5703125" style="101" bestFit="1" customWidth="1"/>
    <col min="3077" max="3077" width="10.42578125" style="101" bestFit="1" customWidth="1"/>
    <col min="3078" max="3079" width="11.5703125" style="101" bestFit="1" customWidth="1"/>
    <col min="3080" max="3328" width="9.140625" style="101"/>
    <col min="3329" max="3329" width="21.7109375" style="101" customWidth="1"/>
    <col min="3330" max="3330" width="14.85546875" style="101" bestFit="1" customWidth="1"/>
    <col min="3331" max="3331" width="15.42578125" style="101" customWidth="1"/>
    <col min="3332" max="3332" width="10.5703125" style="101" bestFit="1" customWidth="1"/>
    <col min="3333" max="3333" width="10.42578125" style="101" bestFit="1" customWidth="1"/>
    <col min="3334" max="3335" width="11.5703125" style="101" bestFit="1" customWidth="1"/>
    <col min="3336" max="3584" width="9.140625" style="101"/>
    <col min="3585" max="3585" width="21.7109375" style="101" customWidth="1"/>
    <col min="3586" max="3586" width="14.85546875" style="101" bestFit="1" customWidth="1"/>
    <col min="3587" max="3587" width="15.42578125" style="101" customWidth="1"/>
    <col min="3588" max="3588" width="10.5703125" style="101" bestFit="1" customWidth="1"/>
    <col min="3589" max="3589" width="10.42578125" style="101" bestFit="1" customWidth="1"/>
    <col min="3590" max="3591" width="11.5703125" style="101" bestFit="1" customWidth="1"/>
    <col min="3592" max="3840" width="9.140625" style="101"/>
    <col min="3841" max="3841" width="21.7109375" style="101" customWidth="1"/>
    <col min="3842" max="3842" width="14.85546875" style="101" bestFit="1" customWidth="1"/>
    <col min="3843" max="3843" width="15.42578125" style="101" customWidth="1"/>
    <col min="3844" max="3844" width="10.5703125" style="101" bestFit="1" customWidth="1"/>
    <col min="3845" max="3845" width="10.42578125" style="101" bestFit="1" customWidth="1"/>
    <col min="3846" max="3847" width="11.5703125" style="101" bestFit="1" customWidth="1"/>
    <col min="3848" max="4096" width="9.140625" style="101"/>
    <col min="4097" max="4097" width="21.7109375" style="101" customWidth="1"/>
    <col min="4098" max="4098" width="14.85546875" style="101" bestFit="1" customWidth="1"/>
    <col min="4099" max="4099" width="15.42578125" style="101" customWidth="1"/>
    <col min="4100" max="4100" width="10.5703125" style="101" bestFit="1" customWidth="1"/>
    <col min="4101" max="4101" width="10.42578125" style="101" bestFit="1" customWidth="1"/>
    <col min="4102" max="4103" width="11.5703125" style="101" bestFit="1" customWidth="1"/>
    <col min="4104" max="4352" width="9.140625" style="101"/>
    <col min="4353" max="4353" width="21.7109375" style="101" customWidth="1"/>
    <col min="4354" max="4354" width="14.85546875" style="101" bestFit="1" customWidth="1"/>
    <col min="4355" max="4355" width="15.42578125" style="101" customWidth="1"/>
    <col min="4356" max="4356" width="10.5703125" style="101" bestFit="1" customWidth="1"/>
    <col min="4357" max="4357" width="10.42578125" style="101" bestFit="1" customWidth="1"/>
    <col min="4358" max="4359" width="11.5703125" style="101" bestFit="1" customWidth="1"/>
    <col min="4360" max="4608" width="9.140625" style="101"/>
    <col min="4609" max="4609" width="21.7109375" style="101" customWidth="1"/>
    <col min="4610" max="4610" width="14.85546875" style="101" bestFit="1" customWidth="1"/>
    <col min="4611" max="4611" width="15.42578125" style="101" customWidth="1"/>
    <col min="4612" max="4612" width="10.5703125" style="101" bestFit="1" customWidth="1"/>
    <col min="4613" max="4613" width="10.42578125" style="101" bestFit="1" customWidth="1"/>
    <col min="4614" max="4615" width="11.5703125" style="101" bestFit="1" customWidth="1"/>
    <col min="4616" max="4864" width="9.140625" style="101"/>
    <col min="4865" max="4865" width="21.7109375" style="101" customWidth="1"/>
    <col min="4866" max="4866" width="14.85546875" style="101" bestFit="1" customWidth="1"/>
    <col min="4867" max="4867" width="15.42578125" style="101" customWidth="1"/>
    <col min="4868" max="4868" width="10.5703125" style="101" bestFit="1" customWidth="1"/>
    <col min="4869" max="4869" width="10.42578125" style="101" bestFit="1" customWidth="1"/>
    <col min="4870" max="4871" width="11.5703125" style="101" bestFit="1" customWidth="1"/>
    <col min="4872" max="5120" width="9.140625" style="101"/>
    <col min="5121" max="5121" width="21.7109375" style="101" customWidth="1"/>
    <col min="5122" max="5122" width="14.85546875" style="101" bestFit="1" customWidth="1"/>
    <col min="5123" max="5123" width="15.42578125" style="101" customWidth="1"/>
    <col min="5124" max="5124" width="10.5703125" style="101" bestFit="1" customWidth="1"/>
    <col min="5125" max="5125" width="10.42578125" style="101" bestFit="1" customWidth="1"/>
    <col min="5126" max="5127" width="11.5703125" style="101" bestFit="1" customWidth="1"/>
    <col min="5128" max="5376" width="9.140625" style="101"/>
    <col min="5377" max="5377" width="21.7109375" style="101" customWidth="1"/>
    <col min="5378" max="5378" width="14.85546875" style="101" bestFit="1" customWidth="1"/>
    <col min="5379" max="5379" width="15.42578125" style="101" customWidth="1"/>
    <col min="5380" max="5380" width="10.5703125" style="101" bestFit="1" customWidth="1"/>
    <col min="5381" max="5381" width="10.42578125" style="101" bestFit="1" customWidth="1"/>
    <col min="5382" max="5383" width="11.5703125" style="101" bestFit="1" customWidth="1"/>
    <col min="5384" max="5632" width="9.140625" style="101"/>
    <col min="5633" max="5633" width="21.7109375" style="101" customWidth="1"/>
    <col min="5634" max="5634" width="14.85546875" style="101" bestFit="1" customWidth="1"/>
    <col min="5635" max="5635" width="15.42578125" style="101" customWidth="1"/>
    <col min="5636" max="5636" width="10.5703125" style="101" bestFit="1" customWidth="1"/>
    <col min="5637" max="5637" width="10.42578125" style="101" bestFit="1" customWidth="1"/>
    <col min="5638" max="5639" width="11.5703125" style="101" bestFit="1" customWidth="1"/>
    <col min="5640" max="5888" width="9.140625" style="101"/>
    <col min="5889" max="5889" width="21.7109375" style="101" customWidth="1"/>
    <col min="5890" max="5890" width="14.85546875" style="101" bestFit="1" customWidth="1"/>
    <col min="5891" max="5891" width="15.42578125" style="101" customWidth="1"/>
    <col min="5892" max="5892" width="10.5703125" style="101" bestFit="1" customWidth="1"/>
    <col min="5893" max="5893" width="10.42578125" style="101" bestFit="1" customWidth="1"/>
    <col min="5894" max="5895" width="11.5703125" style="101" bestFit="1" customWidth="1"/>
    <col min="5896" max="6144" width="9.140625" style="101"/>
    <col min="6145" max="6145" width="21.7109375" style="101" customWidth="1"/>
    <col min="6146" max="6146" width="14.85546875" style="101" bestFit="1" customWidth="1"/>
    <col min="6147" max="6147" width="15.42578125" style="101" customWidth="1"/>
    <col min="6148" max="6148" width="10.5703125" style="101" bestFit="1" customWidth="1"/>
    <col min="6149" max="6149" width="10.42578125" style="101" bestFit="1" customWidth="1"/>
    <col min="6150" max="6151" width="11.5703125" style="101" bestFit="1" customWidth="1"/>
    <col min="6152" max="6400" width="9.140625" style="101"/>
    <col min="6401" max="6401" width="21.7109375" style="101" customWidth="1"/>
    <col min="6402" max="6402" width="14.85546875" style="101" bestFit="1" customWidth="1"/>
    <col min="6403" max="6403" width="15.42578125" style="101" customWidth="1"/>
    <col min="6404" max="6404" width="10.5703125" style="101" bestFit="1" customWidth="1"/>
    <col min="6405" max="6405" width="10.42578125" style="101" bestFit="1" customWidth="1"/>
    <col min="6406" max="6407" width="11.5703125" style="101" bestFit="1" customWidth="1"/>
    <col min="6408" max="6656" width="9.140625" style="101"/>
    <col min="6657" max="6657" width="21.7109375" style="101" customWidth="1"/>
    <col min="6658" max="6658" width="14.85546875" style="101" bestFit="1" customWidth="1"/>
    <col min="6659" max="6659" width="15.42578125" style="101" customWidth="1"/>
    <col min="6660" max="6660" width="10.5703125" style="101" bestFit="1" customWidth="1"/>
    <col min="6661" max="6661" width="10.42578125" style="101" bestFit="1" customWidth="1"/>
    <col min="6662" max="6663" width="11.5703125" style="101" bestFit="1" customWidth="1"/>
    <col min="6664" max="6912" width="9.140625" style="101"/>
    <col min="6913" max="6913" width="21.7109375" style="101" customWidth="1"/>
    <col min="6914" max="6914" width="14.85546875" style="101" bestFit="1" customWidth="1"/>
    <col min="6915" max="6915" width="15.42578125" style="101" customWidth="1"/>
    <col min="6916" max="6916" width="10.5703125" style="101" bestFit="1" customWidth="1"/>
    <col min="6917" max="6917" width="10.42578125" style="101" bestFit="1" customWidth="1"/>
    <col min="6918" max="6919" width="11.5703125" style="101" bestFit="1" customWidth="1"/>
    <col min="6920" max="7168" width="9.140625" style="101"/>
    <col min="7169" max="7169" width="21.7109375" style="101" customWidth="1"/>
    <col min="7170" max="7170" width="14.85546875" style="101" bestFit="1" customWidth="1"/>
    <col min="7171" max="7171" width="15.42578125" style="101" customWidth="1"/>
    <col min="7172" max="7172" width="10.5703125" style="101" bestFit="1" customWidth="1"/>
    <col min="7173" max="7173" width="10.42578125" style="101" bestFit="1" customWidth="1"/>
    <col min="7174" max="7175" width="11.5703125" style="101" bestFit="1" customWidth="1"/>
    <col min="7176" max="7424" width="9.140625" style="101"/>
    <col min="7425" max="7425" width="21.7109375" style="101" customWidth="1"/>
    <col min="7426" max="7426" width="14.85546875" style="101" bestFit="1" customWidth="1"/>
    <col min="7427" max="7427" width="15.42578125" style="101" customWidth="1"/>
    <col min="7428" max="7428" width="10.5703125" style="101" bestFit="1" customWidth="1"/>
    <col min="7429" max="7429" width="10.42578125" style="101" bestFit="1" customWidth="1"/>
    <col min="7430" max="7431" width="11.5703125" style="101" bestFit="1" customWidth="1"/>
    <col min="7432" max="7680" width="9.140625" style="101"/>
    <col min="7681" max="7681" width="21.7109375" style="101" customWidth="1"/>
    <col min="7682" max="7682" width="14.85546875" style="101" bestFit="1" customWidth="1"/>
    <col min="7683" max="7683" width="15.42578125" style="101" customWidth="1"/>
    <col min="7684" max="7684" width="10.5703125" style="101" bestFit="1" customWidth="1"/>
    <col min="7685" max="7685" width="10.42578125" style="101" bestFit="1" customWidth="1"/>
    <col min="7686" max="7687" width="11.5703125" style="101" bestFit="1" customWidth="1"/>
    <col min="7688" max="7936" width="9.140625" style="101"/>
    <col min="7937" max="7937" width="21.7109375" style="101" customWidth="1"/>
    <col min="7938" max="7938" width="14.85546875" style="101" bestFit="1" customWidth="1"/>
    <col min="7939" max="7939" width="15.42578125" style="101" customWidth="1"/>
    <col min="7940" max="7940" width="10.5703125" style="101" bestFit="1" customWidth="1"/>
    <col min="7941" max="7941" width="10.42578125" style="101" bestFit="1" customWidth="1"/>
    <col min="7942" max="7943" width="11.5703125" style="101" bestFit="1" customWidth="1"/>
    <col min="7944" max="8192" width="9.140625" style="101"/>
    <col min="8193" max="8193" width="21.7109375" style="101" customWidth="1"/>
    <col min="8194" max="8194" width="14.85546875" style="101" bestFit="1" customWidth="1"/>
    <col min="8195" max="8195" width="15.42578125" style="101" customWidth="1"/>
    <col min="8196" max="8196" width="10.5703125" style="101" bestFit="1" customWidth="1"/>
    <col min="8197" max="8197" width="10.42578125" style="101" bestFit="1" customWidth="1"/>
    <col min="8198" max="8199" width="11.5703125" style="101" bestFit="1" customWidth="1"/>
    <col min="8200" max="8448" width="9.140625" style="101"/>
    <col min="8449" max="8449" width="21.7109375" style="101" customWidth="1"/>
    <col min="8450" max="8450" width="14.85546875" style="101" bestFit="1" customWidth="1"/>
    <col min="8451" max="8451" width="15.42578125" style="101" customWidth="1"/>
    <col min="8452" max="8452" width="10.5703125" style="101" bestFit="1" customWidth="1"/>
    <col min="8453" max="8453" width="10.42578125" style="101" bestFit="1" customWidth="1"/>
    <col min="8454" max="8455" width="11.5703125" style="101" bestFit="1" customWidth="1"/>
    <col min="8456" max="8704" width="9.140625" style="101"/>
    <col min="8705" max="8705" width="21.7109375" style="101" customWidth="1"/>
    <col min="8706" max="8706" width="14.85546875" style="101" bestFit="1" customWidth="1"/>
    <col min="8707" max="8707" width="15.42578125" style="101" customWidth="1"/>
    <col min="8708" max="8708" width="10.5703125" style="101" bestFit="1" customWidth="1"/>
    <col min="8709" max="8709" width="10.42578125" style="101" bestFit="1" customWidth="1"/>
    <col min="8710" max="8711" width="11.5703125" style="101" bestFit="1" customWidth="1"/>
    <col min="8712" max="8960" width="9.140625" style="101"/>
    <col min="8961" max="8961" width="21.7109375" style="101" customWidth="1"/>
    <col min="8962" max="8962" width="14.85546875" style="101" bestFit="1" customWidth="1"/>
    <col min="8963" max="8963" width="15.42578125" style="101" customWidth="1"/>
    <col min="8964" max="8964" width="10.5703125" style="101" bestFit="1" customWidth="1"/>
    <col min="8965" max="8965" width="10.42578125" style="101" bestFit="1" customWidth="1"/>
    <col min="8966" max="8967" width="11.5703125" style="101" bestFit="1" customWidth="1"/>
    <col min="8968" max="9216" width="9.140625" style="101"/>
    <col min="9217" max="9217" width="21.7109375" style="101" customWidth="1"/>
    <col min="9218" max="9218" width="14.85546875" style="101" bestFit="1" customWidth="1"/>
    <col min="9219" max="9219" width="15.42578125" style="101" customWidth="1"/>
    <col min="9220" max="9220" width="10.5703125" style="101" bestFit="1" customWidth="1"/>
    <col min="9221" max="9221" width="10.42578125" style="101" bestFit="1" customWidth="1"/>
    <col min="9222" max="9223" width="11.5703125" style="101" bestFit="1" customWidth="1"/>
    <col min="9224" max="9472" width="9.140625" style="101"/>
    <col min="9473" max="9473" width="21.7109375" style="101" customWidth="1"/>
    <col min="9474" max="9474" width="14.85546875" style="101" bestFit="1" customWidth="1"/>
    <col min="9475" max="9475" width="15.42578125" style="101" customWidth="1"/>
    <col min="9476" max="9476" width="10.5703125" style="101" bestFit="1" customWidth="1"/>
    <col min="9477" max="9477" width="10.42578125" style="101" bestFit="1" customWidth="1"/>
    <col min="9478" max="9479" width="11.5703125" style="101" bestFit="1" customWidth="1"/>
    <col min="9480" max="9728" width="9.140625" style="101"/>
    <col min="9729" max="9729" width="21.7109375" style="101" customWidth="1"/>
    <col min="9730" max="9730" width="14.85546875" style="101" bestFit="1" customWidth="1"/>
    <col min="9731" max="9731" width="15.42578125" style="101" customWidth="1"/>
    <col min="9732" max="9732" width="10.5703125" style="101" bestFit="1" customWidth="1"/>
    <col min="9733" max="9733" width="10.42578125" style="101" bestFit="1" customWidth="1"/>
    <col min="9734" max="9735" width="11.5703125" style="101" bestFit="1" customWidth="1"/>
    <col min="9736" max="9984" width="9.140625" style="101"/>
    <col min="9985" max="9985" width="21.7109375" style="101" customWidth="1"/>
    <col min="9986" max="9986" width="14.85546875" style="101" bestFit="1" customWidth="1"/>
    <col min="9987" max="9987" width="15.42578125" style="101" customWidth="1"/>
    <col min="9988" max="9988" width="10.5703125" style="101" bestFit="1" customWidth="1"/>
    <col min="9989" max="9989" width="10.42578125" style="101" bestFit="1" customWidth="1"/>
    <col min="9990" max="9991" width="11.5703125" style="101" bestFit="1" customWidth="1"/>
    <col min="9992" max="10240" width="9.140625" style="101"/>
    <col min="10241" max="10241" width="21.7109375" style="101" customWidth="1"/>
    <col min="10242" max="10242" width="14.85546875" style="101" bestFit="1" customWidth="1"/>
    <col min="10243" max="10243" width="15.42578125" style="101" customWidth="1"/>
    <col min="10244" max="10244" width="10.5703125" style="101" bestFit="1" customWidth="1"/>
    <col min="10245" max="10245" width="10.42578125" style="101" bestFit="1" customWidth="1"/>
    <col min="10246" max="10247" width="11.5703125" style="101" bestFit="1" customWidth="1"/>
    <col min="10248" max="10496" width="9.140625" style="101"/>
    <col min="10497" max="10497" width="21.7109375" style="101" customWidth="1"/>
    <col min="10498" max="10498" width="14.85546875" style="101" bestFit="1" customWidth="1"/>
    <col min="10499" max="10499" width="15.42578125" style="101" customWidth="1"/>
    <col min="10500" max="10500" width="10.5703125" style="101" bestFit="1" customWidth="1"/>
    <col min="10501" max="10501" width="10.42578125" style="101" bestFit="1" customWidth="1"/>
    <col min="10502" max="10503" width="11.5703125" style="101" bestFit="1" customWidth="1"/>
    <col min="10504" max="10752" width="9.140625" style="101"/>
    <col min="10753" max="10753" width="21.7109375" style="101" customWidth="1"/>
    <col min="10754" max="10754" width="14.85546875" style="101" bestFit="1" customWidth="1"/>
    <col min="10755" max="10755" width="15.42578125" style="101" customWidth="1"/>
    <col min="10756" max="10756" width="10.5703125" style="101" bestFit="1" customWidth="1"/>
    <col min="10757" max="10757" width="10.42578125" style="101" bestFit="1" customWidth="1"/>
    <col min="10758" max="10759" width="11.5703125" style="101" bestFit="1" customWidth="1"/>
    <col min="10760" max="11008" width="9.140625" style="101"/>
    <col min="11009" max="11009" width="21.7109375" style="101" customWidth="1"/>
    <col min="11010" max="11010" width="14.85546875" style="101" bestFit="1" customWidth="1"/>
    <col min="11011" max="11011" width="15.42578125" style="101" customWidth="1"/>
    <col min="11012" max="11012" width="10.5703125" style="101" bestFit="1" customWidth="1"/>
    <col min="11013" max="11013" width="10.42578125" style="101" bestFit="1" customWidth="1"/>
    <col min="11014" max="11015" width="11.5703125" style="101" bestFit="1" customWidth="1"/>
    <col min="11016" max="11264" width="9.140625" style="101"/>
    <col min="11265" max="11265" width="21.7109375" style="101" customWidth="1"/>
    <col min="11266" max="11266" width="14.85546875" style="101" bestFit="1" customWidth="1"/>
    <col min="11267" max="11267" width="15.42578125" style="101" customWidth="1"/>
    <col min="11268" max="11268" width="10.5703125" style="101" bestFit="1" customWidth="1"/>
    <col min="11269" max="11269" width="10.42578125" style="101" bestFit="1" customWidth="1"/>
    <col min="11270" max="11271" width="11.5703125" style="101" bestFit="1" customWidth="1"/>
    <col min="11272" max="11520" width="9.140625" style="101"/>
    <col min="11521" max="11521" width="21.7109375" style="101" customWidth="1"/>
    <col min="11522" max="11522" width="14.85546875" style="101" bestFit="1" customWidth="1"/>
    <col min="11523" max="11523" width="15.42578125" style="101" customWidth="1"/>
    <col min="11524" max="11524" width="10.5703125" style="101" bestFit="1" customWidth="1"/>
    <col min="11525" max="11525" width="10.42578125" style="101" bestFit="1" customWidth="1"/>
    <col min="11526" max="11527" width="11.5703125" style="101" bestFit="1" customWidth="1"/>
    <col min="11528" max="11776" width="9.140625" style="101"/>
    <col min="11777" max="11777" width="21.7109375" style="101" customWidth="1"/>
    <col min="11778" max="11778" width="14.85546875" style="101" bestFit="1" customWidth="1"/>
    <col min="11779" max="11779" width="15.42578125" style="101" customWidth="1"/>
    <col min="11780" max="11780" width="10.5703125" style="101" bestFit="1" customWidth="1"/>
    <col min="11781" max="11781" width="10.42578125" style="101" bestFit="1" customWidth="1"/>
    <col min="11782" max="11783" width="11.5703125" style="101" bestFit="1" customWidth="1"/>
    <col min="11784" max="12032" width="9.140625" style="101"/>
    <col min="12033" max="12033" width="21.7109375" style="101" customWidth="1"/>
    <col min="12034" max="12034" width="14.85546875" style="101" bestFit="1" customWidth="1"/>
    <col min="12035" max="12035" width="15.42578125" style="101" customWidth="1"/>
    <col min="12036" max="12036" width="10.5703125" style="101" bestFit="1" customWidth="1"/>
    <col min="12037" max="12037" width="10.42578125" style="101" bestFit="1" customWidth="1"/>
    <col min="12038" max="12039" width="11.5703125" style="101" bestFit="1" customWidth="1"/>
    <col min="12040" max="12288" width="9.140625" style="101"/>
    <col min="12289" max="12289" width="21.7109375" style="101" customWidth="1"/>
    <col min="12290" max="12290" width="14.85546875" style="101" bestFit="1" customWidth="1"/>
    <col min="12291" max="12291" width="15.42578125" style="101" customWidth="1"/>
    <col min="12292" max="12292" width="10.5703125" style="101" bestFit="1" customWidth="1"/>
    <col min="12293" max="12293" width="10.42578125" style="101" bestFit="1" customWidth="1"/>
    <col min="12294" max="12295" width="11.5703125" style="101" bestFit="1" customWidth="1"/>
    <col min="12296" max="12544" width="9.140625" style="101"/>
    <col min="12545" max="12545" width="21.7109375" style="101" customWidth="1"/>
    <col min="12546" max="12546" width="14.85546875" style="101" bestFit="1" customWidth="1"/>
    <col min="12547" max="12547" width="15.42578125" style="101" customWidth="1"/>
    <col min="12548" max="12548" width="10.5703125" style="101" bestFit="1" customWidth="1"/>
    <col min="12549" max="12549" width="10.42578125" style="101" bestFit="1" customWidth="1"/>
    <col min="12550" max="12551" width="11.5703125" style="101" bestFit="1" customWidth="1"/>
    <col min="12552" max="12800" width="9.140625" style="101"/>
    <col min="12801" max="12801" width="21.7109375" style="101" customWidth="1"/>
    <col min="12802" max="12802" width="14.85546875" style="101" bestFit="1" customWidth="1"/>
    <col min="12803" max="12803" width="15.42578125" style="101" customWidth="1"/>
    <col min="12804" max="12804" width="10.5703125" style="101" bestFit="1" customWidth="1"/>
    <col min="12805" max="12805" width="10.42578125" style="101" bestFit="1" customWidth="1"/>
    <col min="12806" max="12807" width="11.5703125" style="101" bestFit="1" customWidth="1"/>
    <col min="12808" max="13056" width="9.140625" style="101"/>
    <col min="13057" max="13057" width="21.7109375" style="101" customWidth="1"/>
    <col min="13058" max="13058" width="14.85546875" style="101" bestFit="1" customWidth="1"/>
    <col min="13059" max="13059" width="15.42578125" style="101" customWidth="1"/>
    <col min="13060" max="13060" width="10.5703125" style="101" bestFit="1" customWidth="1"/>
    <col min="13061" max="13061" width="10.42578125" style="101" bestFit="1" customWidth="1"/>
    <col min="13062" max="13063" width="11.5703125" style="101" bestFit="1" customWidth="1"/>
    <col min="13064" max="13312" width="9.140625" style="101"/>
    <col min="13313" max="13313" width="21.7109375" style="101" customWidth="1"/>
    <col min="13314" max="13314" width="14.85546875" style="101" bestFit="1" customWidth="1"/>
    <col min="13315" max="13315" width="15.42578125" style="101" customWidth="1"/>
    <col min="13316" max="13316" width="10.5703125" style="101" bestFit="1" customWidth="1"/>
    <col min="13317" max="13317" width="10.42578125" style="101" bestFit="1" customWidth="1"/>
    <col min="13318" max="13319" width="11.5703125" style="101" bestFit="1" customWidth="1"/>
    <col min="13320" max="13568" width="9.140625" style="101"/>
    <col min="13569" max="13569" width="21.7109375" style="101" customWidth="1"/>
    <col min="13570" max="13570" width="14.85546875" style="101" bestFit="1" customWidth="1"/>
    <col min="13571" max="13571" width="15.42578125" style="101" customWidth="1"/>
    <col min="13572" max="13572" width="10.5703125" style="101" bestFit="1" customWidth="1"/>
    <col min="13573" max="13573" width="10.42578125" style="101" bestFit="1" customWidth="1"/>
    <col min="13574" max="13575" width="11.5703125" style="101" bestFit="1" customWidth="1"/>
    <col min="13576" max="13824" width="9.140625" style="101"/>
    <col min="13825" max="13825" width="21.7109375" style="101" customWidth="1"/>
    <col min="13826" max="13826" width="14.85546875" style="101" bestFit="1" customWidth="1"/>
    <col min="13827" max="13827" width="15.42578125" style="101" customWidth="1"/>
    <col min="13828" max="13828" width="10.5703125" style="101" bestFit="1" customWidth="1"/>
    <col min="13829" max="13829" width="10.42578125" style="101" bestFit="1" customWidth="1"/>
    <col min="13830" max="13831" width="11.5703125" style="101" bestFit="1" customWidth="1"/>
    <col min="13832" max="14080" width="9.140625" style="101"/>
    <col min="14081" max="14081" width="21.7109375" style="101" customWidth="1"/>
    <col min="14082" max="14082" width="14.85546875" style="101" bestFit="1" customWidth="1"/>
    <col min="14083" max="14083" width="15.42578125" style="101" customWidth="1"/>
    <col min="14084" max="14084" width="10.5703125" style="101" bestFit="1" customWidth="1"/>
    <col min="14085" max="14085" width="10.42578125" style="101" bestFit="1" customWidth="1"/>
    <col min="14086" max="14087" width="11.5703125" style="101" bestFit="1" customWidth="1"/>
    <col min="14088" max="14336" width="9.140625" style="101"/>
    <col min="14337" max="14337" width="21.7109375" style="101" customWidth="1"/>
    <col min="14338" max="14338" width="14.85546875" style="101" bestFit="1" customWidth="1"/>
    <col min="14339" max="14339" width="15.42578125" style="101" customWidth="1"/>
    <col min="14340" max="14340" width="10.5703125" style="101" bestFit="1" customWidth="1"/>
    <col min="14341" max="14341" width="10.42578125" style="101" bestFit="1" customWidth="1"/>
    <col min="14342" max="14343" width="11.5703125" style="101" bestFit="1" customWidth="1"/>
    <col min="14344" max="14592" width="9.140625" style="101"/>
    <col min="14593" max="14593" width="21.7109375" style="101" customWidth="1"/>
    <col min="14594" max="14594" width="14.85546875" style="101" bestFit="1" customWidth="1"/>
    <col min="14595" max="14595" width="15.42578125" style="101" customWidth="1"/>
    <col min="14596" max="14596" width="10.5703125" style="101" bestFit="1" customWidth="1"/>
    <col min="14597" max="14597" width="10.42578125" style="101" bestFit="1" customWidth="1"/>
    <col min="14598" max="14599" width="11.5703125" style="101" bestFit="1" customWidth="1"/>
    <col min="14600" max="14848" width="9.140625" style="101"/>
    <col min="14849" max="14849" width="21.7109375" style="101" customWidth="1"/>
    <col min="14850" max="14850" width="14.85546875" style="101" bestFit="1" customWidth="1"/>
    <col min="14851" max="14851" width="15.42578125" style="101" customWidth="1"/>
    <col min="14852" max="14852" width="10.5703125" style="101" bestFit="1" customWidth="1"/>
    <col min="14853" max="14853" width="10.42578125" style="101" bestFit="1" customWidth="1"/>
    <col min="14854" max="14855" width="11.5703125" style="101" bestFit="1" customWidth="1"/>
    <col min="14856" max="15104" width="9.140625" style="101"/>
    <col min="15105" max="15105" width="21.7109375" style="101" customWidth="1"/>
    <col min="15106" max="15106" width="14.85546875" style="101" bestFit="1" customWidth="1"/>
    <col min="15107" max="15107" width="15.42578125" style="101" customWidth="1"/>
    <col min="15108" max="15108" width="10.5703125" style="101" bestFit="1" customWidth="1"/>
    <col min="15109" max="15109" width="10.42578125" style="101" bestFit="1" customWidth="1"/>
    <col min="15110" max="15111" width="11.5703125" style="101" bestFit="1" customWidth="1"/>
    <col min="15112" max="15360" width="9.140625" style="101"/>
    <col min="15361" max="15361" width="21.7109375" style="101" customWidth="1"/>
    <col min="15362" max="15362" width="14.85546875" style="101" bestFit="1" customWidth="1"/>
    <col min="15363" max="15363" width="15.42578125" style="101" customWidth="1"/>
    <col min="15364" max="15364" width="10.5703125" style="101" bestFit="1" customWidth="1"/>
    <col min="15365" max="15365" width="10.42578125" style="101" bestFit="1" customWidth="1"/>
    <col min="15366" max="15367" width="11.5703125" style="101" bestFit="1" customWidth="1"/>
    <col min="15368" max="15616" width="9.140625" style="101"/>
    <col min="15617" max="15617" width="21.7109375" style="101" customWidth="1"/>
    <col min="15618" max="15618" width="14.85546875" style="101" bestFit="1" customWidth="1"/>
    <col min="15619" max="15619" width="15.42578125" style="101" customWidth="1"/>
    <col min="15620" max="15620" width="10.5703125" style="101" bestFit="1" customWidth="1"/>
    <col min="15621" max="15621" width="10.42578125" style="101" bestFit="1" customWidth="1"/>
    <col min="15622" max="15623" width="11.5703125" style="101" bestFit="1" customWidth="1"/>
    <col min="15624" max="15872" width="9.140625" style="101"/>
    <col min="15873" max="15873" width="21.7109375" style="101" customWidth="1"/>
    <col min="15874" max="15874" width="14.85546875" style="101" bestFit="1" customWidth="1"/>
    <col min="15875" max="15875" width="15.42578125" style="101" customWidth="1"/>
    <col min="15876" max="15876" width="10.5703125" style="101" bestFit="1" customWidth="1"/>
    <col min="15877" max="15877" width="10.42578125" style="101" bestFit="1" customWidth="1"/>
    <col min="15878" max="15879" width="11.5703125" style="101" bestFit="1" customWidth="1"/>
    <col min="15880" max="16128" width="9.140625" style="101"/>
    <col min="16129" max="16129" width="21.7109375" style="101" customWidth="1"/>
    <col min="16130" max="16130" width="14.85546875" style="101" bestFit="1" customWidth="1"/>
    <col min="16131" max="16131" width="15.42578125" style="101" customWidth="1"/>
    <col min="16132" max="16132" width="10.5703125" style="101" bestFit="1" customWidth="1"/>
    <col min="16133" max="16133" width="10.42578125" style="101" bestFit="1" customWidth="1"/>
    <col min="16134" max="16135" width="11.5703125" style="101" bestFit="1" customWidth="1"/>
    <col min="16136" max="16384" width="9.140625" style="101"/>
  </cols>
  <sheetData>
    <row r="1" spans="1:7" ht="18" x14ac:dyDescent="0.2">
      <c r="A1" s="214" t="s">
        <v>770</v>
      </c>
      <c r="B1" s="187"/>
      <c r="C1" s="187"/>
      <c r="D1" s="187"/>
      <c r="E1" s="187"/>
      <c r="F1" s="187"/>
      <c r="G1" s="187"/>
    </row>
    <row r="2" spans="1:7" s="162" customFormat="1" hidden="1" x14ac:dyDescent="0.2">
      <c r="A2" s="162" t="s">
        <v>532</v>
      </c>
      <c r="B2" s="320">
        <v>4.4907407407407405E-3</v>
      </c>
    </row>
    <row r="3" spans="1:7" x14ac:dyDescent="0.2">
      <c r="A3" s="231" t="str">
        <f>IF(A2="","",IF(Disable_Video_Hyperlinks,A2,HYPERLINK(Video_website&amp;A2,A2)))</f>
        <v>UNC_DAYT_EXCEL_2.7.6_LECTURE_IFS_&amp;_COMPLEX_CRITERIA.mp4</v>
      </c>
      <c r="B3" s="101"/>
    </row>
    <row r="4" spans="1:7" x14ac:dyDescent="0.2">
      <c r="A4" s="309">
        <f>IF(B2="","",B2)</f>
        <v>4.4907407407407405E-3</v>
      </c>
      <c r="B4" s="101"/>
    </row>
    <row r="5" spans="1:7" ht="18" x14ac:dyDescent="0.2">
      <c r="A5" s="214" t="s">
        <v>307</v>
      </c>
      <c r="B5" s="372"/>
      <c r="C5" s="372"/>
      <c r="D5" s="372"/>
      <c r="E5" s="372"/>
      <c r="F5" s="372"/>
      <c r="G5" s="372"/>
    </row>
    <row r="6" spans="1:7" x14ac:dyDescent="0.2">
      <c r="B6" s="104" t="s">
        <v>308</v>
      </c>
      <c r="C6" s="105" t="s">
        <v>309</v>
      </c>
      <c r="E6" s="405"/>
      <c r="F6" s="405"/>
      <c r="G6" s="106"/>
    </row>
    <row r="7" spans="1:7" x14ac:dyDescent="0.2">
      <c r="A7" s="107" t="s">
        <v>310</v>
      </c>
      <c r="B7" s="108">
        <f>SUM(D11:D61)</f>
        <v>50133912</v>
      </c>
      <c r="C7" s="108">
        <f>SUM(E11:E61)</f>
        <v>49805216</v>
      </c>
      <c r="E7" s="106"/>
      <c r="F7" s="106"/>
      <c r="G7" s="106"/>
    </row>
    <row r="8" spans="1:7" x14ac:dyDescent="0.2">
      <c r="A8" s="107" t="s">
        <v>311</v>
      </c>
      <c r="B8" s="101">
        <f>SUMIF($C$11:$C$61,B$6,$B$11:$B$61)</f>
        <v>267</v>
      </c>
      <c r="C8" s="101">
        <f>SUMIF($C$11:$C$61,C$6,$B$11:$B$61)</f>
        <v>271</v>
      </c>
      <c r="E8" s="104"/>
      <c r="F8" s="105"/>
    </row>
    <row r="10" spans="1:7" x14ac:dyDescent="0.2">
      <c r="A10" s="332" t="s">
        <v>312</v>
      </c>
      <c r="B10" s="332" t="s">
        <v>313</v>
      </c>
      <c r="C10" s="332" t="s">
        <v>314</v>
      </c>
      <c r="D10" s="332" t="s">
        <v>308</v>
      </c>
      <c r="E10" s="332" t="s">
        <v>309</v>
      </c>
      <c r="F10" s="332" t="s">
        <v>315</v>
      </c>
      <c r="G10" s="332" t="s">
        <v>316</v>
      </c>
    </row>
    <row r="11" spans="1:7" x14ac:dyDescent="0.2">
      <c r="A11" s="162" t="s">
        <v>317</v>
      </c>
      <c r="B11" s="163">
        <v>9</v>
      </c>
      <c r="C11" s="109" t="str" cm="1">
        <f t="array" ref="C11">_xlfn.IFS(D11&gt;E11,D$10,E11&gt;D11,E$10,D11=E11,"Tie")</f>
        <v>Bush</v>
      </c>
      <c r="D11" s="164">
        <v>696741</v>
      </c>
      <c r="E11" s="164">
        <v>943799</v>
      </c>
      <c r="F11" s="110">
        <f t="shared" ref="F11:F61" si="0">ABS(D11-E11)</f>
        <v>247058</v>
      </c>
      <c r="G11" s="111">
        <f t="shared" ref="G11:G61" si="1">F11/(D11+E11)</f>
        <v>0.15059553561632147</v>
      </c>
    </row>
    <row r="12" spans="1:7" x14ac:dyDescent="0.2">
      <c r="A12" s="162" t="s">
        <v>318</v>
      </c>
      <c r="B12" s="163">
        <v>3</v>
      </c>
      <c r="C12" s="109" t="str" cm="1">
        <f t="array" ref="C12">_xlfn.IFS(D12&gt;E12,D$10,E12&gt;D12,E$10,D12=E12,"Tie")</f>
        <v>Bush</v>
      </c>
      <c r="D12" s="164">
        <v>64252</v>
      </c>
      <c r="E12" s="164">
        <v>136068</v>
      </c>
      <c r="F12" s="110">
        <f t="shared" si="0"/>
        <v>71816</v>
      </c>
      <c r="G12" s="111">
        <f t="shared" si="1"/>
        <v>0.35850638977635785</v>
      </c>
    </row>
    <row r="13" spans="1:7" x14ac:dyDescent="0.2">
      <c r="A13" s="162" t="s">
        <v>319</v>
      </c>
      <c r="B13" s="163">
        <v>8</v>
      </c>
      <c r="C13" s="109" t="str" cm="1">
        <f t="array" ref="C13">_xlfn.IFS(D13&gt;E13,D$10,E13&gt;D13,E$10,D13=E13,"Tie")</f>
        <v>Bush</v>
      </c>
      <c r="D13" s="164">
        <v>635730</v>
      </c>
      <c r="E13" s="164">
        <v>715112</v>
      </c>
      <c r="F13" s="110">
        <f t="shared" si="0"/>
        <v>79382</v>
      </c>
      <c r="G13" s="111">
        <f t="shared" si="1"/>
        <v>5.8764829639587755E-2</v>
      </c>
    </row>
    <row r="14" spans="1:7" x14ac:dyDescent="0.2">
      <c r="A14" s="162" t="s">
        <v>320</v>
      </c>
      <c r="B14" s="163">
        <v>6</v>
      </c>
      <c r="C14" s="109" t="str" cm="1">
        <f t="array" ref="C14">_xlfn.IFS(D14&gt;E14,D$10,E14&gt;D14,E$10,D14=E14,"Tie")</f>
        <v>Bush</v>
      </c>
      <c r="D14" s="164">
        <v>421136</v>
      </c>
      <c r="E14" s="164">
        <v>471800</v>
      </c>
      <c r="F14" s="110">
        <f t="shared" si="0"/>
        <v>50664</v>
      </c>
      <c r="G14" s="111">
        <f t="shared" si="1"/>
        <v>5.6738668840767982E-2</v>
      </c>
    </row>
    <row r="15" spans="1:7" x14ac:dyDescent="0.2">
      <c r="A15" s="162" t="s">
        <v>321</v>
      </c>
      <c r="B15" s="163">
        <v>54</v>
      </c>
      <c r="C15" s="109" t="str" cm="1">
        <f t="array" ref="C15">_xlfn.IFS(D15&gt;E15,D$10,E15&gt;D15,E$10,D15=E15,"Tie")</f>
        <v>Gore</v>
      </c>
      <c r="D15" s="164">
        <v>5699920</v>
      </c>
      <c r="E15" s="164">
        <v>4425572</v>
      </c>
      <c r="F15" s="110">
        <f t="shared" si="0"/>
        <v>1274348</v>
      </c>
      <c r="G15" s="111">
        <f t="shared" si="1"/>
        <v>0.12585541522328</v>
      </c>
    </row>
    <row r="16" spans="1:7" x14ac:dyDescent="0.2">
      <c r="A16" s="162" t="s">
        <v>322</v>
      </c>
      <c r="B16" s="163">
        <v>8</v>
      </c>
      <c r="C16" s="109" t="str" cm="1">
        <f t="array" ref="C16">_xlfn.IFS(D16&gt;E16,D$10,E16&gt;D16,E$10,D16=E16,"Tie")</f>
        <v>Bush</v>
      </c>
      <c r="D16" s="164">
        <v>738718</v>
      </c>
      <c r="E16" s="164">
        <v>885147</v>
      </c>
      <c r="F16" s="110">
        <f t="shared" si="0"/>
        <v>146429</v>
      </c>
      <c r="G16" s="111">
        <f t="shared" si="1"/>
        <v>9.0173136313671395E-2</v>
      </c>
    </row>
    <row r="17" spans="1:7" x14ac:dyDescent="0.2">
      <c r="A17" s="162" t="s">
        <v>323</v>
      </c>
      <c r="B17" s="163">
        <v>8</v>
      </c>
      <c r="C17" s="109" t="str" cm="1">
        <f t="array" ref="C17">_xlfn.IFS(D17&gt;E17,D$10,E17&gt;D17,E$10,D17=E17,"Tie")</f>
        <v>Gore</v>
      </c>
      <c r="D17" s="164">
        <v>808955</v>
      </c>
      <c r="E17" s="164">
        <v>558069</v>
      </c>
      <c r="F17" s="110">
        <f t="shared" si="0"/>
        <v>250886</v>
      </c>
      <c r="G17" s="111">
        <f t="shared" si="1"/>
        <v>0.18352713631947939</v>
      </c>
    </row>
    <row r="18" spans="1:7" x14ac:dyDescent="0.2">
      <c r="A18" s="162" t="s">
        <v>324</v>
      </c>
      <c r="B18" s="163">
        <v>3</v>
      </c>
      <c r="C18" s="109" t="str" cm="1">
        <f t="array" ref="C18">_xlfn.IFS(D18&gt;E18,D$10,E18&gt;D18,E$10,D18=E18,"Tie")</f>
        <v>Gore</v>
      </c>
      <c r="D18" s="164">
        <v>180638</v>
      </c>
      <c r="E18" s="164">
        <v>137081</v>
      </c>
      <c r="F18" s="110">
        <f t="shared" si="0"/>
        <v>43557</v>
      </c>
      <c r="G18" s="111">
        <f t="shared" si="1"/>
        <v>0.13709283989940796</v>
      </c>
    </row>
    <row r="19" spans="1:7" x14ac:dyDescent="0.2">
      <c r="A19" s="162" t="s">
        <v>325</v>
      </c>
      <c r="B19" s="163">
        <v>3</v>
      </c>
      <c r="C19" s="109" t="str" cm="1">
        <f t="array" ref="C19">_xlfn.IFS(D19&gt;E19,D$10,E19&gt;D19,E$10,D19=E19,"Tie")</f>
        <v>Gore</v>
      </c>
      <c r="D19" s="164">
        <v>162004</v>
      </c>
      <c r="E19" s="164">
        <v>17020</v>
      </c>
      <c r="F19" s="110">
        <f t="shared" si="0"/>
        <v>144984</v>
      </c>
      <c r="G19" s="111">
        <f t="shared" si="1"/>
        <v>0.80985789614800252</v>
      </c>
    </row>
    <row r="20" spans="1:7" x14ac:dyDescent="0.2">
      <c r="A20" s="162" t="s">
        <v>326</v>
      </c>
      <c r="B20" s="163">
        <v>25</v>
      </c>
      <c r="C20" s="109" t="str" cm="1">
        <f t="array" ref="C20">_xlfn.IFS(D20&gt;E20,D$10,E20&gt;D20,E$10,D20=E20,"Tie")</f>
        <v>Bush</v>
      </c>
      <c r="D20" s="164">
        <v>2910942</v>
      </c>
      <c r="E20" s="164">
        <v>2911872</v>
      </c>
      <c r="F20" s="110">
        <f t="shared" si="0"/>
        <v>930</v>
      </c>
      <c r="G20" s="111">
        <f t="shared" si="1"/>
        <v>1.5971659063813477E-4</v>
      </c>
    </row>
    <row r="21" spans="1:7" x14ac:dyDescent="0.2">
      <c r="A21" s="162" t="s">
        <v>327</v>
      </c>
      <c r="B21" s="163">
        <v>13</v>
      </c>
      <c r="C21" s="109" t="str" cm="1">
        <f t="array" ref="C21">_xlfn.IFS(D21&gt;E21,D$10,E21&gt;D21,E$10,D21=E21,"Tie")</f>
        <v>Bush</v>
      </c>
      <c r="D21" s="164">
        <v>1110133</v>
      </c>
      <c r="E21" s="164">
        <v>1415277</v>
      </c>
      <c r="F21" s="110">
        <f t="shared" si="0"/>
        <v>305144</v>
      </c>
      <c r="G21" s="111">
        <f t="shared" si="1"/>
        <v>0.1208294890730614</v>
      </c>
    </row>
    <row r="22" spans="1:7" x14ac:dyDescent="0.2">
      <c r="A22" s="162" t="s">
        <v>328</v>
      </c>
      <c r="B22" s="163">
        <v>4</v>
      </c>
      <c r="C22" s="109" t="str" cm="1">
        <f t="array" ref="C22">_xlfn.IFS(D22&gt;E22,D$10,E22&gt;D22,E$10,D22=E22,"Tie")</f>
        <v>Gore</v>
      </c>
      <c r="D22" s="164">
        <v>239621</v>
      </c>
      <c r="E22" s="164">
        <v>155361</v>
      </c>
      <c r="F22" s="110">
        <f t="shared" si="0"/>
        <v>84260</v>
      </c>
      <c r="G22" s="111">
        <f t="shared" si="1"/>
        <v>0.21332617688907343</v>
      </c>
    </row>
    <row r="23" spans="1:7" x14ac:dyDescent="0.2">
      <c r="A23" s="162" t="s">
        <v>329</v>
      </c>
      <c r="B23" s="163">
        <v>4</v>
      </c>
      <c r="C23" s="109" t="str" cm="1">
        <f t="array" ref="C23">_xlfn.IFS(D23&gt;E23,D$10,E23&gt;D23,E$10,D23=E23,"Tie")</f>
        <v>Bush</v>
      </c>
      <c r="D23" s="164">
        <v>138354</v>
      </c>
      <c r="E23" s="164">
        <v>336299</v>
      </c>
      <c r="F23" s="110">
        <f t="shared" si="0"/>
        <v>197945</v>
      </c>
      <c r="G23" s="111">
        <f t="shared" si="1"/>
        <v>0.41703096788601357</v>
      </c>
    </row>
    <row r="24" spans="1:7" x14ac:dyDescent="0.2">
      <c r="A24" s="162" t="s">
        <v>330</v>
      </c>
      <c r="B24" s="163">
        <v>22</v>
      </c>
      <c r="C24" s="109" t="str" cm="1">
        <f t="array" ref="C24">_xlfn.IFS(D24&gt;E24,D$10,E24&gt;D24,E$10,D24=E24,"Tie")</f>
        <v>Gore</v>
      </c>
      <c r="D24" s="164">
        <v>2599814</v>
      </c>
      <c r="E24" s="164">
        <v>2025764</v>
      </c>
      <c r="F24" s="110">
        <f t="shared" si="0"/>
        <v>574050</v>
      </c>
      <c r="G24" s="111">
        <f t="shared" si="1"/>
        <v>0.12410340934689676</v>
      </c>
    </row>
    <row r="25" spans="1:7" x14ac:dyDescent="0.2">
      <c r="A25" s="162" t="s">
        <v>331</v>
      </c>
      <c r="B25" s="163">
        <v>12</v>
      </c>
      <c r="C25" s="109" t="str" cm="1">
        <f t="array" ref="C25">_xlfn.IFS(D25&gt;E25,D$10,E25&gt;D25,E$10,D25=E25,"Tie")</f>
        <v>Bush</v>
      </c>
      <c r="D25" s="164">
        <v>899836</v>
      </c>
      <c r="E25" s="164">
        <v>1242372</v>
      </c>
      <c r="F25" s="110">
        <f t="shared" si="0"/>
        <v>342536</v>
      </c>
      <c r="G25" s="111">
        <f t="shared" si="1"/>
        <v>0.15989857194072657</v>
      </c>
    </row>
    <row r="26" spans="1:7" x14ac:dyDescent="0.2">
      <c r="A26" s="162" t="s">
        <v>332</v>
      </c>
      <c r="B26" s="163">
        <v>7</v>
      </c>
      <c r="C26" s="109" t="str" cm="1">
        <f t="array" ref="C26">_xlfn.IFS(D26&gt;E26,D$10,E26&gt;D26,E$10,D26=E26,"Tie")</f>
        <v>Gore</v>
      </c>
      <c r="D26" s="164">
        <v>638355</v>
      </c>
      <c r="E26" s="164">
        <v>634225</v>
      </c>
      <c r="F26" s="110">
        <f t="shared" si="0"/>
        <v>4130</v>
      </c>
      <c r="G26" s="111">
        <f t="shared" si="1"/>
        <v>3.245375536312059E-3</v>
      </c>
    </row>
    <row r="27" spans="1:7" x14ac:dyDescent="0.2">
      <c r="A27" s="162" t="s">
        <v>333</v>
      </c>
      <c r="B27" s="163">
        <v>6</v>
      </c>
      <c r="C27" s="109" t="str" cm="1">
        <f t="array" ref="C27">_xlfn.IFS(D27&gt;E27,D$10,E27&gt;D27,E$10,D27=E27,"Tie")</f>
        <v>Bush</v>
      </c>
      <c r="D27" s="164">
        <v>392867</v>
      </c>
      <c r="E27" s="164">
        <v>616829</v>
      </c>
      <c r="F27" s="110">
        <f t="shared" si="0"/>
        <v>223962</v>
      </c>
      <c r="G27" s="111">
        <f t="shared" si="1"/>
        <v>0.22181131746585112</v>
      </c>
    </row>
    <row r="28" spans="1:7" x14ac:dyDescent="0.2">
      <c r="A28" s="162" t="s">
        <v>334</v>
      </c>
      <c r="B28" s="163">
        <v>8</v>
      </c>
      <c r="C28" s="109" t="str" cm="1">
        <f t="array" ref="C28">_xlfn.IFS(D28&gt;E28,D$10,E28&gt;D28,E$10,D28=E28,"Tie")</f>
        <v>Bush</v>
      </c>
      <c r="D28" s="164">
        <v>640123</v>
      </c>
      <c r="E28" s="164">
        <v>872141</v>
      </c>
      <c r="F28" s="110">
        <f t="shared" si="0"/>
        <v>232018</v>
      </c>
      <c r="G28" s="111">
        <f t="shared" si="1"/>
        <v>0.15342426983648358</v>
      </c>
    </row>
    <row r="29" spans="1:7" x14ac:dyDescent="0.2">
      <c r="A29" s="162" t="s">
        <v>335</v>
      </c>
      <c r="B29" s="163">
        <v>9</v>
      </c>
      <c r="C29" s="109" t="str" cm="1">
        <f t="array" ref="C29">_xlfn.IFS(D29&gt;E29,D$10,E29&gt;D29,E$10,D29=E29,"Tie")</f>
        <v>Bush</v>
      </c>
      <c r="D29" s="164">
        <v>792344</v>
      </c>
      <c r="E29" s="164">
        <v>927871</v>
      </c>
      <c r="F29" s="110">
        <f t="shared" si="0"/>
        <v>135527</v>
      </c>
      <c r="G29" s="111">
        <f t="shared" si="1"/>
        <v>7.8784919326944591E-2</v>
      </c>
    </row>
    <row r="30" spans="1:7" x14ac:dyDescent="0.2">
      <c r="A30" s="162" t="s">
        <v>336</v>
      </c>
      <c r="B30" s="163">
        <v>4</v>
      </c>
      <c r="C30" s="109" t="str" cm="1">
        <f t="array" ref="C30">_xlfn.IFS(D30&gt;E30,D$10,E30&gt;D30,E$10,D30=E30,"Tie")</f>
        <v>Gore</v>
      </c>
      <c r="D30" s="164">
        <v>315466</v>
      </c>
      <c r="E30" s="164">
        <v>283988</v>
      </c>
      <c r="F30" s="110">
        <f t="shared" si="0"/>
        <v>31478</v>
      </c>
      <c r="G30" s="111">
        <f t="shared" si="1"/>
        <v>5.2511118451123856E-2</v>
      </c>
    </row>
    <row r="31" spans="1:7" x14ac:dyDescent="0.2">
      <c r="A31" s="162" t="s">
        <v>337</v>
      </c>
      <c r="B31" s="163">
        <v>10</v>
      </c>
      <c r="C31" s="109" t="str" cm="1">
        <f t="array" ref="C31">_xlfn.IFS(D31&gt;E31,D$10,E31&gt;D31,E$10,D31=E31,"Tie")</f>
        <v>Gore</v>
      </c>
      <c r="D31" s="164">
        <v>1093344</v>
      </c>
      <c r="E31" s="164">
        <v>770911</v>
      </c>
      <c r="F31" s="110">
        <f t="shared" si="0"/>
        <v>322433</v>
      </c>
      <c r="G31" s="111">
        <f t="shared" si="1"/>
        <v>0.172955416506862</v>
      </c>
    </row>
    <row r="32" spans="1:7" x14ac:dyDescent="0.2">
      <c r="A32" s="162" t="s">
        <v>338</v>
      </c>
      <c r="B32" s="163">
        <v>12</v>
      </c>
      <c r="C32" s="109" t="str" cm="1">
        <f t="array" ref="C32">_xlfn.IFS(D32&gt;E32,D$10,E32&gt;D32,E$10,D32=E32,"Tie")</f>
        <v>Gore</v>
      </c>
      <c r="D32" s="164">
        <v>1609048</v>
      </c>
      <c r="E32" s="164">
        <v>875658</v>
      </c>
      <c r="F32" s="110">
        <f t="shared" si="0"/>
        <v>733390</v>
      </c>
      <c r="G32" s="111">
        <f t="shared" si="1"/>
        <v>0.29516168110029917</v>
      </c>
    </row>
    <row r="33" spans="1:7" x14ac:dyDescent="0.2">
      <c r="A33" s="162" t="s">
        <v>339</v>
      </c>
      <c r="B33" s="163">
        <v>18</v>
      </c>
      <c r="C33" s="109" t="str" cm="1">
        <f t="array" ref="C33">_xlfn.IFS(D33&gt;E33,D$10,E33&gt;D33,E$10,D33=E33,"Tie")</f>
        <v>Gore</v>
      </c>
      <c r="D33" s="164">
        <v>2141721</v>
      </c>
      <c r="E33" s="164">
        <v>1947100</v>
      </c>
      <c r="F33" s="110">
        <f t="shared" si="0"/>
        <v>194621</v>
      </c>
      <c r="G33" s="111">
        <f t="shared" si="1"/>
        <v>4.7598317461194806E-2</v>
      </c>
    </row>
    <row r="34" spans="1:7" x14ac:dyDescent="0.2">
      <c r="A34" s="162" t="s">
        <v>340</v>
      </c>
      <c r="B34" s="163">
        <v>10</v>
      </c>
      <c r="C34" s="109" t="str" cm="1">
        <f t="array" ref="C34">_xlfn.IFS(D34&gt;E34,D$10,E34&gt;D34,E$10,D34=E34,"Tie")</f>
        <v>Gore</v>
      </c>
      <c r="D34" s="164">
        <v>1168190</v>
      </c>
      <c r="E34" s="164">
        <v>1110290</v>
      </c>
      <c r="F34" s="110">
        <f t="shared" si="0"/>
        <v>57900</v>
      </c>
      <c r="G34" s="111">
        <f t="shared" si="1"/>
        <v>2.5411677960745761E-2</v>
      </c>
    </row>
    <row r="35" spans="1:7" x14ac:dyDescent="0.2">
      <c r="A35" s="162" t="s">
        <v>341</v>
      </c>
      <c r="B35" s="163">
        <v>7</v>
      </c>
      <c r="C35" s="109" t="str" cm="1">
        <f t="array" ref="C35">_xlfn.IFS(D35&gt;E35,D$10,E35&gt;D35,E$10,D35=E35,"Tie")</f>
        <v>Bush</v>
      </c>
      <c r="D35" s="164">
        <v>392587</v>
      </c>
      <c r="E35" s="164">
        <v>558884</v>
      </c>
      <c r="F35" s="110">
        <f t="shared" si="0"/>
        <v>166297</v>
      </c>
      <c r="G35" s="111">
        <f t="shared" si="1"/>
        <v>0.1747788424450141</v>
      </c>
    </row>
    <row r="36" spans="1:7" x14ac:dyDescent="0.2">
      <c r="A36" s="162" t="s">
        <v>342</v>
      </c>
      <c r="B36" s="163">
        <v>11</v>
      </c>
      <c r="C36" s="109" t="str" cm="1">
        <f t="array" ref="C36">_xlfn.IFS(D36&gt;E36,D$10,E36&gt;D36,E$10,D36=E36,"Tie")</f>
        <v>Bush</v>
      </c>
      <c r="D36" s="164">
        <v>1110826</v>
      </c>
      <c r="E36" s="164">
        <v>1189521</v>
      </c>
      <c r="F36" s="110">
        <f t="shared" si="0"/>
        <v>78695</v>
      </c>
      <c r="G36" s="111">
        <f t="shared" si="1"/>
        <v>3.4210056135009194E-2</v>
      </c>
    </row>
    <row r="37" spans="1:7" x14ac:dyDescent="0.2">
      <c r="A37" s="162" t="s">
        <v>343</v>
      </c>
      <c r="B37" s="163">
        <v>3</v>
      </c>
      <c r="C37" s="109" t="str" cm="1">
        <f t="array" ref="C37">_xlfn.IFS(D37&gt;E37,D$10,E37&gt;D37,E$10,D37=E37,"Tie")</f>
        <v>Bush</v>
      </c>
      <c r="D37" s="164">
        <v>137264</v>
      </c>
      <c r="E37" s="164">
        <v>239755</v>
      </c>
      <c r="F37" s="110">
        <f t="shared" si="0"/>
        <v>102491</v>
      </c>
      <c r="G37" s="111">
        <f t="shared" si="1"/>
        <v>0.27184571599839796</v>
      </c>
    </row>
    <row r="38" spans="1:7" x14ac:dyDescent="0.2">
      <c r="A38" s="162" t="s">
        <v>344</v>
      </c>
      <c r="B38" s="163">
        <v>5</v>
      </c>
      <c r="C38" s="109" t="str" cm="1">
        <f t="array" ref="C38">_xlfn.IFS(D38&gt;E38,D$10,E38&gt;D38,E$10,D38=E38,"Tie")</f>
        <v>Bush</v>
      </c>
      <c r="D38" s="164">
        <v>215616</v>
      </c>
      <c r="E38" s="164">
        <v>408719</v>
      </c>
      <c r="F38" s="110">
        <f t="shared" si="0"/>
        <v>193103</v>
      </c>
      <c r="G38" s="111">
        <f t="shared" si="1"/>
        <v>0.30929388869757424</v>
      </c>
    </row>
    <row r="39" spans="1:7" x14ac:dyDescent="0.2">
      <c r="A39" s="162" t="s">
        <v>345</v>
      </c>
      <c r="B39" s="163">
        <v>4</v>
      </c>
      <c r="C39" s="109" t="str" cm="1">
        <f t="array" ref="C39">_xlfn.IFS(D39&gt;E39,D$10,E39&gt;D39,E$10,D39=E39,"Tie")</f>
        <v>Bush</v>
      </c>
      <c r="D39" s="164">
        <v>279749</v>
      </c>
      <c r="E39" s="164">
        <v>301539</v>
      </c>
      <c r="F39" s="110">
        <f t="shared" si="0"/>
        <v>21790</v>
      </c>
      <c r="G39" s="111">
        <f t="shared" si="1"/>
        <v>3.7485721363592572E-2</v>
      </c>
    </row>
    <row r="40" spans="1:7" x14ac:dyDescent="0.2">
      <c r="A40" s="162" t="s">
        <v>346</v>
      </c>
      <c r="B40" s="163">
        <v>4</v>
      </c>
      <c r="C40" s="109" t="str" cm="1">
        <f t="array" ref="C40">_xlfn.IFS(D40&gt;E40,D$10,E40&gt;D40,E$10,D40=E40,"Tie")</f>
        <v>Bush</v>
      </c>
      <c r="D40" s="164">
        <v>265853</v>
      </c>
      <c r="E40" s="164">
        <v>273135</v>
      </c>
      <c r="F40" s="110">
        <f t="shared" si="0"/>
        <v>7282</v>
      </c>
      <c r="G40" s="111">
        <f t="shared" si="1"/>
        <v>1.3510504872093628E-2</v>
      </c>
    </row>
    <row r="41" spans="1:7" x14ac:dyDescent="0.2">
      <c r="A41" s="162" t="s">
        <v>347</v>
      </c>
      <c r="B41" s="163">
        <v>15</v>
      </c>
      <c r="C41" s="109" t="str" cm="1">
        <f t="array" ref="C41">_xlfn.IFS(D41&gt;E41,D$10,E41&gt;D41,E$10,D41=E41,"Tie")</f>
        <v>Gore</v>
      </c>
      <c r="D41" s="164">
        <v>1728956</v>
      </c>
      <c r="E41" s="164">
        <v>1247515</v>
      </c>
      <c r="F41" s="110">
        <f t="shared" si="0"/>
        <v>481441</v>
      </c>
      <c r="G41" s="111">
        <f t="shared" si="1"/>
        <v>0.16174893019283573</v>
      </c>
    </row>
    <row r="42" spans="1:7" x14ac:dyDescent="0.2">
      <c r="A42" s="162" t="s">
        <v>348</v>
      </c>
      <c r="B42" s="163">
        <v>5</v>
      </c>
      <c r="C42" s="109" t="str" cm="1">
        <f t="array" ref="C42">_xlfn.IFS(D42&gt;E42,D$10,E42&gt;D42,E$10,D42=E42,"Tie")</f>
        <v>Gore</v>
      </c>
      <c r="D42" s="164">
        <v>286565</v>
      </c>
      <c r="E42" s="164">
        <v>286079</v>
      </c>
      <c r="F42" s="110">
        <f t="shared" si="0"/>
        <v>486</v>
      </c>
      <c r="G42" s="111">
        <f t="shared" si="1"/>
        <v>8.4869482610487493E-4</v>
      </c>
    </row>
    <row r="43" spans="1:7" x14ac:dyDescent="0.2">
      <c r="A43" s="162" t="s">
        <v>349</v>
      </c>
      <c r="B43" s="163">
        <v>33</v>
      </c>
      <c r="C43" s="109" t="str" cm="1">
        <f t="array" ref="C43">_xlfn.IFS(D43&gt;E43,D$10,E43&gt;D43,E$10,D43=E43,"Tie")</f>
        <v>Gore</v>
      </c>
      <c r="D43" s="164">
        <v>3746839</v>
      </c>
      <c r="E43" s="164">
        <v>2222283</v>
      </c>
      <c r="F43" s="110">
        <f t="shared" si="0"/>
        <v>1524556</v>
      </c>
      <c r="G43" s="111">
        <f t="shared" si="1"/>
        <v>0.25540707661863837</v>
      </c>
    </row>
    <row r="44" spans="1:7" x14ac:dyDescent="0.2">
      <c r="A44" s="162" t="s">
        <v>350</v>
      </c>
      <c r="B44" s="163">
        <v>14</v>
      </c>
      <c r="C44" s="109" t="str" cm="1">
        <f t="array" ref="C44">_xlfn.IFS(D44&gt;E44,D$10,E44&gt;D44,E$10,D44=E44,"Tie")</f>
        <v>Bush</v>
      </c>
      <c r="D44" s="164">
        <v>1241307</v>
      </c>
      <c r="E44" s="164">
        <v>1608390</v>
      </c>
      <c r="F44" s="110">
        <f t="shared" si="0"/>
        <v>367083</v>
      </c>
      <c r="G44" s="111">
        <f t="shared" si="1"/>
        <v>0.12881474767317366</v>
      </c>
    </row>
    <row r="45" spans="1:7" x14ac:dyDescent="0.2">
      <c r="A45" s="162" t="s">
        <v>351</v>
      </c>
      <c r="B45" s="163">
        <v>3</v>
      </c>
      <c r="C45" s="109" t="str" cm="1">
        <f t="array" ref="C45">_xlfn.IFS(D45&gt;E45,D$10,E45&gt;D45,E$10,D45=E45,"Tie")</f>
        <v>Bush</v>
      </c>
      <c r="D45" s="164">
        <v>95892</v>
      </c>
      <c r="E45" s="164">
        <v>175558</v>
      </c>
      <c r="F45" s="110">
        <f t="shared" si="0"/>
        <v>79666</v>
      </c>
      <c r="G45" s="111">
        <f t="shared" si="1"/>
        <v>0.29348314606741571</v>
      </c>
    </row>
    <row r="46" spans="1:7" x14ac:dyDescent="0.2">
      <c r="A46" s="162" t="s">
        <v>352</v>
      </c>
      <c r="B46" s="163">
        <v>21</v>
      </c>
      <c r="C46" s="109" t="str" cm="1">
        <f t="array" ref="C46">_xlfn.IFS(D46&gt;E46,D$10,E46&gt;D46,E$10,D46=E46,"Tie")</f>
        <v>Bush</v>
      </c>
      <c r="D46" s="164">
        <v>2111499</v>
      </c>
      <c r="E46" s="164">
        <v>2284205</v>
      </c>
      <c r="F46" s="110">
        <f t="shared" si="0"/>
        <v>172706</v>
      </c>
      <c r="G46" s="111">
        <f t="shared" si="1"/>
        <v>3.9289724694838414E-2</v>
      </c>
    </row>
    <row r="47" spans="1:7" x14ac:dyDescent="0.2">
      <c r="A47" s="162" t="s">
        <v>353</v>
      </c>
      <c r="B47" s="163">
        <v>8</v>
      </c>
      <c r="C47" s="109" t="str" cm="1">
        <f t="array" ref="C47">_xlfn.IFS(D47&gt;E47,D$10,E47&gt;D47,E$10,D47=E47,"Tie")</f>
        <v>Bush</v>
      </c>
      <c r="D47" s="164">
        <v>475596</v>
      </c>
      <c r="E47" s="164">
        <v>745017</v>
      </c>
      <c r="F47" s="110">
        <f t="shared" si="0"/>
        <v>269421</v>
      </c>
      <c r="G47" s="111">
        <f t="shared" si="1"/>
        <v>0.22072597948735595</v>
      </c>
    </row>
    <row r="48" spans="1:7" x14ac:dyDescent="0.2">
      <c r="A48" s="162" t="s">
        <v>354</v>
      </c>
      <c r="B48" s="163">
        <v>7</v>
      </c>
      <c r="C48" s="109" t="str" cm="1">
        <f t="array" ref="C48">_xlfn.IFS(D48&gt;E48,D$10,E48&gt;D48,E$10,D48=E48,"Tie")</f>
        <v>Gore</v>
      </c>
      <c r="D48" s="164">
        <v>719142</v>
      </c>
      <c r="E48" s="164">
        <v>712547</v>
      </c>
      <c r="F48" s="110">
        <f t="shared" si="0"/>
        <v>6595</v>
      </c>
      <c r="G48" s="111">
        <f t="shared" si="1"/>
        <v>4.6064473499482081E-3</v>
      </c>
    </row>
    <row r="49" spans="1:7" x14ac:dyDescent="0.2">
      <c r="A49" s="162" t="s">
        <v>355</v>
      </c>
      <c r="B49" s="163">
        <v>23</v>
      </c>
      <c r="C49" s="109" t="str" cm="1">
        <f t="array" ref="C49">_xlfn.IFS(D49&gt;E49,D$10,E49&gt;D49,E$10,D49=E49,"Tie")</f>
        <v>Gore</v>
      </c>
      <c r="D49" s="164">
        <v>2465412</v>
      </c>
      <c r="E49" s="164">
        <v>2264309</v>
      </c>
      <c r="F49" s="110">
        <f t="shared" si="0"/>
        <v>201103</v>
      </c>
      <c r="G49" s="111">
        <f t="shared" si="1"/>
        <v>4.2518998477922905E-2</v>
      </c>
    </row>
    <row r="50" spans="1:7" x14ac:dyDescent="0.2">
      <c r="A50" s="162" t="s">
        <v>356</v>
      </c>
      <c r="B50" s="163">
        <v>4</v>
      </c>
      <c r="C50" s="109" t="str" cm="1">
        <f t="array" ref="C50">_xlfn.IFS(D50&gt;E50,D$10,E50&gt;D50,E$10,D50=E50,"Tie")</f>
        <v>Gore</v>
      </c>
      <c r="D50" s="164">
        <v>252844</v>
      </c>
      <c r="E50" s="164">
        <v>132212</v>
      </c>
      <c r="F50" s="110">
        <f t="shared" si="0"/>
        <v>120632</v>
      </c>
      <c r="G50" s="111">
        <f t="shared" si="1"/>
        <v>0.31328430150419678</v>
      </c>
    </row>
    <row r="51" spans="1:7" x14ac:dyDescent="0.2">
      <c r="A51" s="162" t="s">
        <v>357</v>
      </c>
      <c r="B51" s="163">
        <v>8</v>
      </c>
      <c r="C51" s="109" t="str" cm="1">
        <f t="array" ref="C51">_xlfn.IFS(D51&gt;E51,D$10,E51&gt;D51,E$10,D51=E51,"Tie")</f>
        <v>Bush</v>
      </c>
      <c r="D51" s="164">
        <v>578143</v>
      </c>
      <c r="E51" s="164">
        <v>804826</v>
      </c>
      <c r="F51" s="110">
        <f t="shared" si="0"/>
        <v>226683</v>
      </c>
      <c r="G51" s="111">
        <f t="shared" si="1"/>
        <v>0.16391039857003303</v>
      </c>
    </row>
    <row r="52" spans="1:7" x14ac:dyDescent="0.2">
      <c r="A52" s="162" t="s">
        <v>358</v>
      </c>
      <c r="B52" s="163">
        <v>3</v>
      </c>
      <c r="C52" s="109" t="str" cm="1">
        <f t="array" ref="C52">_xlfn.IFS(D52&gt;E52,D$10,E52&gt;D52,E$10,D52=E52,"Tie")</f>
        <v>Bush</v>
      </c>
      <c r="D52" s="164">
        <v>118750</v>
      </c>
      <c r="E52" s="164">
        <v>190515</v>
      </c>
      <c r="F52" s="110">
        <f t="shared" si="0"/>
        <v>71765</v>
      </c>
      <c r="G52" s="111">
        <f t="shared" si="1"/>
        <v>0.23205018349958773</v>
      </c>
    </row>
    <row r="53" spans="1:7" x14ac:dyDescent="0.2">
      <c r="A53" s="162" t="s">
        <v>359</v>
      </c>
      <c r="B53" s="163">
        <v>11</v>
      </c>
      <c r="C53" s="109" t="str" cm="1">
        <f t="array" ref="C53">_xlfn.IFS(D53&gt;E53,D$10,E53&gt;D53,E$10,D53=E53,"Tie")</f>
        <v>Bush</v>
      </c>
      <c r="D53" s="164">
        <v>980353</v>
      </c>
      <c r="E53" s="164">
        <v>1059842</v>
      </c>
      <c r="F53" s="110">
        <f t="shared" si="0"/>
        <v>79489</v>
      </c>
      <c r="G53" s="111">
        <f t="shared" si="1"/>
        <v>3.8961471820095628E-2</v>
      </c>
    </row>
    <row r="54" spans="1:7" x14ac:dyDescent="0.2">
      <c r="A54" s="162" t="s">
        <v>360</v>
      </c>
      <c r="B54" s="163">
        <v>32</v>
      </c>
      <c r="C54" s="109" t="str" cm="1">
        <f t="array" ref="C54">_xlfn.IFS(D54&gt;E54,D$10,E54&gt;D54,E$10,D54=E54,"Tie")</f>
        <v>Bush</v>
      </c>
      <c r="D54" s="164">
        <v>2428187</v>
      </c>
      <c r="E54" s="164">
        <v>3795262</v>
      </c>
      <c r="F54" s="110">
        <f t="shared" si="0"/>
        <v>1367075</v>
      </c>
      <c r="G54" s="111">
        <f t="shared" si="1"/>
        <v>0.21966517280048412</v>
      </c>
    </row>
    <row r="55" spans="1:7" x14ac:dyDescent="0.2">
      <c r="A55" s="162" t="s">
        <v>361</v>
      </c>
      <c r="B55" s="163">
        <v>5</v>
      </c>
      <c r="C55" s="109" t="str" cm="1">
        <f t="array" ref="C55">_xlfn.IFS(D55&gt;E55,D$10,E55&gt;D55,E$10,D55=E55,"Tie")</f>
        <v>Bush</v>
      </c>
      <c r="D55" s="164">
        <v>201732</v>
      </c>
      <c r="E55" s="164">
        <v>512161</v>
      </c>
      <c r="F55" s="110">
        <f t="shared" si="0"/>
        <v>310429</v>
      </c>
      <c r="G55" s="111">
        <f t="shared" si="1"/>
        <v>0.43483967485323433</v>
      </c>
    </row>
    <row r="56" spans="1:7" x14ac:dyDescent="0.2">
      <c r="A56" s="162" t="s">
        <v>362</v>
      </c>
      <c r="B56" s="163">
        <v>3</v>
      </c>
      <c r="C56" s="109" t="str" cm="1">
        <f t="array" ref="C56">_xlfn.IFS(D56&gt;E56,D$10,E56&gt;D56,E$10,D56=E56,"Tie")</f>
        <v>Gore</v>
      </c>
      <c r="D56" s="164">
        <v>148166</v>
      </c>
      <c r="E56" s="164">
        <v>119273</v>
      </c>
      <c r="F56" s="110">
        <f t="shared" si="0"/>
        <v>28893</v>
      </c>
      <c r="G56" s="111">
        <f t="shared" si="1"/>
        <v>0.10803585116606029</v>
      </c>
    </row>
    <row r="57" spans="1:7" x14ac:dyDescent="0.2">
      <c r="A57" s="162" t="s">
        <v>363</v>
      </c>
      <c r="B57" s="163">
        <v>13</v>
      </c>
      <c r="C57" s="109" t="str" cm="1">
        <f t="array" ref="C57">_xlfn.IFS(D57&gt;E57,D$10,E57&gt;D57,E$10,D57=E57,"Tie")</f>
        <v>Bush</v>
      </c>
      <c r="D57" s="164">
        <v>1213714</v>
      </c>
      <c r="E57" s="164">
        <v>1434754</v>
      </c>
      <c r="F57" s="110">
        <f t="shared" si="0"/>
        <v>221040</v>
      </c>
      <c r="G57" s="111">
        <f t="shared" si="1"/>
        <v>8.3459569834334418E-2</v>
      </c>
    </row>
    <row r="58" spans="1:7" x14ac:dyDescent="0.2">
      <c r="A58" s="162" t="s">
        <v>364</v>
      </c>
      <c r="B58" s="163">
        <v>11</v>
      </c>
      <c r="C58" s="109" t="str" cm="1">
        <f t="array" ref="C58">_xlfn.IFS(D58&gt;E58,D$10,E58&gt;D58,E$10,D58=E58,"Tie")</f>
        <v>Gore</v>
      </c>
      <c r="D58" s="164">
        <v>1246056</v>
      </c>
      <c r="E58" s="164">
        <v>1106465</v>
      </c>
      <c r="F58" s="110">
        <f t="shared" si="0"/>
        <v>139591</v>
      </c>
      <c r="G58" s="111">
        <f t="shared" si="1"/>
        <v>5.9336771063892735E-2</v>
      </c>
    </row>
    <row r="59" spans="1:7" x14ac:dyDescent="0.2">
      <c r="A59" s="162" t="s">
        <v>365</v>
      </c>
      <c r="B59" s="163">
        <v>5</v>
      </c>
      <c r="C59" s="109" t="str" cm="1">
        <f t="array" ref="C59">_xlfn.IFS(D59&gt;E59,D$10,E59&gt;D59,E$10,D59=E59,"Tie")</f>
        <v>Bush</v>
      </c>
      <c r="D59" s="164">
        <v>291204</v>
      </c>
      <c r="E59" s="164">
        <v>331871</v>
      </c>
      <c r="F59" s="110">
        <f t="shared" si="0"/>
        <v>40667</v>
      </c>
      <c r="G59" s="111">
        <f t="shared" si="1"/>
        <v>6.5268226136500421E-2</v>
      </c>
    </row>
    <row r="60" spans="1:7" x14ac:dyDescent="0.2">
      <c r="A60" s="162" t="s">
        <v>366</v>
      </c>
      <c r="B60" s="163">
        <v>11</v>
      </c>
      <c r="C60" s="109" t="str" cm="1">
        <f t="array" ref="C60">_xlfn.IFS(D60&gt;E60,D$10,E60&gt;D60,E$10,D60=E60,"Tie")</f>
        <v>Gore</v>
      </c>
      <c r="D60" s="164">
        <v>1242987</v>
      </c>
      <c r="E60" s="164">
        <v>1237279</v>
      </c>
      <c r="F60" s="110">
        <f t="shared" si="0"/>
        <v>5708</v>
      </c>
      <c r="G60" s="111">
        <f t="shared" si="1"/>
        <v>2.3013660631561292E-3</v>
      </c>
    </row>
    <row r="61" spans="1:7" x14ac:dyDescent="0.2">
      <c r="A61" s="162" t="s">
        <v>367</v>
      </c>
      <c r="B61" s="163">
        <v>3</v>
      </c>
      <c r="C61" s="109" t="str" cm="1">
        <f t="array" ref="C61">_xlfn.IFS(D61&gt;E61,D$10,E61&gt;D61,E$10,D61=E61,"Tie")</f>
        <v>Bush</v>
      </c>
      <c r="D61" s="164">
        <v>60421</v>
      </c>
      <c r="E61" s="164">
        <v>147674</v>
      </c>
      <c r="F61" s="110">
        <f t="shared" si="0"/>
        <v>87253</v>
      </c>
      <c r="G61" s="111">
        <f t="shared" si="1"/>
        <v>0.41929407241884714</v>
      </c>
    </row>
    <row r="62" spans="1:7" x14ac:dyDescent="0.2">
      <c r="A62" s="333"/>
      <c r="B62" s="334"/>
      <c r="C62" s="334"/>
      <c r="D62" s="333"/>
      <c r="E62" s="333"/>
      <c r="F62" s="333"/>
      <c r="G62" s="333"/>
    </row>
    <row r="63" spans="1:7" x14ac:dyDescent="0.2">
      <c r="C63" s="106"/>
    </row>
    <row r="64" spans="1:7" x14ac:dyDescent="0.2">
      <c r="C64" s="106"/>
    </row>
    <row r="65" spans="1:3" x14ac:dyDescent="0.2">
      <c r="C65" s="106"/>
    </row>
    <row r="66" spans="1:3" x14ac:dyDescent="0.2">
      <c r="A66" s="101" t="s">
        <v>368</v>
      </c>
      <c r="B66" s="112">
        <f ca="1">TODAY()</f>
        <v>44788</v>
      </c>
    </row>
    <row r="67" spans="1:3" x14ac:dyDescent="0.2">
      <c r="A67" s="101" t="s">
        <v>369</v>
      </c>
      <c r="B67" s="113">
        <v>365.25</v>
      </c>
    </row>
    <row r="68" spans="1:3" x14ac:dyDescent="0.2">
      <c r="A68" s="101" t="s">
        <v>370</v>
      </c>
      <c r="B68" s="114">
        <v>26018</v>
      </c>
    </row>
    <row r="69" spans="1:3" x14ac:dyDescent="0.2">
      <c r="A69" s="101" t="s">
        <v>371</v>
      </c>
      <c r="B69" s="115">
        <f ca="1">ROUNDDOWN(($B$66-B68)/$B$67,0)</f>
        <v>51</v>
      </c>
    </row>
    <row r="70" spans="1:3" x14ac:dyDescent="0.2">
      <c r="A70" s="101" t="s">
        <v>372</v>
      </c>
      <c r="B70" s="114">
        <v>36837</v>
      </c>
    </row>
    <row r="71" spans="1:3" x14ac:dyDescent="0.2">
      <c r="A71" s="101" t="s">
        <v>373</v>
      </c>
      <c r="B71" s="115">
        <f>ROUNDDOWN((B70-B68)/B67,0)</f>
        <v>29</v>
      </c>
    </row>
  </sheetData>
  <mergeCells count="1">
    <mergeCell ref="E6:F6"/>
  </mergeCells>
  <conditionalFormatting sqref="C11:C61">
    <cfRule type="cellIs" dxfId="8" priority="1" stopIfTrue="1" operator="equal">
      <formula>$C$6</formula>
    </cfRule>
    <cfRule type="cellIs" dxfId="7" priority="2" stopIfTrue="1" operator="equal">
      <formula>$B$6</formula>
    </cfRule>
  </conditionalFormatting>
  <pageMargins left="0.75" right="0.75" top="1" bottom="1" header="0.5" footer="0.5"/>
  <pageSetup scale="87" orientation="portrait" r:id="rId1"/>
  <headerFooter alignWithMargins="0"/>
  <rowBreaks count="1" manualBreakCount="1">
    <brk id="61" max="16383" man="1"/>
  </rowBreaks>
  <legacyDrawing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6A5C-4672-461E-A572-7A45608F1C14}">
  <sheetPr codeName="Sheet50"/>
  <dimension ref="A1:G71"/>
  <sheetViews>
    <sheetView zoomScale="160" zoomScaleNormal="160" workbookViewId="0">
      <pane xSplit="1" ySplit="10" topLeftCell="B40" activePane="bottomRight" state="frozen"/>
      <selection activeCell="A62" sqref="A62:G62"/>
      <selection pane="topRight" activeCell="A62" sqref="A62:G62"/>
      <selection pane="bottomLeft" activeCell="A62" sqref="A62:G62"/>
      <selection pane="bottomRight" activeCell="C40" sqref="C40"/>
    </sheetView>
  </sheetViews>
  <sheetFormatPr defaultRowHeight="12.75" x14ac:dyDescent="0.2"/>
  <cols>
    <col min="1" max="1" width="21.7109375" style="101" customWidth="1"/>
    <col min="2" max="2" width="14.85546875" style="106" bestFit="1" customWidth="1"/>
    <col min="3" max="3" width="15.42578125" style="101" customWidth="1"/>
    <col min="4" max="4" width="10.5703125" style="101" bestFit="1" customWidth="1"/>
    <col min="5" max="5" width="10.42578125" style="101" bestFit="1" customWidth="1"/>
    <col min="6" max="7" width="11.5703125" style="101" bestFit="1" customWidth="1"/>
    <col min="8" max="256" width="9.140625" style="101"/>
    <col min="257" max="257" width="21.7109375" style="101" customWidth="1"/>
    <col min="258" max="258" width="14.85546875" style="101" bestFit="1" customWidth="1"/>
    <col min="259" max="259" width="15.42578125" style="101" customWidth="1"/>
    <col min="260" max="260" width="10.5703125" style="101" bestFit="1" customWidth="1"/>
    <col min="261" max="261" width="10.42578125" style="101" bestFit="1" customWidth="1"/>
    <col min="262" max="263" width="11.5703125" style="101" bestFit="1" customWidth="1"/>
    <col min="264" max="512" width="9.140625" style="101"/>
    <col min="513" max="513" width="21.7109375" style="101" customWidth="1"/>
    <col min="514" max="514" width="14.85546875" style="101" bestFit="1" customWidth="1"/>
    <col min="515" max="515" width="15.42578125" style="101" customWidth="1"/>
    <col min="516" max="516" width="10.5703125" style="101" bestFit="1" customWidth="1"/>
    <col min="517" max="517" width="10.42578125" style="101" bestFit="1" customWidth="1"/>
    <col min="518" max="519" width="11.5703125" style="101" bestFit="1" customWidth="1"/>
    <col min="520" max="768" width="9.140625" style="101"/>
    <col min="769" max="769" width="21.7109375" style="101" customWidth="1"/>
    <col min="770" max="770" width="14.85546875" style="101" bestFit="1" customWidth="1"/>
    <col min="771" max="771" width="15.42578125" style="101" customWidth="1"/>
    <col min="772" max="772" width="10.5703125" style="101" bestFit="1" customWidth="1"/>
    <col min="773" max="773" width="10.42578125" style="101" bestFit="1" customWidth="1"/>
    <col min="774" max="775" width="11.5703125" style="101" bestFit="1" customWidth="1"/>
    <col min="776" max="1024" width="9.140625" style="101"/>
    <col min="1025" max="1025" width="21.7109375" style="101" customWidth="1"/>
    <col min="1026" max="1026" width="14.85546875" style="101" bestFit="1" customWidth="1"/>
    <col min="1027" max="1027" width="15.42578125" style="101" customWidth="1"/>
    <col min="1028" max="1028" width="10.5703125" style="101" bestFit="1" customWidth="1"/>
    <col min="1029" max="1029" width="10.42578125" style="101" bestFit="1" customWidth="1"/>
    <col min="1030" max="1031" width="11.5703125" style="101" bestFit="1" customWidth="1"/>
    <col min="1032" max="1280" width="9.140625" style="101"/>
    <col min="1281" max="1281" width="21.7109375" style="101" customWidth="1"/>
    <col min="1282" max="1282" width="14.85546875" style="101" bestFit="1" customWidth="1"/>
    <col min="1283" max="1283" width="15.42578125" style="101" customWidth="1"/>
    <col min="1284" max="1284" width="10.5703125" style="101" bestFit="1" customWidth="1"/>
    <col min="1285" max="1285" width="10.42578125" style="101" bestFit="1" customWidth="1"/>
    <col min="1286" max="1287" width="11.5703125" style="101" bestFit="1" customWidth="1"/>
    <col min="1288" max="1536" width="9.140625" style="101"/>
    <col min="1537" max="1537" width="21.7109375" style="101" customWidth="1"/>
    <col min="1538" max="1538" width="14.85546875" style="101" bestFit="1" customWidth="1"/>
    <col min="1539" max="1539" width="15.42578125" style="101" customWidth="1"/>
    <col min="1540" max="1540" width="10.5703125" style="101" bestFit="1" customWidth="1"/>
    <col min="1541" max="1541" width="10.42578125" style="101" bestFit="1" customWidth="1"/>
    <col min="1542" max="1543" width="11.5703125" style="101" bestFit="1" customWidth="1"/>
    <col min="1544" max="1792" width="9.140625" style="101"/>
    <col min="1793" max="1793" width="21.7109375" style="101" customWidth="1"/>
    <col min="1794" max="1794" width="14.85546875" style="101" bestFit="1" customWidth="1"/>
    <col min="1795" max="1795" width="15.42578125" style="101" customWidth="1"/>
    <col min="1796" max="1796" width="10.5703125" style="101" bestFit="1" customWidth="1"/>
    <col min="1797" max="1797" width="10.42578125" style="101" bestFit="1" customWidth="1"/>
    <col min="1798" max="1799" width="11.5703125" style="101" bestFit="1" customWidth="1"/>
    <col min="1800" max="2048" width="9.140625" style="101"/>
    <col min="2049" max="2049" width="21.7109375" style="101" customWidth="1"/>
    <col min="2050" max="2050" width="14.85546875" style="101" bestFit="1" customWidth="1"/>
    <col min="2051" max="2051" width="15.42578125" style="101" customWidth="1"/>
    <col min="2052" max="2052" width="10.5703125" style="101" bestFit="1" customWidth="1"/>
    <col min="2053" max="2053" width="10.42578125" style="101" bestFit="1" customWidth="1"/>
    <col min="2054" max="2055" width="11.5703125" style="101" bestFit="1" customWidth="1"/>
    <col min="2056" max="2304" width="9.140625" style="101"/>
    <col min="2305" max="2305" width="21.7109375" style="101" customWidth="1"/>
    <col min="2306" max="2306" width="14.85546875" style="101" bestFit="1" customWidth="1"/>
    <col min="2307" max="2307" width="15.42578125" style="101" customWidth="1"/>
    <col min="2308" max="2308" width="10.5703125" style="101" bestFit="1" customWidth="1"/>
    <col min="2309" max="2309" width="10.42578125" style="101" bestFit="1" customWidth="1"/>
    <col min="2310" max="2311" width="11.5703125" style="101" bestFit="1" customWidth="1"/>
    <col min="2312" max="2560" width="9.140625" style="101"/>
    <col min="2561" max="2561" width="21.7109375" style="101" customWidth="1"/>
    <col min="2562" max="2562" width="14.85546875" style="101" bestFit="1" customWidth="1"/>
    <col min="2563" max="2563" width="15.42578125" style="101" customWidth="1"/>
    <col min="2564" max="2564" width="10.5703125" style="101" bestFit="1" customWidth="1"/>
    <col min="2565" max="2565" width="10.42578125" style="101" bestFit="1" customWidth="1"/>
    <col min="2566" max="2567" width="11.5703125" style="101" bestFit="1" customWidth="1"/>
    <col min="2568" max="2816" width="9.140625" style="101"/>
    <col min="2817" max="2817" width="21.7109375" style="101" customWidth="1"/>
    <col min="2818" max="2818" width="14.85546875" style="101" bestFit="1" customWidth="1"/>
    <col min="2819" max="2819" width="15.42578125" style="101" customWidth="1"/>
    <col min="2820" max="2820" width="10.5703125" style="101" bestFit="1" customWidth="1"/>
    <col min="2821" max="2821" width="10.42578125" style="101" bestFit="1" customWidth="1"/>
    <col min="2822" max="2823" width="11.5703125" style="101" bestFit="1" customWidth="1"/>
    <col min="2824" max="3072" width="9.140625" style="101"/>
    <col min="3073" max="3073" width="21.7109375" style="101" customWidth="1"/>
    <col min="3074" max="3074" width="14.85546875" style="101" bestFit="1" customWidth="1"/>
    <col min="3075" max="3075" width="15.42578125" style="101" customWidth="1"/>
    <col min="3076" max="3076" width="10.5703125" style="101" bestFit="1" customWidth="1"/>
    <col min="3077" max="3077" width="10.42578125" style="101" bestFit="1" customWidth="1"/>
    <col min="3078" max="3079" width="11.5703125" style="101" bestFit="1" customWidth="1"/>
    <col min="3080" max="3328" width="9.140625" style="101"/>
    <col min="3329" max="3329" width="21.7109375" style="101" customWidth="1"/>
    <col min="3330" max="3330" width="14.85546875" style="101" bestFit="1" customWidth="1"/>
    <col min="3331" max="3331" width="15.42578125" style="101" customWidth="1"/>
    <col min="3332" max="3332" width="10.5703125" style="101" bestFit="1" customWidth="1"/>
    <col min="3333" max="3333" width="10.42578125" style="101" bestFit="1" customWidth="1"/>
    <col min="3334" max="3335" width="11.5703125" style="101" bestFit="1" customWidth="1"/>
    <col min="3336" max="3584" width="9.140625" style="101"/>
    <col min="3585" max="3585" width="21.7109375" style="101" customWidth="1"/>
    <col min="3586" max="3586" width="14.85546875" style="101" bestFit="1" customWidth="1"/>
    <col min="3587" max="3587" width="15.42578125" style="101" customWidth="1"/>
    <col min="3588" max="3588" width="10.5703125" style="101" bestFit="1" customWidth="1"/>
    <col min="3589" max="3589" width="10.42578125" style="101" bestFit="1" customWidth="1"/>
    <col min="3590" max="3591" width="11.5703125" style="101" bestFit="1" customWidth="1"/>
    <col min="3592" max="3840" width="9.140625" style="101"/>
    <col min="3841" max="3841" width="21.7109375" style="101" customWidth="1"/>
    <col min="3842" max="3842" width="14.85546875" style="101" bestFit="1" customWidth="1"/>
    <col min="3843" max="3843" width="15.42578125" style="101" customWidth="1"/>
    <col min="3844" max="3844" width="10.5703125" style="101" bestFit="1" customWidth="1"/>
    <col min="3845" max="3845" width="10.42578125" style="101" bestFit="1" customWidth="1"/>
    <col min="3846" max="3847" width="11.5703125" style="101" bestFit="1" customWidth="1"/>
    <col min="3848" max="4096" width="9.140625" style="101"/>
    <col min="4097" max="4097" width="21.7109375" style="101" customWidth="1"/>
    <col min="4098" max="4098" width="14.85546875" style="101" bestFit="1" customWidth="1"/>
    <col min="4099" max="4099" width="15.42578125" style="101" customWidth="1"/>
    <col min="4100" max="4100" width="10.5703125" style="101" bestFit="1" customWidth="1"/>
    <col min="4101" max="4101" width="10.42578125" style="101" bestFit="1" customWidth="1"/>
    <col min="4102" max="4103" width="11.5703125" style="101" bestFit="1" customWidth="1"/>
    <col min="4104" max="4352" width="9.140625" style="101"/>
    <col min="4353" max="4353" width="21.7109375" style="101" customWidth="1"/>
    <col min="4354" max="4354" width="14.85546875" style="101" bestFit="1" customWidth="1"/>
    <col min="4355" max="4355" width="15.42578125" style="101" customWidth="1"/>
    <col min="4356" max="4356" width="10.5703125" style="101" bestFit="1" customWidth="1"/>
    <col min="4357" max="4357" width="10.42578125" style="101" bestFit="1" customWidth="1"/>
    <col min="4358" max="4359" width="11.5703125" style="101" bestFit="1" customWidth="1"/>
    <col min="4360" max="4608" width="9.140625" style="101"/>
    <col min="4609" max="4609" width="21.7109375" style="101" customWidth="1"/>
    <col min="4610" max="4610" width="14.85546875" style="101" bestFit="1" customWidth="1"/>
    <col min="4611" max="4611" width="15.42578125" style="101" customWidth="1"/>
    <col min="4612" max="4612" width="10.5703125" style="101" bestFit="1" customWidth="1"/>
    <col min="4613" max="4613" width="10.42578125" style="101" bestFit="1" customWidth="1"/>
    <col min="4614" max="4615" width="11.5703125" style="101" bestFit="1" customWidth="1"/>
    <col min="4616" max="4864" width="9.140625" style="101"/>
    <col min="4865" max="4865" width="21.7109375" style="101" customWidth="1"/>
    <col min="4866" max="4866" width="14.85546875" style="101" bestFit="1" customWidth="1"/>
    <col min="4867" max="4867" width="15.42578125" style="101" customWidth="1"/>
    <col min="4868" max="4868" width="10.5703125" style="101" bestFit="1" customWidth="1"/>
    <col min="4869" max="4869" width="10.42578125" style="101" bestFit="1" customWidth="1"/>
    <col min="4870" max="4871" width="11.5703125" style="101" bestFit="1" customWidth="1"/>
    <col min="4872" max="5120" width="9.140625" style="101"/>
    <col min="5121" max="5121" width="21.7109375" style="101" customWidth="1"/>
    <col min="5122" max="5122" width="14.85546875" style="101" bestFit="1" customWidth="1"/>
    <col min="5123" max="5123" width="15.42578125" style="101" customWidth="1"/>
    <col min="5124" max="5124" width="10.5703125" style="101" bestFit="1" customWidth="1"/>
    <col min="5125" max="5125" width="10.42578125" style="101" bestFit="1" customWidth="1"/>
    <col min="5126" max="5127" width="11.5703125" style="101" bestFit="1" customWidth="1"/>
    <col min="5128" max="5376" width="9.140625" style="101"/>
    <col min="5377" max="5377" width="21.7109375" style="101" customWidth="1"/>
    <col min="5378" max="5378" width="14.85546875" style="101" bestFit="1" customWidth="1"/>
    <col min="5379" max="5379" width="15.42578125" style="101" customWidth="1"/>
    <col min="5380" max="5380" width="10.5703125" style="101" bestFit="1" customWidth="1"/>
    <col min="5381" max="5381" width="10.42578125" style="101" bestFit="1" customWidth="1"/>
    <col min="5382" max="5383" width="11.5703125" style="101" bestFit="1" customWidth="1"/>
    <col min="5384" max="5632" width="9.140625" style="101"/>
    <col min="5633" max="5633" width="21.7109375" style="101" customWidth="1"/>
    <col min="5634" max="5634" width="14.85546875" style="101" bestFit="1" customWidth="1"/>
    <col min="5635" max="5635" width="15.42578125" style="101" customWidth="1"/>
    <col min="5636" max="5636" width="10.5703125" style="101" bestFit="1" customWidth="1"/>
    <col min="5637" max="5637" width="10.42578125" style="101" bestFit="1" customWidth="1"/>
    <col min="5638" max="5639" width="11.5703125" style="101" bestFit="1" customWidth="1"/>
    <col min="5640" max="5888" width="9.140625" style="101"/>
    <col min="5889" max="5889" width="21.7109375" style="101" customWidth="1"/>
    <col min="5890" max="5890" width="14.85546875" style="101" bestFit="1" customWidth="1"/>
    <col min="5891" max="5891" width="15.42578125" style="101" customWidth="1"/>
    <col min="5892" max="5892" width="10.5703125" style="101" bestFit="1" customWidth="1"/>
    <col min="5893" max="5893" width="10.42578125" style="101" bestFit="1" customWidth="1"/>
    <col min="5894" max="5895" width="11.5703125" style="101" bestFit="1" customWidth="1"/>
    <col min="5896" max="6144" width="9.140625" style="101"/>
    <col min="6145" max="6145" width="21.7109375" style="101" customWidth="1"/>
    <col min="6146" max="6146" width="14.85546875" style="101" bestFit="1" customWidth="1"/>
    <col min="6147" max="6147" width="15.42578125" style="101" customWidth="1"/>
    <col min="6148" max="6148" width="10.5703125" style="101" bestFit="1" customWidth="1"/>
    <col min="6149" max="6149" width="10.42578125" style="101" bestFit="1" customWidth="1"/>
    <col min="6150" max="6151" width="11.5703125" style="101" bestFit="1" customWidth="1"/>
    <col min="6152" max="6400" width="9.140625" style="101"/>
    <col min="6401" max="6401" width="21.7109375" style="101" customWidth="1"/>
    <col min="6402" max="6402" width="14.85546875" style="101" bestFit="1" customWidth="1"/>
    <col min="6403" max="6403" width="15.42578125" style="101" customWidth="1"/>
    <col min="6404" max="6404" width="10.5703125" style="101" bestFit="1" customWidth="1"/>
    <col min="6405" max="6405" width="10.42578125" style="101" bestFit="1" customWidth="1"/>
    <col min="6406" max="6407" width="11.5703125" style="101" bestFit="1" customWidth="1"/>
    <col min="6408" max="6656" width="9.140625" style="101"/>
    <col min="6657" max="6657" width="21.7109375" style="101" customWidth="1"/>
    <col min="6658" max="6658" width="14.85546875" style="101" bestFit="1" customWidth="1"/>
    <col min="6659" max="6659" width="15.42578125" style="101" customWidth="1"/>
    <col min="6660" max="6660" width="10.5703125" style="101" bestFit="1" customWidth="1"/>
    <col min="6661" max="6661" width="10.42578125" style="101" bestFit="1" customWidth="1"/>
    <col min="6662" max="6663" width="11.5703125" style="101" bestFit="1" customWidth="1"/>
    <col min="6664" max="6912" width="9.140625" style="101"/>
    <col min="6913" max="6913" width="21.7109375" style="101" customWidth="1"/>
    <col min="6914" max="6914" width="14.85546875" style="101" bestFit="1" customWidth="1"/>
    <col min="6915" max="6915" width="15.42578125" style="101" customWidth="1"/>
    <col min="6916" max="6916" width="10.5703125" style="101" bestFit="1" customWidth="1"/>
    <col min="6917" max="6917" width="10.42578125" style="101" bestFit="1" customWidth="1"/>
    <col min="6918" max="6919" width="11.5703125" style="101" bestFit="1" customWidth="1"/>
    <col min="6920" max="7168" width="9.140625" style="101"/>
    <col min="7169" max="7169" width="21.7109375" style="101" customWidth="1"/>
    <col min="7170" max="7170" width="14.85546875" style="101" bestFit="1" customWidth="1"/>
    <col min="7171" max="7171" width="15.42578125" style="101" customWidth="1"/>
    <col min="7172" max="7172" width="10.5703125" style="101" bestFit="1" customWidth="1"/>
    <col min="7173" max="7173" width="10.42578125" style="101" bestFit="1" customWidth="1"/>
    <col min="7174" max="7175" width="11.5703125" style="101" bestFit="1" customWidth="1"/>
    <col min="7176" max="7424" width="9.140625" style="101"/>
    <col min="7425" max="7425" width="21.7109375" style="101" customWidth="1"/>
    <col min="7426" max="7426" width="14.85546875" style="101" bestFit="1" customWidth="1"/>
    <col min="7427" max="7427" width="15.42578125" style="101" customWidth="1"/>
    <col min="7428" max="7428" width="10.5703125" style="101" bestFit="1" customWidth="1"/>
    <col min="7429" max="7429" width="10.42578125" style="101" bestFit="1" customWidth="1"/>
    <col min="7430" max="7431" width="11.5703125" style="101" bestFit="1" customWidth="1"/>
    <col min="7432" max="7680" width="9.140625" style="101"/>
    <col min="7681" max="7681" width="21.7109375" style="101" customWidth="1"/>
    <col min="7682" max="7682" width="14.85546875" style="101" bestFit="1" customWidth="1"/>
    <col min="7683" max="7683" width="15.42578125" style="101" customWidth="1"/>
    <col min="7684" max="7684" width="10.5703125" style="101" bestFit="1" customWidth="1"/>
    <col min="7685" max="7685" width="10.42578125" style="101" bestFit="1" customWidth="1"/>
    <col min="7686" max="7687" width="11.5703125" style="101" bestFit="1" customWidth="1"/>
    <col min="7688" max="7936" width="9.140625" style="101"/>
    <col min="7937" max="7937" width="21.7109375" style="101" customWidth="1"/>
    <col min="7938" max="7938" width="14.85546875" style="101" bestFit="1" customWidth="1"/>
    <col min="7939" max="7939" width="15.42578125" style="101" customWidth="1"/>
    <col min="7940" max="7940" width="10.5703125" style="101" bestFit="1" customWidth="1"/>
    <col min="7941" max="7941" width="10.42578125" style="101" bestFit="1" customWidth="1"/>
    <col min="7942" max="7943" width="11.5703125" style="101" bestFit="1" customWidth="1"/>
    <col min="7944" max="8192" width="9.140625" style="101"/>
    <col min="8193" max="8193" width="21.7109375" style="101" customWidth="1"/>
    <col min="8194" max="8194" width="14.85546875" style="101" bestFit="1" customWidth="1"/>
    <col min="8195" max="8195" width="15.42578125" style="101" customWidth="1"/>
    <col min="8196" max="8196" width="10.5703125" style="101" bestFit="1" customWidth="1"/>
    <col min="8197" max="8197" width="10.42578125" style="101" bestFit="1" customWidth="1"/>
    <col min="8198" max="8199" width="11.5703125" style="101" bestFit="1" customWidth="1"/>
    <col min="8200" max="8448" width="9.140625" style="101"/>
    <col min="8449" max="8449" width="21.7109375" style="101" customWidth="1"/>
    <col min="8450" max="8450" width="14.85546875" style="101" bestFit="1" customWidth="1"/>
    <col min="8451" max="8451" width="15.42578125" style="101" customWidth="1"/>
    <col min="8452" max="8452" width="10.5703125" style="101" bestFit="1" customWidth="1"/>
    <col min="8453" max="8453" width="10.42578125" style="101" bestFit="1" customWidth="1"/>
    <col min="8454" max="8455" width="11.5703125" style="101" bestFit="1" customWidth="1"/>
    <col min="8456" max="8704" width="9.140625" style="101"/>
    <col min="8705" max="8705" width="21.7109375" style="101" customWidth="1"/>
    <col min="8706" max="8706" width="14.85546875" style="101" bestFit="1" customWidth="1"/>
    <col min="8707" max="8707" width="15.42578125" style="101" customWidth="1"/>
    <col min="8708" max="8708" width="10.5703125" style="101" bestFit="1" customWidth="1"/>
    <col min="8709" max="8709" width="10.42578125" style="101" bestFit="1" customWidth="1"/>
    <col min="8710" max="8711" width="11.5703125" style="101" bestFit="1" customWidth="1"/>
    <col min="8712" max="8960" width="9.140625" style="101"/>
    <col min="8961" max="8961" width="21.7109375" style="101" customWidth="1"/>
    <col min="8962" max="8962" width="14.85546875" style="101" bestFit="1" customWidth="1"/>
    <col min="8963" max="8963" width="15.42578125" style="101" customWidth="1"/>
    <col min="8964" max="8964" width="10.5703125" style="101" bestFit="1" customWidth="1"/>
    <col min="8965" max="8965" width="10.42578125" style="101" bestFit="1" customWidth="1"/>
    <col min="8966" max="8967" width="11.5703125" style="101" bestFit="1" customWidth="1"/>
    <col min="8968" max="9216" width="9.140625" style="101"/>
    <col min="9217" max="9217" width="21.7109375" style="101" customWidth="1"/>
    <col min="9218" max="9218" width="14.85546875" style="101" bestFit="1" customWidth="1"/>
    <col min="9219" max="9219" width="15.42578125" style="101" customWidth="1"/>
    <col min="9220" max="9220" width="10.5703125" style="101" bestFit="1" customWidth="1"/>
    <col min="9221" max="9221" width="10.42578125" style="101" bestFit="1" customWidth="1"/>
    <col min="9222" max="9223" width="11.5703125" style="101" bestFit="1" customWidth="1"/>
    <col min="9224" max="9472" width="9.140625" style="101"/>
    <col min="9473" max="9473" width="21.7109375" style="101" customWidth="1"/>
    <col min="9474" max="9474" width="14.85546875" style="101" bestFit="1" customWidth="1"/>
    <col min="9475" max="9475" width="15.42578125" style="101" customWidth="1"/>
    <col min="9476" max="9476" width="10.5703125" style="101" bestFit="1" customWidth="1"/>
    <col min="9477" max="9477" width="10.42578125" style="101" bestFit="1" customWidth="1"/>
    <col min="9478" max="9479" width="11.5703125" style="101" bestFit="1" customWidth="1"/>
    <col min="9480" max="9728" width="9.140625" style="101"/>
    <col min="9729" max="9729" width="21.7109375" style="101" customWidth="1"/>
    <col min="9730" max="9730" width="14.85546875" style="101" bestFit="1" customWidth="1"/>
    <col min="9731" max="9731" width="15.42578125" style="101" customWidth="1"/>
    <col min="9732" max="9732" width="10.5703125" style="101" bestFit="1" customWidth="1"/>
    <col min="9733" max="9733" width="10.42578125" style="101" bestFit="1" customWidth="1"/>
    <col min="9734" max="9735" width="11.5703125" style="101" bestFit="1" customWidth="1"/>
    <col min="9736" max="9984" width="9.140625" style="101"/>
    <col min="9985" max="9985" width="21.7109375" style="101" customWidth="1"/>
    <col min="9986" max="9986" width="14.85546875" style="101" bestFit="1" customWidth="1"/>
    <col min="9987" max="9987" width="15.42578125" style="101" customWidth="1"/>
    <col min="9988" max="9988" width="10.5703125" style="101" bestFit="1" customWidth="1"/>
    <col min="9989" max="9989" width="10.42578125" style="101" bestFit="1" customWidth="1"/>
    <col min="9990" max="9991" width="11.5703125" style="101" bestFit="1" customWidth="1"/>
    <col min="9992" max="10240" width="9.140625" style="101"/>
    <col min="10241" max="10241" width="21.7109375" style="101" customWidth="1"/>
    <col min="10242" max="10242" width="14.85546875" style="101" bestFit="1" customWidth="1"/>
    <col min="10243" max="10243" width="15.42578125" style="101" customWidth="1"/>
    <col min="10244" max="10244" width="10.5703125" style="101" bestFit="1" customWidth="1"/>
    <col min="10245" max="10245" width="10.42578125" style="101" bestFit="1" customWidth="1"/>
    <col min="10246" max="10247" width="11.5703125" style="101" bestFit="1" customWidth="1"/>
    <col min="10248" max="10496" width="9.140625" style="101"/>
    <col min="10497" max="10497" width="21.7109375" style="101" customWidth="1"/>
    <col min="10498" max="10498" width="14.85546875" style="101" bestFit="1" customWidth="1"/>
    <col min="10499" max="10499" width="15.42578125" style="101" customWidth="1"/>
    <col min="10500" max="10500" width="10.5703125" style="101" bestFit="1" customWidth="1"/>
    <col min="10501" max="10501" width="10.42578125" style="101" bestFit="1" customWidth="1"/>
    <col min="10502" max="10503" width="11.5703125" style="101" bestFit="1" customWidth="1"/>
    <col min="10504" max="10752" width="9.140625" style="101"/>
    <col min="10753" max="10753" width="21.7109375" style="101" customWidth="1"/>
    <col min="10754" max="10754" width="14.85546875" style="101" bestFit="1" customWidth="1"/>
    <col min="10755" max="10755" width="15.42578125" style="101" customWidth="1"/>
    <col min="10756" max="10756" width="10.5703125" style="101" bestFit="1" customWidth="1"/>
    <col min="10757" max="10757" width="10.42578125" style="101" bestFit="1" customWidth="1"/>
    <col min="10758" max="10759" width="11.5703125" style="101" bestFit="1" customWidth="1"/>
    <col min="10760" max="11008" width="9.140625" style="101"/>
    <col min="11009" max="11009" width="21.7109375" style="101" customWidth="1"/>
    <col min="11010" max="11010" width="14.85546875" style="101" bestFit="1" customWidth="1"/>
    <col min="11011" max="11011" width="15.42578125" style="101" customWidth="1"/>
    <col min="11012" max="11012" width="10.5703125" style="101" bestFit="1" customWidth="1"/>
    <col min="11013" max="11013" width="10.42578125" style="101" bestFit="1" customWidth="1"/>
    <col min="11014" max="11015" width="11.5703125" style="101" bestFit="1" customWidth="1"/>
    <col min="11016" max="11264" width="9.140625" style="101"/>
    <col min="11265" max="11265" width="21.7109375" style="101" customWidth="1"/>
    <col min="11266" max="11266" width="14.85546875" style="101" bestFit="1" customWidth="1"/>
    <col min="11267" max="11267" width="15.42578125" style="101" customWidth="1"/>
    <col min="11268" max="11268" width="10.5703125" style="101" bestFit="1" customWidth="1"/>
    <col min="11269" max="11269" width="10.42578125" style="101" bestFit="1" customWidth="1"/>
    <col min="11270" max="11271" width="11.5703125" style="101" bestFit="1" customWidth="1"/>
    <col min="11272" max="11520" width="9.140625" style="101"/>
    <col min="11521" max="11521" width="21.7109375" style="101" customWidth="1"/>
    <col min="11522" max="11522" width="14.85546875" style="101" bestFit="1" customWidth="1"/>
    <col min="11523" max="11523" width="15.42578125" style="101" customWidth="1"/>
    <col min="11524" max="11524" width="10.5703125" style="101" bestFit="1" customWidth="1"/>
    <col min="11525" max="11525" width="10.42578125" style="101" bestFit="1" customWidth="1"/>
    <col min="11526" max="11527" width="11.5703125" style="101" bestFit="1" customWidth="1"/>
    <col min="11528" max="11776" width="9.140625" style="101"/>
    <col min="11777" max="11777" width="21.7109375" style="101" customWidth="1"/>
    <col min="11778" max="11778" width="14.85546875" style="101" bestFit="1" customWidth="1"/>
    <col min="11779" max="11779" width="15.42578125" style="101" customWidth="1"/>
    <col min="11780" max="11780" width="10.5703125" style="101" bestFit="1" customWidth="1"/>
    <col min="11781" max="11781" width="10.42578125" style="101" bestFit="1" customWidth="1"/>
    <col min="11782" max="11783" width="11.5703125" style="101" bestFit="1" customWidth="1"/>
    <col min="11784" max="12032" width="9.140625" style="101"/>
    <col min="12033" max="12033" width="21.7109375" style="101" customWidth="1"/>
    <col min="12034" max="12034" width="14.85546875" style="101" bestFit="1" customWidth="1"/>
    <col min="12035" max="12035" width="15.42578125" style="101" customWidth="1"/>
    <col min="12036" max="12036" width="10.5703125" style="101" bestFit="1" customWidth="1"/>
    <col min="12037" max="12037" width="10.42578125" style="101" bestFit="1" customWidth="1"/>
    <col min="12038" max="12039" width="11.5703125" style="101" bestFit="1" customWidth="1"/>
    <col min="12040" max="12288" width="9.140625" style="101"/>
    <col min="12289" max="12289" width="21.7109375" style="101" customWidth="1"/>
    <col min="12290" max="12290" width="14.85546875" style="101" bestFit="1" customWidth="1"/>
    <col min="12291" max="12291" width="15.42578125" style="101" customWidth="1"/>
    <col min="12292" max="12292" width="10.5703125" style="101" bestFit="1" customWidth="1"/>
    <col min="12293" max="12293" width="10.42578125" style="101" bestFit="1" customWidth="1"/>
    <col min="12294" max="12295" width="11.5703125" style="101" bestFit="1" customWidth="1"/>
    <col min="12296" max="12544" width="9.140625" style="101"/>
    <col min="12545" max="12545" width="21.7109375" style="101" customWidth="1"/>
    <col min="12546" max="12546" width="14.85546875" style="101" bestFit="1" customWidth="1"/>
    <col min="12547" max="12547" width="15.42578125" style="101" customWidth="1"/>
    <col min="12548" max="12548" width="10.5703125" style="101" bestFit="1" customWidth="1"/>
    <col min="12549" max="12549" width="10.42578125" style="101" bestFit="1" customWidth="1"/>
    <col min="12550" max="12551" width="11.5703125" style="101" bestFit="1" customWidth="1"/>
    <col min="12552" max="12800" width="9.140625" style="101"/>
    <col min="12801" max="12801" width="21.7109375" style="101" customWidth="1"/>
    <col min="12802" max="12802" width="14.85546875" style="101" bestFit="1" customWidth="1"/>
    <col min="12803" max="12803" width="15.42578125" style="101" customWidth="1"/>
    <col min="12804" max="12804" width="10.5703125" style="101" bestFit="1" customWidth="1"/>
    <col min="12805" max="12805" width="10.42578125" style="101" bestFit="1" customWidth="1"/>
    <col min="12806" max="12807" width="11.5703125" style="101" bestFit="1" customWidth="1"/>
    <col min="12808" max="13056" width="9.140625" style="101"/>
    <col min="13057" max="13057" width="21.7109375" style="101" customWidth="1"/>
    <col min="13058" max="13058" width="14.85546875" style="101" bestFit="1" customWidth="1"/>
    <col min="13059" max="13059" width="15.42578125" style="101" customWidth="1"/>
    <col min="13060" max="13060" width="10.5703125" style="101" bestFit="1" customWidth="1"/>
    <col min="13061" max="13061" width="10.42578125" style="101" bestFit="1" customWidth="1"/>
    <col min="13062" max="13063" width="11.5703125" style="101" bestFit="1" customWidth="1"/>
    <col min="13064" max="13312" width="9.140625" style="101"/>
    <col min="13313" max="13313" width="21.7109375" style="101" customWidth="1"/>
    <col min="13314" max="13314" width="14.85546875" style="101" bestFit="1" customWidth="1"/>
    <col min="13315" max="13315" width="15.42578125" style="101" customWidth="1"/>
    <col min="13316" max="13316" width="10.5703125" style="101" bestFit="1" customWidth="1"/>
    <col min="13317" max="13317" width="10.42578125" style="101" bestFit="1" customWidth="1"/>
    <col min="13318" max="13319" width="11.5703125" style="101" bestFit="1" customWidth="1"/>
    <col min="13320" max="13568" width="9.140625" style="101"/>
    <col min="13569" max="13569" width="21.7109375" style="101" customWidth="1"/>
    <col min="13570" max="13570" width="14.85546875" style="101" bestFit="1" customWidth="1"/>
    <col min="13571" max="13571" width="15.42578125" style="101" customWidth="1"/>
    <col min="13572" max="13572" width="10.5703125" style="101" bestFit="1" customWidth="1"/>
    <col min="13573" max="13573" width="10.42578125" style="101" bestFit="1" customWidth="1"/>
    <col min="13574" max="13575" width="11.5703125" style="101" bestFit="1" customWidth="1"/>
    <col min="13576" max="13824" width="9.140625" style="101"/>
    <col min="13825" max="13825" width="21.7109375" style="101" customWidth="1"/>
    <col min="13826" max="13826" width="14.85546875" style="101" bestFit="1" customWidth="1"/>
    <col min="13827" max="13827" width="15.42578125" style="101" customWidth="1"/>
    <col min="13828" max="13828" width="10.5703125" style="101" bestFit="1" customWidth="1"/>
    <col min="13829" max="13829" width="10.42578125" style="101" bestFit="1" customWidth="1"/>
    <col min="13830" max="13831" width="11.5703125" style="101" bestFit="1" customWidth="1"/>
    <col min="13832" max="14080" width="9.140625" style="101"/>
    <col min="14081" max="14081" width="21.7109375" style="101" customWidth="1"/>
    <col min="14082" max="14082" width="14.85546875" style="101" bestFit="1" customWidth="1"/>
    <col min="14083" max="14083" width="15.42578125" style="101" customWidth="1"/>
    <col min="14084" max="14084" width="10.5703125" style="101" bestFit="1" customWidth="1"/>
    <col min="14085" max="14085" width="10.42578125" style="101" bestFit="1" customWidth="1"/>
    <col min="14086" max="14087" width="11.5703125" style="101" bestFit="1" customWidth="1"/>
    <col min="14088" max="14336" width="9.140625" style="101"/>
    <col min="14337" max="14337" width="21.7109375" style="101" customWidth="1"/>
    <col min="14338" max="14338" width="14.85546875" style="101" bestFit="1" customWidth="1"/>
    <col min="14339" max="14339" width="15.42578125" style="101" customWidth="1"/>
    <col min="14340" max="14340" width="10.5703125" style="101" bestFit="1" customWidth="1"/>
    <col min="14341" max="14341" width="10.42578125" style="101" bestFit="1" customWidth="1"/>
    <col min="14342" max="14343" width="11.5703125" style="101" bestFit="1" customWidth="1"/>
    <col min="14344" max="14592" width="9.140625" style="101"/>
    <col min="14593" max="14593" width="21.7109375" style="101" customWidth="1"/>
    <col min="14594" max="14594" width="14.85546875" style="101" bestFit="1" customWidth="1"/>
    <col min="14595" max="14595" width="15.42578125" style="101" customWidth="1"/>
    <col min="14596" max="14596" width="10.5703125" style="101" bestFit="1" customWidth="1"/>
    <col min="14597" max="14597" width="10.42578125" style="101" bestFit="1" customWidth="1"/>
    <col min="14598" max="14599" width="11.5703125" style="101" bestFit="1" customWidth="1"/>
    <col min="14600" max="14848" width="9.140625" style="101"/>
    <col min="14849" max="14849" width="21.7109375" style="101" customWidth="1"/>
    <col min="14850" max="14850" width="14.85546875" style="101" bestFit="1" customWidth="1"/>
    <col min="14851" max="14851" width="15.42578125" style="101" customWidth="1"/>
    <col min="14852" max="14852" width="10.5703125" style="101" bestFit="1" customWidth="1"/>
    <col min="14853" max="14853" width="10.42578125" style="101" bestFit="1" customWidth="1"/>
    <col min="14854" max="14855" width="11.5703125" style="101" bestFit="1" customWidth="1"/>
    <col min="14856" max="15104" width="9.140625" style="101"/>
    <col min="15105" max="15105" width="21.7109375" style="101" customWidth="1"/>
    <col min="15106" max="15106" width="14.85546875" style="101" bestFit="1" customWidth="1"/>
    <col min="15107" max="15107" width="15.42578125" style="101" customWidth="1"/>
    <col min="15108" max="15108" width="10.5703125" style="101" bestFit="1" customWidth="1"/>
    <col min="15109" max="15109" width="10.42578125" style="101" bestFit="1" customWidth="1"/>
    <col min="15110" max="15111" width="11.5703125" style="101" bestFit="1" customWidth="1"/>
    <col min="15112" max="15360" width="9.140625" style="101"/>
    <col min="15361" max="15361" width="21.7109375" style="101" customWidth="1"/>
    <col min="15362" max="15362" width="14.85546875" style="101" bestFit="1" customWidth="1"/>
    <col min="15363" max="15363" width="15.42578125" style="101" customWidth="1"/>
    <col min="15364" max="15364" width="10.5703125" style="101" bestFit="1" customWidth="1"/>
    <col min="15365" max="15365" width="10.42578125" style="101" bestFit="1" customWidth="1"/>
    <col min="15366" max="15367" width="11.5703125" style="101" bestFit="1" customWidth="1"/>
    <col min="15368" max="15616" width="9.140625" style="101"/>
    <col min="15617" max="15617" width="21.7109375" style="101" customWidth="1"/>
    <col min="15618" max="15618" width="14.85546875" style="101" bestFit="1" customWidth="1"/>
    <col min="15619" max="15619" width="15.42578125" style="101" customWidth="1"/>
    <col min="15620" max="15620" width="10.5703125" style="101" bestFit="1" customWidth="1"/>
    <col min="15621" max="15621" width="10.42578125" style="101" bestFit="1" customWidth="1"/>
    <col min="15622" max="15623" width="11.5703125" style="101" bestFit="1" customWidth="1"/>
    <col min="15624" max="15872" width="9.140625" style="101"/>
    <col min="15873" max="15873" width="21.7109375" style="101" customWidth="1"/>
    <col min="15874" max="15874" width="14.85546875" style="101" bestFit="1" customWidth="1"/>
    <col min="15875" max="15875" width="15.42578125" style="101" customWidth="1"/>
    <col min="15876" max="15876" width="10.5703125" style="101" bestFit="1" customWidth="1"/>
    <col min="15877" max="15877" width="10.42578125" style="101" bestFit="1" customWidth="1"/>
    <col min="15878" max="15879" width="11.5703125" style="101" bestFit="1" customWidth="1"/>
    <col min="15880" max="16128" width="9.140625" style="101"/>
    <col min="16129" max="16129" width="21.7109375" style="101" customWidth="1"/>
    <col min="16130" max="16130" width="14.85546875" style="101" bestFit="1" customWidth="1"/>
    <col min="16131" max="16131" width="15.42578125" style="101" customWidth="1"/>
    <col min="16132" max="16132" width="10.5703125" style="101" bestFit="1" customWidth="1"/>
    <col min="16133" max="16133" width="10.42578125" style="101" bestFit="1" customWidth="1"/>
    <col min="16134" max="16135" width="11.5703125" style="101" bestFit="1" customWidth="1"/>
    <col min="16136" max="16384" width="9.140625" style="101"/>
  </cols>
  <sheetData>
    <row r="1" spans="1:7" ht="18" x14ac:dyDescent="0.2">
      <c r="A1" s="214" t="s">
        <v>769</v>
      </c>
      <c r="B1" s="187"/>
      <c r="C1" s="187"/>
      <c r="D1" s="187"/>
      <c r="E1" s="187"/>
      <c r="F1" s="187"/>
      <c r="G1" s="187"/>
    </row>
    <row r="2" spans="1:7" s="162" customFormat="1" hidden="1" x14ac:dyDescent="0.2">
      <c r="B2" s="320"/>
    </row>
    <row r="3" spans="1:7" x14ac:dyDescent="0.2">
      <c r="A3" s="231" t="str">
        <f>IF(A2="","",IF(Disable_Video_Hyperlinks,A2,HYPERLINK(Video_website&amp;A2,A2)))</f>
        <v/>
      </c>
      <c r="B3" s="101"/>
    </row>
    <row r="4" spans="1:7" x14ac:dyDescent="0.2">
      <c r="A4" s="309" t="str">
        <f>IF(B2="","",B2)</f>
        <v/>
      </c>
      <c r="B4" s="101"/>
    </row>
    <row r="5" spans="1:7" ht="18" x14ac:dyDescent="0.2">
      <c r="A5" s="214" t="s">
        <v>307</v>
      </c>
      <c r="B5" s="372"/>
      <c r="C5" s="372"/>
      <c r="D5" s="372"/>
      <c r="E5" s="372"/>
      <c r="F5" s="372"/>
      <c r="G5" s="372"/>
    </row>
    <row r="6" spans="1:7" x14ac:dyDescent="0.2">
      <c r="B6" s="104" t="s">
        <v>308</v>
      </c>
      <c r="C6" s="105" t="s">
        <v>309</v>
      </c>
      <c r="E6" s="405"/>
      <c r="F6" s="405"/>
      <c r="G6" s="109" t="s">
        <v>732</v>
      </c>
    </row>
    <row r="7" spans="1:7" x14ac:dyDescent="0.2">
      <c r="A7" s="107" t="s">
        <v>310</v>
      </c>
      <c r="B7" s="108">
        <f>SUM(D11:D61)</f>
        <v>50133912</v>
      </c>
      <c r="C7" s="108">
        <f>SUM(E11:E61)</f>
        <v>49805216</v>
      </c>
      <c r="E7" s="106"/>
      <c r="F7" s="325" t="s">
        <v>733</v>
      </c>
      <c r="G7" s="336">
        <v>0.05</v>
      </c>
    </row>
    <row r="8" spans="1:7" x14ac:dyDescent="0.2">
      <c r="A8" s="107" t="s">
        <v>311</v>
      </c>
      <c r="B8" s="101">
        <f>SUMIF($C$11:$C$61,B$6,$B$11:$B$61)</f>
        <v>237</v>
      </c>
      <c r="C8" s="101">
        <f>SUMIF($C$11:$C$61,C$6,$B$11:$B$61)</f>
        <v>246</v>
      </c>
      <c r="E8" s="104"/>
      <c r="F8" s="326" t="s">
        <v>734</v>
      </c>
      <c r="G8" s="335">
        <v>0.01</v>
      </c>
    </row>
    <row r="10" spans="1:7" x14ac:dyDescent="0.2">
      <c r="A10" s="332" t="s">
        <v>312</v>
      </c>
      <c r="B10" s="332" t="s">
        <v>313</v>
      </c>
      <c r="C10" s="332" t="s">
        <v>314</v>
      </c>
      <c r="D10" s="374" t="s">
        <v>308</v>
      </c>
      <c r="E10" s="373" t="s">
        <v>309</v>
      </c>
      <c r="F10" s="332" t="s">
        <v>315</v>
      </c>
      <c r="G10" s="332" t="s">
        <v>732</v>
      </c>
    </row>
    <row r="11" spans="1:7" x14ac:dyDescent="0.2">
      <c r="A11" s="324" t="s">
        <v>317</v>
      </c>
      <c r="B11" s="163">
        <v>9</v>
      </c>
      <c r="C11" s="109" t="str" cm="1">
        <f t="array" ref="C11">_xlfn.IFS(G11&lt;=$G$8,"Recount",D11&gt;E11,D$10,E11&gt;D11,E$10,D11=E11,"Tie")</f>
        <v>Bush</v>
      </c>
      <c r="D11" s="164">
        <v>696741</v>
      </c>
      <c r="E11" s="164">
        <v>943799</v>
      </c>
      <c r="F11" s="110">
        <f t="shared" ref="F11:F61" si="0">ABS(D11-E11)</f>
        <v>247058</v>
      </c>
      <c r="G11" s="111">
        <f t="shared" ref="G11:G61" si="1">F11/(D11+E11)</f>
        <v>0.15059553561632147</v>
      </c>
    </row>
    <row r="12" spans="1:7" x14ac:dyDescent="0.2">
      <c r="A12" s="324" t="s">
        <v>318</v>
      </c>
      <c r="B12" s="163">
        <v>3</v>
      </c>
      <c r="C12" s="109" t="str" cm="1">
        <f t="array" ref="C12">_xlfn.IFS(G12&lt;=$G$8,"Recount",D12&gt;E12,D$10,E12&gt;D12,E$10,D12=E12,"Tie")</f>
        <v>Bush</v>
      </c>
      <c r="D12" s="164">
        <v>64252</v>
      </c>
      <c r="E12" s="164">
        <v>136068</v>
      </c>
      <c r="F12" s="110">
        <f t="shared" si="0"/>
        <v>71816</v>
      </c>
      <c r="G12" s="111">
        <f t="shared" si="1"/>
        <v>0.35850638977635785</v>
      </c>
    </row>
    <row r="13" spans="1:7" x14ac:dyDescent="0.2">
      <c r="A13" s="324" t="s">
        <v>319</v>
      </c>
      <c r="B13" s="163">
        <v>8</v>
      </c>
      <c r="C13" s="109" t="str" cm="1">
        <f t="array" ref="C13">_xlfn.IFS(G13&lt;=$G$8,"Recount",D13&gt;E13,D$10,E13&gt;D13,E$10,D13=E13,"Tie")</f>
        <v>Bush</v>
      </c>
      <c r="D13" s="164">
        <v>635730</v>
      </c>
      <c r="E13" s="164">
        <v>715112</v>
      </c>
      <c r="F13" s="110">
        <f t="shared" si="0"/>
        <v>79382</v>
      </c>
      <c r="G13" s="111">
        <f t="shared" si="1"/>
        <v>5.8764829639587755E-2</v>
      </c>
    </row>
    <row r="14" spans="1:7" x14ac:dyDescent="0.2">
      <c r="A14" s="324" t="s">
        <v>320</v>
      </c>
      <c r="B14" s="163">
        <v>6</v>
      </c>
      <c r="C14" s="109" t="str" cm="1">
        <f t="array" ref="C14">_xlfn.IFS(G14&lt;=$G$8,"Recount",D14&gt;E14,D$10,E14&gt;D14,E$10,D14=E14,"Tie")</f>
        <v>Bush</v>
      </c>
      <c r="D14" s="164">
        <v>421136</v>
      </c>
      <c r="E14" s="164">
        <v>471800</v>
      </c>
      <c r="F14" s="110">
        <f t="shared" si="0"/>
        <v>50664</v>
      </c>
      <c r="G14" s="111">
        <f t="shared" si="1"/>
        <v>5.6738668840767982E-2</v>
      </c>
    </row>
    <row r="15" spans="1:7" x14ac:dyDescent="0.2">
      <c r="A15" s="324" t="s">
        <v>321</v>
      </c>
      <c r="B15" s="163">
        <v>54</v>
      </c>
      <c r="C15" s="109" t="str" cm="1">
        <f t="array" ref="C15">_xlfn.IFS(G15&lt;=$G$8,"Recount",D15&gt;E15,D$10,E15&gt;D15,E$10,D15=E15,"Tie")</f>
        <v>Gore</v>
      </c>
      <c r="D15" s="164">
        <v>5699920</v>
      </c>
      <c r="E15" s="164">
        <v>4425572</v>
      </c>
      <c r="F15" s="110">
        <f t="shared" si="0"/>
        <v>1274348</v>
      </c>
      <c r="G15" s="111">
        <f t="shared" si="1"/>
        <v>0.12585541522328</v>
      </c>
    </row>
    <row r="16" spans="1:7" x14ac:dyDescent="0.2">
      <c r="A16" s="324" t="s">
        <v>322</v>
      </c>
      <c r="B16" s="163">
        <v>8</v>
      </c>
      <c r="C16" s="109" t="str" cm="1">
        <f t="array" ref="C16">_xlfn.IFS(G16&lt;=$G$8,"Recount",D16&gt;E16,D$10,E16&gt;D16,E$10,D16=E16,"Tie")</f>
        <v>Bush</v>
      </c>
      <c r="D16" s="164">
        <v>738718</v>
      </c>
      <c r="E16" s="164">
        <v>885147</v>
      </c>
      <c r="F16" s="110">
        <f t="shared" si="0"/>
        <v>146429</v>
      </c>
      <c r="G16" s="111">
        <f t="shared" si="1"/>
        <v>9.0173136313671395E-2</v>
      </c>
    </row>
    <row r="17" spans="1:7" x14ac:dyDescent="0.2">
      <c r="A17" s="324" t="s">
        <v>323</v>
      </c>
      <c r="B17" s="163">
        <v>8</v>
      </c>
      <c r="C17" s="109" t="str" cm="1">
        <f t="array" ref="C17">_xlfn.IFS(G17&lt;=$G$8,"Recount",D17&gt;E17,D$10,E17&gt;D17,E$10,D17=E17,"Tie")</f>
        <v>Gore</v>
      </c>
      <c r="D17" s="164">
        <v>808955</v>
      </c>
      <c r="E17" s="164">
        <v>558069</v>
      </c>
      <c r="F17" s="110">
        <f t="shared" si="0"/>
        <v>250886</v>
      </c>
      <c r="G17" s="111">
        <f t="shared" si="1"/>
        <v>0.18352713631947939</v>
      </c>
    </row>
    <row r="18" spans="1:7" x14ac:dyDescent="0.2">
      <c r="A18" s="324" t="s">
        <v>324</v>
      </c>
      <c r="B18" s="163">
        <v>3</v>
      </c>
      <c r="C18" s="109" t="str" cm="1">
        <f t="array" ref="C18">_xlfn.IFS(G18&lt;=$G$8,"Recount",D18&gt;E18,D$10,E18&gt;D18,E$10,D18=E18,"Tie")</f>
        <v>Gore</v>
      </c>
      <c r="D18" s="164">
        <v>180638</v>
      </c>
      <c r="E18" s="164">
        <v>137081</v>
      </c>
      <c r="F18" s="110">
        <f t="shared" si="0"/>
        <v>43557</v>
      </c>
      <c r="G18" s="111">
        <f t="shared" si="1"/>
        <v>0.13709283989940796</v>
      </c>
    </row>
    <row r="19" spans="1:7" x14ac:dyDescent="0.2">
      <c r="A19" s="324" t="s">
        <v>325</v>
      </c>
      <c r="B19" s="163">
        <v>3</v>
      </c>
      <c r="C19" s="109" t="str" cm="1">
        <f t="array" ref="C19">_xlfn.IFS(G19&lt;=$G$8,"Recount",D19&gt;E19,D$10,E19&gt;D19,E$10,D19=E19,"Tie")</f>
        <v>Gore</v>
      </c>
      <c r="D19" s="164">
        <v>162004</v>
      </c>
      <c r="E19" s="164">
        <v>17020</v>
      </c>
      <c r="F19" s="110">
        <f t="shared" si="0"/>
        <v>144984</v>
      </c>
      <c r="G19" s="111">
        <f t="shared" si="1"/>
        <v>0.80985789614800252</v>
      </c>
    </row>
    <row r="20" spans="1:7" x14ac:dyDescent="0.2">
      <c r="A20" s="324" t="s">
        <v>326</v>
      </c>
      <c r="B20" s="163">
        <v>25</v>
      </c>
      <c r="C20" s="109" t="str" cm="1">
        <f t="array" ref="C20">_xlfn.IFS(G20&lt;=$G$8,"Recount",D20&gt;E20,D$10,E20&gt;D20,E$10,D20=E20,"Tie")</f>
        <v>Recount</v>
      </c>
      <c r="D20" s="164">
        <v>2910942</v>
      </c>
      <c r="E20" s="164">
        <v>2911872</v>
      </c>
      <c r="F20" s="110">
        <f t="shared" si="0"/>
        <v>930</v>
      </c>
      <c r="G20" s="111">
        <f t="shared" si="1"/>
        <v>1.5971659063813477E-4</v>
      </c>
    </row>
    <row r="21" spans="1:7" x14ac:dyDescent="0.2">
      <c r="A21" s="324" t="s">
        <v>327</v>
      </c>
      <c r="B21" s="163">
        <v>13</v>
      </c>
      <c r="C21" s="109" t="str" cm="1">
        <f t="array" ref="C21">_xlfn.IFS(G21&lt;=$G$8,"Recount",D21&gt;E21,D$10,E21&gt;D21,E$10,D21=E21,"Tie")</f>
        <v>Bush</v>
      </c>
      <c r="D21" s="164">
        <v>1110133</v>
      </c>
      <c r="E21" s="164">
        <v>1415277</v>
      </c>
      <c r="F21" s="110">
        <f t="shared" si="0"/>
        <v>305144</v>
      </c>
      <c r="G21" s="111">
        <f t="shared" si="1"/>
        <v>0.1208294890730614</v>
      </c>
    </row>
    <row r="22" spans="1:7" x14ac:dyDescent="0.2">
      <c r="A22" s="324" t="s">
        <v>328</v>
      </c>
      <c r="B22" s="163">
        <v>4</v>
      </c>
      <c r="C22" s="109" t="str" cm="1">
        <f t="array" ref="C22">_xlfn.IFS(G22&lt;=$G$8,"Recount",D22&gt;E22,D$10,E22&gt;D22,E$10,D22=E22,"Tie")</f>
        <v>Gore</v>
      </c>
      <c r="D22" s="164">
        <v>239621</v>
      </c>
      <c r="E22" s="164">
        <v>155361</v>
      </c>
      <c r="F22" s="110">
        <f t="shared" si="0"/>
        <v>84260</v>
      </c>
      <c r="G22" s="111">
        <f t="shared" si="1"/>
        <v>0.21332617688907343</v>
      </c>
    </row>
    <row r="23" spans="1:7" x14ac:dyDescent="0.2">
      <c r="A23" s="324" t="s">
        <v>329</v>
      </c>
      <c r="B23" s="163">
        <v>4</v>
      </c>
      <c r="C23" s="109" t="str" cm="1">
        <f t="array" ref="C23">_xlfn.IFS(G23&lt;=$G$8,"Recount",D23&gt;E23,D$10,E23&gt;D23,E$10,D23=E23,"Tie")</f>
        <v>Bush</v>
      </c>
      <c r="D23" s="164">
        <v>138354</v>
      </c>
      <c r="E23" s="164">
        <v>336299</v>
      </c>
      <c r="F23" s="110">
        <f t="shared" si="0"/>
        <v>197945</v>
      </c>
      <c r="G23" s="111">
        <f t="shared" si="1"/>
        <v>0.41703096788601357</v>
      </c>
    </row>
    <row r="24" spans="1:7" x14ac:dyDescent="0.2">
      <c r="A24" s="324" t="s">
        <v>330</v>
      </c>
      <c r="B24" s="163">
        <v>22</v>
      </c>
      <c r="C24" s="109" t="str" cm="1">
        <f t="array" ref="C24">_xlfn.IFS(G24&lt;=$G$8,"Recount",D24&gt;E24,D$10,E24&gt;D24,E$10,D24=E24,"Tie")</f>
        <v>Gore</v>
      </c>
      <c r="D24" s="164">
        <v>2599814</v>
      </c>
      <c r="E24" s="164">
        <v>2025764</v>
      </c>
      <c r="F24" s="110">
        <f t="shared" si="0"/>
        <v>574050</v>
      </c>
      <c r="G24" s="111">
        <f t="shared" si="1"/>
        <v>0.12410340934689676</v>
      </c>
    </row>
    <row r="25" spans="1:7" x14ac:dyDescent="0.2">
      <c r="A25" s="324" t="s">
        <v>331</v>
      </c>
      <c r="B25" s="163">
        <v>12</v>
      </c>
      <c r="C25" s="109" t="str" cm="1">
        <f t="array" ref="C25">_xlfn.IFS(G25&lt;=$G$8,"Recount",D25&gt;E25,D$10,E25&gt;D25,E$10,D25=E25,"Tie")</f>
        <v>Bush</v>
      </c>
      <c r="D25" s="164">
        <v>899836</v>
      </c>
      <c r="E25" s="164">
        <v>1242372</v>
      </c>
      <c r="F25" s="110">
        <f t="shared" si="0"/>
        <v>342536</v>
      </c>
      <c r="G25" s="111">
        <f t="shared" si="1"/>
        <v>0.15989857194072657</v>
      </c>
    </row>
    <row r="26" spans="1:7" x14ac:dyDescent="0.2">
      <c r="A26" s="324" t="s">
        <v>332</v>
      </c>
      <c r="B26" s="163">
        <v>7</v>
      </c>
      <c r="C26" s="109" t="str" cm="1">
        <f t="array" ref="C26">_xlfn.IFS(G26&lt;=$G$8,"Recount",D26&gt;E26,D$10,E26&gt;D26,E$10,D26=E26,"Tie")</f>
        <v>Recount</v>
      </c>
      <c r="D26" s="164">
        <v>638355</v>
      </c>
      <c r="E26" s="164">
        <v>634225</v>
      </c>
      <c r="F26" s="110">
        <f t="shared" si="0"/>
        <v>4130</v>
      </c>
      <c r="G26" s="111">
        <f t="shared" si="1"/>
        <v>3.245375536312059E-3</v>
      </c>
    </row>
    <row r="27" spans="1:7" x14ac:dyDescent="0.2">
      <c r="A27" s="324" t="s">
        <v>333</v>
      </c>
      <c r="B27" s="163">
        <v>6</v>
      </c>
      <c r="C27" s="109" t="str" cm="1">
        <f t="array" ref="C27">_xlfn.IFS(G27&lt;=$G$8,"Recount",D27&gt;E27,D$10,E27&gt;D27,E$10,D27=E27,"Tie")</f>
        <v>Bush</v>
      </c>
      <c r="D27" s="164">
        <v>392867</v>
      </c>
      <c r="E27" s="164">
        <v>616829</v>
      </c>
      <c r="F27" s="110">
        <f t="shared" si="0"/>
        <v>223962</v>
      </c>
      <c r="G27" s="111">
        <f t="shared" si="1"/>
        <v>0.22181131746585112</v>
      </c>
    </row>
    <row r="28" spans="1:7" x14ac:dyDescent="0.2">
      <c r="A28" s="324" t="s">
        <v>334</v>
      </c>
      <c r="B28" s="163">
        <v>8</v>
      </c>
      <c r="C28" s="109" t="str" cm="1">
        <f t="array" ref="C28">_xlfn.IFS(G28&lt;=$G$8,"Recount",D28&gt;E28,D$10,E28&gt;D28,E$10,D28=E28,"Tie")</f>
        <v>Bush</v>
      </c>
      <c r="D28" s="164">
        <v>640123</v>
      </c>
      <c r="E28" s="164">
        <v>872141</v>
      </c>
      <c r="F28" s="110">
        <f t="shared" si="0"/>
        <v>232018</v>
      </c>
      <c r="G28" s="111">
        <f t="shared" si="1"/>
        <v>0.15342426983648358</v>
      </c>
    </row>
    <row r="29" spans="1:7" x14ac:dyDescent="0.2">
      <c r="A29" s="324" t="s">
        <v>335</v>
      </c>
      <c r="B29" s="163">
        <v>9</v>
      </c>
      <c r="C29" s="109" t="str" cm="1">
        <f t="array" ref="C29">_xlfn.IFS(G29&lt;=$G$8,"Recount",D29&gt;E29,D$10,E29&gt;D29,E$10,D29=E29,"Tie")</f>
        <v>Bush</v>
      </c>
      <c r="D29" s="164">
        <v>792344</v>
      </c>
      <c r="E29" s="164">
        <v>927871</v>
      </c>
      <c r="F29" s="110">
        <f t="shared" si="0"/>
        <v>135527</v>
      </c>
      <c r="G29" s="111">
        <f t="shared" si="1"/>
        <v>7.8784919326944591E-2</v>
      </c>
    </row>
    <row r="30" spans="1:7" x14ac:dyDescent="0.2">
      <c r="A30" s="324" t="s">
        <v>336</v>
      </c>
      <c r="B30" s="163">
        <v>4</v>
      </c>
      <c r="C30" s="109" t="str" cm="1">
        <f t="array" ref="C30">_xlfn.IFS(G30&lt;=$G$8,"Recount",D30&gt;E30,D$10,E30&gt;D30,E$10,D30=E30,"Tie")</f>
        <v>Gore</v>
      </c>
      <c r="D30" s="164">
        <v>315466</v>
      </c>
      <c r="E30" s="164">
        <v>283988</v>
      </c>
      <c r="F30" s="110">
        <f t="shared" si="0"/>
        <v>31478</v>
      </c>
      <c r="G30" s="111">
        <f t="shared" si="1"/>
        <v>5.2511118451123856E-2</v>
      </c>
    </row>
    <row r="31" spans="1:7" x14ac:dyDescent="0.2">
      <c r="A31" s="324" t="s">
        <v>337</v>
      </c>
      <c r="B31" s="163">
        <v>10</v>
      </c>
      <c r="C31" s="109" t="str" cm="1">
        <f t="array" ref="C31">_xlfn.IFS(G31&lt;=$G$8,"Recount",D31&gt;E31,D$10,E31&gt;D31,E$10,D31=E31,"Tie")</f>
        <v>Gore</v>
      </c>
      <c r="D31" s="164">
        <v>1093344</v>
      </c>
      <c r="E31" s="164">
        <v>770911</v>
      </c>
      <c r="F31" s="110">
        <f t="shared" si="0"/>
        <v>322433</v>
      </c>
      <c r="G31" s="111">
        <f t="shared" si="1"/>
        <v>0.172955416506862</v>
      </c>
    </row>
    <row r="32" spans="1:7" x14ac:dyDescent="0.2">
      <c r="A32" s="324" t="s">
        <v>338</v>
      </c>
      <c r="B32" s="163">
        <v>12</v>
      </c>
      <c r="C32" s="109" t="str" cm="1">
        <f t="array" ref="C32">_xlfn.IFS(G32&lt;=$G$8,"Recount",D32&gt;E32,D$10,E32&gt;D32,E$10,D32=E32,"Tie")</f>
        <v>Gore</v>
      </c>
      <c r="D32" s="164">
        <v>1609048</v>
      </c>
      <c r="E32" s="164">
        <v>875658</v>
      </c>
      <c r="F32" s="110">
        <f t="shared" si="0"/>
        <v>733390</v>
      </c>
      <c r="G32" s="111">
        <f t="shared" si="1"/>
        <v>0.29516168110029917</v>
      </c>
    </row>
    <row r="33" spans="1:7" x14ac:dyDescent="0.2">
      <c r="A33" s="324" t="s">
        <v>339</v>
      </c>
      <c r="B33" s="163">
        <v>18</v>
      </c>
      <c r="C33" s="109" t="str" cm="1">
        <f t="array" ref="C33">_xlfn.IFS(G33&lt;=$G$8,"Recount",D33&gt;E33,D$10,E33&gt;D33,E$10,D33=E33,"Tie")</f>
        <v>Gore</v>
      </c>
      <c r="D33" s="164">
        <v>2141721</v>
      </c>
      <c r="E33" s="164">
        <v>1947100</v>
      </c>
      <c r="F33" s="110">
        <f t="shared" si="0"/>
        <v>194621</v>
      </c>
      <c r="G33" s="111">
        <f t="shared" si="1"/>
        <v>4.7598317461194806E-2</v>
      </c>
    </row>
    <row r="34" spans="1:7" x14ac:dyDescent="0.2">
      <c r="A34" s="324" t="s">
        <v>340</v>
      </c>
      <c r="B34" s="163">
        <v>10</v>
      </c>
      <c r="C34" s="109" t="str" cm="1">
        <f t="array" ref="C34">_xlfn.IFS(G34&lt;=$G$8,"Recount",D34&gt;E34,D$10,E34&gt;D34,E$10,D34=E34,"Tie")</f>
        <v>Gore</v>
      </c>
      <c r="D34" s="164">
        <v>1168190</v>
      </c>
      <c r="E34" s="164">
        <v>1110290</v>
      </c>
      <c r="F34" s="110">
        <f t="shared" si="0"/>
        <v>57900</v>
      </c>
      <c r="G34" s="111">
        <f t="shared" si="1"/>
        <v>2.5411677960745761E-2</v>
      </c>
    </row>
    <row r="35" spans="1:7" x14ac:dyDescent="0.2">
      <c r="A35" s="324" t="s">
        <v>341</v>
      </c>
      <c r="B35" s="163">
        <v>7</v>
      </c>
      <c r="C35" s="109" t="str" cm="1">
        <f t="array" ref="C35">_xlfn.IFS(G35&lt;=$G$8,"Recount",D35&gt;E35,D$10,E35&gt;D35,E$10,D35=E35,"Tie")</f>
        <v>Bush</v>
      </c>
      <c r="D35" s="164">
        <v>392587</v>
      </c>
      <c r="E35" s="164">
        <v>558884</v>
      </c>
      <c r="F35" s="110">
        <f t="shared" si="0"/>
        <v>166297</v>
      </c>
      <c r="G35" s="111">
        <f t="shared" si="1"/>
        <v>0.1747788424450141</v>
      </c>
    </row>
    <row r="36" spans="1:7" x14ac:dyDescent="0.2">
      <c r="A36" s="324" t="s">
        <v>342</v>
      </c>
      <c r="B36" s="163">
        <v>11</v>
      </c>
      <c r="C36" s="109" t="str" cm="1">
        <f t="array" ref="C36">_xlfn.IFS(G36&lt;=$G$8,"Recount",D36&gt;E36,D$10,E36&gt;D36,E$10,D36=E36,"Tie")</f>
        <v>Bush</v>
      </c>
      <c r="D36" s="164">
        <v>1110826</v>
      </c>
      <c r="E36" s="164">
        <v>1189521</v>
      </c>
      <c r="F36" s="110">
        <f t="shared" si="0"/>
        <v>78695</v>
      </c>
      <c r="G36" s="111">
        <f t="shared" si="1"/>
        <v>3.4210056135009194E-2</v>
      </c>
    </row>
    <row r="37" spans="1:7" x14ac:dyDescent="0.2">
      <c r="A37" s="324" t="s">
        <v>343</v>
      </c>
      <c r="B37" s="163">
        <v>3</v>
      </c>
      <c r="C37" s="109" t="str" cm="1">
        <f t="array" ref="C37">_xlfn.IFS(G37&lt;=$G$8,"Recount",D37&gt;E37,D$10,E37&gt;D37,E$10,D37=E37,"Tie")</f>
        <v>Bush</v>
      </c>
      <c r="D37" s="164">
        <v>137264</v>
      </c>
      <c r="E37" s="164">
        <v>239755</v>
      </c>
      <c r="F37" s="110">
        <f t="shared" si="0"/>
        <v>102491</v>
      </c>
      <c r="G37" s="111">
        <f t="shared" si="1"/>
        <v>0.27184571599839796</v>
      </c>
    </row>
    <row r="38" spans="1:7" x14ac:dyDescent="0.2">
      <c r="A38" s="324" t="s">
        <v>344</v>
      </c>
      <c r="B38" s="163">
        <v>5</v>
      </c>
      <c r="C38" s="109" t="str" cm="1">
        <f t="array" ref="C38">_xlfn.IFS(G38&lt;=$G$8,"Recount",D38&gt;E38,D$10,E38&gt;D38,E$10,D38=E38,"Tie")</f>
        <v>Bush</v>
      </c>
      <c r="D38" s="164">
        <v>215616</v>
      </c>
      <c r="E38" s="164">
        <v>408719</v>
      </c>
      <c r="F38" s="110">
        <f t="shared" si="0"/>
        <v>193103</v>
      </c>
      <c r="G38" s="111">
        <f t="shared" si="1"/>
        <v>0.30929388869757424</v>
      </c>
    </row>
    <row r="39" spans="1:7" x14ac:dyDescent="0.2">
      <c r="A39" s="324" t="s">
        <v>345</v>
      </c>
      <c r="B39" s="163">
        <v>4</v>
      </c>
      <c r="C39" s="109" t="str" cm="1">
        <f t="array" ref="C39">_xlfn.IFS(G39&lt;=$G$8,"Recount",D39&gt;E39,D$10,E39&gt;D39,E$10,D39=E39,"Tie")</f>
        <v>Bush</v>
      </c>
      <c r="D39" s="164">
        <v>279749</v>
      </c>
      <c r="E39" s="164">
        <v>301539</v>
      </c>
      <c r="F39" s="110">
        <f t="shared" si="0"/>
        <v>21790</v>
      </c>
      <c r="G39" s="111">
        <f t="shared" si="1"/>
        <v>3.7485721363592572E-2</v>
      </c>
    </row>
    <row r="40" spans="1:7" x14ac:dyDescent="0.2">
      <c r="A40" s="324" t="s">
        <v>346</v>
      </c>
      <c r="B40" s="163">
        <v>4</v>
      </c>
      <c r="C40" s="109" t="str" cm="1">
        <f t="array" ref="C40">_xlfn.IFS(G40&lt;=$G$8,"Recount",D40&gt;E40,D$10,E40&gt;D40,E$10,D40=E40,"Tie")</f>
        <v>Bush</v>
      </c>
      <c r="D40" s="164">
        <v>265853</v>
      </c>
      <c r="E40" s="164">
        <v>273135</v>
      </c>
      <c r="F40" s="110">
        <f t="shared" si="0"/>
        <v>7282</v>
      </c>
      <c r="G40" s="111">
        <f t="shared" si="1"/>
        <v>1.3510504872093628E-2</v>
      </c>
    </row>
    <row r="41" spans="1:7" x14ac:dyDescent="0.2">
      <c r="A41" s="324" t="s">
        <v>347</v>
      </c>
      <c r="B41" s="163">
        <v>15</v>
      </c>
      <c r="C41" s="109" t="str" cm="1">
        <f t="array" ref="C41">_xlfn.IFS(G41&lt;=$G$8,"Recount",D41&gt;E41,D$10,E41&gt;D41,E$10,D41=E41,"Tie")</f>
        <v>Gore</v>
      </c>
      <c r="D41" s="164">
        <v>1728956</v>
      </c>
      <c r="E41" s="164">
        <v>1247515</v>
      </c>
      <c r="F41" s="110">
        <f t="shared" si="0"/>
        <v>481441</v>
      </c>
      <c r="G41" s="111">
        <f t="shared" si="1"/>
        <v>0.16174893019283573</v>
      </c>
    </row>
    <row r="42" spans="1:7" x14ac:dyDescent="0.2">
      <c r="A42" s="324" t="s">
        <v>348</v>
      </c>
      <c r="B42" s="163">
        <v>5</v>
      </c>
      <c r="C42" s="109" t="str" cm="1">
        <f t="array" ref="C42">_xlfn.IFS(G42&lt;=$G$8,"Recount",D42&gt;E42,D$10,E42&gt;D42,E$10,D42=E42,"Tie")</f>
        <v>Recount</v>
      </c>
      <c r="D42" s="164">
        <v>286565</v>
      </c>
      <c r="E42" s="164">
        <v>286079</v>
      </c>
      <c r="F42" s="110">
        <f t="shared" si="0"/>
        <v>486</v>
      </c>
      <c r="G42" s="111">
        <f t="shared" si="1"/>
        <v>8.4869482610487493E-4</v>
      </c>
    </row>
    <row r="43" spans="1:7" x14ac:dyDescent="0.2">
      <c r="A43" s="324" t="s">
        <v>349</v>
      </c>
      <c r="B43" s="163">
        <v>33</v>
      </c>
      <c r="C43" s="109" t="str" cm="1">
        <f t="array" ref="C43">_xlfn.IFS(G43&lt;=$G$8,"Recount",D43&gt;E43,D$10,E43&gt;D43,E$10,D43=E43,"Tie")</f>
        <v>Gore</v>
      </c>
      <c r="D43" s="164">
        <v>3746839</v>
      </c>
      <c r="E43" s="164">
        <v>2222283</v>
      </c>
      <c r="F43" s="110">
        <f t="shared" si="0"/>
        <v>1524556</v>
      </c>
      <c r="G43" s="111">
        <f t="shared" si="1"/>
        <v>0.25540707661863837</v>
      </c>
    </row>
    <row r="44" spans="1:7" x14ac:dyDescent="0.2">
      <c r="A44" s="324" t="s">
        <v>350</v>
      </c>
      <c r="B44" s="163">
        <v>14</v>
      </c>
      <c r="C44" s="109" t="str" cm="1">
        <f t="array" ref="C44">_xlfn.IFS(G44&lt;=$G$8,"Recount",D44&gt;E44,D$10,E44&gt;D44,E$10,D44=E44,"Tie")</f>
        <v>Bush</v>
      </c>
      <c r="D44" s="164">
        <v>1241307</v>
      </c>
      <c r="E44" s="164">
        <v>1608390</v>
      </c>
      <c r="F44" s="110">
        <f t="shared" si="0"/>
        <v>367083</v>
      </c>
      <c r="G44" s="111">
        <f t="shared" si="1"/>
        <v>0.12881474767317366</v>
      </c>
    </row>
    <row r="45" spans="1:7" x14ac:dyDescent="0.2">
      <c r="A45" s="324" t="s">
        <v>351</v>
      </c>
      <c r="B45" s="163">
        <v>3</v>
      </c>
      <c r="C45" s="109" t="str" cm="1">
        <f t="array" ref="C45">_xlfn.IFS(G45&lt;=$G$8,"Recount",D45&gt;E45,D$10,E45&gt;D45,E$10,D45=E45,"Tie")</f>
        <v>Bush</v>
      </c>
      <c r="D45" s="164">
        <v>95892</v>
      </c>
      <c r="E45" s="164">
        <v>175558</v>
      </c>
      <c r="F45" s="110">
        <f t="shared" si="0"/>
        <v>79666</v>
      </c>
      <c r="G45" s="111">
        <f t="shared" si="1"/>
        <v>0.29348314606741571</v>
      </c>
    </row>
    <row r="46" spans="1:7" x14ac:dyDescent="0.2">
      <c r="A46" s="324" t="s">
        <v>352</v>
      </c>
      <c r="B46" s="163">
        <v>21</v>
      </c>
      <c r="C46" s="109" t="str" cm="1">
        <f t="array" ref="C46">_xlfn.IFS(G46&lt;=$G$8,"Recount",D46&gt;E46,D$10,E46&gt;D46,E$10,D46=E46,"Tie")</f>
        <v>Bush</v>
      </c>
      <c r="D46" s="164">
        <v>2111499</v>
      </c>
      <c r="E46" s="164">
        <v>2284205</v>
      </c>
      <c r="F46" s="110">
        <f t="shared" si="0"/>
        <v>172706</v>
      </c>
      <c r="G46" s="111">
        <f t="shared" si="1"/>
        <v>3.9289724694838414E-2</v>
      </c>
    </row>
    <row r="47" spans="1:7" x14ac:dyDescent="0.2">
      <c r="A47" s="324" t="s">
        <v>353</v>
      </c>
      <c r="B47" s="163">
        <v>8</v>
      </c>
      <c r="C47" s="109" t="str" cm="1">
        <f t="array" ref="C47">_xlfn.IFS(G47&lt;=$G$8,"Recount",D47&gt;E47,D$10,E47&gt;D47,E$10,D47=E47,"Tie")</f>
        <v>Bush</v>
      </c>
      <c r="D47" s="164">
        <v>475596</v>
      </c>
      <c r="E47" s="164">
        <v>745017</v>
      </c>
      <c r="F47" s="110">
        <f t="shared" si="0"/>
        <v>269421</v>
      </c>
      <c r="G47" s="111">
        <f t="shared" si="1"/>
        <v>0.22072597948735595</v>
      </c>
    </row>
    <row r="48" spans="1:7" x14ac:dyDescent="0.2">
      <c r="A48" s="324" t="s">
        <v>354</v>
      </c>
      <c r="B48" s="163">
        <v>7</v>
      </c>
      <c r="C48" s="109" t="str" cm="1">
        <f t="array" ref="C48">_xlfn.IFS(G48&lt;=$G$8,"Recount",D48&gt;E48,D$10,E48&gt;D48,E$10,D48=E48,"Tie")</f>
        <v>Recount</v>
      </c>
      <c r="D48" s="164">
        <v>719142</v>
      </c>
      <c r="E48" s="164">
        <v>712547</v>
      </c>
      <c r="F48" s="110">
        <f t="shared" si="0"/>
        <v>6595</v>
      </c>
      <c r="G48" s="111">
        <f t="shared" si="1"/>
        <v>4.6064473499482081E-3</v>
      </c>
    </row>
    <row r="49" spans="1:7" x14ac:dyDescent="0.2">
      <c r="A49" s="324" t="s">
        <v>355</v>
      </c>
      <c r="B49" s="163">
        <v>23</v>
      </c>
      <c r="C49" s="109" t="str" cm="1">
        <f t="array" ref="C49">_xlfn.IFS(G49&lt;=$G$8,"Recount",D49&gt;E49,D$10,E49&gt;D49,E$10,D49=E49,"Tie")</f>
        <v>Gore</v>
      </c>
      <c r="D49" s="164">
        <v>2465412</v>
      </c>
      <c r="E49" s="164">
        <v>2264309</v>
      </c>
      <c r="F49" s="110">
        <f t="shared" si="0"/>
        <v>201103</v>
      </c>
      <c r="G49" s="111">
        <f t="shared" si="1"/>
        <v>4.2518998477922905E-2</v>
      </c>
    </row>
    <row r="50" spans="1:7" x14ac:dyDescent="0.2">
      <c r="A50" s="324" t="s">
        <v>356</v>
      </c>
      <c r="B50" s="163">
        <v>4</v>
      </c>
      <c r="C50" s="109" t="str" cm="1">
        <f t="array" ref="C50">_xlfn.IFS(G50&lt;=$G$8,"Recount",D50&gt;E50,D$10,E50&gt;D50,E$10,D50=E50,"Tie")</f>
        <v>Gore</v>
      </c>
      <c r="D50" s="164">
        <v>252844</v>
      </c>
      <c r="E50" s="164">
        <v>132212</v>
      </c>
      <c r="F50" s="110">
        <f t="shared" si="0"/>
        <v>120632</v>
      </c>
      <c r="G50" s="111">
        <f t="shared" si="1"/>
        <v>0.31328430150419678</v>
      </c>
    </row>
    <row r="51" spans="1:7" x14ac:dyDescent="0.2">
      <c r="A51" s="324" t="s">
        <v>357</v>
      </c>
      <c r="B51" s="163">
        <v>8</v>
      </c>
      <c r="C51" s="109" t="str" cm="1">
        <f t="array" ref="C51">_xlfn.IFS(G51&lt;=$G$8,"Recount",D51&gt;E51,D$10,E51&gt;D51,E$10,D51=E51,"Tie")</f>
        <v>Bush</v>
      </c>
      <c r="D51" s="164">
        <v>578143</v>
      </c>
      <c r="E51" s="164">
        <v>804826</v>
      </c>
      <c r="F51" s="110">
        <f t="shared" si="0"/>
        <v>226683</v>
      </c>
      <c r="G51" s="111">
        <f t="shared" si="1"/>
        <v>0.16391039857003303</v>
      </c>
    </row>
    <row r="52" spans="1:7" x14ac:dyDescent="0.2">
      <c r="A52" s="324" t="s">
        <v>358</v>
      </c>
      <c r="B52" s="163">
        <v>3</v>
      </c>
      <c r="C52" s="109" t="str" cm="1">
        <f t="array" ref="C52">_xlfn.IFS(G52&lt;=$G$8,"Recount",D52&gt;E52,D$10,E52&gt;D52,E$10,D52=E52,"Tie")</f>
        <v>Bush</v>
      </c>
      <c r="D52" s="164">
        <v>118750</v>
      </c>
      <c r="E52" s="164">
        <v>190515</v>
      </c>
      <c r="F52" s="110">
        <f t="shared" si="0"/>
        <v>71765</v>
      </c>
      <c r="G52" s="111">
        <f t="shared" si="1"/>
        <v>0.23205018349958773</v>
      </c>
    </row>
    <row r="53" spans="1:7" x14ac:dyDescent="0.2">
      <c r="A53" s="324" t="s">
        <v>359</v>
      </c>
      <c r="B53" s="163">
        <v>11</v>
      </c>
      <c r="C53" s="109" t="str" cm="1">
        <f t="array" ref="C53">_xlfn.IFS(G53&lt;=$G$8,"Recount",D53&gt;E53,D$10,E53&gt;D53,E$10,D53=E53,"Tie")</f>
        <v>Bush</v>
      </c>
      <c r="D53" s="164">
        <v>980353</v>
      </c>
      <c r="E53" s="164">
        <v>1059842</v>
      </c>
      <c r="F53" s="110">
        <f t="shared" si="0"/>
        <v>79489</v>
      </c>
      <c r="G53" s="111">
        <f t="shared" si="1"/>
        <v>3.8961471820095628E-2</v>
      </c>
    </row>
    <row r="54" spans="1:7" x14ac:dyDescent="0.2">
      <c r="A54" s="324" t="s">
        <v>360</v>
      </c>
      <c r="B54" s="163">
        <v>32</v>
      </c>
      <c r="C54" s="109" t="str" cm="1">
        <f t="array" ref="C54">_xlfn.IFS(G54&lt;=$G$8,"Recount",D54&gt;E54,D$10,E54&gt;D54,E$10,D54=E54,"Tie")</f>
        <v>Bush</v>
      </c>
      <c r="D54" s="164">
        <v>2428187</v>
      </c>
      <c r="E54" s="164">
        <v>3795262</v>
      </c>
      <c r="F54" s="110">
        <f t="shared" si="0"/>
        <v>1367075</v>
      </c>
      <c r="G54" s="111">
        <f t="shared" si="1"/>
        <v>0.21966517280048412</v>
      </c>
    </row>
    <row r="55" spans="1:7" x14ac:dyDescent="0.2">
      <c r="A55" s="324" t="s">
        <v>361</v>
      </c>
      <c r="B55" s="163">
        <v>5</v>
      </c>
      <c r="C55" s="109" t="str" cm="1">
        <f t="array" ref="C55">_xlfn.IFS(G55&lt;=$G$8,"Recount",D55&gt;E55,D$10,E55&gt;D55,E$10,D55=E55,"Tie")</f>
        <v>Bush</v>
      </c>
      <c r="D55" s="164">
        <v>201732</v>
      </c>
      <c r="E55" s="164">
        <v>512161</v>
      </c>
      <c r="F55" s="110">
        <f t="shared" si="0"/>
        <v>310429</v>
      </c>
      <c r="G55" s="111">
        <f t="shared" si="1"/>
        <v>0.43483967485323433</v>
      </c>
    </row>
    <row r="56" spans="1:7" x14ac:dyDescent="0.2">
      <c r="A56" s="324" t="s">
        <v>362</v>
      </c>
      <c r="B56" s="163">
        <v>3</v>
      </c>
      <c r="C56" s="109" t="str" cm="1">
        <f t="array" ref="C56">_xlfn.IFS(G56&lt;=$G$8,"Recount",D56&gt;E56,D$10,E56&gt;D56,E$10,D56=E56,"Tie")</f>
        <v>Gore</v>
      </c>
      <c r="D56" s="164">
        <v>148166</v>
      </c>
      <c r="E56" s="164">
        <v>119273</v>
      </c>
      <c r="F56" s="110">
        <f t="shared" si="0"/>
        <v>28893</v>
      </c>
      <c r="G56" s="111">
        <f t="shared" si="1"/>
        <v>0.10803585116606029</v>
      </c>
    </row>
    <row r="57" spans="1:7" x14ac:dyDescent="0.2">
      <c r="A57" s="324" t="s">
        <v>363</v>
      </c>
      <c r="B57" s="163">
        <v>13</v>
      </c>
      <c r="C57" s="109" t="str" cm="1">
        <f t="array" ref="C57">_xlfn.IFS(G57&lt;=$G$8,"Recount",D57&gt;E57,D$10,E57&gt;D57,E$10,D57=E57,"Tie")</f>
        <v>Bush</v>
      </c>
      <c r="D57" s="164">
        <v>1213714</v>
      </c>
      <c r="E57" s="164">
        <v>1434754</v>
      </c>
      <c r="F57" s="110">
        <f t="shared" si="0"/>
        <v>221040</v>
      </c>
      <c r="G57" s="111">
        <f t="shared" si="1"/>
        <v>8.3459569834334418E-2</v>
      </c>
    </row>
    <row r="58" spans="1:7" x14ac:dyDescent="0.2">
      <c r="A58" s="324" t="s">
        <v>364</v>
      </c>
      <c r="B58" s="163">
        <v>11</v>
      </c>
      <c r="C58" s="109" t="str" cm="1">
        <f t="array" ref="C58">_xlfn.IFS(G58&lt;=$G$8,"Recount",D58&gt;E58,D$10,E58&gt;D58,E$10,D58=E58,"Tie")</f>
        <v>Gore</v>
      </c>
      <c r="D58" s="164">
        <v>1246056</v>
      </c>
      <c r="E58" s="164">
        <v>1106465</v>
      </c>
      <c r="F58" s="110">
        <f t="shared" si="0"/>
        <v>139591</v>
      </c>
      <c r="G58" s="111">
        <f t="shared" si="1"/>
        <v>5.9336771063892735E-2</v>
      </c>
    </row>
    <row r="59" spans="1:7" x14ac:dyDescent="0.2">
      <c r="A59" s="324" t="s">
        <v>365</v>
      </c>
      <c r="B59" s="163">
        <v>5</v>
      </c>
      <c r="C59" s="109" t="str" cm="1">
        <f t="array" ref="C59">_xlfn.IFS(G59&lt;=$G$8,"Recount",D59&gt;E59,D$10,E59&gt;D59,E$10,D59=E59,"Tie")</f>
        <v>Bush</v>
      </c>
      <c r="D59" s="164">
        <v>291204</v>
      </c>
      <c r="E59" s="164">
        <v>331871</v>
      </c>
      <c r="F59" s="110">
        <f t="shared" si="0"/>
        <v>40667</v>
      </c>
      <c r="G59" s="111">
        <f t="shared" si="1"/>
        <v>6.5268226136500421E-2</v>
      </c>
    </row>
    <row r="60" spans="1:7" x14ac:dyDescent="0.2">
      <c r="A60" s="324" t="s">
        <v>366</v>
      </c>
      <c r="B60" s="163">
        <v>11</v>
      </c>
      <c r="C60" s="109" t="str" cm="1">
        <f t="array" ref="C60">_xlfn.IFS(G60&lt;=$G$8,"Recount",D60&gt;E60,D$10,E60&gt;D60,E$10,D60=E60,"Tie")</f>
        <v>Recount</v>
      </c>
      <c r="D60" s="164">
        <v>1242987</v>
      </c>
      <c r="E60" s="164">
        <v>1237279</v>
      </c>
      <c r="F60" s="110">
        <f t="shared" si="0"/>
        <v>5708</v>
      </c>
      <c r="G60" s="111">
        <f t="shared" si="1"/>
        <v>2.3013660631561292E-3</v>
      </c>
    </row>
    <row r="61" spans="1:7" x14ac:dyDescent="0.2">
      <c r="A61" s="324" t="s">
        <v>367</v>
      </c>
      <c r="B61" s="163">
        <v>3</v>
      </c>
      <c r="C61" s="109" t="str" cm="1">
        <f t="array" ref="C61">_xlfn.IFS(G61&lt;=$G$8,"Recount",D61&gt;E61,D$10,E61&gt;D61,E$10,D61=E61,"Tie")</f>
        <v>Bush</v>
      </c>
      <c r="D61" s="164">
        <v>60421</v>
      </c>
      <c r="E61" s="164">
        <v>147674</v>
      </c>
      <c r="F61" s="110">
        <f t="shared" si="0"/>
        <v>87253</v>
      </c>
      <c r="G61" s="111">
        <f t="shared" si="1"/>
        <v>0.41929407241884714</v>
      </c>
    </row>
    <row r="62" spans="1:7" x14ac:dyDescent="0.2">
      <c r="A62" s="333"/>
      <c r="B62" s="334"/>
      <c r="C62" s="334"/>
      <c r="D62" s="333"/>
      <c r="E62" s="333"/>
      <c r="F62" s="333"/>
      <c r="G62" s="333"/>
    </row>
    <row r="63" spans="1:7" x14ac:dyDescent="0.2">
      <c r="C63" s="106"/>
    </row>
    <row r="64" spans="1:7" x14ac:dyDescent="0.2">
      <c r="C64" s="106"/>
    </row>
    <row r="65" spans="1:3" x14ac:dyDescent="0.2">
      <c r="C65" s="106"/>
    </row>
    <row r="66" spans="1:3" x14ac:dyDescent="0.2">
      <c r="A66" s="101" t="s">
        <v>368</v>
      </c>
      <c r="B66" s="112">
        <f ca="1">TODAY()</f>
        <v>44788</v>
      </c>
    </row>
    <row r="67" spans="1:3" x14ac:dyDescent="0.2">
      <c r="A67" s="101" t="s">
        <v>369</v>
      </c>
      <c r="B67" s="113">
        <v>365.25</v>
      </c>
    </row>
    <row r="68" spans="1:3" x14ac:dyDescent="0.2">
      <c r="A68" s="101" t="s">
        <v>370</v>
      </c>
      <c r="B68" s="114">
        <v>26018</v>
      </c>
    </row>
    <row r="69" spans="1:3" x14ac:dyDescent="0.2">
      <c r="A69" s="101" t="s">
        <v>371</v>
      </c>
      <c r="B69" s="115">
        <f ca="1">ROUNDDOWN(($B$66-B68)/$B$67,0)</f>
        <v>51</v>
      </c>
    </row>
    <row r="70" spans="1:3" x14ac:dyDescent="0.2">
      <c r="A70" s="101" t="s">
        <v>372</v>
      </c>
      <c r="B70" s="114">
        <v>36837</v>
      </c>
    </row>
    <row r="71" spans="1:3" x14ac:dyDescent="0.2">
      <c r="A71" s="101" t="s">
        <v>373</v>
      </c>
      <c r="B71" s="115">
        <f>ROUNDDOWN((B70-B68)/B67,0)</f>
        <v>29</v>
      </c>
    </row>
  </sheetData>
  <autoFilter ref="A10:G61" xr:uid="{A8196A5C-4672-461E-A572-7A45608F1C14}"/>
  <mergeCells count="1">
    <mergeCell ref="E6:F6"/>
  </mergeCells>
  <conditionalFormatting sqref="C11:C61">
    <cfRule type="cellIs" dxfId="6" priority="31" operator="equal">
      <formula>$C$6</formula>
    </cfRule>
    <cfRule type="cellIs" dxfId="5" priority="30" operator="equal">
      <formula>$B$6</formula>
    </cfRule>
  </conditionalFormatting>
  <conditionalFormatting sqref="A11:A61">
    <cfRule type="expression" dxfId="4" priority="6" stopIfTrue="1">
      <formula>$G11&lt;$G$8</formula>
    </cfRule>
    <cfRule type="expression" dxfId="3" priority="29">
      <formula>$G11&lt;$G$7</formula>
    </cfRule>
    <cfRule type="expression" dxfId="2" priority="28">
      <formula>$E11&gt;$D11</formula>
    </cfRule>
    <cfRule type="expression" dxfId="1" priority="7">
      <formula>$D11&gt;$E11</formula>
    </cfRule>
  </conditionalFormatting>
  <pageMargins left="0.75" right="0.75" top="1" bottom="1" header="0.5" footer="0.5"/>
  <pageSetup scale="87" orientation="portrait" r:id="rId1"/>
  <headerFooter alignWithMargins="0"/>
  <rowBreaks count="1" manualBreakCount="1">
    <brk id="61" max="16383" man="1"/>
  </rowBreaks>
  <legacyDrawing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7"/>
  <dimension ref="A1:T32"/>
  <sheetViews>
    <sheetView zoomScale="130" zoomScaleNormal="130" workbookViewId="0">
      <selection activeCell="A2" sqref="A2"/>
    </sheetView>
  </sheetViews>
  <sheetFormatPr defaultRowHeight="12.75" x14ac:dyDescent="0.2"/>
  <cols>
    <col min="1" max="1" width="17" style="116" customWidth="1"/>
    <col min="2" max="4" width="9.140625" style="116" bestFit="1" customWidth="1"/>
    <col min="5" max="5" width="8" style="116" bestFit="1" customWidth="1"/>
    <col min="6" max="6" width="9.140625" style="116" bestFit="1" customWidth="1"/>
    <col min="7" max="7" width="7.140625" style="116" customWidth="1"/>
    <col min="8" max="8" width="11.28515625" style="116" customWidth="1"/>
    <col min="9" max="9" width="8.7109375" style="116" bestFit="1" customWidth="1"/>
    <col min="10" max="10" width="8.140625" style="116" customWidth="1"/>
    <col min="11" max="13" width="7.85546875" style="116" customWidth="1"/>
    <col min="14" max="14" width="17.7109375" style="116" customWidth="1"/>
    <col min="15" max="18" width="10" style="116" customWidth="1"/>
    <col min="19" max="19" width="0" style="116" hidden="1" customWidth="1"/>
    <col min="20" max="20" width="14.140625" style="116" hidden="1" customWidth="1"/>
    <col min="21" max="24" width="9.140625" style="116"/>
    <col min="25" max="25" width="9.140625" style="116" customWidth="1"/>
    <col min="26" max="16384" width="9.140625" style="116"/>
  </cols>
  <sheetData>
    <row r="1" spans="1:20" ht="18" x14ac:dyDescent="0.25">
      <c r="A1" s="98" t="s">
        <v>291</v>
      </c>
    </row>
    <row r="2" spans="1:20" s="143" customFormat="1" hidden="1" x14ac:dyDescent="0.2"/>
    <row r="3" spans="1:20" x14ac:dyDescent="0.2">
      <c r="A3" s="231" t="str">
        <f>IF(A2="","",IF(Disable_Video_Hyperlinks,A2,HYPERLINK(Video_website&amp;A2,A2)))</f>
        <v/>
      </c>
    </row>
    <row r="4" spans="1:20" x14ac:dyDescent="0.2">
      <c r="A4" s="309" t="str">
        <f>IF(B2="","",B2)</f>
        <v/>
      </c>
    </row>
    <row r="6" spans="1:20" x14ac:dyDescent="0.2">
      <c r="A6" s="406" t="s">
        <v>205</v>
      </c>
      <c r="B6" s="406"/>
      <c r="C6" s="406"/>
      <c r="D6" s="406"/>
      <c r="E6" s="406"/>
      <c r="F6" s="406"/>
      <c r="G6" s="406"/>
      <c r="H6" s="406"/>
      <c r="I6" s="406"/>
      <c r="J6" s="406"/>
      <c r="O6" s="117" t="s">
        <v>303</v>
      </c>
      <c r="P6" s="117" t="s">
        <v>169</v>
      </c>
      <c r="Q6" s="117" t="s">
        <v>380</v>
      </c>
      <c r="R6" s="178" t="s">
        <v>381</v>
      </c>
    </row>
    <row r="7" spans="1:20" ht="25.5" x14ac:dyDescent="0.2">
      <c r="A7" s="185"/>
      <c r="B7" s="185"/>
      <c r="C7" s="185"/>
      <c r="D7" s="185"/>
      <c r="E7" s="185"/>
      <c r="F7" s="185"/>
      <c r="G7" s="185"/>
      <c r="H7" s="185"/>
      <c r="I7" s="185"/>
      <c r="J7" s="185"/>
      <c r="O7" s="186" t="s">
        <v>377</v>
      </c>
      <c r="P7" s="186" t="s">
        <v>374</v>
      </c>
      <c r="Q7" s="186" t="s">
        <v>306</v>
      </c>
      <c r="R7" s="186" t="s">
        <v>375</v>
      </c>
    </row>
    <row r="8" spans="1:20" ht="63.75" x14ac:dyDescent="0.2">
      <c r="A8" s="134" t="s">
        <v>206</v>
      </c>
      <c r="B8" s="135" t="s">
        <v>207</v>
      </c>
      <c r="C8" s="135" t="s">
        <v>208</v>
      </c>
      <c r="D8" s="135" t="s">
        <v>209</v>
      </c>
      <c r="E8" s="135" t="s">
        <v>210</v>
      </c>
      <c r="F8" s="135" t="s">
        <v>211</v>
      </c>
      <c r="G8" s="135" t="s">
        <v>212</v>
      </c>
      <c r="H8" s="135" t="s">
        <v>213</v>
      </c>
      <c r="I8" s="135" t="s">
        <v>214</v>
      </c>
      <c r="J8" s="135" t="s">
        <v>215</v>
      </c>
      <c r="K8" s="135" t="s">
        <v>216</v>
      </c>
      <c r="L8" s="135" t="s">
        <v>217</v>
      </c>
      <c r="M8" s="135" t="s">
        <v>218</v>
      </c>
      <c r="N8" s="135" t="s">
        <v>219</v>
      </c>
      <c r="O8" s="135" t="s">
        <v>462</v>
      </c>
      <c r="P8" s="135" t="s">
        <v>463</v>
      </c>
      <c r="Q8" s="135" t="s">
        <v>464</v>
      </c>
      <c r="R8" s="135" t="s">
        <v>465</v>
      </c>
      <c r="S8" s="135" t="s">
        <v>305</v>
      </c>
      <c r="T8" s="135" t="s">
        <v>219</v>
      </c>
    </row>
    <row r="9" spans="1:20" ht="12.75" customHeight="1" x14ac:dyDescent="0.2">
      <c r="A9" s="143" t="s">
        <v>220</v>
      </c>
      <c r="B9" s="180">
        <v>9000</v>
      </c>
      <c r="C9" s="180">
        <v>15382</v>
      </c>
      <c r="D9" s="180">
        <v>11952</v>
      </c>
      <c r="E9" s="181">
        <v>0</v>
      </c>
      <c r="F9" s="180">
        <v>450</v>
      </c>
      <c r="G9" s="149" t="s">
        <v>221</v>
      </c>
      <c r="H9" s="149">
        <v>4</v>
      </c>
      <c r="I9" s="149">
        <v>15</v>
      </c>
      <c r="J9" s="149">
        <v>3</v>
      </c>
      <c r="K9" s="116" t="b">
        <f>E9/D9&lt;0.1</f>
        <v>1</v>
      </c>
      <c r="L9" s="116" t="b">
        <f t="shared" ref="L9:L27" si="0">OR(H9=1,I9&gt;90)</f>
        <v>0</v>
      </c>
      <c r="M9" s="116" t="b">
        <f t="shared" ref="M9:M27" si="1">AND(F9*1000&gt;=500000,H9&lt;=2,I9&gt;70,J9=1)</f>
        <v>0</v>
      </c>
      <c r="N9" s="117" t="str">
        <f>IF(NOT(OR(K9:M9)), "Reject", IF(OR(AND(K9,NOT(OR(L9:M9))),AND(OR(L9:M9), NOT(K9))), "Further Evaluate", "Accept"))</f>
        <v>Further Evaluate</v>
      </c>
      <c r="O9" s="117" t="b">
        <f t="shared" ref="O9:O27" si="2">AND(K9:M9)</f>
        <v>0</v>
      </c>
      <c r="P9" s="117" t="b">
        <f t="shared" ref="P9:P27" si="3">OR(K9:M9)</f>
        <v>1</v>
      </c>
      <c r="Q9" s="116" t="b">
        <f t="shared" ref="Q9:Q27" si="4">NOT(OR(K9:M9))</f>
        <v>0</v>
      </c>
      <c r="R9" s="116" t="b">
        <f t="shared" ref="R9:R27" si="5">AND(K9,(NOT(OR(L9:M9))))</f>
        <v>1</v>
      </c>
      <c r="S9" s="116" t="b">
        <f t="shared" ref="S9:S27" si="6">AND(OR(L9:M9), NOT(K9))</f>
        <v>0</v>
      </c>
      <c r="T9" s="117" t="str">
        <f>IF(Q9=TRUE, "Reject", IF(R9=TRUE, "Further Evaluate", "Accept"))</f>
        <v>Further Evaluate</v>
      </c>
    </row>
    <row r="10" spans="1:20" ht="12.75" customHeight="1" x14ac:dyDescent="0.2">
      <c r="A10" s="143" t="s">
        <v>222</v>
      </c>
      <c r="B10" s="182">
        <v>39000</v>
      </c>
      <c r="C10" s="182">
        <v>10033</v>
      </c>
      <c r="D10" s="182">
        <v>7789</v>
      </c>
      <c r="E10" s="183">
        <v>0</v>
      </c>
      <c r="F10" s="182">
        <v>1950</v>
      </c>
      <c r="G10" s="149" t="s">
        <v>223</v>
      </c>
      <c r="H10" s="149">
        <v>1</v>
      </c>
      <c r="I10" s="149">
        <v>51</v>
      </c>
      <c r="J10" s="149">
        <v>1</v>
      </c>
      <c r="K10" s="116" t="b">
        <f>E10/D10&lt;0.1</f>
        <v>1</v>
      </c>
      <c r="L10" s="116" t="b">
        <f t="shared" si="0"/>
        <v>1</v>
      </c>
      <c r="M10" s="116" t="b">
        <f t="shared" si="1"/>
        <v>0</v>
      </c>
      <c r="N10" s="117" t="str">
        <f t="shared" ref="N10:N27" si="7">IF(NOT(OR(K10:M10)), "Reject", IF(OR(AND(K10,NOT(OR(L10:M10))),AND(OR(L10:M10), NOT(K10))), "Further Evaluate", "Accept"))</f>
        <v>Accept</v>
      </c>
      <c r="O10" s="117" t="b">
        <f t="shared" si="2"/>
        <v>0</v>
      </c>
      <c r="P10" s="117" t="b">
        <f t="shared" si="3"/>
        <v>1</v>
      </c>
      <c r="Q10" s="116" t="b">
        <f t="shared" si="4"/>
        <v>0</v>
      </c>
      <c r="R10" s="116" t="b">
        <f t="shared" si="5"/>
        <v>0</v>
      </c>
      <c r="S10" s="116" t="b">
        <f t="shared" si="6"/>
        <v>0</v>
      </c>
      <c r="T10" s="117" t="str">
        <f t="shared" ref="T10:T27" si="8">IF(Q10=TRUE, "Reject", IF(R10=TRUE, "Further Evaluate", "Accept"))</f>
        <v>Accept</v>
      </c>
    </row>
    <row r="11" spans="1:20" ht="12.75" customHeight="1" x14ac:dyDescent="0.2">
      <c r="A11" s="143" t="s">
        <v>224</v>
      </c>
      <c r="B11" s="182">
        <v>75000</v>
      </c>
      <c r="C11" s="182">
        <v>60009</v>
      </c>
      <c r="D11" s="182">
        <v>55342</v>
      </c>
      <c r="E11" s="183">
        <v>13892</v>
      </c>
      <c r="F11" s="182">
        <v>37500</v>
      </c>
      <c r="G11" s="149" t="s">
        <v>225</v>
      </c>
      <c r="H11" s="149">
        <v>2</v>
      </c>
      <c r="I11" s="149">
        <v>70</v>
      </c>
      <c r="J11" s="149">
        <v>1</v>
      </c>
      <c r="K11" s="116" t="b">
        <f>E11/D11&lt;0.1</f>
        <v>0</v>
      </c>
      <c r="L11" s="116" t="b">
        <f t="shared" si="0"/>
        <v>0</v>
      </c>
      <c r="M11" s="116" t="b">
        <f t="shared" si="1"/>
        <v>0</v>
      </c>
      <c r="N11" s="117" t="str">
        <f t="shared" si="7"/>
        <v>Reject</v>
      </c>
      <c r="O11" s="117" t="b">
        <f t="shared" si="2"/>
        <v>0</v>
      </c>
      <c r="P11" s="117" t="b">
        <f t="shared" si="3"/>
        <v>0</v>
      </c>
      <c r="Q11" s="116" t="b">
        <f t="shared" si="4"/>
        <v>1</v>
      </c>
      <c r="R11" s="116" t="b">
        <f t="shared" si="5"/>
        <v>0</v>
      </c>
      <c r="S11" s="116" t="b">
        <f t="shared" si="6"/>
        <v>0</v>
      </c>
      <c r="T11" s="117" t="str">
        <f t="shared" si="8"/>
        <v>Reject</v>
      </c>
    </row>
    <row r="12" spans="1:20" ht="12.75" customHeight="1" x14ac:dyDescent="0.2">
      <c r="A12" s="143" t="s">
        <v>226</v>
      </c>
      <c r="B12" s="182">
        <v>33000</v>
      </c>
      <c r="C12" s="182">
        <v>35039</v>
      </c>
      <c r="D12" s="182">
        <v>50921</v>
      </c>
      <c r="E12" s="183">
        <v>495</v>
      </c>
      <c r="F12" s="182">
        <v>1650</v>
      </c>
      <c r="G12" s="149" t="s">
        <v>221</v>
      </c>
      <c r="H12" s="149">
        <v>2</v>
      </c>
      <c r="I12" s="149">
        <v>43</v>
      </c>
      <c r="J12" s="149">
        <v>1</v>
      </c>
      <c r="K12" s="116" t="b">
        <f>E12/D12&lt;0.1</f>
        <v>1</v>
      </c>
      <c r="L12" s="116" t="b">
        <f t="shared" si="0"/>
        <v>0</v>
      </c>
      <c r="M12" s="116" t="b">
        <f t="shared" si="1"/>
        <v>0</v>
      </c>
      <c r="N12" s="117" t="str">
        <f t="shared" si="7"/>
        <v>Further Evaluate</v>
      </c>
      <c r="O12" s="117" t="b">
        <f t="shared" si="2"/>
        <v>0</v>
      </c>
      <c r="P12" s="117" t="b">
        <f t="shared" si="3"/>
        <v>1</v>
      </c>
      <c r="Q12" s="116" t="b">
        <f t="shared" si="4"/>
        <v>0</v>
      </c>
      <c r="R12" s="116" t="b">
        <f t="shared" si="5"/>
        <v>1</v>
      </c>
      <c r="S12" s="116" t="b">
        <f t="shared" si="6"/>
        <v>0</v>
      </c>
      <c r="T12" s="117" t="str">
        <f t="shared" si="8"/>
        <v>Further Evaluate</v>
      </c>
    </row>
    <row r="13" spans="1:20" ht="12.75" customHeight="1" x14ac:dyDescent="0.2">
      <c r="A13" s="143" t="s">
        <v>227</v>
      </c>
      <c r="B13" s="182"/>
      <c r="C13" s="182"/>
      <c r="D13" s="182"/>
      <c r="E13" s="183"/>
      <c r="F13" s="182">
        <v>10000</v>
      </c>
      <c r="G13" s="149" t="s">
        <v>225</v>
      </c>
      <c r="H13" s="149">
        <v>1</v>
      </c>
      <c r="I13" s="149">
        <v>91</v>
      </c>
      <c r="J13" s="149">
        <v>1</v>
      </c>
      <c r="L13" s="116" t="b">
        <f t="shared" si="0"/>
        <v>1</v>
      </c>
      <c r="M13" s="116" t="b">
        <f t="shared" si="1"/>
        <v>1</v>
      </c>
      <c r="N13" s="117" t="str">
        <f t="shared" si="7"/>
        <v>Further Evaluate</v>
      </c>
      <c r="O13" s="117" t="b">
        <f t="shared" si="2"/>
        <v>1</v>
      </c>
      <c r="P13" s="117" t="b">
        <f t="shared" si="3"/>
        <v>1</v>
      </c>
      <c r="Q13" s="116" t="b">
        <f t="shared" si="4"/>
        <v>0</v>
      </c>
      <c r="R13" s="116" t="b">
        <f t="shared" si="5"/>
        <v>0</v>
      </c>
      <c r="S13" s="116" t="b">
        <f t="shared" si="6"/>
        <v>1</v>
      </c>
      <c r="T13" s="117" t="str">
        <f t="shared" si="8"/>
        <v>Accept</v>
      </c>
    </row>
    <row r="14" spans="1:20" ht="12.75" customHeight="1" x14ac:dyDescent="0.2">
      <c r="A14" s="143" t="s">
        <v>228</v>
      </c>
      <c r="B14" s="182">
        <v>25000</v>
      </c>
      <c r="C14" s="182">
        <v>15221</v>
      </c>
      <c r="D14" s="182">
        <v>9483</v>
      </c>
      <c r="E14" s="183">
        <v>2899</v>
      </c>
      <c r="F14" s="182">
        <v>1250</v>
      </c>
      <c r="G14" s="149" t="s">
        <v>223</v>
      </c>
      <c r="H14" s="149">
        <v>3</v>
      </c>
      <c r="I14" s="149">
        <v>76</v>
      </c>
      <c r="J14" s="149">
        <v>1</v>
      </c>
      <c r="K14" s="116" t="b">
        <f t="shared" ref="K14:K27" si="9">E14/D14&lt;0.1</f>
        <v>0</v>
      </c>
      <c r="L14" s="116" t="b">
        <f t="shared" si="0"/>
        <v>0</v>
      </c>
      <c r="M14" s="116" t="b">
        <f t="shared" si="1"/>
        <v>0</v>
      </c>
      <c r="N14" s="117" t="str">
        <f t="shared" si="7"/>
        <v>Reject</v>
      </c>
      <c r="O14" s="117" t="b">
        <f t="shared" si="2"/>
        <v>0</v>
      </c>
      <c r="P14" s="117" t="b">
        <f t="shared" si="3"/>
        <v>0</v>
      </c>
      <c r="Q14" s="116" t="b">
        <f t="shared" si="4"/>
        <v>1</v>
      </c>
      <c r="R14" s="116" t="b">
        <f t="shared" si="5"/>
        <v>0</v>
      </c>
      <c r="S14" s="116" t="b">
        <f t="shared" si="6"/>
        <v>0</v>
      </c>
      <c r="T14" s="117" t="str">
        <f t="shared" si="8"/>
        <v>Reject</v>
      </c>
    </row>
    <row r="15" spans="1:20" ht="12.75" customHeight="1" x14ac:dyDescent="0.2">
      <c r="A15" s="143" t="s">
        <v>229</v>
      </c>
      <c r="B15" s="182">
        <v>42000</v>
      </c>
      <c r="C15" s="182">
        <v>80498</v>
      </c>
      <c r="D15" s="182">
        <v>81126</v>
      </c>
      <c r="E15" s="183">
        <v>0</v>
      </c>
      <c r="F15" s="182">
        <v>2100</v>
      </c>
      <c r="G15" s="149" t="s">
        <v>223</v>
      </c>
      <c r="H15" s="149">
        <v>2</v>
      </c>
      <c r="I15" s="149">
        <v>87</v>
      </c>
      <c r="J15" s="149">
        <v>1</v>
      </c>
      <c r="K15" s="116" t="b">
        <f t="shared" si="9"/>
        <v>1</v>
      </c>
      <c r="L15" s="116" t="b">
        <f t="shared" si="0"/>
        <v>0</v>
      </c>
      <c r="M15" s="116" t="b">
        <f t="shared" si="1"/>
        <v>1</v>
      </c>
      <c r="N15" s="117" t="str">
        <f t="shared" si="7"/>
        <v>Accept</v>
      </c>
      <c r="O15" s="117" t="b">
        <f t="shared" si="2"/>
        <v>0</v>
      </c>
      <c r="P15" s="117" t="b">
        <f t="shared" si="3"/>
        <v>1</v>
      </c>
      <c r="Q15" s="116" t="b">
        <f t="shared" si="4"/>
        <v>0</v>
      </c>
      <c r="R15" s="116" t="b">
        <f t="shared" si="5"/>
        <v>0</v>
      </c>
      <c r="S15" s="116" t="b">
        <f t="shared" si="6"/>
        <v>0</v>
      </c>
      <c r="T15" s="117" t="str">
        <f t="shared" si="8"/>
        <v>Accept</v>
      </c>
    </row>
    <row r="16" spans="1:20" ht="12.75" customHeight="1" x14ac:dyDescent="0.2">
      <c r="A16" s="143" t="s">
        <v>230</v>
      </c>
      <c r="B16" s="182">
        <v>27000</v>
      </c>
      <c r="C16" s="182">
        <v>35354</v>
      </c>
      <c r="D16" s="182">
        <v>20666</v>
      </c>
      <c r="E16" s="183">
        <v>0</v>
      </c>
      <c r="F16" s="182">
        <v>213</v>
      </c>
      <c r="G16" s="149" t="s">
        <v>231</v>
      </c>
      <c r="H16" s="149">
        <v>3</v>
      </c>
      <c r="I16" s="149">
        <v>94</v>
      </c>
      <c r="J16" s="149">
        <v>1</v>
      </c>
      <c r="K16" s="116" t="b">
        <f t="shared" si="9"/>
        <v>1</v>
      </c>
      <c r="L16" s="116" t="b">
        <f t="shared" si="0"/>
        <v>1</v>
      </c>
      <c r="M16" s="116" t="b">
        <f t="shared" si="1"/>
        <v>0</v>
      </c>
      <c r="N16" s="117" t="str">
        <f t="shared" si="7"/>
        <v>Accept</v>
      </c>
      <c r="O16" s="117" t="b">
        <f t="shared" si="2"/>
        <v>0</v>
      </c>
      <c r="P16" s="117" t="b">
        <f t="shared" si="3"/>
        <v>1</v>
      </c>
      <c r="Q16" s="116" t="b">
        <f t="shared" si="4"/>
        <v>0</v>
      </c>
      <c r="R16" s="116" t="b">
        <f t="shared" si="5"/>
        <v>0</v>
      </c>
      <c r="S16" s="116" t="b">
        <f t="shared" si="6"/>
        <v>0</v>
      </c>
      <c r="T16" s="117" t="str">
        <f t="shared" si="8"/>
        <v>Accept</v>
      </c>
    </row>
    <row r="17" spans="1:20" ht="12.75" customHeight="1" x14ac:dyDescent="0.2">
      <c r="A17" s="143" t="s">
        <v>232</v>
      </c>
      <c r="B17" s="182">
        <v>46000</v>
      </c>
      <c r="C17" s="182">
        <v>90970</v>
      </c>
      <c r="D17" s="182">
        <v>18343</v>
      </c>
      <c r="E17" s="183">
        <v>0</v>
      </c>
      <c r="F17" s="182">
        <v>2300</v>
      </c>
      <c r="G17" s="149" t="s">
        <v>223</v>
      </c>
      <c r="H17" s="149">
        <v>1</v>
      </c>
      <c r="I17" s="149">
        <v>21</v>
      </c>
      <c r="J17" s="149">
        <v>1</v>
      </c>
      <c r="K17" s="116" t="b">
        <f t="shared" si="9"/>
        <v>1</v>
      </c>
      <c r="L17" s="116" t="b">
        <f t="shared" si="0"/>
        <v>1</v>
      </c>
      <c r="M17" s="116" t="b">
        <f t="shared" si="1"/>
        <v>0</v>
      </c>
      <c r="N17" s="117" t="str">
        <f t="shared" si="7"/>
        <v>Accept</v>
      </c>
      <c r="O17" s="117" t="b">
        <f t="shared" si="2"/>
        <v>0</v>
      </c>
      <c r="P17" s="117" t="b">
        <f t="shared" si="3"/>
        <v>1</v>
      </c>
      <c r="Q17" s="116" t="b">
        <f t="shared" si="4"/>
        <v>0</v>
      </c>
      <c r="R17" s="116" t="b">
        <f t="shared" si="5"/>
        <v>0</v>
      </c>
      <c r="S17" s="116" t="b">
        <f t="shared" si="6"/>
        <v>0</v>
      </c>
      <c r="T17" s="117" t="str">
        <f t="shared" si="8"/>
        <v>Accept</v>
      </c>
    </row>
    <row r="18" spans="1:20" ht="12.75" customHeight="1" x14ac:dyDescent="0.2">
      <c r="A18" s="143" t="s">
        <v>233</v>
      </c>
      <c r="B18" s="182">
        <v>15000</v>
      </c>
      <c r="C18" s="182">
        <v>5663</v>
      </c>
      <c r="D18" s="182">
        <v>3014</v>
      </c>
      <c r="E18" s="183">
        <v>0</v>
      </c>
      <c r="F18" s="182">
        <v>750</v>
      </c>
      <c r="G18" s="149" t="s">
        <v>234</v>
      </c>
      <c r="H18" s="149">
        <v>1</v>
      </c>
      <c r="I18" s="149">
        <v>59</v>
      </c>
      <c r="J18" s="149">
        <v>1</v>
      </c>
      <c r="K18" s="116" t="b">
        <f t="shared" si="9"/>
        <v>1</v>
      </c>
      <c r="L18" s="116" t="b">
        <f t="shared" si="0"/>
        <v>1</v>
      </c>
      <c r="M18" s="116" t="b">
        <f t="shared" si="1"/>
        <v>0</v>
      </c>
      <c r="N18" s="117" t="str">
        <f t="shared" si="7"/>
        <v>Accept</v>
      </c>
      <c r="O18" s="117" t="b">
        <f t="shared" si="2"/>
        <v>0</v>
      </c>
      <c r="P18" s="117" t="b">
        <f t="shared" si="3"/>
        <v>1</v>
      </c>
      <c r="Q18" s="116" t="b">
        <f t="shared" si="4"/>
        <v>0</v>
      </c>
      <c r="R18" s="116" t="b">
        <f t="shared" si="5"/>
        <v>0</v>
      </c>
      <c r="S18" s="116" t="b">
        <f t="shared" si="6"/>
        <v>0</v>
      </c>
      <c r="T18" s="117" t="str">
        <f t="shared" si="8"/>
        <v>Accept</v>
      </c>
    </row>
    <row r="19" spans="1:20" ht="12.75" customHeight="1" x14ac:dyDescent="0.2">
      <c r="A19" s="143" t="s">
        <v>235</v>
      </c>
      <c r="B19" s="182">
        <v>45000</v>
      </c>
      <c r="C19" s="182">
        <v>50278</v>
      </c>
      <c r="D19" s="182">
        <v>32338</v>
      </c>
      <c r="E19" s="183">
        <v>0</v>
      </c>
      <c r="F19" s="182">
        <v>2250</v>
      </c>
      <c r="G19" s="149" t="s">
        <v>223</v>
      </c>
      <c r="H19" s="149">
        <v>3</v>
      </c>
      <c r="I19" s="149">
        <v>91</v>
      </c>
      <c r="J19" s="149">
        <v>1</v>
      </c>
      <c r="K19" s="116" t="b">
        <f t="shared" si="9"/>
        <v>1</v>
      </c>
      <c r="L19" s="116" t="b">
        <f t="shared" si="0"/>
        <v>1</v>
      </c>
      <c r="M19" s="116" t="b">
        <f t="shared" si="1"/>
        <v>0</v>
      </c>
      <c r="N19" s="117" t="str">
        <f t="shared" si="7"/>
        <v>Accept</v>
      </c>
      <c r="O19" s="117" t="b">
        <f t="shared" si="2"/>
        <v>0</v>
      </c>
      <c r="P19" s="117" t="b">
        <f t="shared" si="3"/>
        <v>1</v>
      </c>
      <c r="Q19" s="116" t="b">
        <f t="shared" si="4"/>
        <v>0</v>
      </c>
      <c r="R19" s="116" t="b">
        <f t="shared" si="5"/>
        <v>0</v>
      </c>
      <c r="S19" s="116" t="b">
        <f t="shared" si="6"/>
        <v>0</v>
      </c>
      <c r="T19" s="117" t="str">
        <f t="shared" si="8"/>
        <v>Accept</v>
      </c>
    </row>
    <row r="20" spans="1:20" ht="12.75" customHeight="1" x14ac:dyDescent="0.2">
      <c r="A20" s="143" t="s">
        <v>236</v>
      </c>
      <c r="B20" s="182">
        <v>26000</v>
      </c>
      <c r="C20" s="182">
        <v>25864</v>
      </c>
      <c r="D20" s="182">
        <v>28154</v>
      </c>
      <c r="E20" s="183">
        <v>0</v>
      </c>
      <c r="F20" s="182">
        <v>300</v>
      </c>
      <c r="G20" s="149" t="s">
        <v>221</v>
      </c>
      <c r="H20" s="149">
        <v>2</v>
      </c>
      <c r="I20" s="149">
        <v>82</v>
      </c>
      <c r="J20" s="149">
        <v>1</v>
      </c>
      <c r="K20" s="116" t="b">
        <f t="shared" si="9"/>
        <v>1</v>
      </c>
      <c r="L20" s="116" t="b">
        <f t="shared" si="0"/>
        <v>0</v>
      </c>
      <c r="M20" s="116" t="b">
        <f t="shared" si="1"/>
        <v>0</v>
      </c>
      <c r="N20" s="117" t="str">
        <f t="shared" si="7"/>
        <v>Further Evaluate</v>
      </c>
      <c r="O20" s="117" t="b">
        <f t="shared" si="2"/>
        <v>0</v>
      </c>
      <c r="P20" s="117" t="b">
        <f t="shared" si="3"/>
        <v>1</v>
      </c>
      <c r="Q20" s="116" t="b">
        <f t="shared" si="4"/>
        <v>0</v>
      </c>
      <c r="R20" s="116" t="b">
        <f t="shared" si="5"/>
        <v>1</v>
      </c>
      <c r="S20" s="116" t="b">
        <f t="shared" si="6"/>
        <v>0</v>
      </c>
      <c r="T20" s="117" t="str">
        <f t="shared" si="8"/>
        <v>Further Evaluate</v>
      </c>
    </row>
    <row r="21" spans="1:20" ht="12.75" customHeight="1" x14ac:dyDescent="0.2">
      <c r="A21" s="143" t="s">
        <v>237</v>
      </c>
      <c r="B21" s="182">
        <v>45000</v>
      </c>
      <c r="C21" s="182">
        <v>40157</v>
      </c>
      <c r="D21" s="182">
        <v>25379</v>
      </c>
      <c r="E21" s="183">
        <v>0</v>
      </c>
      <c r="F21" s="182">
        <v>2250</v>
      </c>
      <c r="G21" s="149" t="s">
        <v>223</v>
      </c>
      <c r="H21" s="149">
        <v>2</v>
      </c>
      <c r="I21" s="149">
        <v>71</v>
      </c>
      <c r="J21" s="149">
        <v>1</v>
      </c>
      <c r="K21" s="116" t="b">
        <f t="shared" si="9"/>
        <v>1</v>
      </c>
      <c r="L21" s="116" t="b">
        <f t="shared" si="0"/>
        <v>0</v>
      </c>
      <c r="M21" s="116" t="b">
        <f t="shared" si="1"/>
        <v>1</v>
      </c>
      <c r="N21" s="117" t="str">
        <f t="shared" si="7"/>
        <v>Accept</v>
      </c>
      <c r="O21" s="117" t="b">
        <f t="shared" si="2"/>
        <v>0</v>
      </c>
      <c r="P21" s="117" t="b">
        <f t="shared" si="3"/>
        <v>1</v>
      </c>
      <c r="Q21" s="116" t="b">
        <f t="shared" si="4"/>
        <v>0</v>
      </c>
      <c r="R21" s="116" t="b">
        <f t="shared" si="5"/>
        <v>0</v>
      </c>
      <c r="S21" s="116" t="b">
        <f t="shared" si="6"/>
        <v>0</v>
      </c>
      <c r="T21" s="117" t="str">
        <f t="shared" si="8"/>
        <v>Accept</v>
      </c>
    </row>
    <row r="22" spans="1:20" ht="12.75" customHeight="1" x14ac:dyDescent="0.2">
      <c r="A22" s="143" t="s">
        <v>238</v>
      </c>
      <c r="B22" s="182">
        <v>15000</v>
      </c>
      <c r="C22" s="182">
        <v>15898</v>
      </c>
      <c r="D22" s="182">
        <v>14732</v>
      </c>
      <c r="E22" s="183">
        <v>14383</v>
      </c>
      <c r="F22" s="182">
        <v>450</v>
      </c>
      <c r="G22" s="149" t="s">
        <v>221</v>
      </c>
      <c r="H22" s="149">
        <v>1</v>
      </c>
      <c r="I22" s="149">
        <v>67</v>
      </c>
      <c r="J22" s="149">
        <v>1</v>
      </c>
      <c r="K22" s="116" t="b">
        <f t="shared" si="9"/>
        <v>0</v>
      </c>
      <c r="L22" s="116" t="b">
        <f t="shared" si="0"/>
        <v>1</v>
      </c>
      <c r="M22" s="116" t="b">
        <f t="shared" si="1"/>
        <v>0</v>
      </c>
      <c r="N22" s="117" t="str">
        <f t="shared" si="7"/>
        <v>Further Evaluate</v>
      </c>
      <c r="O22" s="117" t="b">
        <f t="shared" si="2"/>
        <v>0</v>
      </c>
      <c r="P22" s="117" t="b">
        <f t="shared" si="3"/>
        <v>1</v>
      </c>
      <c r="Q22" s="116" t="b">
        <f t="shared" si="4"/>
        <v>0</v>
      </c>
      <c r="R22" s="116" t="b">
        <f t="shared" si="5"/>
        <v>0</v>
      </c>
      <c r="S22" s="116" t="b">
        <f t="shared" si="6"/>
        <v>1</v>
      </c>
      <c r="T22" s="117" t="str">
        <f t="shared" si="8"/>
        <v>Accept</v>
      </c>
    </row>
    <row r="23" spans="1:20" ht="12.75" customHeight="1" x14ac:dyDescent="0.2">
      <c r="A23" s="143" t="s">
        <v>239</v>
      </c>
      <c r="B23" s="182">
        <v>22000</v>
      </c>
      <c r="C23" s="182">
        <v>10073</v>
      </c>
      <c r="D23" s="182">
        <v>1047</v>
      </c>
      <c r="E23" s="183">
        <v>0</v>
      </c>
      <c r="F23" s="182">
        <v>1100</v>
      </c>
      <c r="G23" s="149" t="s">
        <v>223</v>
      </c>
      <c r="H23" s="149">
        <v>3</v>
      </c>
      <c r="I23" s="149">
        <v>14</v>
      </c>
      <c r="J23" s="149">
        <v>1</v>
      </c>
      <c r="K23" s="116" t="b">
        <f t="shared" si="9"/>
        <v>1</v>
      </c>
      <c r="L23" s="116" t="b">
        <f t="shared" si="0"/>
        <v>0</v>
      </c>
      <c r="M23" s="116" t="b">
        <f t="shared" si="1"/>
        <v>0</v>
      </c>
      <c r="N23" s="117" t="str">
        <f t="shared" si="7"/>
        <v>Further Evaluate</v>
      </c>
      <c r="O23" s="117" t="b">
        <f t="shared" si="2"/>
        <v>0</v>
      </c>
      <c r="P23" s="117" t="b">
        <f t="shared" si="3"/>
        <v>1</v>
      </c>
      <c r="Q23" s="116" t="b">
        <f t="shared" si="4"/>
        <v>0</v>
      </c>
      <c r="R23" s="116" t="b">
        <f t="shared" si="5"/>
        <v>1</v>
      </c>
      <c r="S23" s="116" t="b">
        <f t="shared" si="6"/>
        <v>0</v>
      </c>
      <c r="T23" s="117" t="str">
        <f t="shared" si="8"/>
        <v>Further Evaluate</v>
      </c>
    </row>
    <row r="24" spans="1:20" ht="12.75" customHeight="1" x14ac:dyDescent="0.2">
      <c r="A24" s="143" t="s">
        <v>240</v>
      </c>
      <c r="B24" s="182">
        <v>45000</v>
      </c>
      <c r="C24" s="182">
        <v>95411</v>
      </c>
      <c r="D24" s="182">
        <v>64418</v>
      </c>
      <c r="E24" s="183">
        <v>0</v>
      </c>
      <c r="F24" s="182">
        <v>150</v>
      </c>
      <c r="G24" s="149" t="s">
        <v>241</v>
      </c>
      <c r="H24" s="149">
        <v>4</v>
      </c>
      <c r="I24" s="149">
        <v>79</v>
      </c>
      <c r="J24" s="149">
        <v>2</v>
      </c>
      <c r="K24" s="116" t="b">
        <f t="shared" si="9"/>
        <v>1</v>
      </c>
      <c r="L24" s="116" t="b">
        <f t="shared" si="0"/>
        <v>0</v>
      </c>
      <c r="M24" s="116" t="b">
        <f t="shared" si="1"/>
        <v>0</v>
      </c>
      <c r="N24" s="117" t="str">
        <f t="shared" si="7"/>
        <v>Further Evaluate</v>
      </c>
      <c r="O24" s="117" t="b">
        <f t="shared" si="2"/>
        <v>0</v>
      </c>
      <c r="P24" s="117" t="b">
        <f t="shared" si="3"/>
        <v>1</v>
      </c>
      <c r="Q24" s="116" t="b">
        <f t="shared" si="4"/>
        <v>0</v>
      </c>
      <c r="R24" s="116" t="b">
        <f t="shared" si="5"/>
        <v>1</v>
      </c>
      <c r="S24" s="116" t="b">
        <f t="shared" si="6"/>
        <v>0</v>
      </c>
      <c r="T24" s="117" t="str">
        <f t="shared" si="8"/>
        <v>Further Evaluate</v>
      </c>
    </row>
    <row r="25" spans="1:20" ht="12.75" customHeight="1" x14ac:dyDescent="0.2">
      <c r="A25" s="143" t="s">
        <v>242</v>
      </c>
      <c r="B25" s="182">
        <v>20000</v>
      </c>
      <c r="C25" s="182">
        <v>5621</v>
      </c>
      <c r="D25" s="182">
        <v>6171</v>
      </c>
      <c r="E25" s="183">
        <v>0</v>
      </c>
      <c r="F25" s="182">
        <v>1000</v>
      </c>
      <c r="G25" s="149" t="s">
        <v>223</v>
      </c>
      <c r="H25" s="149">
        <v>1</v>
      </c>
      <c r="I25" s="149">
        <v>87</v>
      </c>
      <c r="J25" s="149">
        <v>1</v>
      </c>
      <c r="K25" s="116" t="b">
        <f t="shared" si="9"/>
        <v>1</v>
      </c>
      <c r="L25" s="116" t="b">
        <f t="shared" si="0"/>
        <v>1</v>
      </c>
      <c r="M25" s="116" t="b">
        <f t="shared" si="1"/>
        <v>1</v>
      </c>
      <c r="N25" s="117" t="str">
        <f t="shared" si="7"/>
        <v>Accept</v>
      </c>
      <c r="O25" s="117" t="b">
        <f t="shared" si="2"/>
        <v>1</v>
      </c>
      <c r="P25" s="117" t="b">
        <f t="shared" si="3"/>
        <v>1</v>
      </c>
      <c r="Q25" s="116" t="b">
        <f t="shared" si="4"/>
        <v>0</v>
      </c>
      <c r="R25" s="116" t="b">
        <f t="shared" si="5"/>
        <v>0</v>
      </c>
      <c r="S25" s="116" t="b">
        <f t="shared" si="6"/>
        <v>0</v>
      </c>
      <c r="T25" s="117" t="str">
        <f t="shared" si="8"/>
        <v>Accept</v>
      </c>
    </row>
    <row r="26" spans="1:20" ht="12.75" customHeight="1" x14ac:dyDescent="0.2">
      <c r="A26" s="143" t="s">
        <v>243</v>
      </c>
      <c r="B26" s="182">
        <v>100000</v>
      </c>
      <c r="C26" s="182">
        <v>60009</v>
      </c>
      <c r="D26" s="182">
        <v>60354</v>
      </c>
      <c r="E26" s="183">
        <v>0</v>
      </c>
      <c r="F26" s="182">
        <v>500000</v>
      </c>
      <c r="G26" s="149" t="s">
        <v>244</v>
      </c>
      <c r="H26" s="149">
        <v>2</v>
      </c>
      <c r="I26" s="149">
        <v>97</v>
      </c>
      <c r="J26" s="149">
        <v>1</v>
      </c>
      <c r="K26" s="116" t="b">
        <f t="shared" si="9"/>
        <v>1</v>
      </c>
      <c r="L26" s="116" t="b">
        <f t="shared" si="0"/>
        <v>1</v>
      </c>
      <c r="M26" s="116" t="b">
        <f t="shared" si="1"/>
        <v>1</v>
      </c>
      <c r="N26" s="117" t="str">
        <f t="shared" si="7"/>
        <v>Accept</v>
      </c>
      <c r="O26" s="117" t="b">
        <f t="shared" si="2"/>
        <v>1</v>
      </c>
      <c r="P26" s="117" t="b">
        <f t="shared" si="3"/>
        <v>1</v>
      </c>
      <c r="Q26" s="116" t="b">
        <f t="shared" si="4"/>
        <v>0</v>
      </c>
      <c r="R26" s="116" t="b">
        <f t="shared" si="5"/>
        <v>0</v>
      </c>
      <c r="S26" s="116" t="b">
        <f t="shared" si="6"/>
        <v>0</v>
      </c>
      <c r="T26" s="117" t="str">
        <f t="shared" si="8"/>
        <v>Accept</v>
      </c>
    </row>
    <row r="27" spans="1:20" ht="12.75" customHeight="1" x14ac:dyDescent="0.2">
      <c r="A27" s="143" t="s">
        <v>245</v>
      </c>
      <c r="B27" s="182">
        <v>10000</v>
      </c>
      <c r="C27" s="182">
        <v>15490</v>
      </c>
      <c r="D27" s="182">
        <v>22760</v>
      </c>
      <c r="E27" s="183">
        <v>0</v>
      </c>
      <c r="F27" s="182">
        <v>620</v>
      </c>
      <c r="G27" s="149" t="s">
        <v>246</v>
      </c>
      <c r="H27" s="149">
        <v>2</v>
      </c>
      <c r="I27" s="149">
        <v>96</v>
      </c>
      <c r="J27" s="149">
        <v>1</v>
      </c>
      <c r="K27" s="116" t="b">
        <f t="shared" si="9"/>
        <v>1</v>
      </c>
      <c r="L27" s="116" t="b">
        <f t="shared" si="0"/>
        <v>1</v>
      </c>
      <c r="M27" s="116" t="b">
        <f t="shared" si="1"/>
        <v>1</v>
      </c>
      <c r="N27" s="117" t="str">
        <f t="shared" si="7"/>
        <v>Accept</v>
      </c>
      <c r="O27" s="117" t="b">
        <f t="shared" si="2"/>
        <v>1</v>
      </c>
      <c r="P27" s="117" t="b">
        <f t="shared" si="3"/>
        <v>1</v>
      </c>
      <c r="Q27" s="116" t="b">
        <f t="shared" si="4"/>
        <v>0</v>
      </c>
      <c r="R27" s="116" t="b">
        <f t="shared" si="5"/>
        <v>0</v>
      </c>
      <c r="S27" s="116" t="b">
        <f t="shared" si="6"/>
        <v>0</v>
      </c>
      <c r="T27" s="117" t="str">
        <f t="shared" si="8"/>
        <v>Accept</v>
      </c>
    </row>
    <row r="29" spans="1:20" x14ac:dyDescent="0.2">
      <c r="H29" s="116" t="s">
        <v>466</v>
      </c>
      <c r="K29" s="116" t="b">
        <f>AND(K9:K27)</f>
        <v>0</v>
      </c>
      <c r="L29" s="116" t="b">
        <f t="shared" ref="L29:M29" si="10">AND(L9:L27)</f>
        <v>0</v>
      </c>
      <c r="M29" s="116" t="b">
        <f t="shared" si="10"/>
        <v>0</v>
      </c>
    </row>
    <row r="30" spans="1:20" x14ac:dyDescent="0.2">
      <c r="H30" s="116" t="s">
        <v>467</v>
      </c>
      <c r="K30" s="116" t="b">
        <f>OR(K9:K27)</f>
        <v>1</v>
      </c>
      <c r="L30" s="116" t="b">
        <f>OR(L9:L27)</f>
        <v>1</v>
      </c>
      <c r="M30" s="116" t="b">
        <f>OR(M9:M27)</f>
        <v>1</v>
      </c>
    </row>
    <row r="31" spans="1:20" x14ac:dyDescent="0.2">
      <c r="H31" s="116" t="s">
        <v>468</v>
      </c>
      <c r="K31" s="116" t="b">
        <f>NOT(OR(K9:K27))</f>
        <v>0</v>
      </c>
      <c r="L31" s="116" t="b">
        <f t="shared" ref="L31:M31" si="11">NOT(OR(L9:L27))</f>
        <v>0</v>
      </c>
      <c r="M31" s="116" t="b">
        <f t="shared" si="11"/>
        <v>0</v>
      </c>
    </row>
    <row r="32" spans="1:20" x14ac:dyDescent="0.2">
      <c r="H32" s="116" t="s">
        <v>469</v>
      </c>
      <c r="K32" s="116" t="b">
        <f>AND(K20,NOT(OR(K9:K19,K21:K27)))</f>
        <v>0</v>
      </c>
      <c r="L32" s="116" t="b">
        <f t="shared" ref="L32:M32" si="12">AND(L20,NOT(OR(L9:L19,L21:L27)))</f>
        <v>0</v>
      </c>
      <c r="M32" s="116" t="b">
        <f t="shared" si="12"/>
        <v>0</v>
      </c>
    </row>
  </sheetData>
  <mergeCells count="1">
    <mergeCell ref="A6:J6"/>
  </mergeCells>
  <phoneticPr fontId="2" type="noConversion"/>
  <conditionalFormatting sqref="K9:M27">
    <cfRule type="cellIs" dxfId="0" priority="1" stopIfTrue="1" operator="equal">
      <formula>TRUE</formula>
    </cfRule>
  </conditionalFormatting>
  <pageMargins left="0.75" right="0.75" top="1" bottom="1" header="0.5" footer="0.5"/>
  <headerFooter alignWithMargins="0"/>
  <legacy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24A1-0771-43B2-8268-312D7C2C14DA}">
  <sheetPr codeName="Sheet60"/>
  <dimension ref="A1:F25"/>
  <sheetViews>
    <sheetView zoomScale="160" zoomScaleNormal="160" workbookViewId="0">
      <selection activeCell="A2" sqref="A2"/>
    </sheetView>
  </sheetViews>
  <sheetFormatPr defaultColWidth="12.7109375" defaultRowHeight="12.75" x14ac:dyDescent="0.2"/>
  <cols>
    <col min="2" max="2" width="60.28515625" customWidth="1"/>
    <col min="3" max="3" width="12.7109375" style="278" bestFit="1" customWidth="1"/>
    <col min="4" max="4" width="19.140625" style="278" customWidth="1"/>
    <col min="5" max="5" width="9.140625" style="278" customWidth="1"/>
  </cols>
  <sheetData>
    <row r="1" spans="1:6" ht="18" x14ac:dyDescent="0.25">
      <c r="A1" s="98" t="s">
        <v>632</v>
      </c>
      <c r="B1" s="98"/>
      <c r="C1" s="280"/>
    </row>
    <row r="2" spans="1:6" s="143" customFormat="1" hidden="1" x14ac:dyDescent="0.2">
      <c r="C2" s="149"/>
      <c r="D2" s="149"/>
      <c r="E2" s="149"/>
    </row>
    <row r="3" spans="1:6" x14ac:dyDescent="0.2">
      <c r="A3" s="231" t="str">
        <f>IF(A2="","",IF(Disable_Video_Hyperlinks,A2,HYPERLINK(Video_website&amp;A2,A2)))</f>
        <v/>
      </c>
    </row>
    <row r="4" spans="1:6" x14ac:dyDescent="0.2">
      <c r="A4" s="309" t="str">
        <f>IF(B2="","",B2)</f>
        <v/>
      </c>
    </row>
    <row r="6" spans="1:6" x14ac:dyDescent="0.2">
      <c r="A6" s="32" t="s">
        <v>668</v>
      </c>
      <c r="B6" s="228" t="s">
        <v>667</v>
      </c>
    </row>
    <row r="8" spans="1:6" x14ac:dyDescent="0.2">
      <c r="A8" s="284" t="s">
        <v>645</v>
      </c>
      <c r="B8" s="32" t="s">
        <v>655</v>
      </c>
      <c r="C8" s="279" t="s">
        <v>665</v>
      </c>
      <c r="D8" s="279" t="s">
        <v>663</v>
      </c>
      <c r="E8" s="279" t="s">
        <v>662</v>
      </c>
      <c r="F8" s="32" t="s">
        <v>658</v>
      </c>
    </row>
    <row r="9" spans="1:6" x14ac:dyDescent="0.2">
      <c r="A9" s="276" t="s">
        <v>633</v>
      </c>
      <c r="B9" s="259" t="s">
        <v>657</v>
      </c>
      <c r="C9" s="281"/>
      <c r="D9" s="278" t="str">
        <f ca="1">_xlfn.FORMULATEXT(E9)</f>
        <v>=ISBLANK(C9)</v>
      </c>
      <c r="E9" s="278" t="b">
        <f>ISBLANK(C9)</f>
        <v>1</v>
      </c>
      <c r="F9" s="116" t="s">
        <v>660</v>
      </c>
    </row>
    <row r="10" spans="1:6" x14ac:dyDescent="0.2">
      <c r="A10" s="276" t="s">
        <v>634</v>
      </c>
      <c r="B10" s="247" t="s">
        <v>649</v>
      </c>
      <c r="C10" s="282" t="e">
        <f>NA()</f>
        <v>#N/A</v>
      </c>
      <c r="D10" s="278" t="str">
        <f t="shared" ref="D10:D13" ca="1" si="0">_xlfn.FORMULATEXT(E10)</f>
        <v>=ISERR(C10)</v>
      </c>
      <c r="E10" s="278" t="b">
        <f>ISERR(C10)</f>
        <v>0</v>
      </c>
    </row>
    <row r="11" spans="1:6" ht="25.5" x14ac:dyDescent="0.2">
      <c r="A11" s="277" t="s">
        <v>635</v>
      </c>
      <c r="B11" s="259" t="s">
        <v>659</v>
      </c>
      <c r="C11" s="282" t="e">
        <f>A10+A11</f>
        <v>#VALUE!</v>
      </c>
      <c r="D11" s="278" t="str">
        <f t="shared" ca="1" si="0"/>
        <v>=ISERROR(C11)</v>
      </c>
      <c r="E11" s="278" t="b">
        <f>ISERROR(C11)</f>
        <v>1</v>
      </c>
      <c r="F11" s="116" t="s">
        <v>761</v>
      </c>
    </row>
    <row r="12" spans="1:6" x14ac:dyDescent="0.2">
      <c r="A12" s="273" t="s">
        <v>646</v>
      </c>
      <c r="B12" s="259" t="s">
        <v>653</v>
      </c>
      <c r="C12" s="281">
        <v>2</v>
      </c>
      <c r="D12" s="278" t="str">
        <f t="shared" ca="1" si="0"/>
        <v>=ISEVEN(C12)</v>
      </c>
      <c r="E12" s="278" t="b">
        <f>ISEVEN(C12)</f>
        <v>1</v>
      </c>
      <c r="F12" s="116" t="s">
        <v>762</v>
      </c>
    </row>
    <row r="13" spans="1:6" x14ac:dyDescent="0.2">
      <c r="A13" s="273" t="s">
        <v>647</v>
      </c>
      <c r="B13" s="259" t="s">
        <v>661</v>
      </c>
      <c r="C13" s="281">
        <f>1+2</f>
        <v>3</v>
      </c>
      <c r="D13" s="278" t="str">
        <f t="shared" ca="1" si="0"/>
        <v>=ISFORMULA(C13)</v>
      </c>
      <c r="E13" s="278" t="b">
        <f>_xlfn.ISFORMULA(C13)</f>
        <v>1</v>
      </c>
    </row>
    <row r="14" spans="1:6" x14ac:dyDescent="0.2">
      <c r="A14" s="276" t="s">
        <v>636</v>
      </c>
      <c r="B14" s="247" t="s">
        <v>650</v>
      </c>
      <c r="C14" s="282" t="b">
        <v>1</v>
      </c>
      <c r="D14" s="278" t="str">
        <f ca="1">_xlfn.FORMULATEXT(E14)</f>
        <v>=ISLOGICAL(C14)</v>
      </c>
      <c r="E14" s="278" t="b">
        <f>ISLOGICAL(C14)</f>
        <v>1</v>
      </c>
    </row>
    <row r="15" spans="1:6" x14ac:dyDescent="0.2">
      <c r="A15" s="276"/>
      <c r="B15" s="247"/>
      <c r="C15" s="282" t="s">
        <v>664</v>
      </c>
      <c r="D15" s="278" t="str">
        <f t="shared" ref="D15:D21" ca="1" si="1">_xlfn.FORMULATEXT(E15)</f>
        <v>=ISLOGICAL(C15)</v>
      </c>
      <c r="E15" s="278" t="b">
        <f>ISLOGICAL(C15)</f>
        <v>0</v>
      </c>
    </row>
    <row r="16" spans="1:6" x14ac:dyDescent="0.2">
      <c r="A16" s="276" t="s">
        <v>637</v>
      </c>
      <c r="B16" s="247" t="s">
        <v>651</v>
      </c>
      <c r="C16" s="282" t="e">
        <f>NA()</f>
        <v>#N/A</v>
      </c>
      <c r="D16" s="278" t="str">
        <f t="shared" ca="1" si="1"/>
        <v>=ISNA(C16)</v>
      </c>
      <c r="E16" s="278" t="b">
        <f>ISNA(C16)</f>
        <v>1</v>
      </c>
    </row>
    <row r="17" spans="1:5" s="28" customFormat="1" ht="38.25" x14ac:dyDescent="0.2">
      <c r="A17" s="277" t="s">
        <v>638</v>
      </c>
      <c r="B17" s="259" t="s">
        <v>652</v>
      </c>
      <c r="C17" s="281">
        <v>3</v>
      </c>
      <c r="D17" s="283" t="str">
        <f t="shared" ca="1" si="1"/>
        <v>=ISNONTEXT(C17)</v>
      </c>
      <c r="E17" s="283" t="b">
        <f>ISNONTEXT(C17)</f>
        <v>1</v>
      </c>
    </row>
    <row r="18" spans="1:5" x14ac:dyDescent="0.2">
      <c r="A18" s="276" t="s">
        <v>639</v>
      </c>
      <c r="B18" s="247" t="s">
        <v>642</v>
      </c>
      <c r="C18" s="282">
        <v>4</v>
      </c>
      <c r="D18" s="278" t="str">
        <f t="shared" ca="1" si="1"/>
        <v>=ISNUMBER(C18)</v>
      </c>
      <c r="E18" s="278" t="b">
        <f>ISNUMBER(C18)</f>
        <v>1</v>
      </c>
    </row>
    <row r="19" spans="1:5" x14ac:dyDescent="0.2">
      <c r="A19" s="274" t="s">
        <v>648</v>
      </c>
      <c r="B19" s="247" t="s">
        <v>654</v>
      </c>
      <c r="C19" s="282">
        <v>5</v>
      </c>
      <c r="D19" s="278" t="str">
        <f t="shared" ca="1" si="1"/>
        <v>=ISODD(C19)</v>
      </c>
      <c r="E19" s="278" t="b">
        <f>ISODD(C19)</f>
        <v>1</v>
      </c>
    </row>
    <row r="20" spans="1:5" x14ac:dyDescent="0.2">
      <c r="A20" s="276" t="s">
        <v>640</v>
      </c>
      <c r="B20" s="247" t="s">
        <v>643</v>
      </c>
      <c r="C20" s="282" t="s">
        <v>666</v>
      </c>
      <c r="D20" s="278" t="str">
        <f t="shared" ca="1" si="1"/>
        <v>=ISREF(xyz1)</v>
      </c>
      <c r="E20" s="278" t="b">
        <f>ISREF(xyz1)</f>
        <v>0</v>
      </c>
    </row>
    <row r="21" spans="1:5" x14ac:dyDescent="0.2">
      <c r="A21" s="276" t="s">
        <v>641</v>
      </c>
      <c r="B21" s="247" t="s">
        <v>644</v>
      </c>
      <c r="C21" s="282">
        <v>6</v>
      </c>
      <c r="D21" s="278" t="str">
        <f t="shared" ca="1" si="1"/>
        <v>=ISTEXT(C21)</v>
      </c>
      <c r="E21" s="278" t="b">
        <f>ISTEXT(C21)</f>
        <v>0</v>
      </c>
    </row>
    <row r="25" spans="1:5" ht="15" x14ac:dyDescent="0.25">
      <c r="A25" s="275" t="s">
        <v>656</v>
      </c>
    </row>
  </sheetData>
  <hyperlinks>
    <hyperlink ref="A12" r:id="rId1" display="https://support.microsoft.com/en-us/office/iseven-function-aa15929a-d77b-4fbb-92f4-2f479af55356" xr:uid="{E8FAD67C-A8E9-4A0A-B5EF-534A573BDF58}"/>
    <hyperlink ref="A13" r:id="rId2" display="https://support.microsoft.com/en-us/office/isformula-function-e4d1355f-7121-4ef2-801e-3839bfd6b1e5" xr:uid="{79010F2F-3EFC-4487-8E96-DBDF5075055E}"/>
    <hyperlink ref="A19" r:id="rId3" xr:uid="{5ECAED49-4531-4B88-99AF-EE32252CBA6F}"/>
    <hyperlink ref="B6" r:id="rId4" xr:uid="{1BBA79C9-9B1B-4470-BF1B-33D27E4A21B9}"/>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E254-3E07-44B3-A11C-2C58D9E4FAD5}">
  <sheetPr codeName="Sheet61"/>
  <dimension ref="A1:M43"/>
  <sheetViews>
    <sheetView zoomScale="145" zoomScaleNormal="145" workbookViewId="0">
      <selection activeCell="A2" sqref="A2"/>
    </sheetView>
  </sheetViews>
  <sheetFormatPr defaultRowHeight="13.5" customHeight="1" x14ac:dyDescent="0.2"/>
  <cols>
    <col min="1" max="1" width="14.5703125" style="286" bestFit="1" customWidth="1"/>
    <col min="2" max="16384" width="9.140625" style="286"/>
  </cols>
  <sheetData>
    <row r="1" spans="1:11" ht="13.5" customHeight="1" x14ac:dyDescent="0.25">
      <c r="A1" s="285" t="s">
        <v>669</v>
      </c>
    </row>
    <row r="2" spans="1:11" s="319" customFormat="1" ht="13.5" hidden="1" customHeight="1" x14ac:dyDescent="0.25">
      <c r="A2" s="318"/>
    </row>
    <row r="3" spans="1:11" ht="13.5" customHeight="1" x14ac:dyDescent="0.2">
      <c r="A3" s="231" t="str">
        <f>IF(A2="","",IF(Disable_Video_Hyperlinks,A2,HYPERLINK(Video_website&amp;A2,A2)))</f>
        <v/>
      </c>
    </row>
    <row r="4" spans="1:11" ht="13.5" customHeight="1" x14ac:dyDescent="0.2">
      <c r="A4" s="309" t="str">
        <f>IF(B2="","",B2)</f>
        <v/>
      </c>
    </row>
    <row r="5" spans="1:11" ht="13.5" customHeight="1" x14ac:dyDescent="0.2">
      <c r="A5" s="309"/>
    </row>
    <row r="6" spans="1:11" ht="13.5" customHeight="1" x14ac:dyDescent="0.2">
      <c r="A6" s="228" t="s">
        <v>688</v>
      </c>
      <c r="B6" s="228"/>
      <c r="C6" s="228"/>
      <c r="D6" s="228"/>
      <c r="E6" s="228"/>
      <c r="F6" s="228"/>
      <c r="G6" s="228"/>
      <c r="H6" s="228"/>
      <c r="I6" s="228"/>
    </row>
    <row r="7" spans="1:11" ht="13.5" customHeight="1" x14ac:dyDescent="0.2">
      <c r="A7" s="228" t="s">
        <v>717</v>
      </c>
      <c r="B7" s="228"/>
      <c r="C7" s="228"/>
      <c r="D7" s="228"/>
      <c r="E7" s="228"/>
      <c r="F7" s="228"/>
      <c r="G7" s="228"/>
      <c r="H7" s="228"/>
      <c r="I7" s="228"/>
    </row>
    <row r="9" spans="1:11" ht="13.5" customHeight="1" x14ac:dyDescent="0.2">
      <c r="A9" s="287" t="s">
        <v>670</v>
      </c>
      <c r="B9" s="287"/>
      <c r="D9" s="287" t="s">
        <v>680</v>
      </c>
      <c r="E9" s="287"/>
      <c r="G9" s="287" t="s">
        <v>683</v>
      </c>
      <c r="H9" s="287"/>
      <c r="I9" s="287"/>
    </row>
    <row r="10" spans="1:11" ht="13.5" customHeight="1" x14ac:dyDescent="0.2">
      <c r="A10" s="299" t="s">
        <v>671</v>
      </c>
      <c r="B10" s="299" t="s">
        <v>678</v>
      </c>
      <c r="C10" s="297"/>
      <c r="D10" s="299" t="s">
        <v>671</v>
      </c>
      <c r="E10" s="299" t="s">
        <v>681</v>
      </c>
      <c r="F10" s="297"/>
      <c r="G10" s="299" t="s">
        <v>671</v>
      </c>
      <c r="H10" s="299" t="s">
        <v>684</v>
      </c>
      <c r="I10" s="299" t="s">
        <v>687</v>
      </c>
    </row>
    <row r="11" spans="1:11" ht="13.5" customHeight="1" x14ac:dyDescent="0.2">
      <c r="A11" s="297" t="s">
        <v>679</v>
      </c>
      <c r="B11" s="297" t="str" cm="1">
        <f t="array" ref="B11:B17">_xlfn._xlws.SORT(A11:A17)</f>
        <v>Alison</v>
      </c>
      <c r="C11" s="297"/>
      <c r="D11" s="297" t="s">
        <v>672</v>
      </c>
      <c r="E11" s="297" t="str" cm="1">
        <f t="array" ref="E11:E17">_xlfn.UNIQUE(D11:D20)</f>
        <v>Peter</v>
      </c>
      <c r="F11" s="297"/>
      <c r="G11" s="297" t="s">
        <v>679</v>
      </c>
      <c r="H11" s="297" t="s">
        <v>685</v>
      </c>
      <c r="I11" s="297" t="str" cm="1">
        <f t="array" ref="I11:I14">_xlfn._xlws.FILTER(G11:G17,H11:H17="Veg")</f>
        <v>Peter</v>
      </c>
    </row>
    <row r="12" spans="1:11" ht="13.5" customHeight="1" x14ac:dyDescent="0.2">
      <c r="A12" s="300" t="s">
        <v>672</v>
      </c>
      <c r="B12" s="297" t="str">
        <v>Charles</v>
      </c>
      <c r="C12" s="297"/>
      <c r="D12" s="297" t="s">
        <v>682</v>
      </c>
      <c r="E12" s="297" t="str">
        <v>Jane</v>
      </c>
      <c r="F12" s="297"/>
      <c r="G12" s="300" t="s">
        <v>672</v>
      </c>
      <c r="H12" s="297" t="s">
        <v>686</v>
      </c>
      <c r="I12" s="297" t="str">
        <v>John</v>
      </c>
    </row>
    <row r="13" spans="1:11" ht="13.5" customHeight="1" x14ac:dyDescent="0.2">
      <c r="A13" s="296" t="s">
        <v>673</v>
      </c>
      <c r="B13" s="297" t="str">
        <v>Jane</v>
      </c>
      <c r="C13" s="297"/>
      <c r="D13" s="297" t="s">
        <v>682</v>
      </c>
      <c r="E13" s="297" t="str">
        <v>Alison</v>
      </c>
      <c r="F13" s="297"/>
      <c r="G13" s="296" t="s">
        <v>673</v>
      </c>
      <c r="H13" s="297" t="s">
        <v>686</v>
      </c>
      <c r="I13" s="297" t="str">
        <v>Charles</v>
      </c>
    </row>
    <row r="14" spans="1:11" ht="13.5" customHeight="1" x14ac:dyDescent="0.2">
      <c r="A14" s="296" t="s">
        <v>674</v>
      </c>
      <c r="B14" s="297" t="str">
        <v>John</v>
      </c>
      <c r="C14" s="297"/>
      <c r="D14" s="297" t="s">
        <v>677</v>
      </c>
      <c r="E14" s="297" t="str">
        <v>Simon</v>
      </c>
      <c r="F14" s="297"/>
      <c r="G14" s="296" t="s">
        <v>674</v>
      </c>
      <c r="H14" s="297" t="s">
        <v>685</v>
      </c>
      <c r="I14" s="297" t="str">
        <v>Alison</v>
      </c>
      <c r="K14" s="290" t="s">
        <v>690</v>
      </c>
    </row>
    <row r="15" spans="1:11" ht="13.5" customHeight="1" x14ac:dyDescent="0.2">
      <c r="A15" s="296" t="s">
        <v>675</v>
      </c>
      <c r="B15" s="297" t="str">
        <v>Mary</v>
      </c>
      <c r="C15" s="297"/>
      <c r="D15" s="297" t="s">
        <v>674</v>
      </c>
      <c r="E15" s="297" t="str">
        <v>Mary</v>
      </c>
      <c r="F15" s="297"/>
      <c r="G15" s="296" t="s">
        <v>675</v>
      </c>
      <c r="H15" s="297" t="s">
        <v>686</v>
      </c>
      <c r="I15" s="297"/>
      <c r="K15" s="289" t="s">
        <v>691</v>
      </c>
    </row>
    <row r="16" spans="1:11" ht="13.5" customHeight="1" x14ac:dyDescent="0.2">
      <c r="A16" s="296" t="s">
        <v>682</v>
      </c>
      <c r="B16" s="297" t="str">
        <v>Peter</v>
      </c>
      <c r="C16" s="297"/>
      <c r="D16" s="297" t="s">
        <v>679</v>
      </c>
      <c r="E16" s="297" t="str">
        <v>Charles</v>
      </c>
      <c r="F16" s="297"/>
      <c r="G16" s="296" t="s">
        <v>676</v>
      </c>
      <c r="H16" s="297" t="s">
        <v>685</v>
      </c>
      <c r="I16" s="297"/>
      <c r="K16" s="289"/>
    </row>
    <row r="17" spans="1:13" ht="13.5" customHeight="1" x14ac:dyDescent="0.2">
      <c r="A17" s="301" t="s">
        <v>677</v>
      </c>
      <c r="B17" s="297" t="str">
        <v>Simon</v>
      </c>
      <c r="C17" s="297"/>
      <c r="D17" s="297" t="s">
        <v>674</v>
      </c>
      <c r="E17" s="297" t="str">
        <v>John</v>
      </c>
      <c r="F17" s="297"/>
      <c r="G17" s="301" t="s">
        <v>677</v>
      </c>
      <c r="H17" s="297" t="s">
        <v>686</v>
      </c>
      <c r="I17" s="297"/>
      <c r="K17" s="291" t="s">
        <v>692</v>
      </c>
      <c r="M17" s="286" t="s">
        <v>693</v>
      </c>
    </row>
    <row r="18" spans="1:13" ht="13.5" customHeight="1" x14ac:dyDescent="0.2">
      <c r="A18" s="296"/>
      <c r="B18" s="297"/>
      <c r="C18" s="297"/>
      <c r="D18" s="297" t="s">
        <v>675</v>
      </c>
      <c r="E18" s="297"/>
      <c r="F18" s="297"/>
      <c r="G18" s="297"/>
      <c r="H18" s="297"/>
      <c r="I18" s="297"/>
      <c r="K18" s="291" t="s">
        <v>694</v>
      </c>
      <c r="M18" s="286" t="s">
        <v>695</v>
      </c>
    </row>
    <row r="19" spans="1:13" ht="13.5" customHeight="1" x14ac:dyDescent="0.2">
      <c r="A19" s="296"/>
      <c r="B19" s="297"/>
      <c r="C19" s="297"/>
      <c r="D19" s="297" t="s">
        <v>675</v>
      </c>
      <c r="E19" s="297"/>
      <c r="F19" s="297"/>
      <c r="G19" s="297"/>
      <c r="H19" s="297"/>
      <c r="I19" s="297"/>
      <c r="K19" s="291" t="s">
        <v>696</v>
      </c>
      <c r="M19" s="286" t="s">
        <v>697</v>
      </c>
    </row>
    <row r="20" spans="1:13" ht="13.5" customHeight="1" x14ac:dyDescent="0.2">
      <c r="A20" s="302"/>
      <c r="B20" s="297"/>
      <c r="C20" s="297"/>
      <c r="D20" s="297" t="s">
        <v>673</v>
      </c>
      <c r="E20" s="297"/>
      <c r="F20" s="297"/>
      <c r="G20" s="297"/>
      <c r="H20" s="297"/>
      <c r="I20" s="297"/>
      <c r="K20" s="291" t="s">
        <v>698</v>
      </c>
      <c r="M20" s="286" t="s">
        <v>699</v>
      </c>
    </row>
    <row r="21" spans="1:13" ht="13.5" customHeight="1" x14ac:dyDescent="0.2">
      <c r="A21" s="264"/>
      <c r="K21" s="291" t="s">
        <v>700</v>
      </c>
      <c r="M21" s="286" t="s">
        <v>701</v>
      </c>
    </row>
    <row r="22" spans="1:13" ht="13.5" customHeight="1" x14ac:dyDescent="0.2">
      <c r="A22" s="266"/>
      <c r="K22" s="291" t="s">
        <v>702</v>
      </c>
      <c r="M22" s="286" t="s">
        <v>703</v>
      </c>
    </row>
    <row r="23" spans="1:13" ht="13.5" customHeight="1" x14ac:dyDescent="0.2">
      <c r="A23" s="288" t="s">
        <v>689</v>
      </c>
    </row>
    <row r="24" spans="1:13" ht="13.5" customHeight="1" x14ac:dyDescent="0.2">
      <c r="A24" s="288"/>
    </row>
    <row r="25" spans="1:13" ht="13.5" customHeight="1" x14ac:dyDescent="0.2">
      <c r="A25" s="287" t="s">
        <v>670</v>
      </c>
      <c r="B25" s="287"/>
      <c r="K25" s="292" t="s">
        <v>704</v>
      </c>
    </row>
    <row r="26" spans="1:13" ht="13.5" customHeight="1" x14ac:dyDescent="0.2">
      <c r="A26" s="299" t="s">
        <v>671</v>
      </c>
      <c r="B26" s="299" t="s">
        <v>678</v>
      </c>
      <c r="K26" s="293" t="s">
        <v>705</v>
      </c>
    </row>
    <row r="27" spans="1:13" ht="13.5" customHeight="1" x14ac:dyDescent="0.2">
      <c r="A27" s="297" t="s">
        <v>679</v>
      </c>
      <c r="B27" s="297" t="e" cm="1" vm="2">
        <f t="array" aca="1" ref="B27" ca="1">_xlfn._xlws.SORT(A27:A33)</f>
        <v>#VALUE!</v>
      </c>
      <c r="K27" s="293"/>
    </row>
    <row r="28" spans="1:13" ht="13.5" customHeight="1" x14ac:dyDescent="0.2">
      <c r="A28" s="300" t="s">
        <v>672</v>
      </c>
      <c r="B28" s="297"/>
      <c r="K28" s="294" t="s">
        <v>706</v>
      </c>
    </row>
    <row r="29" spans="1:13" ht="13.5" customHeight="1" x14ac:dyDescent="0.2">
      <c r="A29" s="296" t="s">
        <v>673</v>
      </c>
      <c r="B29" s="297"/>
      <c r="K29" s="294" t="s">
        <v>707</v>
      </c>
    </row>
    <row r="30" spans="1:13" ht="13.5" customHeight="1" x14ac:dyDescent="0.2">
      <c r="A30" s="296" t="s">
        <v>674</v>
      </c>
      <c r="B30" s="297"/>
      <c r="K30" s="294" t="s">
        <v>708</v>
      </c>
    </row>
    <row r="31" spans="1:13" ht="13.5" customHeight="1" x14ac:dyDescent="0.2">
      <c r="A31" s="296" t="s">
        <v>675</v>
      </c>
      <c r="B31" s="297">
        <v>123</v>
      </c>
      <c r="K31" s="294" t="s">
        <v>709</v>
      </c>
    </row>
    <row r="32" spans="1:13" ht="13.5" customHeight="1" x14ac:dyDescent="0.2">
      <c r="A32" s="296" t="s">
        <v>682</v>
      </c>
      <c r="B32" s="297"/>
      <c r="K32" s="294" t="s">
        <v>710</v>
      </c>
    </row>
    <row r="33" spans="1:11" ht="13.5" customHeight="1" x14ac:dyDescent="0.2">
      <c r="A33" s="301" t="s">
        <v>677</v>
      </c>
      <c r="B33" s="297"/>
      <c r="K33" s="294" t="s">
        <v>711</v>
      </c>
    </row>
    <row r="34" spans="1:11" ht="13.5" customHeight="1" x14ac:dyDescent="0.2">
      <c r="A34" s="267"/>
    </row>
    <row r="35" spans="1:11" ht="13.5" customHeight="1" x14ac:dyDescent="0.2">
      <c r="A35" s="268"/>
    </row>
    <row r="36" spans="1:11" ht="13.5" customHeight="1" x14ac:dyDescent="0.2">
      <c r="A36" s="268"/>
    </row>
    <row r="37" spans="1:11" ht="13.5" customHeight="1" x14ac:dyDescent="0.2">
      <c r="A37" s="267"/>
    </row>
    <row r="38" spans="1:11" ht="13.5" customHeight="1" x14ac:dyDescent="0.2">
      <c r="A38" s="268"/>
    </row>
    <row r="39" spans="1:11" ht="13.5" customHeight="1" x14ac:dyDescent="0.2">
      <c r="A39" s="268"/>
    </row>
    <row r="40" spans="1:11" ht="13.5" customHeight="1" x14ac:dyDescent="0.2">
      <c r="A40" s="268"/>
    </row>
    <row r="41" spans="1:11" ht="13.5" customHeight="1" x14ac:dyDescent="0.2">
      <c r="A41" s="268"/>
    </row>
    <row r="42" spans="1:11" ht="13.5" customHeight="1" x14ac:dyDescent="0.2">
      <c r="A42" s="268"/>
    </row>
    <row r="43" spans="1:11" ht="13.5" customHeight="1" x14ac:dyDescent="0.2">
      <c r="A43" s="268"/>
    </row>
  </sheetData>
  <phoneticPr fontId="2" type="noConversion"/>
  <hyperlinks>
    <hyperlink ref="A6" r:id="rId1" xr:uid="{0D4FED16-CB75-42CE-92A8-DDC38932E24C}"/>
    <hyperlink ref="K17" r:id="rId2" display="https://support.office.com/article/f4f7cb66-82eb-4767-8f7c-4877ad80c759" xr:uid="{A87ECE54-8C81-4B9D-877E-F1D03E763E23}"/>
    <hyperlink ref="K18" r:id="rId3" display="https://support.office.com/article/c5ab87fd-30a3-4ce9-9d1a-40204fb85e1e" xr:uid="{7C73E4E1-F448-4B10-B1F4-7D620433F485}"/>
    <hyperlink ref="K19" r:id="rId4" display="https://support.office.com/article/22f63bd0-ccc8-492f-953d-c20e8e44b86c" xr:uid="{60DC34AC-92DD-4D0A-92A3-8462C27A2D13}"/>
    <hyperlink ref="K20" r:id="rId5" display="https://support.office.com/article/cd2d7a62-1b93-435c-b561-d6a35134f28f" xr:uid="{CC8B3DB6-4D8B-44D9-9C7E-6EAFEFDCB63D}"/>
    <hyperlink ref="K21" r:id="rId6" display="https://support.office.com/article/57467a98-57e0-4817-9f14-2eb78519ca90" xr:uid="{9A4AEC79-F790-4110-A567-7684642B6F4D}"/>
    <hyperlink ref="K22" r:id="rId7" display="https://support.office.com/article/21261e55-3bec-4885-86a6-8b0a47fd4d33" xr:uid="{BFDD6175-4AA5-41D4-A80E-03B316421B05}"/>
    <hyperlink ref="K28" r:id="rId8" display="https://support.office.com/article/3dd5899f-bca2-4b9d-a172-3eae9ac22efd" xr:uid="{D82AE6FF-D9BE-4B4F-8EEB-7A42ABC2630B}"/>
    <hyperlink ref="K29" r:id="rId9" display="https://support.office.com/article/205c6b06-03ba-4151-89a1-87a7eb36e531" xr:uid="{35F0C75D-2EDE-414C-8EF8-9191274D0CE9}"/>
    <hyperlink ref="K30" r:id="rId10" display="https://support.office.com/article/ca421f1b-fbb2-4c99-9924-df571bd4f1b4" xr:uid="{7F24A152-04E5-40C0-9400-529515EA7B39}"/>
    <hyperlink ref="K31" r:id="rId11" display="https://support.office.com/article/ffe0f555-b479-4a17-a6e2-ef9cc9ad4023" xr:uid="{117C68DF-4641-4F94-B9FE-64D346EF48D5}"/>
    <hyperlink ref="K32" r:id="rId12" display="https://support.office.com/article/7c21bf05-72f9-4261-822b-b26767efbd13" xr:uid="{418B1BB3-D48A-4DF0-9017-A25344964DD1}"/>
    <hyperlink ref="K33" r:id="rId13" display="https://support.office.com/article/696e164e-306b-4282-ae9d-aa88f5502fa2" xr:uid="{20BE4A04-0D68-465D-96A6-AFA26D09AB25}"/>
    <hyperlink ref="A7" r:id="rId14" xr:uid="{A8D5D9DC-70E9-475C-AC2A-2C2780DDC23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76988-B50B-4381-82A3-6A836209ADC6}">
  <sheetPr codeName="Sheet62"/>
  <dimension ref="A1:P62"/>
  <sheetViews>
    <sheetView zoomScale="145" zoomScaleNormal="145" workbookViewId="0">
      <selection activeCell="A2" sqref="A2"/>
    </sheetView>
  </sheetViews>
  <sheetFormatPr defaultRowHeight="13.5" customHeight="1" x14ac:dyDescent="0.2"/>
  <cols>
    <col min="1" max="1" width="14.5703125" style="286" bestFit="1" customWidth="1"/>
    <col min="2" max="16384" width="9.140625" style="286"/>
  </cols>
  <sheetData>
    <row r="1" spans="1:16" ht="13.5" customHeight="1" x14ac:dyDescent="0.25">
      <c r="A1" s="285" t="s">
        <v>728</v>
      </c>
    </row>
    <row r="2" spans="1:16" s="319" customFormat="1" ht="13.5" hidden="1" customHeight="1" x14ac:dyDescent="0.25">
      <c r="A2" s="318"/>
    </row>
    <row r="3" spans="1:16" ht="13.5" customHeight="1" x14ac:dyDescent="0.2">
      <c r="A3" s="231" t="str">
        <f>IF(A2="","",IF(Disable_Video_Hyperlinks,A2,HYPERLINK(Video_website&amp;A2,A2)))</f>
        <v/>
      </c>
    </row>
    <row r="4" spans="1:16" ht="13.5" customHeight="1" x14ac:dyDescent="0.2">
      <c r="A4" s="309" t="str">
        <f>IF(B2="","",B2)</f>
        <v/>
      </c>
    </row>
    <row r="5" spans="1:16" ht="13.5" customHeight="1" x14ac:dyDescent="0.2">
      <c r="A5" s="309"/>
    </row>
    <row r="6" spans="1:16" ht="13.5" customHeight="1" x14ac:dyDescent="0.2">
      <c r="A6" s="288" t="s">
        <v>712</v>
      </c>
    </row>
    <row r="7" spans="1:16" ht="13.5" customHeight="1" x14ac:dyDescent="0.2">
      <c r="A7" s="288"/>
    </row>
    <row r="8" spans="1:16" ht="13.5" customHeight="1" x14ac:dyDescent="0.2">
      <c r="A8" s="295" t="s">
        <v>713</v>
      </c>
      <c r="B8" s="295" t="s">
        <v>714</v>
      </c>
      <c r="C8" s="295" t="s">
        <v>715</v>
      </c>
      <c r="F8" s="287" t="s">
        <v>716</v>
      </c>
      <c r="G8" s="287"/>
      <c r="H8" s="287"/>
      <c r="I8" s="287"/>
      <c r="J8" s="287"/>
      <c r="K8" s="287"/>
      <c r="L8" s="287"/>
      <c r="M8" s="287"/>
      <c r="N8" s="287"/>
      <c r="O8" s="287"/>
      <c r="P8" s="287"/>
    </row>
    <row r="9" spans="1:16" ht="13.5" customHeight="1" x14ac:dyDescent="0.2">
      <c r="A9" s="296">
        <v>48</v>
      </c>
      <c r="B9" s="297" cm="1">
        <f t="array" ref="B9:B19">A9:A19</f>
        <v>48</v>
      </c>
      <c r="C9" s="298" cm="1">
        <f t="array" ref="C9:C19">SQRT(A9:A19)</f>
        <v>6.9282032302755088</v>
      </c>
      <c r="G9" s="303">
        <v>1</v>
      </c>
      <c r="H9" s="303">
        <v>2</v>
      </c>
      <c r="I9" s="303">
        <v>3</v>
      </c>
      <c r="J9" s="303">
        <v>4</v>
      </c>
      <c r="K9" s="303">
        <v>5</v>
      </c>
      <c r="L9" s="303">
        <v>6</v>
      </c>
      <c r="M9" s="303">
        <v>7</v>
      </c>
      <c r="N9" s="303">
        <v>8</v>
      </c>
      <c r="O9" s="303">
        <v>9</v>
      </c>
      <c r="P9" s="303">
        <v>10</v>
      </c>
    </row>
    <row r="10" spans="1:16" ht="13.5" customHeight="1" x14ac:dyDescent="0.2">
      <c r="A10" s="296">
        <v>18</v>
      </c>
      <c r="B10" s="297">
        <v>18</v>
      </c>
      <c r="C10" s="298">
        <v>4.2426406871192848</v>
      </c>
      <c r="F10" s="304">
        <v>1</v>
      </c>
      <c r="G10" s="297" cm="1">
        <f t="array" ref="G10:P19">G9:P9*F10:F19</f>
        <v>1</v>
      </c>
      <c r="H10" s="297">
        <v>2</v>
      </c>
      <c r="I10" s="297">
        <v>3</v>
      </c>
      <c r="J10" s="297">
        <v>4</v>
      </c>
      <c r="K10" s="297">
        <v>5</v>
      </c>
      <c r="L10" s="297">
        <v>6</v>
      </c>
      <c r="M10" s="297">
        <v>7</v>
      </c>
      <c r="N10" s="297">
        <v>8</v>
      </c>
      <c r="O10" s="297">
        <v>9</v>
      </c>
      <c r="P10" s="297">
        <v>10</v>
      </c>
    </row>
    <row r="11" spans="1:16" ht="13.5" customHeight="1" x14ac:dyDescent="0.2">
      <c r="A11" s="296">
        <v>19</v>
      </c>
      <c r="B11" s="297">
        <v>19</v>
      </c>
      <c r="C11" s="298">
        <v>4.358898943540674</v>
      </c>
      <c r="F11" s="304">
        <v>2</v>
      </c>
      <c r="G11" s="297">
        <v>2</v>
      </c>
      <c r="H11" s="297">
        <v>4</v>
      </c>
      <c r="I11" s="297">
        <v>6</v>
      </c>
      <c r="J11" s="297">
        <v>8</v>
      </c>
      <c r="K11" s="297">
        <v>10</v>
      </c>
      <c r="L11" s="297">
        <v>12</v>
      </c>
      <c r="M11" s="297">
        <v>14</v>
      </c>
      <c r="N11" s="297">
        <v>16</v>
      </c>
      <c r="O11" s="297">
        <v>18</v>
      </c>
      <c r="P11" s="297">
        <v>20</v>
      </c>
    </row>
    <row r="12" spans="1:16" ht="13.5" customHeight="1" x14ac:dyDescent="0.2">
      <c r="A12" s="296">
        <v>78</v>
      </c>
      <c r="B12" s="297">
        <v>78</v>
      </c>
      <c r="C12" s="298">
        <v>8.8317608663278477</v>
      </c>
      <c r="F12" s="304">
        <v>3</v>
      </c>
      <c r="G12" s="297">
        <v>3</v>
      </c>
      <c r="H12" s="297">
        <v>6</v>
      </c>
      <c r="I12" s="297">
        <v>9</v>
      </c>
      <c r="J12" s="297">
        <v>12</v>
      </c>
      <c r="K12" s="297">
        <v>15</v>
      </c>
      <c r="L12" s="297">
        <v>18</v>
      </c>
      <c r="M12" s="297">
        <v>21</v>
      </c>
      <c r="N12" s="297">
        <v>24</v>
      </c>
      <c r="O12" s="297">
        <v>27</v>
      </c>
      <c r="P12" s="297">
        <v>30</v>
      </c>
    </row>
    <row r="13" spans="1:16" ht="13.5" customHeight="1" x14ac:dyDescent="0.2">
      <c r="A13" s="296">
        <v>25</v>
      </c>
      <c r="B13" s="297">
        <v>25</v>
      </c>
      <c r="C13" s="298">
        <v>5</v>
      </c>
      <c r="F13" s="304">
        <v>4</v>
      </c>
      <c r="G13" s="297">
        <v>4</v>
      </c>
      <c r="H13" s="297">
        <v>8</v>
      </c>
      <c r="I13" s="297">
        <v>12</v>
      </c>
      <c r="J13" s="297">
        <v>16</v>
      </c>
      <c r="K13" s="297">
        <v>20</v>
      </c>
      <c r="L13" s="297">
        <v>24</v>
      </c>
      <c r="M13" s="297">
        <v>28</v>
      </c>
      <c r="N13" s="297">
        <v>32</v>
      </c>
      <c r="O13" s="297">
        <v>36</v>
      </c>
      <c r="P13" s="297">
        <v>40</v>
      </c>
    </row>
    <row r="14" spans="1:16" ht="13.5" customHeight="1" x14ac:dyDescent="0.2">
      <c r="A14" s="296">
        <v>77</v>
      </c>
      <c r="B14" s="297">
        <v>77</v>
      </c>
      <c r="C14" s="298">
        <v>8.7749643873921226</v>
      </c>
      <c r="F14" s="304">
        <v>5</v>
      </c>
      <c r="G14" s="297">
        <v>5</v>
      </c>
      <c r="H14" s="297">
        <v>10</v>
      </c>
      <c r="I14" s="297">
        <v>15</v>
      </c>
      <c r="J14" s="297">
        <v>20</v>
      </c>
      <c r="K14" s="297">
        <v>25</v>
      </c>
      <c r="L14" s="297">
        <v>30</v>
      </c>
      <c r="M14" s="297">
        <v>35</v>
      </c>
      <c r="N14" s="297">
        <v>40</v>
      </c>
      <c r="O14" s="297">
        <v>45</v>
      </c>
      <c r="P14" s="297">
        <v>50</v>
      </c>
    </row>
    <row r="15" spans="1:16" ht="13.5" customHeight="1" x14ac:dyDescent="0.2">
      <c r="A15" s="296">
        <v>65</v>
      </c>
      <c r="B15" s="297">
        <v>65</v>
      </c>
      <c r="C15" s="298">
        <v>8.0622577482985491</v>
      </c>
      <c r="F15" s="304">
        <v>6</v>
      </c>
      <c r="G15" s="297">
        <v>6</v>
      </c>
      <c r="H15" s="297">
        <v>12</v>
      </c>
      <c r="I15" s="297">
        <v>18</v>
      </c>
      <c r="J15" s="297">
        <v>24</v>
      </c>
      <c r="K15" s="297">
        <v>30</v>
      </c>
      <c r="L15" s="297">
        <v>36</v>
      </c>
      <c r="M15" s="297">
        <v>42</v>
      </c>
      <c r="N15" s="297">
        <v>48</v>
      </c>
      <c r="O15" s="297">
        <v>54</v>
      </c>
      <c r="P15" s="297">
        <v>60</v>
      </c>
    </row>
    <row r="16" spans="1:16" ht="13.5" customHeight="1" x14ac:dyDescent="0.2">
      <c r="A16" s="296">
        <v>35</v>
      </c>
      <c r="B16" s="297">
        <v>35</v>
      </c>
      <c r="C16" s="298">
        <v>5.9160797830996161</v>
      </c>
      <c r="F16" s="304">
        <v>7</v>
      </c>
      <c r="G16" s="297">
        <v>7</v>
      </c>
      <c r="H16" s="297">
        <v>14</v>
      </c>
      <c r="I16" s="297">
        <v>21</v>
      </c>
      <c r="J16" s="297">
        <v>28</v>
      </c>
      <c r="K16" s="297">
        <v>35</v>
      </c>
      <c r="L16" s="297">
        <v>42</v>
      </c>
      <c r="M16" s="297">
        <v>49</v>
      </c>
      <c r="N16" s="297">
        <v>56</v>
      </c>
      <c r="O16" s="297">
        <v>63</v>
      </c>
      <c r="P16" s="297">
        <v>70</v>
      </c>
    </row>
    <row r="17" spans="1:16" ht="13.5" customHeight="1" x14ac:dyDescent="0.2">
      <c r="A17" s="296">
        <v>13</v>
      </c>
      <c r="B17" s="297">
        <v>13</v>
      </c>
      <c r="C17" s="298">
        <v>3.6055512754639891</v>
      </c>
      <c r="F17" s="304">
        <v>8</v>
      </c>
      <c r="G17" s="297">
        <v>8</v>
      </c>
      <c r="H17" s="297">
        <v>16</v>
      </c>
      <c r="I17" s="297">
        <v>24</v>
      </c>
      <c r="J17" s="297">
        <v>32</v>
      </c>
      <c r="K17" s="297">
        <v>40</v>
      </c>
      <c r="L17" s="297">
        <v>48</v>
      </c>
      <c r="M17" s="297">
        <v>56</v>
      </c>
      <c r="N17" s="297">
        <v>64</v>
      </c>
      <c r="O17" s="297">
        <v>72</v>
      </c>
      <c r="P17" s="297">
        <v>80</v>
      </c>
    </row>
    <row r="18" spans="1:16" ht="13.5" customHeight="1" x14ac:dyDescent="0.2">
      <c r="A18" s="296">
        <v>49</v>
      </c>
      <c r="B18" s="297">
        <v>49</v>
      </c>
      <c r="C18" s="298">
        <v>7</v>
      </c>
      <c r="F18" s="304">
        <v>9</v>
      </c>
      <c r="G18" s="297">
        <v>9</v>
      </c>
      <c r="H18" s="297">
        <v>18</v>
      </c>
      <c r="I18" s="297">
        <v>27</v>
      </c>
      <c r="J18" s="297">
        <v>36</v>
      </c>
      <c r="K18" s="297">
        <v>45</v>
      </c>
      <c r="L18" s="297">
        <v>54</v>
      </c>
      <c r="M18" s="297">
        <v>63</v>
      </c>
      <c r="N18" s="297">
        <v>72</v>
      </c>
      <c r="O18" s="297">
        <v>81</v>
      </c>
      <c r="P18" s="297">
        <v>90</v>
      </c>
    </row>
    <row r="19" spans="1:16" ht="13.5" customHeight="1" x14ac:dyDescent="0.2">
      <c r="A19" s="296">
        <v>73</v>
      </c>
      <c r="B19" s="297">
        <v>73</v>
      </c>
      <c r="C19" s="298">
        <v>8.5440037453175304</v>
      </c>
      <c r="F19" s="304">
        <v>10</v>
      </c>
      <c r="G19" s="297">
        <v>10</v>
      </c>
      <c r="H19" s="297">
        <v>20</v>
      </c>
      <c r="I19" s="297">
        <v>30</v>
      </c>
      <c r="J19" s="297">
        <v>40</v>
      </c>
      <c r="K19" s="297">
        <v>50</v>
      </c>
      <c r="L19" s="297">
        <v>60</v>
      </c>
      <c r="M19" s="297">
        <v>70</v>
      </c>
      <c r="N19" s="297">
        <v>80</v>
      </c>
      <c r="O19" s="297">
        <v>90</v>
      </c>
      <c r="P19" s="297">
        <v>100</v>
      </c>
    </row>
    <row r="20" spans="1:16" ht="13.5" customHeight="1" x14ac:dyDescent="0.2">
      <c r="A20" s="268"/>
    </row>
    <row r="21" spans="1:16" ht="13.5" customHeight="1" x14ac:dyDescent="0.2">
      <c r="A21" s="268"/>
    </row>
    <row r="22" spans="1:16" ht="13.5" customHeight="1" x14ac:dyDescent="0.2">
      <c r="A22" s="288" t="s">
        <v>718</v>
      </c>
    </row>
    <row r="23" spans="1:16" ht="13.5" customHeight="1" x14ac:dyDescent="0.2">
      <c r="A23" s="288"/>
    </row>
    <row r="24" spans="1:16" ht="13.5" customHeight="1" x14ac:dyDescent="0.25">
      <c r="A24" s="305" t="s">
        <v>719</v>
      </c>
      <c r="B24" s="305"/>
      <c r="D24" s="305" t="s">
        <v>719</v>
      </c>
      <c r="E24" s="305"/>
    </row>
    <row r="25" spans="1:16" ht="13.5" customHeight="1" x14ac:dyDescent="0.25">
      <c r="A25" s="306" t="s">
        <v>720</v>
      </c>
      <c r="B25" s="306" t="s">
        <v>4</v>
      </c>
      <c r="D25" s="306" t="s">
        <v>720</v>
      </c>
      <c r="E25" s="306" t="s">
        <v>4</v>
      </c>
    </row>
    <row r="26" spans="1:16" ht="13.5" customHeight="1" x14ac:dyDescent="0.2">
      <c r="A26" s="297" t="s">
        <v>721</v>
      </c>
      <c r="B26" s="297">
        <v>7</v>
      </c>
      <c r="D26" s="286" t="str" cm="1">
        <f t="array" ref="D26:D29">_xlfn.UNIQUE(Dynamic_Arrays_2!$A$26:$A$34)</f>
        <v>Banana</v>
      </c>
      <c r="E26" s="286" cm="1">
        <f t="array" ref="E26:E29">SUMIF(A26:A34,_xlfn.ANCHORARRAY(D26),B26:B34)</f>
        <v>14</v>
      </c>
    </row>
    <row r="27" spans="1:16" ht="13.5" customHeight="1" x14ac:dyDescent="0.2">
      <c r="A27" s="297" t="s">
        <v>722</v>
      </c>
      <c r="B27" s="297">
        <v>1</v>
      </c>
      <c r="D27" s="286" t="str">
        <v>Orange</v>
      </c>
      <c r="E27" s="286">
        <v>4</v>
      </c>
    </row>
    <row r="28" spans="1:16" ht="13.5" customHeight="1" x14ac:dyDescent="0.2">
      <c r="A28" s="297" t="s">
        <v>723</v>
      </c>
      <c r="B28" s="297">
        <v>4</v>
      </c>
      <c r="D28" s="286" t="str">
        <v>Pear</v>
      </c>
      <c r="E28" s="286">
        <v>11</v>
      </c>
    </row>
    <row r="29" spans="1:16" ht="13.5" customHeight="1" x14ac:dyDescent="0.2">
      <c r="A29" s="297" t="s">
        <v>724</v>
      </c>
      <c r="B29" s="297">
        <v>7</v>
      </c>
      <c r="D29" s="286" t="str">
        <v>Apple</v>
      </c>
      <c r="E29" s="286">
        <v>7</v>
      </c>
    </row>
    <row r="30" spans="1:16" ht="13.5" customHeight="1" x14ac:dyDescent="0.2">
      <c r="A30" s="297" t="s">
        <v>721</v>
      </c>
      <c r="B30" s="297">
        <v>3</v>
      </c>
    </row>
    <row r="31" spans="1:16" ht="13.5" customHeight="1" x14ac:dyDescent="0.2">
      <c r="A31" s="297" t="s">
        <v>721</v>
      </c>
      <c r="B31" s="297">
        <v>1</v>
      </c>
    </row>
    <row r="32" spans="1:16" ht="13.5" customHeight="1" x14ac:dyDescent="0.2">
      <c r="A32" s="297" t="s">
        <v>721</v>
      </c>
      <c r="B32" s="297">
        <v>3</v>
      </c>
    </row>
    <row r="33" spans="1:2" ht="13.5" customHeight="1" x14ac:dyDescent="0.2">
      <c r="A33" s="297" t="s">
        <v>723</v>
      </c>
      <c r="B33" s="297">
        <v>7</v>
      </c>
    </row>
    <row r="34" spans="1:2" ht="13.5" customHeight="1" x14ac:dyDescent="0.2">
      <c r="A34" s="297" t="s">
        <v>722</v>
      </c>
      <c r="B34" s="297">
        <v>3</v>
      </c>
    </row>
    <row r="35" spans="1:2" ht="13.5" customHeight="1" x14ac:dyDescent="0.2">
      <c r="A35" s="267"/>
    </row>
    <row r="36" spans="1:2" ht="13.5" customHeight="1" x14ac:dyDescent="0.2">
      <c r="A36" s="267"/>
    </row>
    <row r="37" spans="1:2" ht="13.5" customHeight="1" x14ac:dyDescent="0.2">
      <c r="A37" s="268"/>
    </row>
    <row r="38" spans="1:2" ht="13.5" customHeight="1" x14ac:dyDescent="0.2">
      <c r="A38" s="268"/>
    </row>
    <row r="39" spans="1:2" ht="13.5" customHeight="1" x14ac:dyDescent="0.2">
      <c r="A39" s="268"/>
    </row>
    <row r="40" spans="1:2" ht="13.5" customHeight="1" x14ac:dyDescent="0.2">
      <c r="A40" s="268"/>
    </row>
    <row r="41" spans="1:2" ht="13.5" customHeight="1" x14ac:dyDescent="0.2">
      <c r="A41" s="268"/>
    </row>
    <row r="42" spans="1:2" ht="13.5" customHeight="1" x14ac:dyDescent="0.2">
      <c r="A42" s="268"/>
    </row>
    <row r="43" spans="1:2" ht="13.5" customHeight="1" x14ac:dyDescent="0.2">
      <c r="A43" s="290" t="s">
        <v>690</v>
      </c>
    </row>
    <row r="44" spans="1:2" ht="13.5" customHeight="1" x14ac:dyDescent="0.2">
      <c r="A44" s="289" t="s">
        <v>691</v>
      </c>
    </row>
    <row r="45" spans="1:2" ht="13.5" customHeight="1" x14ac:dyDescent="0.2">
      <c r="A45" s="289"/>
    </row>
    <row r="46" spans="1:2" ht="13.5" customHeight="1" x14ac:dyDescent="0.2">
      <c r="A46" s="291" t="s">
        <v>692</v>
      </c>
      <c r="B46" s="286" t="s">
        <v>693</v>
      </c>
    </row>
    <row r="47" spans="1:2" ht="13.5" customHeight="1" x14ac:dyDescent="0.2">
      <c r="A47" s="291" t="s">
        <v>694</v>
      </c>
      <c r="B47" s="286" t="s">
        <v>695</v>
      </c>
    </row>
    <row r="48" spans="1:2" ht="13.5" customHeight="1" x14ac:dyDescent="0.2">
      <c r="A48" s="291" t="s">
        <v>696</v>
      </c>
      <c r="B48" s="286" t="s">
        <v>697</v>
      </c>
    </row>
    <row r="49" spans="1:2" ht="13.5" customHeight="1" x14ac:dyDescent="0.2">
      <c r="A49" s="291" t="s">
        <v>698</v>
      </c>
      <c r="B49" s="286" t="s">
        <v>699</v>
      </c>
    </row>
    <row r="50" spans="1:2" ht="13.5" customHeight="1" x14ac:dyDescent="0.2">
      <c r="A50" s="291" t="s">
        <v>700</v>
      </c>
      <c r="B50" s="286" t="s">
        <v>701</v>
      </c>
    </row>
    <row r="51" spans="1:2" ht="13.5" customHeight="1" x14ac:dyDescent="0.2">
      <c r="A51" s="291" t="s">
        <v>702</v>
      </c>
      <c r="B51" s="286" t="s">
        <v>703</v>
      </c>
    </row>
    <row r="54" spans="1:2" ht="13.5" customHeight="1" x14ac:dyDescent="0.2">
      <c r="A54" s="292" t="s">
        <v>704</v>
      </c>
    </row>
    <row r="55" spans="1:2" ht="13.5" customHeight="1" x14ac:dyDescent="0.2">
      <c r="A55" s="293" t="s">
        <v>705</v>
      </c>
    </row>
    <row r="56" spans="1:2" ht="13.5" customHeight="1" x14ac:dyDescent="0.2">
      <c r="A56" s="293"/>
    </row>
    <row r="57" spans="1:2" ht="13.5" customHeight="1" x14ac:dyDescent="0.2">
      <c r="A57" s="294" t="s">
        <v>706</v>
      </c>
    </row>
    <row r="58" spans="1:2" ht="13.5" customHeight="1" x14ac:dyDescent="0.2">
      <c r="A58" s="294" t="s">
        <v>707</v>
      </c>
    </row>
    <row r="59" spans="1:2" ht="13.5" customHeight="1" x14ac:dyDescent="0.2">
      <c r="A59" s="294" t="s">
        <v>708</v>
      </c>
    </row>
    <row r="60" spans="1:2" ht="13.5" customHeight="1" x14ac:dyDescent="0.2">
      <c r="A60" s="294" t="s">
        <v>709</v>
      </c>
    </row>
    <row r="61" spans="1:2" ht="13.5" customHeight="1" x14ac:dyDescent="0.2">
      <c r="A61" s="294" t="s">
        <v>710</v>
      </c>
    </row>
    <row r="62" spans="1:2" ht="13.5" customHeight="1" x14ac:dyDescent="0.2">
      <c r="A62" s="294" t="s">
        <v>711</v>
      </c>
    </row>
  </sheetData>
  <hyperlinks>
    <hyperlink ref="A46" r:id="rId1" display="https://support.office.com/article/f4f7cb66-82eb-4767-8f7c-4877ad80c759" xr:uid="{552A6948-F869-46D4-9281-C7FB05CF09F8}"/>
    <hyperlink ref="A47" r:id="rId2" display="https://support.office.com/article/c5ab87fd-30a3-4ce9-9d1a-40204fb85e1e" xr:uid="{57848DE7-1D32-4525-8CB8-4713B317E991}"/>
    <hyperlink ref="A48" r:id="rId3" display="https://support.office.com/article/22f63bd0-ccc8-492f-953d-c20e8e44b86c" xr:uid="{C810FF16-32BE-4FBC-879B-CC392488313D}"/>
    <hyperlink ref="A49" r:id="rId4" display="https://support.office.com/article/cd2d7a62-1b93-435c-b561-d6a35134f28f" xr:uid="{C0628A4A-D24C-4474-B60A-8F96AC7EDF11}"/>
    <hyperlink ref="A50" r:id="rId5" display="https://support.office.com/article/57467a98-57e0-4817-9f14-2eb78519ca90" xr:uid="{3C6F92B5-703B-4025-84BD-D4BCAC2B5C7D}"/>
    <hyperlink ref="A51" r:id="rId6" display="https://support.office.com/article/21261e55-3bec-4885-86a6-8b0a47fd4d33" xr:uid="{60679F95-70AB-40A2-8D0A-F1E5954C875A}"/>
    <hyperlink ref="A57" r:id="rId7" display="https://support.office.com/article/3dd5899f-bca2-4b9d-a172-3eae9ac22efd" xr:uid="{E68634D0-4EF5-4D07-882B-22DF9C722C87}"/>
    <hyperlink ref="A58" r:id="rId8" display="https://support.office.com/article/205c6b06-03ba-4151-89a1-87a7eb36e531" xr:uid="{39643603-A28D-404D-A8B3-0DD676E85D46}"/>
    <hyperlink ref="A59" r:id="rId9" display="https://support.office.com/article/ca421f1b-fbb2-4c99-9924-df571bd4f1b4" xr:uid="{E69C2F6A-5308-4786-8240-28A396FD3CEF}"/>
    <hyperlink ref="A60" r:id="rId10" display="https://support.office.com/article/ffe0f555-b479-4a17-a6e2-ef9cc9ad4023" xr:uid="{6ECA04AC-2959-4C77-8053-C55AF0645EA3}"/>
    <hyperlink ref="A61" r:id="rId11" display="https://support.office.com/article/7c21bf05-72f9-4261-822b-b26767efbd13" xr:uid="{934E57D7-4BDD-447A-9971-DC5F093977C4}"/>
    <hyperlink ref="A62" r:id="rId12" display="https://support.office.com/article/696e164e-306b-4282-ae9d-aa88f5502fa2" xr:uid="{12BB96E9-BE79-441D-9A66-B72A16969605}"/>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57B8-6676-404D-AB25-6028F34DCDFE}">
  <sheetPr codeName="Sheet63"/>
  <dimension ref="A1:A43"/>
  <sheetViews>
    <sheetView zoomScale="130" zoomScaleNormal="130" workbookViewId="0">
      <selection activeCell="A2" sqref="A2"/>
    </sheetView>
  </sheetViews>
  <sheetFormatPr defaultRowHeight="12.75" x14ac:dyDescent="0.2"/>
  <cols>
    <col min="1" max="1" width="144.140625" style="261" customWidth="1"/>
    <col min="2" max="16384" width="9.140625" style="261"/>
  </cols>
  <sheetData>
    <row r="1" spans="1:1" ht="20.25" x14ac:dyDescent="0.3">
      <c r="A1" s="260" t="s">
        <v>606</v>
      </c>
    </row>
    <row r="2" spans="1:1" s="317" customFormat="1" hidden="1" x14ac:dyDescent="0.2"/>
    <row r="3" spans="1:1" x14ac:dyDescent="0.2">
      <c r="A3" s="231" t="str">
        <f>IF(A2="","",IF(Disable_Video_Hyperlinks,A2,HYPERLINK(Video_website&amp;A2,A2)))</f>
        <v/>
      </c>
    </row>
    <row r="4" spans="1:1" x14ac:dyDescent="0.2">
      <c r="A4" s="309" t="str">
        <f>IF(B2="","",B2)</f>
        <v/>
      </c>
    </row>
    <row r="5" spans="1:1" x14ac:dyDescent="0.2">
      <c r="A5" s="309"/>
    </row>
    <row r="6" spans="1:1" x14ac:dyDescent="0.2">
      <c r="A6" s="261" t="s">
        <v>607</v>
      </c>
    </row>
    <row r="7" spans="1:1" ht="17.25" x14ac:dyDescent="0.2">
      <c r="A7" s="262" t="s">
        <v>608</v>
      </c>
    </row>
    <row r="8" spans="1:1" ht="16.5" x14ac:dyDescent="0.2">
      <c r="A8" s="263" t="s">
        <v>609</v>
      </c>
    </row>
    <row r="9" spans="1:1" ht="33" x14ac:dyDescent="0.2">
      <c r="A9" s="263" t="s">
        <v>610</v>
      </c>
    </row>
    <row r="10" spans="1:1" ht="16.5" x14ac:dyDescent="0.2">
      <c r="A10" s="263" t="s">
        <v>611</v>
      </c>
    </row>
    <row r="11" spans="1:1" ht="16.5" x14ac:dyDescent="0.2">
      <c r="A11" s="263"/>
    </row>
    <row r="12" spans="1:1" ht="16.5" x14ac:dyDescent="0.2">
      <c r="A12" s="264" t="s">
        <v>612</v>
      </c>
    </row>
    <row r="13" spans="1:1" ht="33" x14ac:dyDescent="0.2">
      <c r="A13" s="263" t="s">
        <v>613</v>
      </c>
    </row>
    <row r="14" spans="1:1" ht="49.5" x14ac:dyDescent="0.2">
      <c r="A14" s="263" t="s">
        <v>614</v>
      </c>
    </row>
    <row r="15" spans="1:1" ht="16.5" x14ac:dyDescent="0.2">
      <c r="A15" s="265"/>
    </row>
    <row r="16" spans="1:1" ht="16.5" x14ac:dyDescent="0.2">
      <c r="A16" s="264" t="s">
        <v>615</v>
      </c>
    </row>
    <row r="17" spans="1:1" ht="33" x14ac:dyDescent="0.2">
      <c r="A17" s="266" t="s">
        <v>616</v>
      </c>
    </row>
    <row r="18" spans="1:1" ht="33" x14ac:dyDescent="0.2">
      <c r="A18" s="266" t="s">
        <v>617</v>
      </c>
    </row>
    <row r="19" spans="1:1" ht="33" x14ac:dyDescent="0.2">
      <c r="A19" s="266" t="s">
        <v>618</v>
      </c>
    </row>
    <row r="20" spans="1:1" ht="33" x14ac:dyDescent="0.2">
      <c r="A20" s="266" t="s">
        <v>619</v>
      </c>
    </row>
    <row r="21" spans="1:1" ht="16.5" x14ac:dyDescent="0.2">
      <c r="A21" s="267"/>
    </row>
    <row r="22" spans="1:1" ht="49.5" x14ac:dyDescent="0.2">
      <c r="A22" s="268" t="s">
        <v>620</v>
      </c>
    </row>
    <row r="23" spans="1:1" ht="16.5" x14ac:dyDescent="0.2">
      <c r="A23" s="267"/>
    </row>
    <row r="24" spans="1:1" ht="66" x14ac:dyDescent="0.2">
      <c r="A24" s="268" t="s">
        <v>621</v>
      </c>
    </row>
    <row r="25" spans="1:1" ht="29.25" customHeight="1" x14ac:dyDescent="0.2">
      <c r="A25" s="267"/>
    </row>
    <row r="26" spans="1:1" ht="66" x14ac:dyDescent="0.2">
      <c r="A26" s="268" t="s">
        <v>622</v>
      </c>
    </row>
    <row r="27" spans="1:1" x14ac:dyDescent="0.2">
      <c r="A27" s="269" t="s">
        <v>623</v>
      </c>
    </row>
    <row r="28" spans="1:1" x14ac:dyDescent="0.2">
      <c r="A28" s="269"/>
    </row>
    <row r="29" spans="1:1" ht="33" x14ac:dyDescent="0.2">
      <c r="A29" s="268" t="s">
        <v>624</v>
      </c>
    </row>
    <row r="30" spans="1:1" x14ac:dyDescent="0.2">
      <c r="A30" s="269" t="s">
        <v>625</v>
      </c>
    </row>
    <row r="31" spans="1:1" x14ac:dyDescent="0.2">
      <c r="A31" s="269"/>
    </row>
    <row r="32" spans="1:1" ht="16.5" x14ac:dyDescent="0.2">
      <c r="A32" s="270" t="s">
        <v>626</v>
      </c>
    </row>
    <row r="33" spans="1:1" ht="33" x14ac:dyDescent="0.2">
      <c r="A33" s="263" t="s">
        <v>627</v>
      </c>
    </row>
    <row r="34" spans="1:1" ht="16.5" x14ac:dyDescent="0.2">
      <c r="A34" s="263"/>
    </row>
    <row r="35" spans="1:1" ht="16.5" x14ac:dyDescent="0.2">
      <c r="A35" s="270" t="s">
        <v>628</v>
      </c>
    </row>
    <row r="36" spans="1:1" x14ac:dyDescent="0.2">
      <c r="A36" s="271" t="s">
        <v>591</v>
      </c>
    </row>
    <row r="37" spans="1:1" x14ac:dyDescent="0.2">
      <c r="A37" s="271" t="s">
        <v>592</v>
      </c>
    </row>
    <row r="38" spans="1:1" x14ac:dyDescent="0.2">
      <c r="A38" s="271" t="s">
        <v>593</v>
      </c>
    </row>
    <row r="39" spans="1:1" x14ac:dyDescent="0.2">
      <c r="A39" s="271" t="s">
        <v>594</v>
      </c>
    </row>
    <row r="40" spans="1:1" x14ac:dyDescent="0.2">
      <c r="A40" s="271" t="s">
        <v>595</v>
      </c>
    </row>
    <row r="41" spans="1:1" x14ac:dyDescent="0.2">
      <c r="A41" s="271" t="s">
        <v>596</v>
      </c>
    </row>
    <row r="42" spans="1:1" x14ac:dyDescent="0.2">
      <c r="A42" s="271" t="s">
        <v>597</v>
      </c>
    </row>
    <row r="43" spans="1:1" x14ac:dyDescent="0.2">
      <c r="A43" s="271" t="s">
        <v>495</v>
      </c>
    </row>
  </sheetData>
  <hyperlinks>
    <hyperlink ref="A36" r:id="rId1" display="https://support.office.com/en-us/f1/topic/filter-function-f4f7cb66-82eb-4767-8f7c-4877ad80c759?NS=EXCEL&amp;Version=90" xr:uid="{6B38ED91-27C3-4601-BEDF-F91C572B9332}"/>
    <hyperlink ref="A37" r:id="rId2" display="https://support.office.com/en-us/f1/topic/randarray-function-21261e55-3bec-4885-86a6-8b0a47fd4d33?NS=EXCEL&amp;Version=90" xr:uid="{E0BF0CD6-C644-4DFE-A471-B224233B1D9A}"/>
    <hyperlink ref="A38" r:id="rId3" display="https://support.office.com/en-us/f1/topic/sequence-function-57467a98-57e0-4817-9f14-2eb78519ca90?NS=EXCEL&amp;Version=90" xr:uid="{696D9AF6-EBC0-48EA-BD62-022030928F18}"/>
    <hyperlink ref="A39" r:id="rId4" display="https://support.office.com/en-us/f1/topic/sort-function-22f63bd0-ccc8-492f-953d-c20e8e44b86c?NS=EXCEL&amp;Version=90" xr:uid="{D34E69B2-39E8-4F15-96E1-9DE5188B67D4}"/>
    <hyperlink ref="A40" r:id="rId5" display="https://support.office.com/en-us/f1/topic/sortby-function-cd2d7a62-1b93-435c-b561-d6a35134f28f?NS=EXCEL&amp;Version=90" xr:uid="{36C06D6D-ED06-42FF-BC9F-FD61A614CF5D}"/>
    <hyperlink ref="A41" r:id="rId6" display="https://support.office.com/en-us/f1/topic/unique-function-c5ab87fd-30a3-4ce9-9d1a-40204fb85e1e?NS=EXCEL&amp;Version=90" xr:uid="{D8B6A7D7-AB48-4C91-90D4-B57C953647E0}"/>
    <hyperlink ref="A42" r:id="rId7" display="https://support.office.com/en-us/f1/topic/-spill-errors-in-excel-ffe0f555-b479-4a17-a6e2-ef9cc9ad4023?NS=EXCEL&amp;Version=90" xr:uid="{5E334352-B098-46FD-9EA4-DF5E487DA295}"/>
    <hyperlink ref="A43" r:id="rId8" display="https://support.office.com/en-us/f1/topic/implicit-intersection-operator-ce3be07b-0101-4450-a24e-c1c999be2b34?NS=EXCEL&amp;Version=90" xr:uid="{EA7B3044-30E8-4275-BC83-D7758BD92D5F}"/>
    <hyperlink ref="A27" r:id="rId9" display="https://support.office.com/en-us/f1/topic/dynamic-array-formulas-vs-legacy-cse-array-formulas-ca421f1b-fbb2-4c99-9924-df571bd4f1b4?NS=EXCEL&amp;Version=90" xr:uid="{A973F6EF-99FE-4806-BEC8-976B4DF28803}"/>
  </hyperlinks>
  <pageMargins left="0.7" right="0.7" top="0.75" bottom="0.75" header="0.3" footer="0.3"/>
  <drawing r:id="rId1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
  <dimension ref="A1:K20"/>
  <sheetViews>
    <sheetView workbookViewId="0">
      <selection activeCell="A5" sqref="A5"/>
    </sheetView>
  </sheetViews>
  <sheetFormatPr defaultRowHeight="12.75" x14ac:dyDescent="0.2"/>
  <cols>
    <col min="1" max="2" width="8.7109375" customWidth="1"/>
    <col min="4" max="4" width="8" bestFit="1" customWidth="1"/>
    <col min="6" max="7" width="8.7109375" customWidth="1"/>
    <col min="8" max="8" width="10" customWidth="1"/>
    <col min="9" max="9" width="9.5703125" customWidth="1"/>
  </cols>
  <sheetData>
    <row r="1" spans="1:11" x14ac:dyDescent="0.2">
      <c r="A1" s="1" t="s">
        <v>0</v>
      </c>
      <c r="B1" s="2"/>
      <c r="C1" s="2"/>
      <c r="D1" s="2"/>
      <c r="E1" s="2"/>
      <c r="F1" s="2"/>
      <c r="G1" s="2"/>
      <c r="H1" s="2"/>
      <c r="I1" s="2"/>
      <c r="J1" s="2"/>
      <c r="K1" s="2"/>
    </row>
    <row r="2" spans="1:11" ht="21" customHeight="1" x14ac:dyDescent="0.2">
      <c r="A2" s="1" t="s">
        <v>30</v>
      </c>
      <c r="B2" s="2"/>
      <c r="C2" s="2"/>
      <c r="D2" s="2"/>
      <c r="E2" s="2"/>
      <c r="F2" s="2"/>
      <c r="G2" s="2"/>
      <c r="H2" s="2"/>
      <c r="I2" s="2"/>
      <c r="J2" s="2"/>
      <c r="K2" s="2"/>
    </row>
    <row r="6" spans="1:11" ht="12.75" customHeight="1" x14ac:dyDescent="0.2">
      <c r="A6" s="407" t="s">
        <v>2</v>
      </c>
      <c r="B6" s="408"/>
      <c r="D6" s="407" t="s">
        <v>3</v>
      </c>
      <c r="E6" s="407"/>
    </row>
    <row r="7" spans="1:11" x14ac:dyDescent="0.2">
      <c r="A7" s="4" t="s">
        <v>4</v>
      </c>
      <c r="B7" s="4" t="s">
        <v>5</v>
      </c>
      <c r="D7" s="4" t="s">
        <v>6</v>
      </c>
      <c r="E7" s="4" t="s">
        <v>5</v>
      </c>
      <c r="G7" s="407" t="s">
        <v>7</v>
      </c>
      <c r="H7" s="407"/>
      <c r="I7" s="407"/>
      <c r="J7" s="407"/>
      <c r="K7" s="407"/>
    </row>
    <row r="8" spans="1:11" x14ac:dyDescent="0.2">
      <c r="A8" s="5">
        <v>0</v>
      </c>
      <c r="B8" s="6">
        <v>2.4500000000000002</v>
      </c>
      <c r="D8" s="5" t="s">
        <v>8</v>
      </c>
      <c r="E8" s="6">
        <v>0.25</v>
      </c>
      <c r="G8" s="5" t="s">
        <v>9</v>
      </c>
      <c r="H8" s="5"/>
      <c r="I8" s="5">
        <v>0</v>
      </c>
      <c r="J8" s="5">
        <v>300</v>
      </c>
      <c r="K8" s="5">
        <v>1000</v>
      </c>
    </row>
    <row r="9" spans="1:11" x14ac:dyDescent="0.2">
      <c r="A9" s="5">
        <v>60</v>
      </c>
      <c r="B9" s="6">
        <v>2.27</v>
      </c>
      <c r="D9" s="5" t="s">
        <v>10</v>
      </c>
      <c r="E9" s="6">
        <v>0.2</v>
      </c>
      <c r="G9" s="5" t="s">
        <v>11</v>
      </c>
      <c r="H9" s="5"/>
      <c r="I9" s="7">
        <v>0</v>
      </c>
      <c r="J9" s="7">
        <v>0.15</v>
      </c>
      <c r="K9" s="7">
        <v>0.25</v>
      </c>
    </row>
    <row r="10" spans="1:11" x14ac:dyDescent="0.2">
      <c r="A10" s="5">
        <v>120</v>
      </c>
      <c r="B10" s="6">
        <v>2.12</v>
      </c>
      <c r="D10" s="5" t="s">
        <v>12</v>
      </c>
      <c r="E10" s="6">
        <v>0.15</v>
      </c>
      <c r="G10" s="5" t="s">
        <v>13</v>
      </c>
      <c r="H10" s="5"/>
      <c r="I10" s="7">
        <v>0</v>
      </c>
      <c r="J10" s="7">
        <v>0.1</v>
      </c>
      <c r="K10" s="7">
        <v>0.15</v>
      </c>
    </row>
    <row r="11" spans="1:11" x14ac:dyDescent="0.2">
      <c r="A11" s="5">
        <v>240</v>
      </c>
      <c r="B11" s="6">
        <v>2</v>
      </c>
      <c r="D11" s="5" t="s">
        <v>14</v>
      </c>
      <c r="E11" s="6">
        <v>0</v>
      </c>
    </row>
    <row r="12" spans="1:11" x14ac:dyDescent="0.2">
      <c r="B12" s="8"/>
      <c r="E12" s="8"/>
    </row>
    <row r="14" spans="1:11" ht="25.5" x14ac:dyDescent="0.2">
      <c r="A14" s="9" t="s">
        <v>15</v>
      </c>
      <c r="B14" s="9" t="s">
        <v>16</v>
      </c>
      <c r="C14" s="9" t="s">
        <v>17</v>
      </c>
      <c r="D14" s="9" t="s">
        <v>18</v>
      </c>
      <c r="E14" s="3" t="s">
        <v>19</v>
      </c>
      <c r="F14" s="3" t="s">
        <v>20</v>
      </c>
      <c r="G14" s="3" t="s">
        <v>21</v>
      </c>
      <c r="H14" s="10" t="s">
        <v>22</v>
      </c>
      <c r="I14" s="10" t="s">
        <v>31</v>
      </c>
      <c r="J14" s="10" t="s">
        <v>23</v>
      </c>
    </row>
    <row r="15" spans="1:11" x14ac:dyDescent="0.2">
      <c r="A15" s="5">
        <v>1</v>
      </c>
      <c r="B15" s="4" t="s">
        <v>24</v>
      </c>
      <c r="C15" s="4" t="s">
        <v>10</v>
      </c>
      <c r="D15" s="5">
        <v>240</v>
      </c>
      <c r="E15" s="6">
        <f t="shared" ref="E15:E20" si="0">VLOOKUP(D15,A$8:B$11,2,TRUE)</f>
        <v>2</v>
      </c>
      <c r="F15" s="6">
        <f t="shared" ref="F15:F20" si="1">D15*E15</f>
        <v>480</v>
      </c>
      <c r="G15" s="6">
        <f t="shared" ref="G15:G20" si="2">VLOOKUP(C15,D$8:E$11,2,FALSE)</f>
        <v>0.2</v>
      </c>
      <c r="H15" s="6">
        <f t="shared" ref="H15:H20" si="3">G15*D15</f>
        <v>48</v>
      </c>
      <c r="I15" s="6">
        <f t="shared" ref="I15:I20" si="4">-HLOOKUP(F15,$I$8:$K$10,3,TRUE)*H15</f>
        <v>-4.8000000000000007</v>
      </c>
      <c r="J15" s="6">
        <f t="shared" ref="J15:J20" si="5">H15+F15+I15</f>
        <v>523.20000000000005</v>
      </c>
    </row>
    <row r="16" spans="1:11" x14ac:dyDescent="0.2">
      <c r="A16" s="5">
        <v>2</v>
      </c>
      <c r="B16" s="4" t="s">
        <v>25</v>
      </c>
      <c r="C16" s="4" t="s">
        <v>10</v>
      </c>
      <c r="D16" s="5">
        <v>30</v>
      </c>
      <c r="E16" s="6">
        <f t="shared" si="0"/>
        <v>2.4500000000000002</v>
      </c>
      <c r="F16" s="6">
        <f t="shared" si="1"/>
        <v>73.5</v>
      </c>
      <c r="G16" s="6">
        <f t="shared" si="2"/>
        <v>0.2</v>
      </c>
      <c r="H16" s="6">
        <f t="shared" si="3"/>
        <v>6</v>
      </c>
      <c r="I16" s="6">
        <f t="shared" si="4"/>
        <v>0</v>
      </c>
      <c r="J16" s="6">
        <f t="shared" si="5"/>
        <v>79.5</v>
      </c>
    </row>
    <row r="17" spans="1:10" x14ac:dyDescent="0.2">
      <c r="A17" s="5">
        <v>3</v>
      </c>
      <c r="B17" s="4" t="s">
        <v>26</v>
      </c>
      <c r="C17" s="4" t="s">
        <v>12</v>
      </c>
      <c r="D17" s="5">
        <v>160</v>
      </c>
      <c r="E17" s="6">
        <f t="shared" si="0"/>
        <v>2.12</v>
      </c>
      <c r="F17" s="6">
        <f t="shared" si="1"/>
        <v>339.20000000000005</v>
      </c>
      <c r="G17" s="6">
        <f t="shared" si="2"/>
        <v>0.15</v>
      </c>
      <c r="H17" s="6">
        <f t="shared" si="3"/>
        <v>24</v>
      </c>
      <c r="I17" s="6">
        <f t="shared" si="4"/>
        <v>-2.4000000000000004</v>
      </c>
      <c r="J17" s="6">
        <f t="shared" si="5"/>
        <v>360.80000000000007</v>
      </c>
    </row>
    <row r="18" spans="1:10" x14ac:dyDescent="0.2">
      <c r="A18" s="5">
        <v>4</v>
      </c>
      <c r="B18" s="4" t="s">
        <v>27</v>
      </c>
      <c r="C18" s="4" t="s">
        <v>8</v>
      </c>
      <c r="D18" s="5">
        <v>215</v>
      </c>
      <c r="E18" s="6">
        <f t="shared" si="0"/>
        <v>2.12</v>
      </c>
      <c r="F18" s="6">
        <f t="shared" si="1"/>
        <v>455.8</v>
      </c>
      <c r="G18" s="6">
        <f t="shared" si="2"/>
        <v>0.25</v>
      </c>
      <c r="H18" s="6">
        <f t="shared" si="3"/>
        <v>53.75</v>
      </c>
      <c r="I18" s="6">
        <f t="shared" si="4"/>
        <v>-5.375</v>
      </c>
      <c r="J18" s="6">
        <f t="shared" si="5"/>
        <v>504.17500000000001</v>
      </c>
    </row>
    <row r="19" spans="1:10" x14ac:dyDescent="0.2">
      <c r="A19" s="5">
        <v>5</v>
      </c>
      <c r="B19" s="4" t="s">
        <v>28</v>
      </c>
      <c r="C19" s="4" t="s">
        <v>8</v>
      </c>
      <c r="D19" s="5">
        <v>90</v>
      </c>
      <c r="E19" s="6">
        <f t="shared" si="0"/>
        <v>2.27</v>
      </c>
      <c r="F19" s="6">
        <f t="shared" si="1"/>
        <v>204.3</v>
      </c>
      <c r="G19" s="6">
        <f t="shared" si="2"/>
        <v>0.25</v>
      </c>
      <c r="H19" s="6">
        <f t="shared" si="3"/>
        <v>22.5</v>
      </c>
      <c r="I19" s="6">
        <f t="shared" si="4"/>
        <v>0</v>
      </c>
      <c r="J19" s="6">
        <f t="shared" si="5"/>
        <v>226.8</v>
      </c>
    </row>
    <row r="20" spans="1:10" x14ac:dyDescent="0.2">
      <c r="A20" s="5">
        <v>6</v>
      </c>
      <c r="B20" s="4" t="s">
        <v>29</v>
      </c>
      <c r="C20" s="4" t="s">
        <v>14</v>
      </c>
      <c r="D20" s="5">
        <v>15</v>
      </c>
      <c r="E20" s="6">
        <f t="shared" si="0"/>
        <v>2.4500000000000002</v>
      </c>
      <c r="F20" s="6">
        <f t="shared" si="1"/>
        <v>36.75</v>
      </c>
      <c r="G20" s="6">
        <f t="shared" si="2"/>
        <v>0</v>
      </c>
      <c r="H20" s="6">
        <f t="shared" si="3"/>
        <v>0</v>
      </c>
      <c r="I20" s="6">
        <f t="shared" si="4"/>
        <v>0</v>
      </c>
      <c r="J20" s="6">
        <f t="shared" si="5"/>
        <v>36.75</v>
      </c>
    </row>
  </sheetData>
  <mergeCells count="3">
    <mergeCell ref="A6:B6"/>
    <mergeCell ref="D6:E6"/>
    <mergeCell ref="G7:K7"/>
  </mergeCells>
  <phoneticPr fontId="2" type="noConversion"/>
  <pageMargins left="0.75" right="0.75" top="1" bottom="1" header="0.5" footer="0.5"/>
  <pageSetup orientation="portrait"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
  <dimension ref="A6:D21"/>
  <sheetViews>
    <sheetView workbookViewId="0">
      <selection activeCell="A5" sqref="A5"/>
    </sheetView>
  </sheetViews>
  <sheetFormatPr defaultRowHeight="12.75" x14ac:dyDescent="0.2"/>
  <cols>
    <col min="1" max="1" width="5.5703125" bestFit="1" customWidth="1"/>
    <col min="2" max="2" width="40.5703125" bestFit="1" customWidth="1"/>
    <col min="3" max="3" width="10.28515625" bestFit="1" customWidth="1"/>
  </cols>
  <sheetData>
    <row r="6" spans="1:4" ht="12.75" customHeight="1" x14ac:dyDescent="0.2">
      <c r="A6" s="11" t="s">
        <v>32</v>
      </c>
      <c r="B6" s="12" t="s">
        <v>33</v>
      </c>
      <c r="C6" s="13" t="s">
        <v>34</v>
      </c>
    </row>
    <row r="7" spans="1:4" x14ac:dyDescent="0.2">
      <c r="A7" s="5">
        <v>1</v>
      </c>
      <c r="B7" s="14" t="s">
        <v>35</v>
      </c>
      <c r="C7" s="15">
        <v>23.75</v>
      </c>
    </row>
    <row r="8" spans="1:4" x14ac:dyDescent="0.2">
      <c r="A8" s="5">
        <v>2</v>
      </c>
      <c r="B8" s="14" t="s">
        <v>36</v>
      </c>
      <c r="C8" s="15">
        <v>52.8</v>
      </c>
    </row>
    <row r="9" spans="1:4" x14ac:dyDescent="0.2">
      <c r="A9" s="5">
        <v>3</v>
      </c>
      <c r="B9" s="14" t="s">
        <v>37</v>
      </c>
      <c r="C9" s="15">
        <v>15.95</v>
      </c>
    </row>
    <row r="10" spans="1:4" x14ac:dyDescent="0.2">
      <c r="A10" s="5">
        <v>4</v>
      </c>
      <c r="B10" s="14" t="s">
        <v>38</v>
      </c>
      <c r="C10" s="15">
        <v>155</v>
      </c>
    </row>
    <row r="11" spans="1:4" x14ac:dyDescent="0.2">
      <c r="A11" s="5">
        <v>5</v>
      </c>
      <c r="B11" s="14" t="s">
        <v>39</v>
      </c>
      <c r="C11" s="15">
        <v>135</v>
      </c>
    </row>
    <row r="12" spans="1:4" x14ac:dyDescent="0.2">
      <c r="A12" s="5">
        <v>6</v>
      </c>
      <c r="B12" s="14" t="s">
        <v>40</v>
      </c>
      <c r="C12" s="15">
        <v>135</v>
      </c>
    </row>
    <row r="13" spans="1:4" x14ac:dyDescent="0.2">
      <c r="A13" s="5">
        <v>7</v>
      </c>
      <c r="B13" s="14" t="s">
        <v>41</v>
      </c>
      <c r="C13" s="15">
        <v>125</v>
      </c>
    </row>
    <row r="14" spans="1:4" x14ac:dyDescent="0.2">
      <c r="A14" s="5">
        <v>8</v>
      </c>
      <c r="B14" s="14" t="s">
        <v>42</v>
      </c>
      <c r="C14" s="15">
        <v>69.989999999999995</v>
      </c>
    </row>
    <row r="15" spans="1:4" x14ac:dyDescent="0.2">
      <c r="A15" s="5">
        <v>9</v>
      </c>
      <c r="B15" s="14" t="s">
        <v>43</v>
      </c>
      <c r="C15" s="15">
        <v>99.99</v>
      </c>
      <c r="D15" s="16"/>
    </row>
    <row r="16" spans="1:4" x14ac:dyDescent="0.2">
      <c r="A16" s="5">
        <v>10</v>
      </c>
      <c r="B16" s="14" t="s">
        <v>44</v>
      </c>
      <c r="C16" s="15">
        <v>99.99</v>
      </c>
    </row>
    <row r="17" spans="1:3" x14ac:dyDescent="0.2">
      <c r="A17" s="5">
        <v>11</v>
      </c>
      <c r="B17" s="14" t="s">
        <v>45</v>
      </c>
      <c r="C17" s="15">
        <v>29.95</v>
      </c>
    </row>
    <row r="18" spans="1:3" x14ac:dyDescent="0.2">
      <c r="A18" s="5">
        <v>12</v>
      </c>
      <c r="B18" s="14" t="s">
        <v>46</v>
      </c>
      <c r="C18" s="15">
        <v>59.99</v>
      </c>
    </row>
    <row r="19" spans="1:3" x14ac:dyDescent="0.2">
      <c r="A19" s="5">
        <v>13</v>
      </c>
      <c r="B19" s="14" t="s">
        <v>47</v>
      </c>
      <c r="C19" s="15">
        <v>3.25</v>
      </c>
    </row>
    <row r="20" spans="1:3" x14ac:dyDescent="0.2">
      <c r="A20" s="5">
        <v>14</v>
      </c>
      <c r="B20" s="14" t="s">
        <v>48</v>
      </c>
      <c r="C20" s="15">
        <v>7.25</v>
      </c>
    </row>
    <row r="21" spans="1:3" x14ac:dyDescent="0.2">
      <c r="A21" s="5">
        <v>15</v>
      </c>
      <c r="B21" s="14" t="s">
        <v>49</v>
      </c>
      <c r="C21" s="15">
        <v>67.25</v>
      </c>
    </row>
  </sheetData>
  <phoneticPr fontId="2" type="noConversion"/>
  <pageMargins left="0.75" right="0.75" top="1" bottom="1" header="0.5" footer="0.5"/>
  <pageSetup orientation="portrait" horizontalDpi="300" verticalDpi="300"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5"/>
  <dimension ref="A1:J27"/>
  <sheetViews>
    <sheetView workbookViewId="0">
      <selection activeCell="A5" sqref="A5"/>
    </sheetView>
  </sheetViews>
  <sheetFormatPr defaultColWidth="9.140625" defaultRowHeight="12.75" x14ac:dyDescent="0.2"/>
  <cols>
    <col min="1" max="1" width="5.7109375" customWidth="1"/>
    <col min="2" max="2" width="15" bestFit="1" customWidth="1"/>
    <col min="3" max="3" width="31.7109375" customWidth="1"/>
    <col min="4" max="4" width="11.28515625" bestFit="1" customWidth="1"/>
  </cols>
  <sheetData>
    <row r="1" spans="1:6" ht="16.5" thickBot="1" x14ac:dyDescent="0.3">
      <c r="A1" s="409" t="s">
        <v>50</v>
      </c>
      <c r="B1" s="409"/>
      <c r="C1" s="409"/>
      <c r="D1" s="409"/>
    </row>
    <row r="2" spans="1:6" x14ac:dyDescent="0.2">
      <c r="A2" s="17"/>
      <c r="D2" s="18"/>
    </row>
    <row r="3" spans="1:6" x14ac:dyDescent="0.2">
      <c r="A3" s="17"/>
      <c r="D3" s="18"/>
    </row>
    <row r="4" spans="1:6" x14ac:dyDescent="0.2">
      <c r="A4" s="17"/>
      <c r="D4" s="18"/>
    </row>
    <row r="5" spans="1:6" x14ac:dyDescent="0.2">
      <c r="A5" s="17"/>
      <c r="D5" s="18"/>
    </row>
    <row r="6" spans="1:6" x14ac:dyDescent="0.2">
      <c r="A6" s="17"/>
      <c r="B6" t="s">
        <v>51</v>
      </c>
      <c r="C6">
        <v>100</v>
      </c>
      <c r="D6" s="18"/>
    </row>
    <row r="7" spans="1:6" x14ac:dyDescent="0.2">
      <c r="A7" s="17"/>
      <c r="B7" t="s">
        <v>52</v>
      </c>
      <c r="C7">
        <v>3</v>
      </c>
      <c r="D7" s="18"/>
      <c r="F7" s="8"/>
    </row>
    <row r="8" spans="1:6" x14ac:dyDescent="0.2">
      <c r="A8" s="17"/>
      <c r="B8" t="s">
        <v>53</v>
      </c>
      <c r="C8">
        <v>1</v>
      </c>
      <c r="D8" s="18"/>
    </row>
    <row r="9" spans="1:6" ht="12.75" customHeight="1" x14ac:dyDescent="0.2">
      <c r="A9" s="17"/>
      <c r="B9" t="s">
        <v>54</v>
      </c>
      <c r="C9">
        <v>2</v>
      </c>
      <c r="D9" s="18"/>
    </row>
    <row r="10" spans="1:6" ht="12.75" customHeight="1" x14ac:dyDescent="0.2">
      <c r="A10" s="17"/>
      <c r="D10" s="18"/>
    </row>
    <row r="11" spans="1:6" x14ac:dyDescent="0.2">
      <c r="A11" s="19" t="s">
        <v>32</v>
      </c>
      <c r="B11" s="19" t="s">
        <v>18</v>
      </c>
      <c r="C11" s="19" t="s">
        <v>33</v>
      </c>
      <c r="D11" s="19" t="s">
        <v>55</v>
      </c>
    </row>
    <row r="12" spans="1:6" x14ac:dyDescent="0.2">
      <c r="A12" s="5">
        <v>12</v>
      </c>
      <c r="B12" s="5">
        <v>10</v>
      </c>
      <c r="C12" s="14" t="str">
        <f>VLOOKUP(A12,Pricing,2,FALSE)</f>
        <v>Touring Bag - One Size</v>
      </c>
      <c r="D12" s="20">
        <f>VLOOKUP(A12,Pricing,3,FALSE)*B12</f>
        <v>599.9</v>
      </c>
    </row>
    <row r="13" spans="1:6" x14ac:dyDescent="0.2">
      <c r="A13" s="5">
        <v>4</v>
      </c>
      <c r="B13" s="5">
        <v>50</v>
      </c>
      <c r="C13" s="14" t="str">
        <f>VLOOKUP(A13,Pricing,2,FALSE)</f>
        <v>ExoRacket Graphite - Oversize</v>
      </c>
      <c r="D13" s="20">
        <f>VLOOKUP(A13,Pricing,3,FALSE)*B13</f>
        <v>7750</v>
      </c>
    </row>
    <row r="14" spans="1:6" x14ac:dyDescent="0.2">
      <c r="A14" s="5">
        <v>8</v>
      </c>
      <c r="B14" s="5">
        <v>25</v>
      </c>
      <c r="C14" s="14" t="str">
        <f>VLOOKUP(A14,Pricing,2,FALSE)</f>
        <v>FlexPro Racket - Junior Pro</v>
      </c>
      <c r="D14" s="20">
        <f>VLOOKUP(A14,Pricing,3,FALSE)*B14</f>
        <v>1749.7499999999998</v>
      </c>
    </row>
    <row r="15" spans="1:6" x14ac:dyDescent="0.2">
      <c r="A15" s="5">
        <v>10</v>
      </c>
      <c r="B15" s="5">
        <v>25</v>
      </c>
      <c r="C15" s="14" t="str">
        <f>VLOOKUP(A15,Pricing,2,FALSE)</f>
        <v>FlexPro Racket - Oversize</v>
      </c>
      <c r="D15" s="20">
        <f>VLOOKUP(A15,Pricing,3,FALSE)*B15</f>
        <v>2499.75</v>
      </c>
    </row>
    <row r="16" spans="1:6" x14ac:dyDescent="0.2">
      <c r="A16" s="5">
        <v>13</v>
      </c>
      <c r="B16" s="5">
        <v>100</v>
      </c>
      <c r="C16" s="14" t="str">
        <f>VLOOKUP(A16,Pricing,2,FALSE)</f>
        <v>String Pack - Synthetic</v>
      </c>
      <c r="D16" s="20">
        <f>VLOOKUP(A16,Pricing,3,FALSE)*B16</f>
        <v>325</v>
      </c>
    </row>
    <row r="17" spans="1:10" x14ac:dyDescent="0.2">
      <c r="A17" s="5"/>
      <c r="B17" s="5"/>
      <c r="C17" s="5"/>
      <c r="D17" s="5"/>
    </row>
    <row r="18" spans="1:10" x14ac:dyDescent="0.2">
      <c r="A18" s="5"/>
      <c r="B18" s="5"/>
      <c r="C18" s="21" t="s">
        <v>56</v>
      </c>
      <c r="D18" s="22">
        <f>SUM(D12:D16)</f>
        <v>12924.4</v>
      </c>
    </row>
    <row r="19" spans="1:10" x14ac:dyDescent="0.2">
      <c r="A19" s="5"/>
      <c r="B19" s="5"/>
      <c r="C19" s="5" t="s">
        <v>57</v>
      </c>
      <c r="D19" s="20">
        <f xml:space="preserve"> -LOOKUP(D18,Totals,Discounts)</f>
        <v>-400</v>
      </c>
    </row>
    <row r="20" spans="1:10" x14ac:dyDescent="0.2">
      <c r="A20" s="5"/>
      <c r="B20" s="5"/>
      <c r="C20" s="5" t="s">
        <v>17</v>
      </c>
      <c r="D20" s="20">
        <f>INDEX((Schedule1,Schedule2,Schedule3), C7, C8, C9)*C6</f>
        <v>22</v>
      </c>
    </row>
    <row r="21" spans="1:10" x14ac:dyDescent="0.2">
      <c r="A21" s="5"/>
      <c r="B21" s="5"/>
      <c r="C21" s="5"/>
      <c r="D21" s="20"/>
    </row>
    <row r="22" spans="1:10" x14ac:dyDescent="0.2">
      <c r="A22" s="5"/>
      <c r="B22" s="5"/>
      <c r="C22" s="5" t="s">
        <v>23</v>
      </c>
      <c r="D22" s="20">
        <f>SUM(D18:D20)</f>
        <v>12546.4</v>
      </c>
    </row>
    <row r="27" spans="1:10" x14ac:dyDescent="0.2">
      <c r="J27" t="s">
        <v>58</v>
      </c>
    </row>
  </sheetData>
  <mergeCells count="1">
    <mergeCell ref="A1:D1"/>
  </mergeCells>
  <phoneticPr fontId="2" type="noConversion"/>
  <pageMargins left="0.75" right="0.75" top="1" bottom="1" header="0.5" footer="0.5"/>
  <pageSetup orientation="portrait" horizontalDpi="300" verticalDpi="300"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6"/>
  <dimension ref="A6:C10"/>
  <sheetViews>
    <sheetView workbookViewId="0">
      <selection activeCell="A5" sqref="A5"/>
    </sheetView>
  </sheetViews>
  <sheetFormatPr defaultRowHeight="12.75" x14ac:dyDescent="0.2"/>
  <cols>
    <col min="1" max="1" width="8.7109375" bestFit="1" customWidth="1"/>
    <col min="2" max="2" width="17.42578125" bestFit="1" customWidth="1"/>
    <col min="3" max="3" width="46.42578125" bestFit="1" customWidth="1"/>
  </cols>
  <sheetData>
    <row r="6" spans="1:3" x14ac:dyDescent="0.2">
      <c r="A6" s="23" t="s">
        <v>57</v>
      </c>
      <c r="B6" s="23" t="s">
        <v>59</v>
      </c>
      <c r="C6" s="24" t="s">
        <v>33</v>
      </c>
    </row>
    <row r="7" spans="1:3" x14ac:dyDescent="0.2">
      <c r="A7" s="6">
        <v>0</v>
      </c>
      <c r="B7" s="6">
        <v>0</v>
      </c>
      <c r="C7" s="5" t="s">
        <v>60</v>
      </c>
    </row>
    <row r="8" spans="1:3" x14ac:dyDescent="0.2">
      <c r="A8" s="25">
        <v>150</v>
      </c>
      <c r="B8" s="25">
        <v>5000</v>
      </c>
      <c r="C8" s="5" t="s">
        <v>61</v>
      </c>
    </row>
    <row r="9" spans="1:3" x14ac:dyDescent="0.2">
      <c r="A9" s="25">
        <v>400</v>
      </c>
      <c r="B9" s="25">
        <v>10000</v>
      </c>
      <c r="C9" s="5" t="s">
        <v>62</v>
      </c>
    </row>
    <row r="10" spans="1:3" x14ac:dyDescent="0.2">
      <c r="A10" s="25">
        <v>1000</v>
      </c>
      <c r="B10" s="25">
        <v>25000</v>
      </c>
      <c r="C10" s="5" t="s">
        <v>63</v>
      </c>
    </row>
  </sheetData>
  <phoneticPr fontId="2" type="noConversion"/>
  <pageMargins left="0.75" right="0.75" top="1" bottom="1" header="0.5" footer="0.5"/>
  <pageSetup orientation="portrait" horizontalDpi="300" verticalDpi="300"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7"/>
  <dimension ref="A1:E28"/>
  <sheetViews>
    <sheetView workbookViewId="0">
      <selection activeCell="A5" sqref="A5"/>
    </sheetView>
  </sheetViews>
  <sheetFormatPr defaultRowHeight="12.75" x14ac:dyDescent="0.2"/>
  <sheetData>
    <row r="1" spans="1:5" ht="18" x14ac:dyDescent="0.25">
      <c r="A1" s="96" t="s">
        <v>200</v>
      </c>
      <c r="B1" s="96"/>
      <c r="C1" s="96"/>
      <c r="D1" s="96"/>
      <c r="E1" s="96"/>
    </row>
    <row r="6" spans="1:5" x14ac:dyDescent="0.2">
      <c r="A6" s="5"/>
      <c r="B6" s="26" t="s">
        <v>64</v>
      </c>
      <c r="C6" s="26"/>
      <c r="D6" s="26"/>
      <c r="E6" s="26"/>
    </row>
    <row r="7" spans="1:5" x14ac:dyDescent="0.2">
      <c r="A7" s="27" t="s">
        <v>65</v>
      </c>
      <c r="B7" s="5">
        <v>1</v>
      </c>
      <c r="C7" s="5">
        <v>2</v>
      </c>
      <c r="D7" s="5">
        <v>3</v>
      </c>
      <c r="E7" s="5">
        <v>4</v>
      </c>
    </row>
    <row r="8" spans="1:5" x14ac:dyDescent="0.2">
      <c r="A8" s="5">
        <v>1</v>
      </c>
      <c r="B8" s="15">
        <v>0.1</v>
      </c>
      <c r="C8" s="15">
        <v>0.11</v>
      </c>
      <c r="D8" s="15">
        <v>1.5</v>
      </c>
      <c r="E8" s="15" t="s">
        <v>66</v>
      </c>
    </row>
    <row r="9" spans="1:5" x14ac:dyDescent="0.2">
      <c r="A9" s="5">
        <v>2</v>
      </c>
      <c r="B9" s="15">
        <v>0.18</v>
      </c>
      <c r="C9" s="15">
        <v>0.12</v>
      </c>
      <c r="D9" s="15">
        <v>2</v>
      </c>
      <c r="E9" s="15" t="s">
        <v>66</v>
      </c>
    </row>
    <row r="10" spans="1:5" x14ac:dyDescent="0.2">
      <c r="A10" s="5">
        <v>3</v>
      </c>
      <c r="B10" s="15">
        <v>0.24</v>
      </c>
      <c r="C10" s="15">
        <v>0.14000000000000001</v>
      </c>
      <c r="D10" s="15">
        <v>2.1</v>
      </c>
      <c r="E10" s="15">
        <v>0.2</v>
      </c>
    </row>
    <row r="11" spans="1:5" x14ac:dyDescent="0.2">
      <c r="A11" s="5">
        <v>4</v>
      </c>
      <c r="B11" s="15">
        <v>0.28000000000000003</v>
      </c>
      <c r="C11" s="15">
        <v>0.16</v>
      </c>
      <c r="D11" s="15">
        <v>2.25</v>
      </c>
      <c r="E11" s="15">
        <v>0.2</v>
      </c>
    </row>
    <row r="12" spans="1:5" x14ac:dyDescent="0.2">
      <c r="A12" s="5">
        <v>5</v>
      </c>
      <c r="B12" s="15">
        <v>0.45</v>
      </c>
      <c r="C12" s="15">
        <v>0.4</v>
      </c>
      <c r="D12" s="15">
        <v>3.5</v>
      </c>
      <c r="E12" s="15">
        <v>0.35</v>
      </c>
    </row>
    <row r="14" spans="1:5" x14ac:dyDescent="0.2">
      <c r="A14" s="5"/>
      <c r="B14" s="410" t="s">
        <v>67</v>
      </c>
      <c r="C14" s="411"/>
      <c r="D14" s="411"/>
      <c r="E14" s="411"/>
    </row>
    <row r="15" spans="1:5" x14ac:dyDescent="0.2">
      <c r="A15" s="23" t="s">
        <v>65</v>
      </c>
      <c r="B15" s="5">
        <v>1</v>
      </c>
      <c r="C15" s="5">
        <v>2</v>
      </c>
      <c r="D15" s="5">
        <v>3</v>
      </c>
      <c r="E15" s="5">
        <v>4</v>
      </c>
    </row>
    <row r="16" spans="1:5" x14ac:dyDescent="0.2">
      <c r="A16" s="5">
        <v>1</v>
      </c>
      <c r="B16" s="15">
        <v>0.09</v>
      </c>
      <c r="C16" s="15">
        <v>0.1</v>
      </c>
      <c r="D16" s="15">
        <v>1.35</v>
      </c>
      <c r="E16" s="15" t="s">
        <v>66</v>
      </c>
    </row>
    <row r="17" spans="1:5" x14ac:dyDescent="0.2">
      <c r="A17" s="5">
        <v>2</v>
      </c>
      <c r="B17" s="15">
        <v>0.16</v>
      </c>
      <c r="C17" s="15">
        <v>0.11</v>
      </c>
      <c r="D17" s="15">
        <v>1.8</v>
      </c>
      <c r="E17" s="15" t="s">
        <v>66</v>
      </c>
    </row>
    <row r="18" spans="1:5" x14ac:dyDescent="0.2">
      <c r="A18" s="5">
        <v>3</v>
      </c>
      <c r="B18" s="15">
        <v>0.22</v>
      </c>
      <c r="C18" s="15">
        <v>0.13</v>
      </c>
      <c r="D18" s="15">
        <v>1.89</v>
      </c>
      <c r="E18" s="15">
        <v>0.18</v>
      </c>
    </row>
    <row r="19" spans="1:5" x14ac:dyDescent="0.2">
      <c r="A19" s="5">
        <v>4</v>
      </c>
      <c r="B19" s="15">
        <v>0.25</v>
      </c>
      <c r="C19" s="15">
        <v>0.14000000000000001</v>
      </c>
      <c r="D19" s="15">
        <v>2.0299999999999998</v>
      </c>
      <c r="E19" s="15">
        <v>0.18</v>
      </c>
    </row>
    <row r="20" spans="1:5" x14ac:dyDescent="0.2">
      <c r="A20" s="5">
        <v>5</v>
      </c>
      <c r="B20" s="15">
        <v>0.41</v>
      </c>
      <c r="C20" s="15">
        <v>0.36</v>
      </c>
      <c r="D20" s="15">
        <v>3.15</v>
      </c>
      <c r="E20" s="15">
        <v>0.32</v>
      </c>
    </row>
    <row r="22" spans="1:5" x14ac:dyDescent="0.2">
      <c r="A22" s="5"/>
      <c r="B22" s="410" t="s">
        <v>68</v>
      </c>
      <c r="C22" s="410"/>
      <c r="D22" s="410"/>
      <c r="E22" s="410"/>
    </row>
    <row r="23" spans="1:5" x14ac:dyDescent="0.2">
      <c r="A23" s="23" t="s">
        <v>65</v>
      </c>
      <c r="B23" s="5">
        <v>1</v>
      </c>
      <c r="C23" s="5">
        <v>2</v>
      </c>
      <c r="D23" s="5">
        <v>3</v>
      </c>
      <c r="E23" s="5">
        <v>4</v>
      </c>
    </row>
    <row r="24" spans="1:5" x14ac:dyDescent="0.2">
      <c r="A24" s="5">
        <v>1</v>
      </c>
      <c r="B24" s="15">
        <v>0.08</v>
      </c>
      <c r="C24" s="15">
        <v>0.09</v>
      </c>
      <c r="D24" s="15">
        <v>1.22</v>
      </c>
      <c r="E24" s="15" t="s">
        <v>66</v>
      </c>
    </row>
    <row r="25" spans="1:5" x14ac:dyDescent="0.2">
      <c r="A25" s="5">
        <v>2</v>
      </c>
      <c r="B25" s="15">
        <v>0.15</v>
      </c>
      <c r="C25" s="15">
        <v>0.1</v>
      </c>
      <c r="D25" s="15">
        <v>1.62</v>
      </c>
      <c r="E25" s="15" t="s">
        <v>66</v>
      </c>
    </row>
    <row r="26" spans="1:5" x14ac:dyDescent="0.2">
      <c r="A26" s="5">
        <v>3</v>
      </c>
      <c r="B26" s="15">
        <v>0.19</v>
      </c>
      <c r="C26" s="15">
        <v>0.11</v>
      </c>
      <c r="D26" s="15">
        <v>1.7</v>
      </c>
      <c r="E26" s="15">
        <v>0.16</v>
      </c>
    </row>
    <row r="27" spans="1:5" x14ac:dyDescent="0.2">
      <c r="A27" s="5">
        <v>4</v>
      </c>
      <c r="B27" s="15">
        <v>0.23</v>
      </c>
      <c r="C27" s="15">
        <v>0.13</v>
      </c>
      <c r="D27" s="15">
        <v>1.82</v>
      </c>
      <c r="E27" s="15">
        <v>0.16</v>
      </c>
    </row>
    <row r="28" spans="1:5" x14ac:dyDescent="0.2">
      <c r="A28" s="5">
        <v>5</v>
      </c>
      <c r="B28" s="15">
        <v>0.36</v>
      </c>
      <c r="C28" s="15">
        <v>0.32</v>
      </c>
      <c r="D28" s="15">
        <v>2.84</v>
      </c>
      <c r="E28" s="15">
        <v>0.28000000000000003</v>
      </c>
    </row>
  </sheetData>
  <mergeCells count="2">
    <mergeCell ref="B14:E14"/>
    <mergeCell ref="B22:E22"/>
  </mergeCells>
  <phoneticPr fontId="2" type="noConversion"/>
  <pageMargins left="0.75" right="0.75" top="1" bottom="1" header="0.5" footer="0.5"/>
  <pageSetup orientation="portrait"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8"/>
  <dimension ref="A1:K22"/>
  <sheetViews>
    <sheetView workbookViewId="0">
      <selection activeCell="A5" sqref="A5"/>
    </sheetView>
  </sheetViews>
  <sheetFormatPr defaultRowHeight="12.75" x14ac:dyDescent="0.2"/>
  <cols>
    <col min="1" max="1" width="5.5703125" bestFit="1" customWidth="1"/>
    <col min="2" max="2" width="38.140625" bestFit="1" customWidth="1"/>
    <col min="3" max="3" width="15" bestFit="1" customWidth="1"/>
    <col min="4" max="4" width="12.140625" bestFit="1" customWidth="1"/>
  </cols>
  <sheetData>
    <row r="1" spans="1:11" x14ac:dyDescent="0.2">
      <c r="A1" s="1" t="s">
        <v>69</v>
      </c>
      <c r="B1" s="2"/>
      <c r="C1" s="2"/>
      <c r="D1" s="2"/>
      <c r="G1" s="28"/>
      <c r="H1" s="28"/>
      <c r="I1" s="28"/>
      <c r="J1" s="28"/>
      <c r="K1" s="28"/>
    </row>
    <row r="2" spans="1:11" x14ac:dyDescent="0.2">
      <c r="A2" s="1" t="s">
        <v>70</v>
      </c>
      <c r="B2" s="2"/>
      <c r="C2" s="2"/>
      <c r="D2" s="2"/>
      <c r="G2" s="28"/>
      <c r="H2" s="28"/>
      <c r="I2" s="28"/>
      <c r="J2" s="28"/>
      <c r="K2" s="28"/>
    </row>
    <row r="3" spans="1:11" x14ac:dyDescent="0.2">
      <c r="D3" s="16"/>
    </row>
    <row r="4" spans="1:11" x14ac:dyDescent="0.2">
      <c r="D4" s="16"/>
    </row>
    <row r="5" spans="1:11" x14ac:dyDescent="0.2">
      <c r="D5" s="16"/>
    </row>
    <row r="6" spans="1:11" ht="12.75" customHeight="1" x14ac:dyDescent="0.2">
      <c r="A6" s="11" t="s">
        <v>32</v>
      </c>
      <c r="B6" s="12" t="s">
        <v>33</v>
      </c>
      <c r="C6" s="29" t="s">
        <v>71</v>
      </c>
      <c r="D6" s="29" t="s">
        <v>72</v>
      </c>
    </row>
    <row r="7" spans="1:11" x14ac:dyDescent="0.2">
      <c r="A7" s="5">
        <v>1</v>
      </c>
      <c r="B7" s="14" t="s">
        <v>35</v>
      </c>
      <c r="C7" s="30">
        <v>1</v>
      </c>
      <c r="D7" s="31">
        <v>2.1</v>
      </c>
    </row>
    <row r="8" spans="1:11" x14ac:dyDescent="0.2">
      <c r="A8" s="5">
        <v>2</v>
      </c>
      <c r="B8" s="14" t="s">
        <v>36</v>
      </c>
      <c r="C8" s="30">
        <v>1</v>
      </c>
      <c r="D8" s="31">
        <v>2.5</v>
      </c>
    </row>
    <row r="9" spans="1:11" x14ac:dyDescent="0.2">
      <c r="A9" s="5">
        <v>3</v>
      </c>
      <c r="B9" s="14" t="s">
        <v>37</v>
      </c>
      <c r="C9" s="30">
        <v>1</v>
      </c>
      <c r="D9" s="31">
        <v>1.2</v>
      </c>
    </row>
    <row r="10" spans="1:11" x14ac:dyDescent="0.2">
      <c r="A10" s="5">
        <v>4</v>
      </c>
      <c r="B10" s="14" t="s">
        <v>38</v>
      </c>
      <c r="C10" s="30">
        <v>1</v>
      </c>
      <c r="D10" s="31">
        <v>16</v>
      </c>
    </row>
    <row r="11" spans="1:11" x14ac:dyDescent="0.2">
      <c r="A11" s="5">
        <v>5</v>
      </c>
      <c r="B11" s="14" t="s">
        <v>39</v>
      </c>
      <c r="C11" s="30">
        <v>1</v>
      </c>
      <c r="D11" s="31">
        <v>16</v>
      </c>
    </row>
    <row r="12" spans="1:11" x14ac:dyDescent="0.2">
      <c r="A12" s="5">
        <v>6</v>
      </c>
      <c r="B12" s="14" t="s">
        <v>40</v>
      </c>
      <c r="C12" s="30">
        <v>1</v>
      </c>
      <c r="D12" s="31">
        <v>15</v>
      </c>
    </row>
    <row r="13" spans="1:11" x14ac:dyDescent="0.2">
      <c r="A13" s="5">
        <v>7</v>
      </c>
      <c r="B13" s="14" t="s">
        <v>41</v>
      </c>
      <c r="C13" s="30">
        <v>1</v>
      </c>
      <c r="D13" s="31">
        <v>16</v>
      </c>
    </row>
    <row r="14" spans="1:11" x14ac:dyDescent="0.2">
      <c r="A14" s="5">
        <v>8</v>
      </c>
      <c r="B14" s="14" t="s">
        <v>42</v>
      </c>
      <c r="C14" s="30">
        <v>1</v>
      </c>
      <c r="D14" s="31">
        <v>14</v>
      </c>
    </row>
    <row r="15" spans="1:11" x14ac:dyDescent="0.2">
      <c r="A15" s="5">
        <v>9</v>
      </c>
      <c r="B15" s="14" t="s">
        <v>43</v>
      </c>
      <c r="C15" s="30">
        <v>1</v>
      </c>
      <c r="D15" s="31">
        <v>18</v>
      </c>
    </row>
    <row r="16" spans="1:11" x14ac:dyDescent="0.2">
      <c r="A16" s="5">
        <v>10</v>
      </c>
      <c r="B16" s="14" t="s">
        <v>44</v>
      </c>
      <c r="C16" s="30">
        <v>1</v>
      </c>
      <c r="D16" s="31">
        <v>19</v>
      </c>
    </row>
    <row r="17" spans="1:4" x14ac:dyDescent="0.2">
      <c r="A17" s="5">
        <v>11</v>
      </c>
      <c r="B17" s="14" t="s">
        <v>45</v>
      </c>
      <c r="C17" s="30">
        <v>1</v>
      </c>
      <c r="D17" s="31">
        <v>6</v>
      </c>
    </row>
    <row r="18" spans="1:4" x14ac:dyDescent="0.2">
      <c r="A18" s="5">
        <v>12</v>
      </c>
      <c r="B18" s="14" t="s">
        <v>46</v>
      </c>
      <c r="C18" s="30">
        <v>1</v>
      </c>
      <c r="D18" s="31">
        <v>12</v>
      </c>
    </row>
    <row r="19" spans="1:4" x14ac:dyDescent="0.2">
      <c r="A19" s="5">
        <v>13</v>
      </c>
      <c r="B19" s="14" t="s">
        <v>47</v>
      </c>
      <c r="C19" s="30">
        <v>1</v>
      </c>
      <c r="D19" s="31">
        <v>1.2</v>
      </c>
    </row>
    <row r="20" spans="1:4" x14ac:dyDescent="0.2">
      <c r="A20" s="5">
        <v>14</v>
      </c>
      <c r="B20" s="14" t="s">
        <v>48</v>
      </c>
      <c r="C20" s="30">
        <v>1</v>
      </c>
      <c r="D20" s="31">
        <v>1.2</v>
      </c>
    </row>
    <row r="21" spans="1:4" x14ac:dyDescent="0.2">
      <c r="A21" s="5">
        <v>15</v>
      </c>
      <c r="B21" s="14" t="s">
        <v>49</v>
      </c>
      <c r="C21" s="30">
        <v>1</v>
      </c>
      <c r="D21" s="31">
        <v>2</v>
      </c>
    </row>
    <row r="22" spans="1:4" x14ac:dyDescent="0.2">
      <c r="A22" s="5">
        <v>100</v>
      </c>
      <c r="B22" s="14" t="s">
        <v>73</v>
      </c>
      <c r="C22" s="30">
        <v>2</v>
      </c>
      <c r="D22" s="31">
        <v>0.1</v>
      </c>
    </row>
  </sheetData>
  <phoneticPr fontId="2" type="noConversion"/>
  <pageMargins left="0.75" right="0.75" top="1" bottom="1" header="0.5" footer="0.5"/>
  <pageSetup orientation="portrait" horizontalDpi="300" verticalDpi="300"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9"/>
  <dimension ref="A1:J27"/>
  <sheetViews>
    <sheetView workbookViewId="0">
      <selection activeCell="A5" sqref="A5"/>
    </sheetView>
  </sheetViews>
  <sheetFormatPr defaultColWidth="9.140625" defaultRowHeight="12.75" x14ac:dyDescent="0.2"/>
  <cols>
    <col min="1" max="1" width="6" bestFit="1" customWidth="1"/>
    <col min="2" max="2" width="40.5703125" bestFit="1" customWidth="1"/>
    <col min="3" max="3" width="15" bestFit="1" customWidth="1"/>
    <col min="4" max="4" width="13.7109375" bestFit="1" customWidth="1"/>
    <col min="5" max="5" width="9.85546875" bestFit="1" customWidth="1"/>
    <col min="6" max="6" width="14.28515625" bestFit="1" customWidth="1"/>
  </cols>
  <sheetData>
    <row r="1" spans="1:6" s="32" customFormat="1" ht="43.5" customHeight="1" thickBot="1" x14ac:dyDescent="0.25">
      <c r="A1" s="412" t="s">
        <v>74</v>
      </c>
      <c r="B1" s="413"/>
      <c r="C1" s="413"/>
      <c r="D1" s="413"/>
      <c r="E1" s="413"/>
      <c r="F1" s="414"/>
    </row>
    <row r="5" spans="1:6" ht="13.5" thickBot="1" x14ac:dyDescent="0.25"/>
    <row r="6" spans="1:6" ht="15" x14ac:dyDescent="0.2">
      <c r="A6" s="33" t="s">
        <v>75</v>
      </c>
      <c r="B6" s="34"/>
      <c r="C6" s="415"/>
      <c r="D6" s="416"/>
      <c r="E6" s="416"/>
      <c r="F6" s="417"/>
    </row>
    <row r="7" spans="1:6" x14ac:dyDescent="0.2">
      <c r="A7" s="35"/>
      <c r="B7" s="36"/>
      <c r="C7" s="36"/>
      <c r="D7" s="36"/>
      <c r="E7" s="36"/>
      <c r="F7" s="37"/>
    </row>
    <row r="8" spans="1:6" x14ac:dyDescent="0.2">
      <c r="A8" s="38" t="s">
        <v>76</v>
      </c>
      <c r="F8" s="39" t="s">
        <v>77</v>
      </c>
    </row>
    <row r="9" spans="1:6" ht="12.75" customHeight="1" x14ac:dyDescent="0.2">
      <c r="A9" s="38" t="s">
        <v>78</v>
      </c>
      <c r="F9" s="40" t="s">
        <v>8</v>
      </c>
    </row>
    <row r="10" spans="1:6" ht="13.5" thickBot="1" x14ac:dyDescent="0.25">
      <c r="A10" s="41" t="s">
        <v>196</v>
      </c>
      <c r="B10" s="42"/>
      <c r="C10" s="42"/>
      <c r="D10" s="42"/>
      <c r="E10" s="42"/>
      <c r="F10" s="43" t="s">
        <v>79</v>
      </c>
    </row>
    <row r="11" spans="1:6" x14ac:dyDescent="0.2">
      <c r="A11" s="44"/>
      <c r="B11" s="45"/>
      <c r="C11" s="45"/>
      <c r="D11" s="45"/>
      <c r="E11" s="45"/>
      <c r="F11" s="46"/>
    </row>
    <row r="12" spans="1:6" x14ac:dyDescent="0.2">
      <c r="A12" s="47" t="s">
        <v>32</v>
      </c>
      <c r="B12" s="48" t="s">
        <v>33</v>
      </c>
      <c r="C12" s="48" t="s">
        <v>18</v>
      </c>
      <c r="D12" s="48" t="s">
        <v>80</v>
      </c>
      <c r="E12" s="48" t="s">
        <v>81</v>
      </c>
      <c r="F12" s="49" t="s">
        <v>55</v>
      </c>
    </row>
    <row r="13" spans="1:6" x14ac:dyDescent="0.2">
      <c r="A13" s="50">
        <v>5</v>
      </c>
      <c r="B13" s="51" t="str">
        <f t="shared" ref="B13:B18" si="0">IF(ISBLANK(A13)," ",VLOOKUP(A13,Products,2,FALSE))</f>
        <v>ExoRacket Graphite - Mid+, Plus Length</v>
      </c>
      <c r="C13" s="52">
        <v>60</v>
      </c>
      <c r="D13" s="5">
        <f t="shared" ref="D13:D18" si="1">IF(ISBLANK(A13), "", VLOOKUP(A13,Products,4,FALSE)*C13)</f>
        <v>960</v>
      </c>
      <c r="E13" s="6" t="e">
        <f>IF(ISBLANK(A13),"",VLOOKUP(IF(VLOOKUP(A13, Products, 3, FALSE) = 1, A13, C13),CHOOSE(VLOOKUP(A13, Products, 3, FALSE), Price1,Price2),2,VLOOKUP(A13, Products, 3, FALSE)&gt;1))</f>
        <v>#NAME?</v>
      </c>
      <c r="F13" s="53" t="e">
        <f t="shared" ref="F13:F18" si="2">IF(ISBLANK(A13), " ", C13* E13)</f>
        <v>#NAME?</v>
      </c>
    </row>
    <row r="14" spans="1:6" x14ac:dyDescent="0.2">
      <c r="A14" s="50">
        <v>6</v>
      </c>
      <c r="B14" s="51" t="str">
        <f t="shared" si="0"/>
        <v>ExoRacket Graphite - Mid+, Regular Length</v>
      </c>
      <c r="C14" s="52">
        <v>15</v>
      </c>
      <c r="D14" s="5">
        <f t="shared" si="1"/>
        <v>225</v>
      </c>
      <c r="E14" s="6" t="e">
        <f>IF(ISBLANK(A14),"",VLOOKUP(IF(VLOOKUP(A14, Products, 3, FALSE) = 1, A14, C14),CHOOSE(VLOOKUP(A14, Products, 3, FALSE), Price1,Price2),2,VLOOKUP(A14, Products, 3, FALSE)&gt;1))</f>
        <v>#NAME?</v>
      </c>
      <c r="F14" s="53" t="e">
        <f t="shared" si="2"/>
        <v>#NAME?</v>
      </c>
    </row>
    <row r="15" spans="1:6" x14ac:dyDescent="0.2">
      <c r="A15" s="50">
        <v>12</v>
      </c>
      <c r="B15" s="51" t="str">
        <f t="shared" si="0"/>
        <v>Touring Bag - One Size</v>
      </c>
      <c r="C15" s="52">
        <v>100</v>
      </c>
      <c r="D15" s="5">
        <f t="shared" si="1"/>
        <v>1200</v>
      </c>
      <c r="E15" s="6" t="e">
        <f>IF(ISBLANK(A15),"",VLOOKUP(IF(VLOOKUP(A15, Products, 3, FALSE) = 1, A15, C15),CHOOSE(VLOOKUP(A15, Products, 3, FALSE), Price1,Price2),2,VLOOKUP(A15, Products, 3, FALSE)&gt;1))</f>
        <v>#NAME?</v>
      </c>
      <c r="F15" s="53" t="e">
        <f t="shared" si="2"/>
        <v>#NAME?</v>
      </c>
    </row>
    <row r="16" spans="1:6" x14ac:dyDescent="0.2">
      <c r="A16" s="50">
        <v>100</v>
      </c>
      <c r="B16" s="51" t="str">
        <f t="shared" si="0"/>
        <v>Tennis Balls - Bulk</v>
      </c>
      <c r="C16" s="52">
        <v>300</v>
      </c>
      <c r="D16" s="5">
        <f t="shared" si="1"/>
        <v>30</v>
      </c>
      <c r="E16" s="6">
        <f>IF(ISBLANK(A16),"",VLOOKUP(IF(VLOOKUP(A16, Products, 3, FALSE) = 1, A16, C16),CHOOSE(VLOOKUP(A16, Products, 3, FALSE), Price1,Price2),2,VLOOKUP(A16, Products, 3, FALSE)&gt;1))</f>
        <v>2</v>
      </c>
      <c r="F16" s="53">
        <f t="shared" si="2"/>
        <v>600</v>
      </c>
    </row>
    <row r="17" spans="1:10" x14ac:dyDescent="0.2">
      <c r="A17" s="50"/>
      <c r="B17" s="51" t="str">
        <f t="shared" si="0"/>
        <v xml:space="preserve"> </v>
      </c>
      <c r="C17" s="52"/>
      <c r="D17" s="5" t="str">
        <f t="shared" si="1"/>
        <v/>
      </c>
      <c r="E17" s="6" t="str">
        <f>IF(ISBLANK(A17),"",VLOOKUP(IF(VLOOKUP(A17, Products, 3, FALSE) = 1, A17, C17),CHOOSE(VLOOKUP(A17, Products, 3, FALSE), Schedule1,Schedule2),2,VLOOKUP(A17, Products, 3, FALSE)&gt;1))</f>
        <v/>
      </c>
      <c r="F17" s="53" t="str">
        <f t="shared" si="2"/>
        <v xml:space="preserve"> </v>
      </c>
    </row>
    <row r="18" spans="1:10" x14ac:dyDescent="0.2">
      <c r="A18" s="54"/>
      <c r="B18" s="51" t="str">
        <f t="shared" si="0"/>
        <v xml:space="preserve"> </v>
      </c>
      <c r="C18" s="55"/>
      <c r="D18" s="5" t="str">
        <f t="shared" si="1"/>
        <v/>
      </c>
      <c r="E18" s="6" t="str">
        <f>IF(ISBLANK(A18),"",VLOOKUP(IF(VLOOKUP(A18, Products, 3, FALSE) = 1, A18, C18),CHOOSE(VLOOKUP(A18, Products, 3, FALSE), Schedule1,Schedule2),2,VLOOKUP(A18, Products, 3, FALSE)&gt;1))</f>
        <v/>
      </c>
      <c r="F18" s="53" t="str">
        <f t="shared" si="2"/>
        <v xml:space="preserve"> </v>
      </c>
    </row>
    <row r="19" spans="1:10" x14ac:dyDescent="0.2">
      <c r="A19" s="35"/>
      <c r="B19" s="56"/>
      <c r="C19" s="45"/>
      <c r="D19" s="45"/>
      <c r="E19" s="45"/>
      <c r="F19" s="57"/>
    </row>
    <row r="20" spans="1:10" x14ac:dyDescent="0.2">
      <c r="A20" s="38"/>
      <c r="C20" s="58" t="s">
        <v>56</v>
      </c>
      <c r="D20" s="58">
        <f>SUM(D13:D18)</f>
        <v>2415</v>
      </c>
      <c r="E20" s="5"/>
      <c r="F20" s="53" t="e">
        <f>SUM(F13:F18)</f>
        <v>#NAME?</v>
      </c>
    </row>
    <row r="21" spans="1:10" x14ac:dyDescent="0.2">
      <c r="A21" s="38"/>
      <c r="C21" s="58" t="s">
        <v>57</v>
      </c>
      <c r="D21" s="58"/>
      <c r="E21" s="5"/>
      <c r="F21" s="53" t="e">
        <f>-HLOOKUP(F20,Discounts,2,TRUE)</f>
        <v>#NAME?</v>
      </c>
    </row>
    <row r="22" spans="1:10" x14ac:dyDescent="0.2">
      <c r="A22" s="38"/>
      <c r="C22" s="59" t="s">
        <v>17</v>
      </c>
      <c r="D22" s="59"/>
      <c r="E22" s="60"/>
      <c r="F22" s="61">
        <f>INDEX((Shipping1,Shipping2,Shipping3),VLOOKUP(F8,States,3,FALSE),MATCH(F9,'3-Shipping'!B7:E7,0),MATCH(F10,{"regular","preferred","most preferred"},0))*D20</f>
        <v>990.15</v>
      </c>
    </row>
    <row r="23" spans="1:10" x14ac:dyDescent="0.2">
      <c r="A23" s="38"/>
      <c r="C23" s="62"/>
      <c r="D23" s="36"/>
      <c r="E23" s="36"/>
      <c r="F23" s="37"/>
    </row>
    <row r="24" spans="1:10" ht="13.5" thickBot="1" x14ac:dyDescent="0.25">
      <c r="A24" s="41"/>
      <c r="B24" s="42"/>
      <c r="C24" s="63" t="s">
        <v>23</v>
      </c>
      <c r="D24" s="63"/>
      <c r="E24" s="64"/>
      <c r="F24" s="65" t="e">
        <f>SUM(F20:F22)</f>
        <v>#NAME?</v>
      </c>
    </row>
    <row r="27" spans="1:10" x14ac:dyDescent="0.2">
      <c r="J27" t="s">
        <v>58</v>
      </c>
    </row>
  </sheetData>
  <mergeCells count="2">
    <mergeCell ref="A1:F1"/>
    <mergeCell ref="C6:F6"/>
  </mergeCells>
  <phoneticPr fontId="2" type="noConversion"/>
  <pageMargins left="0.75" right="0.75" top="1" bottom="1" header="0.5" footer="0.5"/>
  <pageSetup orientation="portrait" horizontalDpi="300" verticalDpi="300"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0"/>
  <dimension ref="A1:C20"/>
  <sheetViews>
    <sheetView workbookViewId="0">
      <selection activeCell="A5" sqref="A5"/>
    </sheetView>
  </sheetViews>
  <sheetFormatPr defaultRowHeight="12.75" x14ac:dyDescent="0.2"/>
  <cols>
    <col min="1" max="1" width="9.28515625" style="68" bestFit="1" customWidth="1"/>
    <col min="2" max="2" width="12.28515625" style="68" customWidth="1"/>
    <col min="3" max="16384" width="9.140625" style="68"/>
  </cols>
  <sheetData>
    <row r="1" spans="1:3" ht="30" customHeight="1" x14ac:dyDescent="0.2">
      <c r="A1" s="66" t="s">
        <v>82</v>
      </c>
      <c r="B1" s="67"/>
      <c r="C1" s="67"/>
    </row>
    <row r="6" spans="1:3" x14ac:dyDescent="0.2">
      <c r="A6" s="69" t="s">
        <v>32</v>
      </c>
      <c r="B6" s="70" t="s">
        <v>5</v>
      </c>
    </row>
    <row r="7" spans="1:3" x14ac:dyDescent="0.2">
      <c r="A7" s="51">
        <v>1</v>
      </c>
      <c r="B7" s="71">
        <v>23.75</v>
      </c>
    </row>
    <row r="8" spans="1:3" x14ac:dyDescent="0.2">
      <c r="A8" s="51">
        <v>2</v>
      </c>
      <c r="B8" s="71">
        <v>52.8</v>
      </c>
    </row>
    <row r="9" spans="1:3" x14ac:dyDescent="0.2">
      <c r="A9" s="51">
        <v>3</v>
      </c>
      <c r="B9" s="71">
        <v>15.95</v>
      </c>
    </row>
    <row r="10" spans="1:3" x14ac:dyDescent="0.2">
      <c r="A10" s="51">
        <v>4</v>
      </c>
      <c r="B10" s="71">
        <v>135</v>
      </c>
    </row>
    <row r="11" spans="1:3" x14ac:dyDescent="0.2">
      <c r="A11" s="51">
        <v>5</v>
      </c>
      <c r="B11" s="71">
        <v>135</v>
      </c>
    </row>
    <row r="12" spans="1:3" x14ac:dyDescent="0.2">
      <c r="A12" s="51">
        <v>6</v>
      </c>
      <c r="B12" s="71">
        <v>139.99</v>
      </c>
    </row>
    <row r="13" spans="1:3" x14ac:dyDescent="0.2">
      <c r="A13" s="51">
        <v>7</v>
      </c>
      <c r="B13" s="71">
        <v>142.5</v>
      </c>
    </row>
    <row r="14" spans="1:3" x14ac:dyDescent="0.2">
      <c r="A14" s="51">
        <v>8</v>
      </c>
      <c r="B14" s="71">
        <v>69.989999999999995</v>
      </c>
    </row>
    <row r="15" spans="1:3" x14ac:dyDescent="0.2">
      <c r="A15" s="51">
        <v>9</v>
      </c>
      <c r="B15" s="71">
        <v>99.99</v>
      </c>
    </row>
    <row r="16" spans="1:3" x14ac:dyDescent="0.2">
      <c r="A16" s="51">
        <v>10</v>
      </c>
      <c r="B16" s="71">
        <v>99.99</v>
      </c>
    </row>
    <row r="17" spans="1:2" x14ac:dyDescent="0.2">
      <c r="A17" s="51">
        <v>11</v>
      </c>
      <c r="B17" s="71">
        <v>29.95</v>
      </c>
    </row>
    <row r="18" spans="1:2" x14ac:dyDescent="0.2">
      <c r="A18" s="51">
        <v>12</v>
      </c>
      <c r="B18" s="71">
        <v>59.99</v>
      </c>
    </row>
    <row r="19" spans="1:2" x14ac:dyDescent="0.2">
      <c r="A19" s="51">
        <v>13</v>
      </c>
      <c r="B19" s="71">
        <v>3.25</v>
      </c>
    </row>
    <row r="20" spans="1:2" x14ac:dyDescent="0.2">
      <c r="A20" s="51">
        <v>14</v>
      </c>
      <c r="B20" s="71">
        <v>7.25</v>
      </c>
    </row>
  </sheetData>
  <phoneticPr fontId="2" type="noConversion"/>
  <pageMargins left="0.75" right="0.75" top="1" bottom="1" header="0.5" footer="0.5"/>
  <pageSetup orientation="portrait"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11"/>
  <dimension ref="A1:D23"/>
  <sheetViews>
    <sheetView workbookViewId="0">
      <selection activeCell="A5" sqref="A5"/>
    </sheetView>
  </sheetViews>
  <sheetFormatPr defaultRowHeight="12.75" x14ac:dyDescent="0.2"/>
  <cols>
    <col min="1" max="1" width="11.42578125" style="68" customWidth="1"/>
    <col min="2" max="2" width="10.28515625" style="68" customWidth="1"/>
    <col min="3" max="16384" width="9.140625" style="68"/>
  </cols>
  <sheetData>
    <row r="1" spans="1:3" ht="30" customHeight="1" x14ac:dyDescent="0.2">
      <c r="A1" s="66" t="s">
        <v>83</v>
      </c>
      <c r="B1" s="67"/>
      <c r="C1" s="67"/>
    </row>
    <row r="6" spans="1:3" x14ac:dyDescent="0.2">
      <c r="A6" s="29" t="s">
        <v>4</v>
      </c>
      <c r="B6" s="72" t="s">
        <v>5</v>
      </c>
    </row>
    <row r="7" spans="1:3" x14ac:dyDescent="0.2">
      <c r="A7" s="51">
        <v>0</v>
      </c>
      <c r="B7" s="73">
        <v>2.4500000000000002</v>
      </c>
    </row>
    <row r="8" spans="1:3" x14ac:dyDescent="0.2">
      <c r="A8" s="51">
        <v>60</v>
      </c>
      <c r="B8" s="73">
        <v>2.27</v>
      </c>
    </row>
    <row r="9" spans="1:3" x14ac:dyDescent="0.2">
      <c r="A9" s="51">
        <v>120</v>
      </c>
      <c r="B9" s="73">
        <v>2.12</v>
      </c>
    </row>
    <row r="10" spans="1:3" x14ac:dyDescent="0.2">
      <c r="A10" s="51">
        <v>240</v>
      </c>
      <c r="B10" s="73">
        <v>2</v>
      </c>
    </row>
    <row r="23" spans="4:4" x14ac:dyDescent="0.2">
      <c r="D23" s="68" t="s">
        <v>197</v>
      </c>
    </row>
  </sheetData>
  <phoneticPr fontId="2" type="noConversion"/>
  <pageMargins left="0.75" right="0.75" top="1" bottom="1" header="0.5" footer="0.5"/>
  <pageSetup orientation="portrait" horizontalDpi="300" verticalDpi="300"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2"/>
  <dimension ref="A6:E7"/>
  <sheetViews>
    <sheetView workbookViewId="0">
      <selection activeCell="A5" sqref="A5"/>
    </sheetView>
  </sheetViews>
  <sheetFormatPr defaultRowHeight="12.75" x14ac:dyDescent="0.2"/>
  <cols>
    <col min="1" max="1" width="15.5703125" bestFit="1" customWidth="1"/>
  </cols>
  <sheetData>
    <row r="6" spans="1:5" x14ac:dyDescent="0.2">
      <c r="A6" s="74" t="s">
        <v>59</v>
      </c>
      <c r="B6" s="75">
        <v>0</v>
      </c>
      <c r="C6" s="76">
        <v>5000</v>
      </c>
      <c r="D6" s="76">
        <v>10000</v>
      </c>
      <c r="E6" s="76">
        <v>25000</v>
      </c>
    </row>
    <row r="7" spans="1:5" x14ac:dyDescent="0.2">
      <c r="A7" s="74" t="s">
        <v>57</v>
      </c>
      <c r="B7" s="75">
        <v>0</v>
      </c>
      <c r="C7" s="76">
        <v>150</v>
      </c>
      <c r="D7" s="76">
        <v>400</v>
      </c>
      <c r="E7" s="76">
        <v>1000</v>
      </c>
    </row>
  </sheetData>
  <phoneticPr fontId="2" type="noConversion"/>
  <pageMargins left="0.75" right="0.75" top="1" bottom="1" header="0.5" footer="0.5"/>
  <pageSetup orientation="portrait" horizontalDpi="300" verticalDpi="300"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3"/>
  <dimension ref="A1:J28"/>
  <sheetViews>
    <sheetView workbookViewId="0">
      <selection activeCell="A5" sqref="A5"/>
    </sheetView>
  </sheetViews>
  <sheetFormatPr defaultRowHeight="12.75" x14ac:dyDescent="0.2"/>
  <cols>
    <col min="2" max="5" width="9.7109375" customWidth="1"/>
    <col min="7" max="7" width="18.140625" bestFit="1" customWidth="1"/>
    <col min="8" max="8" width="6.28515625" bestFit="1" customWidth="1"/>
    <col min="9" max="9" width="7.5703125" bestFit="1" customWidth="1"/>
    <col min="10" max="10" width="11.28515625" bestFit="1" customWidth="1"/>
  </cols>
  <sheetData>
    <row r="1" spans="1:10" ht="30" customHeight="1" x14ac:dyDescent="0.2">
      <c r="A1" s="66" t="s">
        <v>84</v>
      </c>
      <c r="B1" s="1"/>
      <c r="C1" s="1"/>
      <c r="D1" s="1"/>
      <c r="E1" s="1"/>
      <c r="F1" s="1"/>
      <c r="G1" s="1"/>
      <c r="H1" s="1"/>
      <c r="I1" s="1"/>
      <c r="J1" s="1"/>
    </row>
    <row r="5" spans="1:10" ht="13.5" thickBot="1" x14ac:dyDescent="0.25"/>
    <row r="6" spans="1:10" x14ac:dyDescent="0.2">
      <c r="A6" s="77"/>
      <c r="B6" s="78" t="s">
        <v>85</v>
      </c>
      <c r="C6" s="79"/>
      <c r="D6" s="79"/>
      <c r="E6" s="80"/>
    </row>
    <row r="7" spans="1:10" x14ac:dyDescent="0.2">
      <c r="A7" s="81" t="s">
        <v>65</v>
      </c>
      <c r="B7" s="4" t="s">
        <v>8</v>
      </c>
      <c r="C7" s="4" t="s">
        <v>10</v>
      </c>
      <c r="D7" s="4" t="s">
        <v>86</v>
      </c>
      <c r="E7" s="82" t="s">
        <v>87</v>
      </c>
    </row>
    <row r="8" spans="1:10" x14ac:dyDescent="0.2">
      <c r="A8" s="83">
        <v>1</v>
      </c>
      <c r="B8" s="15">
        <v>0.1</v>
      </c>
      <c r="C8" s="15">
        <v>0.11</v>
      </c>
      <c r="D8" s="15">
        <v>1.5</v>
      </c>
      <c r="E8" s="84" t="s">
        <v>66</v>
      </c>
    </row>
    <row r="9" spans="1:10" x14ac:dyDescent="0.2">
      <c r="A9" s="83">
        <v>2</v>
      </c>
      <c r="B9" s="15">
        <v>0.18</v>
      </c>
      <c r="C9" s="15">
        <v>0.12</v>
      </c>
      <c r="D9" s="15">
        <v>2</v>
      </c>
      <c r="E9" s="84" t="s">
        <v>66</v>
      </c>
    </row>
    <row r="10" spans="1:10" x14ac:dyDescent="0.2">
      <c r="A10" s="83">
        <v>3</v>
      </c>
      <c r="B10" s="15">
        <v>0.24</v>
      </c>
      <c r="C10" s="15">
        <v>0.14000000000000001</v>
      </c>
      <c r="D10" s="15">
        <v>2.1</v>
      </c>
      <c r="E10" s="84">
        <v>0.2</v>
      </c>
    </row>
    <row r="11" spans="1:10" x14ac:dyDescent="0.2">
      <c r="A11" s="83">
        <v>4</v>
      </c>
      <c r="B11" s="15">
        <v>0.28000000000000003</v>
      </c>
      <c r="C11" s="15">
        <v>0.16</v>
      </c>
      <c r="D11" s="15">
        <v>2.25</v>
      </c>
      <c r="E11" s="84">
        <v>0.2</v>
      </c>
    </row>
    <row r="12" spans="1:10" ht="13.5" thickBot="1" x14ac:dyDescent="0.25">
      <c r="A12" s="85">
        <v>5</v>
      </c>
      <c r="B12" s="86">
        <v>0.45</v>
      </c>
      <c r="C12" s="86">
        <v>0.4</v>
      </c>
      <c r="D12" s="86">
        <v>3.5</v>
      </c>
      <c r="E12" s="87">
        <v>0.35</v>
      </c>
    </row>
    <row r="13" spans="1:10" ht="13.5" thickBot="1" x14ac:dyDescent="0.25"/>
    <row r="14" spans="1:10" x14ac:dyDescent="0.2">
      <c r="A14" s="88"/>
      <c r="B14" s="89" t="s">
        <v>67</v>
      </c>
      <c r="C14" s="89"/>
      <c r="D14" s="89"/>
      <c r="E14" s="90"/>
    </row>
    <row r="15" spans="1:10" x14ac:dyDescent="0.2">
      <c r="A15" s="81" t="s">
        <v>65</v>
      </c>
      <c r="B15" s="4" t="s">
        <v>8</v>
      </c>
      <c r="C15" s="4" t="s">
        <v>10</v>
      </c>
      <c r="D15" s="4" t="s">
        <v>86</v>
      </c>
      <c r="E15" s="82" t="s">
        <v>87</v>
      </c>
    </row>
    <row r="16" spans="1:10" x14ac:dyDescent="0.2">
      <c r="A16" s="83">
        <v>1</v>
      </c>
      <c r="B16" s="15">
        <v>0.09</v>
      </c>
      <c r="C16" s="15">
        <v>0.1</v>
      </c>
      <c r="D16" s="15">
        <v>1.35</v>
      </c>
      <c r="E16" s="84" t="s">
        <v>66</v>
      </c>
    </row>
    <row r="17" spans="1:5" x14ac:dyDescent="0.2">
      <c r="A17" s="83">
        <v>2</v>
      </c>
      <c r="B17" s="15">
        <v>0.16</v>
      </c>
      <c r="C17" s="15">
        <v>0.11</v>
      </c>
      <c r="D17" s="15">
        <v>1.8</v>
      </c>
      <c r="E17" s="84" t="s">
        <v>66</v>
      </c>
    </row>
    <row r="18" spans="1:5" x14ac:dyDescent="0.2">
      <c r="A18" s="83">
        <v>3</v>
      </c>
      <c r="B18" s="15">
        <v>0.22</v>
      </c>
      <c r="C18" s="15">
        <v>0.13</v>
      </c>
      <c r="D18" s="15">
        <v>1.89</v>
      </c>
      <c r="E18" s="84">
        <v>0.18</v>
      </c>
    </row>
    <row r="19" spans="1:5" x14ac:dyDescent="0.2">
      <c r="A19" s="83">
        <v>4</v>
      </c>
      <c r="B19" s="15">
        <v>0.25</v>
      </c>
      <c r="C19" s="15">
        <v>0.14000000000000001</v>
      </c>
      <c r="D19" s="15">
        <v>2.0299999999999998</v>
      </c>
      <c r="E19" s="84">
        <v>0.18</v>
      </c>
    </row>
    <row r="20" spans="1:5" ht="13.5" thickBot="1" x14ac:dyDescent="0.25">
      <c r="A20" s="85">
        <v>5</v>
      </c>
      <c r="B20" s="86">
        <v>0.41</v>
      </c>
      <c r="C20" s="86">
        <v>0.36</v>
      </c>
      <c r="D20" s="86">
        <v>3.15</v>
      </c>
      <c r="E20" s="87">
        <v>0.32</v>
      </c>
    </row>
    <row r="21" spans="1:5" ht="13.5" thickBot="1" x14ac:dyDescent="0.25"/>
    <row r="22" spans="1:5" x14ac:dyDescent="0.2">
      <c r="A22" s="88"/>
      <c r="B22" s="89" t="s">
        <v>68</v>
      </c>
      <c r="C22" s="89"/>
      <c r="D22" s="89"/>
      <c r="E22" s="90"/>
    </row>
    <row r="23" spans="1:5" x14ac:dyDescent="0.2">
      <c r="A23" s="81" t="s">
        <v>65</v>
      </c>
      <c r="B23" s="4" t="s">
        <v>8</v>
      </c>
      <c r="C23" s="4" t="s">
        <v>10</v>
      </c>
      <c r="D23" s="4" t="s">
        <v>86</v>
      </c>
      <c r="E23" s="82" t="s">
        <v>87</v>
      </c>
    </row>
    <row r="24" spans="1:5" x14ac:dyDescent="0.2">
      <c r="A24" s="83">
        <v>1</v>
      </c>
      <c r="B24" s="15">
        <v>0.08</v>
      </c>
      <c r="C24" s="15">
        <v>0.09</v>
      </c>
      <c r="D24" s="15">
        <v>1.22</v>
      </c>
      <c r="E24" s="84" t="s">
        <v>66</v>
      </c>
    </row>
    <row r="25" spans="1:5" x14ac:dyDescent="0.2">
      <c r="A25" s="83">
        <v>2</v>
      </c>
      <c r="B25" s="15">
        <v>0.15</v>
      </c>
      <c r="C25" s="15">
        <v>0.1</v>
      </c>
      <c r="D25" s="15">
        <v>1.62</v>
      </c>
      <c r="E25" s="84" t="s">
        <v>66</v>
      </c>
    </row>
    <row r="26" spans="1:5" x14ac:dyDescent="0.2">
      <c r="A26" s="83">
        <v>3</v>
      </c>
      <c r="B26" s="15">
        <v>0.19</v>
      </c>
      <c r="C26" s="15">
        <v>0.11</v>
      </c>
      <c r="D26" s="15">
        <v>1.7</v>
      </c>
      <c r="E26" s="84">
        <v>0.16</v>
      </c>
    </row>
    <row r="27" spans="1:5" x14ac:dyDescent="0.2">
      <c r="A27" s="83">
        <v>4</v>
      </c>
      <c r="B27" s="15">
        <v>0.23</v>
      </c>
      <c r="C27" s="15">
        <v>0.13</v>
      </c>
      <c r="D27" s="15">
        <v>1.82</v>
      </c>
      <c r="E27" s="84">
        <v>0.16</v>
      </c>
    </row>
    <row r="28" spans="1:5" ht="13.5" thickBot="1" x14ac:dyDescent="0.25">
      <c r="A28" s="85">
        <v>5</v>
      </c>
      <c r="B28" s="86">
        <v>0.36</v>
      </c>
      <c r="C28" s="86">
        <v>0.32</v>
      </c>
      <c r="D28" s="86">
        <v>2.84</v>
      </c>
      <c r="E28" s="87">
        <v>0.28000000000000003</v>
      </c>
    </row>
  </sheetData>
  <phoneticPr fontId="2" type="noConversion"/>
  <pageMargins left="0.75" right="0.75" top="1" bottom="1" header="0.5" footer="0.5"/>
  <pageSetup orientation="portrait" r:id="rId1"/>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14"/>
  <dimension ref="A6:D57"/>
  <sheetViews>
    <sheetView workbookViewId="0">
      <selection activeCell="A5" sqref="A5"/>
    </sheetView>
  </sheetViews>
  <sheetFormatPr defaultRowHeight="12.75" x14ac:dyDescent="0.2"/>
  <cols>
    <col min="1" max="1" width="17.42578125" style="68" bestFit="1" customWidth="1"/>
    <col min="2" max="2" width="11" style="68" bestFit="1" customWidth="1"/>
    <col min="3" max="3" width="6.7109375" style="68" bestFit="1" customWidth="1"/>
    <col min="4" max="4" width="7.7109375" style="68" bestFit="1" customWidth="1"/>
    <col min="5" max="16384" width="9.140625" style="68"/>
  </cols>
  <sheetData>
    <row r="6" spans="1:4" x14ac:dyDescent="0.2">
      <c r="A6" s="29" t="s">
        <v>88</v>
      </c>
      <c r="B6" s="29" t="s">
        <v>89</v>
      </c>
      <c r="C6" s="29" t="s">
        <v>65</v>
      </c>
      <c r="D6" s="29" t="s">
        <v>90</v>
      </c>
    </row>
    <row r="7" spans="1:4" ht="15" customHeight="1" x14ac:dyDescent="0.2">
      <c r="A7" s="91" t="s">
        <v>91</v>
      </c>
      <c r="B7" s="92" t="s">
        <v>92</v>
      </c>
      <c r="C7" s="93" t="s">
        <v>93</v>
      </c>
      <c r="D7" s="93">
        <v>2</v>
      </c>
    </row>
    <row r="8" spans="1:4" ht="15" customHeight="1" x14ac:dyDescent="0.2">
      <c r="A8" s="91" t="s">
        <v>94</v>
      </c>
      <c r="B8" s="92" t="s">
        <v>95</v>
      </c>
      <c r="C8" s="93" t="s">
        <v>96</v>
      </c>
      <c r="D8" s="93">
        <v>5</v>
      </c>
    </row>
    <row r="9" spans="1:4" ht="15" customHeight="1" x14ac:dyDescent="0.2">
      <c r="A9" s="94" t="s">
        <v>97</v>
      </c>
      <c r="B9" s="92" t="s">
        <v>98</v>
      </c>
      <c r="C9" s="93" t="s">
        <v>99</v>
      </c>
      <c r="D9" s="93">
        <v>4</v>
      </c>
    </row>
    <row r="10" spans="1:4" ht="15" customHeight="1" x14ac:dyDescent="0.2">
      <c r="A10" s="94" t="s">
        <v>100</v>
      </c>
      <c r="B10" s="92" t="s">
        <v>101</v>
      </c>
      <c r="C10" s="93" t="s">
        <v>93</v>
      </c>
      <c r="D10" s="93">
        <v>2</v>
      </c>
    </row>
    <row r="11" spans="1:4" ht="15" customHeight="1" x14ac:dyDescent="0.2">
      <c r="A11" s="94" t="s">
        <v>102</v>
      </c>
      <c r="B11" s="92" t="s">
        <v>103</v>
      </c>
      <c r="C11" s="93" t="s">
        <v>96</v>
      </c>
      <c r="D11" s="93">
        <v>5</v>
      </c>
    </row>
    <row r="12" spans="1:4" ht="15" customHeight="1" x14ac:dyDescent="0.2">
      <c r="A12" s="94" t="s">
        <v>104</v>
      </c>
      <c r="B12" s="92" t="s">
        <v>77</v>
      </c>
      <c r="C12" s="93" t="s">
        <v>96</v>
      </c>
      <c r="D12" s="93">
        <v>5</v>
      </c>
    </row>
    <row r="13" spans="1:4" ht="15" customHeight="1" x14ac:dyDescent="0.2">
      <c r="A13" s="94" t="s">
        <v>105</v>
      </c>
      <c r="B13" s="92" t="s">
        <v>106</v>
      </c>
      <c r="C13" s="93" t="s">
        <v>107</v>
      </c>
      <c r="D13" s="93">
        <v>1</v>
      </c>
    </row>
    <row r="14" spans="1:4" x14ac:dyDescent="0.2">
      <c r="A14" s="94" t="s">
        <v>108</v>
      </c>
      <c r="B14" s="92" t="s">
        <v>109</v>
      </c>
      <c r="C14" s="93" t="s">
        <v>107</v>
      </c>
      <c r="D14" s="93">
        <v>1</v>
      </c>
    </row>
    <row r="15" spans="1:4" x14ac:dyDescent="0.2">
      <c r="A15" s="95" t="s">
        <v>110</v>
      </c>
      <c r="B15" s="92" t="s">
        <v>111</v>
      </c>
      <c r="C15" s="92" t="s">
        <v>107</v>
      </c>
      <c r="D15" s="92">
        <v>1</v>
      </c>
    </row>
    <row r="16" spans="1:4" ht="15" customHeight="1" x14ac:dyDescent="0.2">
      <c r="A16" s="94" t="s">
        <v>112</v>
      </c>
      <c r="B16" s="92" t="s">
        <v>113</v>
      </c>
      <c r="C16" s="93" t="s">
        <v>93</v>
      </c>
      <c r="D16" s="93">
        <v>2</v>
      </c>
    </row>
    <row r="17" spans="1:4" ht="15" customHeight="1" x14ac:dyDescent="0.2">
      <c r="A17" s="94" t="s">
        <v>114</v>
      </c>
      <c r="B17" s="92" t="s">
        <v>115</v>
      </c>
      <c r="C17" s="93" t="s">
        <v>93</v>
      </c>
      <c r="D17" s="93">
        <v>2</v>
      </c>
    </row>
    <row r="18" spans="1:4" ht="15" customHeight="1" x14ac:dyDescent="0.2">
      <c r="A18" s="94" t="s">
        <v>116</v>
      </c>
      <c r="B18" s="92" t="s">
        <v>117</v>
      </c>
      <c r="C18" s="93" t="s">
        <v>96</v>
      </c>
      <c r="D18" s="93">
        <v>5</v>
      </c>
    </row>
    <row r="19" spans="1:4" ht="15" customHeight="1" x14ac:dyDescent="0.2">
      <c r="A19" s="94" t="s">
        <v>118</v>
      </c>
      <c r="B19" s="92" t="s">
        <v>119</v>
      </c>
      <c r="C19" s="93" t="s">
        <v>96</v>
      </c>
      <c r="D19" s="93">
        <v>5</v>
      </c>
    </row>
    <row r="20" spans="1:4" ht="15" customHeight="1" x14ac:dyDescent="0.2">
      <c r="A20" s="94" t="s">
        <v>120</v>
      </c>
      <c r="B20" s="92" t="s">
        <v>121</v>
      </c>
      <c r="C20" s="93" t="s">
        <v>122</v>
      </c>
      <c r="D20" s="93">
        <v>3</v>
      </c>
    </row>
    <row r="21" spans="1:4" ht="15" customHeight="1" x14ac:dyDescent="0.2">
      <c r="A21" s="94" t="s">
        <v>123</v>
      </c>
      <c r="B21" s="92" t="s">
        <v>124</v>
      </c>
      <c r="C21" s="93" t="s">
        <v>122</v>
      </c>
      <c r="D21" s="93">
        <v>3</v>
      </c>
    </row>
    <row r="22" spans="1:4" ht="15" customHeight="1" x14ac:dyDescent="0.2">
      <c r="A22" s="94" t="s">
        <v>125</v>
      </c>
      <c r="B22" s="92" t="s">
        <v>126</v>
      </c>
      <c r="C22" s="93" t="s">
        <v>122</v>
      </c>
      <c r="D22" s="93">
        <v>3</v>
      </c>
    </row>
    <row r="23" spans="1:4" ht="15" customHeight="1" x14ac:dyDescent="0.2">
      <c r="A23" s="94" t="s">
        <v>127</v>
      </c>
      <c r="B23" s="92" t="s">
        <v>128</v>
      </c>
      <c r="C23" s="93" t="s">
        <v>122</v>
      </c>
      <c r="D23" s="93">
        <v>3</v>
      </c>
    </row>
    <row r="24" spans="1:4" ht="15" customHeight="1" x14ac:dyDescent="0.2">
      <c r="A24" s="94" t="s">
        <v>129</v>
      </c>
      <c r="B24" s="92" t="s">
        <v>130</v>
      </c>
      <c r="C24" s="93" t="s">
        <v>93</v>
      </c>
      <c r="D24" s="93">
        <v>2</v>
      </c>
    </row>
    <row r="25" spans="1:4" ht="15" customHeight="1" x14ac:dyDescent="0.2">
      <c r="A25" s="94" t="s">
        <v>131</v>
      </c>
      <c r="B25" s="92" t="s">
        <v>132</v>
      </c>
      <c r="C25" s="93" t="s">
        <v>93</v>
      </c>
      <c r="D25" s="93">
        <v>2</v>
      </c>
    </row>
    <row r="26" spans="1:4" ht="15" customHeight="1" x14ac:dyDescent="0.2">
      <c r="A26" s="94" t="s">
        <v>133</v>
      </c>
      <c r="B26" s="92" t="s">
        <v>134</v>
      </c>
      <c r="C26" s="93" t="s">
        <v>107</v>
      </c>
      <c r="D26" s="93">
        <v>1</v>
      </c>
    </row>
    <row r="27" spans="1:4" ht="15" customHeight="1" x14ac:dyDescent="0.2">
      <c r="A27" s="94" t="s">
        <v>135</v>
      </c>
      <c r="B27" s="92" t="s">
        <v>136</v>
      </c>
      <c r="C27" s="93" t="s">
        <v>107</v>
      </c>
      <c r="D27" s="93">
        <v>1</v>
      </c>
    </row>
    <row r="28" spans="1:4" ht="15" customHeight="1" x14ac:dyDescent="0.2">
      <c r="A28" s="94" t="s">
        <v>137</v>
      </c>
      <c r="B28" s="92" t="s">
        <v>138</v>
      </c>
      <c r="C28" s="93" t="s">
        <v>107</v>
      </c>
      <c r="D28" s="93">
        <v>1</v>
      </c>
    </row>
    <row r="29" spans="1:4" ht="15" customHeight="1" x14ac:dyDescent="0.2">
      <c r="A29" s="94" t="s">
        <v>139</v>
      </c>
      <c r="B29" s="92" t="s">
        <v>140</v>
      </c>
      <c r="C29" s="93" t="s">
        <v>122</v>
      </c>
      <c r="D29" s="93">
        <v>3</v>
      </c>
    </row>
    <row r="30" spans="1:4" ht="15" customHeight="1" x14ac:dyDescent="0.2">
      <c r="A30" s="94" t="s">
        <v>141</v>
      </c>
      <c r="B30" s="92" t="s">
        <v>142</v>
      </c>
      <c r="C30" s="93" t="s">
        <v>122</v>
      </c>
      <c r="D30" s="93">
        <v>3</v>
      </c>
    </row>
    <row r="31" spans="1:4" ht="15" customHeight="1" x14ac:dyDescent="0.2">
      <c r="A31" s="94" t="s">
        <v>143</v>
      </c>
      <c r="B31" s="92" t="s">
        <v>144</v>
      </c>
      <c r="C31" s="93" t="s">
        <v>93</v>
      </c>
      <c r="D31" s="93">
        <v>2</v>
      </c>
    </row>
    <row r="32" spans="1:4" ht="15" customHeight="1" x14ac:dyDescent="0.2">
      <c r="A32" s="94" t="s">
        <v>145</v>
      </c>
      <c r="B32" s="92" t="s">
        <v>146</v>
      </c>
      <c r="C32" s="93" t="s">
        <v>122</v>
      </c>
      <c r="D32" s="93">
        <v>3</v>
      </c>
    </row>
    <row r="33" spans="1:4" ht="15" customHeight="1" x14ac:dyDescent="0.2">
      <c r="A33" s="94" t="s">
        <v>147</v>
      </c>
      <c r="B33" s="92" t="s">
        <v>148</v>
      </c>
      <c r="C33" s="93" t="s">
        <v>96</v>
      </c>
      <c r="D33" s="93">
        <v>5</v>
      </c>
    </row>
    <row r="34" spans="1:4" ht="15" customHeight="1" x14ac:dyDescent="0.2">
      <c r="A34" s="94" t="s">
        <v>149</v>
      </c>
      <c r="B34" s="92" t="s">
        <v>107</v>
      </c>
      <c r="C34" s="93" t="s">
        <v>122</v>
      </c>
      <c r="D34" s="93">
        <v>3</v>
      </c>
    </row>
    <row r="35" spans="1:4" ht="15" customHeight="1" x14ac:dyDescent="0.2">
      <c r="A35" s="94" t="s">
        <v>150</v>
      </c>
      <c r="B35" s="92" t="s">
        <v>151</v>
      </c>
      <c r="C35" s="93" t="s">
        <v>96</v>
      </c>
      <c r="D35" s="93">
        <v>5</v>
      </c>
    </row>
    <row r="36" spans="1:4" ht="15" customHeight="1" x14ac:dyDescent="0.2">
      <c r="A36" s="94" t="s">
        <v>152</v>
      </c>
      <c r="B36" s="92" t="s">
        <v>153</v>
      </c>
      <c r="C36" s="93" t="s">
        <v>107</v>
      </c>
      <c r="D36" s="93">
        <v>1</v>
      </c>
    </row>
    <row r="37" spans="1:4" ht="15" customHeight="1" x14ac:dyDescent="0.2">
      <c r="A37" s="94" t="s">
        <v>154</v>
      </c>
      <c r="B37" s="92" t="s">
        <v>155</v>
      </c>
      <c r="C37" s="93" t="s">
        <v>107</v>
      </c>
      <c r="D37" s="93">
        <v>1</v>
      </c>
    </row>
    <row r="38" spans="1:4" ht="15" customHeight="1" x14ac:dyDescent="0.2">
      <c r="A38" s="94" t="s">
        <v>156</v>
      </c>
      <c r="B38" s="92" t="s">
        <v>157</v>
      </c>
      <c r="C38" s="93" t="s">
        <v>99</v>
      </c>
      <c r="D38" s="93">
        <v>4</v>
      </c>
    </row>
    <row r="39" spans="1:4" ht="15" customHeight="1" x14ac:dyDescent="0.2">
      <c r="A39" s="94" t="s">
        <v>158</v>
      </c>
      <c r="B39" s="92" t="s">
        <v>159</v>
      </c>
      <c r="C39" s="93" t="s">
        <v>107</v>
      </c>
      <c r="D39" s="93">
        <v>1</v>
      </c>
    </row>
    <row r="40" spans="1:4" ht="15" customHeight="1" x14ac:dyDescent="0.2">
      <c r="A40" s="94" t="s">
        <v>160</v>
      </c>
      <c r="B40" s="92" t="s">
        <v>161</v>
      </c>
      <c r="C40" s="93" t="s">
        <v>93</v>
      </c>
      <c r="D40" s="93">
        <v>2</v>
      </c>
    </row>
    <row r="41" spans="1:4" ht="15" customHeight="1" x14ac:dyDescent="0.2">
      <c r="A41" s="94" t="s">
        <v>162</v>
      </c>
      <c r="B41" s="92" t="s">
        <v>163</v>
      </c>
      <c r="C41" s="93" t="s">
        <v>122</v>
      </c>
      <c r="D41" s="93">
        <v>3</v>
      </c>
    </row>
    <row r="42" spans="1:4" ht="15" customHeight="1" x14ac:dyDescent="0.2">
      <c r="A42" s="94" t="s">
        <v>164</v>
      </c>
      <c r="B42" s="92" t="s">
        <v>165</v>
      </c>
      <c r="C42" s="93" t="s">
        <v>122</v>
      </c>
      <c r="D42" s="93">
        <v>3</v>
      </c>
    </row>
    <row r="43" spans="1:4" ht="15" customHeight="1" x14ac:dyDescent="0.2">
      <c r="A43" s="94" t="s">
        <v>166</v>
      </c>
      <c r="B43" s="92" t="s">
        <v>167</v>
      </c>
      <c r="C43" s="93" t="s">
        <v>99</v>
      </c>
      <c r="D43" s="93">
        <v>4</v>
      </c>
    </row>
    <row r="44" spans="1:4" ht="15" customHeight="1" x14ac:dyDescent="0.2">
      <c r="A44" s="94" t="s">
        <v>168</v>
      </c>
      <c r="B44" s="92" t="s">
        <v>169</v>
      </c>
      <c r="C44" s="93" t="s">
        <v>96</v>
      </c>
      <c r="D44" s="93">
        <v>5</v>
      </c>
    </row>
    <row r="45" spans="1:4" ht="15" customHeight="1" x14ac:dyDescent="0.2">
      <c r="A45" s="94" t="s">
        <v>170</v>
      </c>
      <c r="B45" s="92" t="s">
        <v>171</v>
      </c>
      <c r="C45" s="93" t="s">
        <v>107</v>
      </c>
      <c r="D45" s="93">
        <v>1</v>
      </c>
    </row>
    <row r="46" spans="1:4" ht="15" customHeight="1" x14ac:dyDescent="0.2">
      <c r="A46" s="94" t="s">
        <v>172</v>
      </c>
      <c r="B46" s="92" t="s">
        <v>173</v>
      </c>
      <c r="C46" s="93" t="s">
        <v>107</v>
      </c>
      <c r="D46" s="93">
        <v>1</v>
      </c>
    </row>
    <row r="47" spans="1:4" ht="15" customHeight="1" x14ac:dyDescent="0.2">
      <c r="A47" s="94" t="s">
        <v>174</v>
      </c>
      <c r="B47" s="92" t="s">
        <v>175</v>
      </c>
      <c r="C47" s="93" t="s">
        <v>93</v>
      </c>
      <c r="D47" s="93">
        <v>2</v>
      </c>
    </row>
    <row r="48" spans="1:4" ht="15" customHeight="1" x14ac:dyDescent="0.2">
      <c r="A48" s="94" t="s">
        <v>176</v>
      </c>
      <c r="B48" s="92" t="s">
        <v>177</v>
      </c>
      <c r="C48" s="93" t="s">
        <v>122</v>
      </c>
      <c r="D48" s="93">
        <v>3</v>
      </c>
    </row>
    <row r="49" spans="1:4" ht="15" customHeight="1" x14ac:dyDescent="0.2">
      <c r="A49" s="94" t="s">
        <v>178</v>
      </c>
      <c r="B49" s="92" t="s">
        <v>179</v>
      </c>
      <c r="C49" s="93" t="s">
        <v>93</v>
      </c>
      <c r="D49" s="93">
        <v>2</v>
      </c>
    </row>
    <row r="50" spans="1:4" ht="15" customHeight="1" x14ac:dyDescent="0.2">
      <c r="A50" s="94" t="s">
        <v>180</v>
      </c>
      <c r="B50" s="92" t="s">
        <v>181</v>
      </c>
      <c r="C50" s="93" t="s">
        <v>99</v>
      </c>
      <c r="D50" s="93">
        <v>4</v>
      </c>
    </row>
    <row r="51" spans="1:4" ht="15" customHeight="1" x14ac:dyDescent="0.2">
      <c r="A51" s="94" t="s">
        <v>182</v>
      </c>
      <c r="B51" s="92" t="s">
        <v>183</v>
      </c>
      <c r="C51" s="93" t="s">
        <v>96</v>
      </c>
      <c r="D51" s="93">
        <v>5</v>
      </c>
    </row>
    <row r="52" spans="1:4" ht="15" customHeight="1" x14ac:dyDescent="0.2">
      <c r="A52" s="94" t="s">
        <v>184</v>
      </c>
      <c r="B52" s="92" t="s">
        <v>185</v>
      </c>
      <c r="C52" s="93" t="s">
        <v>107</v>
      </c>
      <c r="D52" s="93">
        <v>1</v>
      </c>
    </row>
    <row r="53" spans="1:4" ht="15" customHeight="1" x14ac:dyDescent="0.2">
      <c r="A53" s="94" t="s">
        <v>186</v>
      </c>
      <c r="B53" s="92" t="s">
        <v>187</v>
      </c>
      <c r="C53" s="93" t="s">
        <v>93</v>
      </c>
      <c r="D53" s="93">
        <v>2</v>
      </c>
    </row>
    <row r="54" spans="1:4" ht="15" customHeight="1" x14ac:dyDescent="0.2">
      <c r="A54" s="94" t="s">
        <v>188</v>
      </c>
      <c r="B54" s="92" t="s">
        <v>189</v>
      </c>
      <c r="C54" s="93" t="s">
        <v>96</v>
      </c>
      <c r="D54" s="93">
        <v>5</v>
      </c>
    </row>
    <row r="55" spans="1:4" ht="15" customHeight="1" x14ac:dyDescent="0.2">
      <c r="A55" s="94" t="s">
        <v>190</v>
      </c>
      <c r="B55" s="92" t="s">
        <v>191</v>
      </c>
      <c r="C55" s="93" t="s">
        <v>93</v>
      </c>
      <c r="D55" s="93">
        <v>2</v>
      </c>
    </row>
    <row r="56" spans="1:4" ht="15" customHeight="1" x14ac:dyDescent="0.2">
      <c r="A56" s="94" t="s">
        <v>192</v>
      </c>
      <c r="B56" s="92" t="s">
        <v>193</v>
      </c>
      <c r="C56" s="93" t="s">
        <v>122</v>
      </c>
      <c r="D56" s="93">
        <v>3</v>
      </c>
    </row>
    <row r="57" spans="1:4" ht="15" customHeight="1" x14ac:dyDescent="0.2">
      <c r="A57" s="94" t="s">
        <v>194</v>
      </c>
      <c r="B57" s="92" t="s">
        <v>195</v>
      </c>
      <c r="C57" s="93" t="s">
        <v>96</v>
      </c>
      <c r="D57" s="93">
        <v>5</v>
      </c>
    </row>
  </sheetData>
  <phoneticPr fontId="2" type="noConversion"/>
  <pageMargins left="0.75" right="0.75" top="1" bottom="1" header="0.5" footer="0.5"/>
  <pageSetup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C23B7A315D434A8072106EED37CA6B" ma:contentTypeVersion="12" ma:contentTypeDescription="Create a new document." ma:contentTypeScope="" ma:versionID="6a9d08bbc5a838c262a20aeb012eeef3">
  <xsd:schema xmlns:xsd="http://www.w3.org/2001/XMLSchema" xmlns:xs="http://www.w3.org/2001/XMLSchema" xmlns:p="http://schemas.microsoft.com/office/2006/metadata/properties" xmlns:ns3="1dd9b365-2dee-445a-8029-dd3730e20ecb" xmlns:ns4="047c0153-4877-46d5-b392-4dc4097c5831" targetNamespace="http://schemas.microsoft.com/office/2006/metadata/properties" ma:root="true" ma:fieldsID="97886e83283f46591b2b249e02853881" ns3:_="" ns4:_="">
    <xsd:import namespace="1dd9b365-2dee-445a-8029-dd3730e20ecb"/>
    <xsd:import namespace="047c0153-4877-46d5-b392-4dc4097c583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9b365-2dee-445a-8029-dd3730e20e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7c0153-4877-46d5-b392-4dc4097c583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78C239-3CB0-48EF-9AA0-15CC5371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9b365-2dee-445a-8029-dd3730e20ecb"/>
    <ds:schemaRef ds:uri="047c0153-4877-46d5-b392-4dc4097c58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73DED7-F822-4318-82D1-0111E8C39A43}">
  <ds:schemaRefs>
    <ds:schemaRef ds:uri="http://schemas.microsoft.com/sharepoint/v3/contenttype/forms"/>
  </ds:schemaRefs>
</ds:datastoreItem>
</file>

<file path=customXml/itemProps3.xml><?xml version="1.0" encoding="utf-8"?>
<ds:datastoreItem xmlns:ds="http://schemas.openxmlformats.org/officeDocument/2006/customXml" ds:itemID="{006FF9B2-49B3-4B3C-8FAE-11CE4F69A6F2}">
  <ds:schemaRefs>
    <ds:schemaRef ds:uri="http://www.w3.org/XML/1998/namespace"/>
    <ds:schemaRef ds:uri="http://purl.org/dc/dcmitype/"/>
    <ds:schemaRef ds:uri="http://schemas.microsoft.com/office/2006/documentManagement/types"/>
    <ds:schemaRef ds:uri="http://schemas.microsoft.com/office/2006/metadata/properties"/>
    <ds:schemaRef ds:uri="047c0153-4877-46d5-b392-4dc4097c5831"/>
    <ds:schemaRef ds:uri="http://purl.org/dc/terms/"/>
    <ds:schemaRef ds:uri="http://purl.org/dc/elements/1.1/"/>
    <ds:schemaRef ds:uri="http://schemas.microsoft.com/office/infopath/2007/PartnerControls"/>
    <ds:schemaRef ds:uri="http://schemas.openxmlformats.org/package/2006/metadata/core-properties"/>
    <ds:schemaRef ds:uri="1dd9b365-2dee-445a-8029-dd3730e20e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18</vt:i4>
      </vt:variant>
    </vt:vector>
  </HeadingPairs>
  <TitlesOfParts>
    <vt:vector size="82" baseType="lpstr">
      <vt:lpstr>Documentation</vt:lpstr>
      <vt:lpstr>Functions</vt:lpstr>
      <vt:lpstr>_Boolean</vt:lpstr>
      <vt:lpstr>Relational_Operators</vt:lpstr>
      <vt:lpstr>Range_Names</vt:lpstr>
      <vt:lpstr>Boolean_Functions</vt:lpstr>
      <vt:lpstr>Simple</vt:lpstr>
      <vt:lpstr>IFERROR</vt:lpstr>
      <vt:lpstr>OR</vt:lpstr>
      <vt:lpstr>Long_List</vt:lpstr>
      <vt:lpstr>Language</vt:lpstr>
      <vt:lpstr>2-step</vt:lpstr>
      <vt:lpstr>Array</vt:lpstr>
      <vt:lpstr>AND</vt:lpstr>
      <vt:lpstr>Between</vt:lpstr>
      <vt:lpstr>NOT</vt:lpstr>
      <vt:lpstr>Flexible</vt:lpstr>
      <vt:lpstr>_Conditional Formatting</vt:lpstr>
      <vt:lpstr>Applying</vt:lpstr>
      <vt:lpstr>Preset</vt:lpstr>
      <vt:lpstr>Cells_Value</vt:lpstr>
      <vt:lpstr>Duplicate_Unique</vt:lpstr>
      <vt:lpstr>Color_Scales</vt:lpstr>
      <vt:lpstr>Top_Bottom_Ranked</vt:lpstr>
      <vt:lpstr>Cells_Based_on_Other_Cells</vt:lpstr>
      <vt:lpstr>Use_Formula</vt:lpstr>
      <vt:lpstr>Rule_Order_1</vt:lpstr>
      <vt:lpstr>Rule_Order_2</vt:lpstr>
      <vt:lpstr>Stop_if_true</vt:lpstr>
      <vt:lpstr>_IF</vt:lpstr>
      <vt:lpstr>IF</vt:lpstr>
      <vt:lpstr>True-False</vt:lpstr>
      <vt:lpstr>Simple_Calc</vt:lpstr>
      <vt:lpstr>Flexible_IF</vt:lpstr>
      <vt:lpstr>Error_Checking</vt:lpstr>
      <vt:lpstr>Nested_IF</vt:lpstr>
      <vt:lpstr>IFS</vt:lpstr>
      <vt:lpstr>with_=</vt:lpstr>
      <vt:lpstr>IFS_2</vt:lpstr>
      <vt:lpstr>with_AND</vt:lpstr>
      <vt:lpstr>with_&lt;</vt:lpstr>
      <vt:lpstr>with_&gt;=</vt:lpstr>
      <vt:lpstr>IFS_3_AND</vt:lpstr>
      <vt:lpstr>IFS_3</vt:lpstr>
      <vt:lpstr>Required_Nested_IF</vt:lpstr>
      <vt:lpstr>IFS_4</vt:lpstr>
      <vt:lpstr>Conditional_2</vt:lpstr>
      <vt:lpstr>Complex</vt:lpstr>
      <vt:lpstr>IS</vt:lpstr>
      <vt:lpstr>Dynamic_Arrays</vt:lpstr>
      <vt:lpstr>Dynamic_Arrays_2</vt:lpstr>
      <vt:lpstr>Spilling</vt:lpstr>
      <vt:lpstr>2-Tennis Balls</vt:lpstr>
      <vt:lpstr>2-Costs</vt:lpstr>
      <vt:lpstr>2-Orders</vt:lpstr>
      <vt:lpstr>2-Discount</vt:lpstr>
      <vt:lpstr>2-ShipByRegion</vt:lpstr>
      <vt:lpstr>3-Products</vt:lpstr>
      <vt:lpstr>3-Orders</vt:lpstr>
      <vt:lpstr>3-Pricing Schedule 1</vt:lpstr>
      <vt:lpstr>3-Pricing Schedule 2</vt:lpstr>
      <vt:lpstr>3-Discount</vt:lpstr>
      <vt:lpstr>3-Shipping</vt:lpstr>
      <vt:lpstr>3-States</vt:lpstr>
      <vt:lpstr>Bye</vt:lpstr>
      <vt:lpstr>Discounts</vt:lpstr>
      <vt:lpstr>element_designator</vt:lpstr>
      <vt:lpstr>Hi</vt:lpstr>
      <vt:lpstr>Last_Modified</vt:lpstr>
      <vt:lpstr>Price2</vt:lpstr>
      <vt:lpstr>Pricing</vt:lpstr>
      <vt:lpstr>Products</vt:lpstr>
      <vt:lpstr>rles</vt:lpstr>
      <vt:lpstr>Schedule1</vt:lpstr>
      <vt:lpstr>Schedule2</vt:lpstr>
      <vt:lpstr>Schedule3</vt:lpstr>
      <vt:lpstr>Shipping1</vt:lpstr>
      <vt:lpstr>Shipping2</vt:lpstr>
      <vt:lpstr>Shipping3</vt:lpstr>
      <vt:lpstr>States</vt:lpstr>
      <vt:lpstr>toc</vt:lpstr>
      <vt:lpstr>Totals</vt:lpstr>
    </vt:vector>
  </TitlesOfParts>
  <Company>UNC - 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Day</dc:creator>
  <cp:lastModifiedBy>Travis Day</cp:lastModifiedBy>
  <dcterms:created xsi:type="dcterms:W3CDTF">2007-02-26T14:35:44Z</dcterms:created>
  <dcterms:modified xsi:type="dcterms:W3CDTF">2022-08-15T12:45:03Z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ypist">
    <vt:lpwstr>Travis Day</vt:lpwstr>
  </property>
  <property fmtid="{D5CDD505-2E9C-101B-9397-08002B2CF9AE}" pid="3" name="ContentTypeId">
    <vt:lpwstr>0x01010083C23B7A315D434A8072106EED37CA6B</vt:lpwstr>
  </property>
</Properties>
</file>