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fhor\OneDrive\BUSI520\week7\"/>
    </mc:Choice>
  </mc:AlternateContent>
  <xr:revisionPtr revIDLastSave="0" documentId="13_ncr:1_{35F55B2C-D91E-4AC1-AF06-C34F0CCFDEF4}" xr6:coauthVersionLast="47" xr6:coauthVersionMax="47" xr10:uidLastSave="{00000000-0000-0000-0000-000000000000}"/>
  <bookViews>
    <workbookView xWindow="28680" yWindow="-120" windowWidth="29040" windowHeight="17520" xr2:uid="{22087CAF-49CA-428C-B5D6-EA7B2182EFAF}"/>
  </bookViews>
  <sheets>
    <sheet name="Documentation" sheetId="2" r:id="rId1"/>
    <sheet name="Taxes" sheetId="5" r:id="rId2"/>
    <sheet name="Taxes (INDEX)" sheetId="6" r:id="rId3"/>
  </sheets>
  <definedNames>
    <definedName name="Actual_Owed">Taxes!$F$16:$F$26</definedName>
    <definedName name="Allowance">Taxes!$O$16:$O$26</definedName>
    <definedName name="Alternate_2">Taxes!$N$16:$N$26</definedName>
    <definedName name="Estimated">Taxes!$E$16:$E$26</definedName>
    <definedName name="Flat_1">Taxes!$G$16:$G$26</definedName>
    <definedName name="Flat_2">Taxes!$H$16:$H$26</definedName>
    <definedName name="flat1rate">Taxes!$G$6:$G$11</definedName>
    <definedName name="flat2rate">Taxes!$H$6:$H$11</definedName>
    <definedName name="ID">Taxes!$A$16:$A$26</definedName>
    <definedName name="Penalty_1">Taxes!$M$16:$M$26</definedName>
    <definedName name="Penalty_Actual">Taxes!$L$16:$L$26</definedName>
    <definedName name="State">Taxes!$C$16:$C$26</definedName>
    <definedName name="Taxable">Taxes!$B$16:$B$26</definedName>
    <definedName name="Unpaid_1">Taxes!$J$16:$J$26</definedName>
    <definedName name="Unpaid_2">Taxes!$K$16:$K$26</definedName>
    <definedName name="Unpaid_Actual">Taxes!$I$16:$I$26</definedName>
    <definedName name="Witholding">Taxes!$D$16:$D$26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7" i="6" l="1"/>
  <c r="J17" i="6" s="1"/>
  <c r="M17" i="6" s="1"/>
  <c r="H17" i="6"/>
  <c r="K17" i="6" s="1"/>
  <c r="N17" i="6" s="1"/>
  <c r="G18" i="6"/>
  <c r="J18" i="6" s="1"/>
  <c r="M18" i="6" s="1"/>
  <c r="H18" i="6"/>
  <c r="K18" i="6" s="1"/>
  <c r="N18" i="6" s="1"/>
  <c r="G19" i="6"/>
  <c r="J19" i="6" s="1"/>
  <c r="M19" i="6" s="1"/>
  <c r="H19" i="6"/>
  <c r="K19" i="6" s="1"/>
  <c r="N19" i="6" s="1"/>
  <c r="G20" i="6"/>
  <c r="J20" i="6" s="1"/>
  <c r="M20" i="6" s="1"/>
  <c r="H20" i="6"/>
  <c r="K20" i="6" s="1"/>
  <c r="N20" i="6" s="1"/>
  <c r="G21" i="6"/>
  <c r="J21" i="6" s="1"/>
  <c r="M21" i="6" s="1"/>
  <c r="H21" i="6"/>
  <c r="K21" i="6" s="1"/>
  <c r="N21" i="6" s="1"/>
  <c r="G22" i="6"/>
  <c r="J22" i="6" s="1"/>
  <c r="M22" i="6" s="1"/>
  <c r="H22" i="6"/>
  <c r="K22" i="6" s="1"/>
  <c r="N22" i="6" s="1"/>
  <c r="G23" i="6"/>
  <c r="J23" i="6" s="1"/>
  <c r="M23" i="6" s="1"/>
  <c r="H23" i="6"/>
  <c r="K23" i="6" s="1"/>
  <c r="N23" i="6" s="1"/>
  <c r="G24" i="6"/>
  <c r="J24" i="6" s="1"/>
  <c r="M24" i="6" s="1"/>
  <c r="H24" i="6"/>
  <c r="K24" i="6" s="1"/>
  <c r="N24" i="6" s="1"/>
  <c r="G25" i="6"/>
  <c r="J25" i="6" s="1"/>
  <c r="M25" i="6" s="1"/>
  <c r="H25" i="6"/>
  <c r="K25" i="6" s="1"/>
  <c r="N25" i="6" s="1"/>
  <c r="H16" i="6"/>
  <c r="K16" i="6" s="1"/>
  <c r="N16" i="6" s="1"/>
  <c r="G16" i="6"/>
  <c r="J16" i="6" s="1"/>
  <c r="M16" i="6" s="1"/>
  <c r="O16" i="6"/>
  <c r="O17" i="6"/>
  <c r="O18" i="6"/>
  <c r="O19" i="6"/>
  <c r="O20" i="6"/>
  <c r="O21" i="6"/>
  <c r="O22" i="6"/>
  <c r="O23" i="6"/>
  <c r="O24" i="6"/>
  <c r="O25" i="6"/>
  <c r="O28" i="6"/>
  <c r="N28" i="6"/>
  <c r="M28" i="6"/>
  <c r="L28" i="6"/>
  <c r="K28" i="6"/>
  <c r="J28" i="6"/>
  <c r="I28" i="6"/>
  <c r="H28" i="6"/>
  <c r="G28" i="6"/>
  <c r="F28" i="6"/>
  <c r="E28" i="6"/>
  <c r="D28" i="6"/>
  <c r="C28" i="6"/>
  <c r="B28" i="6"/>
  <c r="I25" i="6"/>
  <c r="L25" i="6" s="1"/>
  <c r="I24" i="6"/>
  <c r="L24" i="6" s="1"/>
  <c r="I23" i="6"/>
  <c r="L23" i="6" s="1"/>
  <c r="I22" i="6"/>
  <c r="L22" i="6" s="1"/>
  <c r="I21" i="6"/>
  <c r="L21" i="6" s="1"/>
  <c r="I20" i="6"/>
  <c r="L20" i="6" s="1"/>
  <c r="I19" i="6"/>
  <c r="L19" i="6" s="1"/>
  <c r="I18" i="6"/>
  <c r="L18" i="6" s="1"/>
  <c r="I17" i="6"/>
  <c r="L17" i="6" s="1"/>
  <c r="I16" i="6"/>
  <c r="L16" i="6" s="1"/>
  <c r="B28" i="5"/>
  <c r="I28" i="5"/>
  <c r="F28" i="5"/>
  <c r="D28" i="5"/>
  <c r="E28" i="5"/>
  <c r="C28" i="5"/>
  <c r="O17" i="5"/>
  <c r="O18" i="5"/>
  <c r="O19" i="5"/>
  <c r="O20" i="5"/>
  <c r="O21" i="5"/>
  <c r="O22" i="5"/>
  <c r="O23" i="5"/>
  <c r="O24" i="5"/>
  <c r="O25" i="5"/>
  <c r="O16" i="5"/>
  <c r="I19" i="5"/>
  <c r="L17" i="5"/>
  <c r="L18" i="5"/>
  <c r="L19" i="5"/>
  <c r="L20" i="5"/>
  <c r="L21" i="5"/>
  <c r="L22" i="5"/>
  <c r="L23" i="5"/>
  <c r="L24" i="5"/>
  <c r="L25" i="5"/>
  <c r="L16" i="5"/>
  <c r="I17" i="5"/>
  <c r="I18" i="5"/>
  <c r="I20" i="5"/>
  <c r="I21" i="5"/>
  <c r="I22" i="5"/>
  <c r="I23" i="5"/>
  <c r="I24" i="5"/>
  <c r="I25" i="5"/>
  <c r="I16" i="5"/>
  <c r="H17" i="5"/>
  <c r="K17" i="5" s="1"/>
  <c r="N17" i="5" s="1"/>
  <c r="H18" i="5"/>
  <c r="K18" i="5" s="1"/>
  <c r="N18" i="5" s="1"/>
  <c r="H19" i="5"/>
  <c r="K19" i="5" s="1"/>
  <c r="N19" i="5" s="1"/>
  <c r="H20" i="5"/>
  <c r="K20" i="5" s="1"/>
  <c r="N20" i="5" s="1"/>
  <c r="H21" i="5"/>
  <c r="K21" i="5" s="1"/>
  <c r="N21" i="5" s="1"/>
  <c r="H22" i="5"/>
  <c r="K22" i="5" s="1"/>
  <c r="N22" i="5" s="1"/>
  <c r="H23" i="5"/>
  <c r="K23" i="5" s="1"/>
  <c r="N23" i="5" s="1"/>
  <c r="H24" i="5"/>
  <c r="K24" i="5" s="1"/>
  <c r="N24" i="5" s="1"/>
  <c r="H25" i="5"/>
  <c r="K25" i="5" s="1"/>
  <c r="N25" i="5" s="1"/>
  <c r="H16" i="5"/>
  <c r="K16" i="5" s="1"/>
  <c r="G17" i="5"/>
  <c r="J17" i="5" s="1"/>
  <c r="M17" i="5" s="1"/>
  <c r="G18" i="5"/>
  <c r="J18" i="5" s="1"/>
  <c r="M18" i="5" s="1"/>
  <c r="G19" i="5"/>
  <c r="J19" i="5" s="1"/>
  <c r="M19" i="5" s="1"/>
  <c r="G20" i="5"/>
  <c r="J20" i="5" s="1"/>
  <c r="M20" i="5" s="1"/>
  <c r="G21" i="5"/>
  <c r="J21" i="5" s="1"/>
  <c r="M21" i="5" s="1"/>
  <c r="G22" i="5"/>
  <c r="J22" i="5" s="1"/>
  <c r="M22" i="5" s="1"/>
  <c r="G23" i="5"/>
  <c r="J23" i="5" s="1"/>
  <c r="M23" i="5" s="1"/>
  <c r="G24" i="5"/>
  <c r="J24" i="5" s="1"/>
  <c r="M24" i="5" s="1"/>
  <c r="G25" i="5"/>
  <c r="J25" i="5" s="1"/>
  <c r="M25" i="5" s="1"/>
  <c r="G16" i="5"/>
  <c r="O28" i="5" l="1"/>
  <c r="G28" i="5"/>
  <c r="L28" i="5"/>
  <c r="K28" i="5"/>
  <c r="H28" i="5"/>
  <c r="N16" i="5"/>
  <c r="N28" i="5" s="1"/>
  <c r="J16" i="5"/>
  <c r="M16" i="5" l="1"/>
  <c r="M28" i="5" s="1"/>
  <c r="J28"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Hornung, Cheryl</author>
  </authors>
  <commentList>
    <comment ref="A2" authorId="0" shapeId="0" xr:uid="{DA866D27-AF8E-431F-95DB-EDB0AAE0E1F6}">
      <text>
        <r>
          <rPr>
            <b/>
            <sz val="9"/>
            <color indexed="81"/>
            <rFont val="Tahoma"/>
            <family val="2"/>
          </rPr>
          <t>Click the minus ("-") button to collapse, alternatively click the plus ("+") button to expand assumptions.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Hornung, Cheryl</author>
  </authors>
  <commentList>
    <comment ref="A2" authorId="0" shapeId="0" xr:uid="{501F75E5-49F1-4F3F-AACC-FDB2B489B63A}">
      <text>
        <r>
          <rPr>
            <b/>
            <sz val="9"/>
            <color indexed="81"/>
            <rFont val="Tahoma"/>
            <family val="2"/>
          </rPr>
          <t>Click the minus ("-") button to collapse, alternatively click the plus ("+") button to expand assumptions.</t>
        </r>
      </text>
    </comment>
  </commentList>
</comments>
</file>

<file path=xl/sharedStrings.xml><?xml version="1.0" encoding="utf-8"?>
<sst xmlns="http://schemas.openxmlformats.org/spreadsheetml/2006/main" count="112" uniqueCount="50">
  <si>
    <t>This page</t>
  </si>
  <si>
    <t>Documentation</t>
  </si>
  <si>
    <t>Worksheet Description</t>
  </si>
  <si>
    <t>Worksheet Name</t>
  </si>
  <si>
    <t>Workbook Description:</t>
  </si>
  <si>
    <t>Last Modified:</t>
  </si>
  <si>
    <t>Cheryl Hornung</t>
  </si>
  <si>
    <t>Created by:</t>
  </si>
  <si>
    <t>I, Cheryl Fawn Hornung, have abided by this honor code.</t>
  </si>
  <si>
    <t>Honor Code:
   On my honor, I have neither given nor received any unauthorized aid in completion of this assignment.  I recognize that I am allowed to help my classmates with questions or problems, and I am also allowed to seek help from classmates.  But ultimately, I have created and completed this assignment on my own.  This file is my own.  I have not referred to, used, or copied a file that has been given to me by anyone else; nor have I given a copy of my file to anyone else. 
   I have used my own computer to complete the assignment and I have not given anyone else access to my computer or to my files.  I understand that if I must use another person’s computer, or I need to lend another person my computer, I will take steps to ensure that unauthorized files are not accessible.  (For example, only lend someone your computer while logged in using a “guest” account…not using your own account.)</t>
  </si>
  <si>
    <t>BUSI_520_Assignment_Submission_Week_7!</t>
  </si>
  <si>
    <t>Evaluating Tax Rates for the Arlington Group</t>
  </si>
  <si>
    <t>&lt;</t>
  </si>
  <si>
    <t>Flat Tax Rate</t>
  </si>
  <si>
    <t>Penalty Schedule</t>
  </si>
  <si>
    <t>State Allowances</t>
  </si>
  <si>
    <t>Flat Tax Owed</t>
  </si>
  <si>
    <t>Unpaid Tax</t>
  </si>
  <si>
    <t>ID #</t>
  </si>
  <si>
    <t>Taxable Income</t>
  </si>
  <si>
    <t>State of Residence</t>
  </si>
  <si>
    <t>Withholding Taxes Paid</t>
  </si>
  <si>
    <t>Estimated Taxes Paid</t>
  </si>
  <si>
    <t>Actual Tax Owed</t>
  </si>
  <si>
    <t>Alternate 1</t>
  </si>
  <si>
    <t>Alternate 2</t>
  </si>
  <si>
    <t>Actual</t>
  </si>
  <si>
    <t xml:space="preserve">Actual </t>
  </si>
  <si>
    <t>State Allowance</t>
  </si>
  <si>
    <t>Totals:</t>
  </si>
  <si>
    <t>Taxes</t>
  </si>
  <si>
    <t>A data file is provided that includes schedules for the proposed tax rates, penalties, and state allowances.  To complete this study, your task is to analyze the total taxes owed based on two new flat rate tax alternatives. In addition, you will compare the residual amount owed and penalties applied to that residual amount for each alternate.</t>
  </si>
  <si>
    <t>&amp; above</t>
  </si>
  <si>
    <t>Income Range</t>
  </si>
  <si>
    <t>Penalty Owed</t>
  </si>
  <si>
    <t>Tax Owed Range</t>
  </si>
  <si>
    <t>Penalty %</t>
  </si>
  <si>
    <t>Tax % 1</t>
  </si>
  <si>
    <t>Tax % 2</t>
  </si>
  <si>
    <t>NC</t>
  </si>
  <si>
    <t>GA</t>
  </si>
  <si>
    <t>TN</t>
  </si>
  <si>
    <t>OK</t>
  </si>
  <si>
    <t>FL</t>
  </si>
  <si>
    <t>SC</t>
  </si>
  <si>
    <t>NY</t>
  </si>
  <si>
    <t>State</t>
  </si>
  <si>
    <t>Allowance</t>
  </si>
  <si>
    <t>Taxes Index</t>
  </si>
  <si>
    <t> Now make a copy of the “Taxes” sheet and name this new sheet "Taxes (INDEX)".   On this sheet, re-do your lookup formulas, using INDEX &amp; MATCH anywhere you previously used a lookup function.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</si>
</sst>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quot;$&quot;* #,##0_);_(&quot;$&quot;* \(#,##0\);_(&quot;$&quot;* &quot;-&quot;_);_(@_)"/>
    <numFmt numFmtId="41" formatCode="_(* #,##0_);_(* \(#,##0\);_(* &quot;-&quot;_);_(@_)"/>
    <numFmt numFmtId="178" formatCode="0000"/>
    <numFmt numFmtId="181" formatCode="&quot;&gt;=&quot;\ &quot;$&quot;#,##0"/>
    <numFmt numFmtId="191" formatCode="&quot;&gt;=&quot;_(&quot;$&quot;* #,##0_);_(&quot;$&quot;* \(#,##0\)"/>
    <numFmt numFmtId="192" formatCode="&quot;&lt;&quot;_(&quot;$&quot;* #,##0_);_(&quot;$&quot;* \(#,##0\);_(&quot;$&quot;* &quot;-&quot;_);_(@_)"/>
    <numFmt numFmtId="193" formatCode="&quot;&gt;=&quot;_(* #,##0_);_(* \(#,##0\);_(* &quot;-&quot;_);_(@_)"/>
    <numFmt numFmtId="194" formatCode="&quot;&lt;&quot;_(* #,##0_);_(* \(#,##0\);_(* &quot;-&quot;_);_(@_)"/>
  </numFmts>
  <fonts count="16" x14ac:knownFonts="1">
    <font>
      <sz val="11"/>
      <color theme="1"/>
      <name val="Calibri"/>
      <family val="2"/>
      <scheme val="minor"/>
    </font>
    <font>
      <sz val="11"/>
      <color theme="1"/>
      <name val="Arial"/>
      <family val="2"/>
    </font>
    <font>
      <sz val="14"/>
      <color theme="1"/>
      <name val="Arial"/>
      <family val="2"/>
    </font>
    <font>
      <b/>
      <u/>
      <sz val="14"/>
      <color theme="1"/>
      <name val="Arial"/>
      <family val="2"/>
    </font>
    <font>
      <b/>
      <sz val="14"/>
      <color theme="1"/>
      <name val="Arial"/>
      <family val="2"/>
    </font>
    <font>
      <b/>
      <sz val="22"/>
      <color theme="1"/>
      <name val="Arial"/>
      <family val="2"/>
    </font>
    <font>
      <sz val="11"/>
      <color theme="1"/>
      <name val="Calibri"/>
      <family val="2"/>
      <scheme val="minor"/>
    </font>
    <font>
      <u/>
      <sz val="11"/>
      <color theme="10"/>
      <name val="Calibri"/>
      <family val="2"/>
      <scheme val="minor"/>
    </font>
    <font>
      <b/>
      <sz val="9"/>
      <color indexed="81"/>
      <name val="Tahoma"/>
      <family val="2"/>
    </font>
    <font>
      <sz val="12"/>
      <color theme="1"/>
      <name val="Arial"/>
      <family val="2"/>
    </font>
    <font>
      <sz val="12"/>
      <color rgb="FF333333"/>
      <name val="Arial"/>
      <family val="2"/>
    </font>
    <font>
      <b/>
      <sz val="16"/>
      <color theme="1"/>
      <name val="Arial"/>
      <family val="2"/>
    </font>
    <font>
      <b/>
      <sz val="12"/>
      <color theme="1"/>
      <name val="Arial"/>
      <family val="2"/>
    </font>
    <font>
      <b/>
      <sz val="11"/>
      <color theme="1"/>
      <name val="Arial"/>
      <family val="2"/>
    </font>
    <font>
      <sz val="11"/>
      <color rgb="FF0070C0"/>
      <name val="Arial"/>
      <family val="2"/>
    </font>
    <font>
      <u/>
      <sz val="22"/>
      <color theme="10"/>
      <name val="Arial"/>
      <family val="2"/>
    </font>
  </fonts>
  <fills count="9">
    <fill>
      <patternFill patternType="none"/>
    </fill>
    <fill>
      <patternFill patternType="gray125"/>
    </fill>
    <fill>
      <patternFill patternType="solid">
        <fgColor rgb="FFF7FABC"/>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FF5050"/>
        <bgColor indexed="64"/>
      </patternFill>
    </fill>
    <fill>
      <patternFill patternType="solid">
        <fgColor rgb="FF9999FF"/>
        <bgColor indexed="64"/>
      </patternFill>
    </fill>
    <fill>
      <patternFill patternType="solid">
        <fgColor rgb="FF00B0F0"/>
        <bgColor indexed="64"/>
      </patternFill>
    </fill>
  </fills>
  <borders count="7">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3">
    <xf numFmtId="0" fontId="0" fillId="0" borderId="0"/>
    <xf numFmtId="9" fontId="6" fillId="0" borderId="0" applyFont="0" applyFill="0" applyBorder="0" applyAlignment="0" applyProtection="0"/>
    <xf numFmtId="0" fontId="7" fillId="0" borderId="0" applyNumberFormat="0" applyFill="0" applyBorder="0" applyAlignment="0" applyProtection="0"/>
  </cellStyleXfs>
  <cellXfs count="64">
    <xf numFmtId="0" fontId="0" fillId="0" borderId="0" xfId="0"/>
    <xf numFmtId="0" fontId="1" fillId="0" borderId="0" xfId="0" applyFont="1"/>
    <xf numFmtId="0" fontId="1" fillId="0" borderId="3" xfId="0" applyFont="1" applyBorder="1"/>
    <xf numFmtId="0" fontId="1" fillId="0" borderId="4" xfId="0" applyFont="1" applyBorder="1"/>
    <xf numFmtId="0" fontId="5" fillId="3" borderId="6" xfId="0" applyFont="1" applyFill="1" applyBorder="1" applyAlignment="1">
      <alignment horizontal="centerContinuous"/>
    </xf>
    <xf numFmtId="0" fontId="1" fillId="3" borderId="5" xfId="0" applyFont="1" applyFill="1" applyBorder="1" applyAlignment="1">
      <alignment horizontal="centerContinuous"/>
    </xf>
    <xf numFmtId="0" fontId="4" fillId="3" borderId="4" xfId="0" applyFont="1" applyFill="1" applyBorder="1"/>
    <xf numFmtId="0" fontId="4" fillId="3" borderId="4" xfId="0" applyFont="1" applyFill="1" applyBorder="1" applyAlignment="1">
      <alignment vertical="top"/>
    </xf>
    <xf numFmtId="0" fontId="3" fillId="3" borderId="4" xfId="0" applyFont="1" applyFill="1" applyBorder="1" applyAlignment="1">
      <alignment horizontal="center"/>
    </xf>
    <xf numFmtId="0" fontId="3" fillId="3" borderId="3" xfId="0" applyFont="1" applyFill="1" applyBorder="1" applyAlignment="1">
      <alignment horizontal="center"/>
    </xf>
    <xf numFmtId="0" fontId="1" fillId="0" borderId="4" xfId="0" applyFont="1" applyBorder="1" applyAlignment="1">
      <alignment horizontal="center" vertical="center" wrapText="1"/>
    </xf>
    <xf numFmtId="0" fontId="9" fillId="0" borderId="3" xfId="0" applyFont="1" applyBorder="1" applyAlignment="1">
      <alignment horizontal="left" vertical="center"/>
    </xf>
    <xf numFmtId="0" fontId="9" fillId="0" borderId="3" xfId="0" applyFont="1" applyBorder="1" applyAlignment="1">
      <alignment wrapText="1"/>
    </xf>
    <xf numFmtId="0" fontId="2" fillId="2" borderId="3" xfId="0" applyFont="1" applyFill="1" applyBorder="1"/>
    <xf numFmtId="22" fontId="2" fillId="2" borderId="3" xfId="0" applyNumberFormat="1" applyFont="1" applyFill="1" applyBorder="1" applyAlignment="1">
      <alignment horizontal="left"/>
    </xf>
    <xf numFmtId="0" fontId="2" fillId="2" borderId="3" xfId="0" applyFont="1" applyFill="1" applyBorder="1" applyAlignment="1">
      <alignment wrapText="1"/>
    </xf>
    <xf numFmtId="0" fontId="11" fillId="0" borderId="0" xfId="0" applyFont="1" applyAlignment="1">
      <alignment horizontal="centerContinuous"/>
    </xf>
    <xf numFmtId="0" fontId="12" fillId="0" borderId="0" xfId="0" applyFont="1"/>
    <xf numFmtId="0" fontId="12" fillId="5" borderId="0" xfId="0" applyFont="1" applyFill="1" applyAlignment="1">
      <alignment horizontal="centerContinuous"/>
    </xf>
    <xf numFmtId="0" fontId="12" fillId="6" borderId="0" xfId="0" applyFont="1" applyFill="1" applyAlignment="1">
      <alignment horizontal="centerContinuous"/>
    </xf>
    <xf numFmtId="0" fontId="12" fillId="7" borderId="0" xfId="0" applyFont="1" applyFill="1" applyAlignment="1">
      <alignment horizontal="centerContinuous"/>
    </xf>
    <xf numFmtId="0" fontId="13" fillId="0" borderId="0" xfId="0" applyFont="1"/>
    <xf numFmtId="0" fontId="13" fillId="5" borderId="0" xfId="0" applyFont="1" applyFill="1" applyAlignment="1">
      <alignment horizontal="centerContinuous"/>
    </xf>
    <xf numFmtId="0" fontId="13" fillId="8" borderId="0" xfId="0" applyFont="1" applyFill="1" applyAlignment="1">
      <alignment horizontal="centerContinuous"/>
    </xf>
    <xf numFmtId="0" fontId="13" fillId="6" borderId="0" xfId="0" applyFont="1" applyFill="1" applyAlignment="1">
      <alignment horizontal="centerContinuous"/>
    </xf>
    <xf numFmtId="0" fontId="13" fillId="8" borderId="0" xfId="0" applyFont="1" applyFill="1" applyAlignment="1">
      <alignment horizontal="center" vertical="center" wrapText="1"/>
    </xf>
    <xf numFmtId="0" fontId="13" fillId="5" borderId="0" xfId="0" applyFont="1" applyFill="1" applyAlignment="1">
      <alignment horizontal="center" vertical="center" wrapText="1"/>
    </xf>
    <xf numFmtId="0" fontId="13" fillId="6" borderId="0" xfId="0" applyFont="1" applyFill="1" applyAlignment="1">
      <alignment horizontal="center" vertical="center" wrapText="1"/>
    </xf>
    <xf numFmtId="0" fontId="13" fillId="7" borderId="0" xfId="0" applyFont="1" applyFill="1" applyAlignment="1">
      <alignment horizontal="center" vertical="center" wrapText="1"/>
    </xf>
    <xf numFmtId="0" fontId="1" fillId="0" borderId="0" xfId="0" applyFont="1" applyAlignment="1">
      <alignment horizontal="center" vertical="center" wrapText="1"/>
    </xf>
    <xf numFmtId="0" fontId="14" fillId="0" borderId="0" xfId="0" applyFont="1"/>
    <xf numFmtId="0" fontId="14" fillId="4" borderId="0" xfId="0" applyFont="1" applyFill="1"/>
    <xf numFmtId="0" fontId="15" fillId="0" borderId="4" xfId="2" applyFont="1" applyBorder="1" applyAlignment="1">
      <alignment horizontal="left" vertical="center" indent="1"/>
    </xf>
    <xf numFmtId="0" fontId="15" fillId="0" borderId="2" xfId="2" applyFont="1" applyBorder="1" applyAlignment="1">
      <alignment horizontal="left" vertical="center" indent="1"/>
    </xf>
    <xf numFmtId="0" fontId="10" fillId="0" borderId="3" xfId="0" applyFont="1" applyBorder="1" applyAlignment="1">
      <alignment horizontal="left" vertical="center" wrapText="1"/>
    </xf>
    <xf numFmtId="41" fontId="14" fillId="0" borderId="0" xfId="0" applyNumberFormat="1" applyFont="1"/>
    <xf numFmtId="41" fontId="14" fillId="4" borderId="0" xfId="0" applyNumberFormat="1" applyFont="1" applyFill="1"/>
    <xf numFmtId="41" fontId="1" fillId="0" borderId="0" xfId="0" applyNumberFormat="1" applyFont="1"/>
    <xf numFmtId="41" fontId="1" fillId="4" borderId="0" xfId="0" applyNumberFormat="1" applyFont="1" applyFill="1"/>
    <xf numFmtId="42" fontId="14" fillId="0" borderId="0" xfId="0" applyNumberFormat="1" applyFont="1"/>
    <xf numFmtId="42" fontId="1" fillId="0" borderId="0" xfId="0" applyNumberFormat="1" applyFont="1"/>
    <xf numFmtId="0" fontId="14" fillId="0" borderId="0" xfId="0" applyFont="1" applyAlignment="1">
      <alignment horizontal="center"/>
    </xf>
    <xf numFmtId="0" fontId="14" fillId="4" borderId="0" xfId="0" applyFont="1" applyFill="1" applyAlignment="1">
      <alignment horizontal="center"/>
    </xf>
    <xf numFmtId="178" fontId="14" fillId="0" borderId="0" xfId="0" applyNumberFormat="1" applyFont="1" applyAlignment="1">
      <alignment horizontal="center"/>
    </xf>
    <xf numFmtId="178" fontId="14" fillId="4" borderId="0" xfId="0" applyNumberFormat="1" applyFont="1" applyFill="1" applyAlignment="1">
      <alignment horizontal="center"/>
    </xf>
    <xf numFmtId="0" fontId="1" fillId="5" borderId="0" xfId="0" applyFont="1" applyFill="1" applyAlignment="1">
      <alignment horizontal="centerContinuous"/>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9" fontId="14" fillId="0" borderId="0" xfId="1" applyFont="1"/>
    <xf numFmtId="9" fontId="14" fillId="4" borderId="0" xfId="1" applyFont="1" applyFill="1"/>
    <xf numFmtId="181" fontId="14" fillId="4" borderId="0" xfId="0" applyNumberFormat="1" applyFont="1" applyFill="1"/>
    <xf numFmtId="191" fontId="14" fillId="0" borderId="0" xfId="0" applyNumberFormat="1" applyFont="1" applyAlignment="1">
      <alignment horizontal="right"/>
    </xf>
    <xf numFmtId="41" fontId="14" fillId="0" borderId="0" xfId="0" applyNumberFormat="1" applyFont="1" applyAlignment="1">
      <alignment horizontal="right"/>
    </xf>
    <xf numFmtId="192" fontId="14" fillId="0" borderId="0" xfId="0" applyNumberFormat="1" applyFont="1" applyAlignment="1">
      <alignment horizontal="right"/>
    </xf>
    <xf numFmtId="193" fontId="14" fillId="0" borderId="0" xfId="0" applyNumberFormat="1" applyFont="1" applyAlignment="1">
      <alignment horizontal="right"/>
    </xf>
    <xf numFmtId="194" fontId="14" fillId="0" borderId="0" xfId="0" applyNumberFormat="1" applyFont="1" applyAlignment="1">
      <alignment horizontal="right"/>
    </xf>
    <xf numFmtId="191" fontId="14" fillId="0" borderId="0" xfId="0" applyNumberFormat="1" applyFont="1"/>
    <xf numFmtId="193" fontId="14" fillId="0" borderId="0" xfId="0" applyNumberFormat="1" applyFont="1"/>
    <xf numFmtId="193" fontId="14" fillId="4" borderId="0" xfId="0" applyNumberFormat="1" applyFont="1" applyFill="1"/>
    <xf numFmtId="0" fontId="9" fillId="0" borderId="0" xfId="0" applyFont="1"/>
    <xf numFmtId="42" fontId="1" fillId="0" borderId="0" xfId="0" applyNumberFormat="1" applyFont="1" applyAlignment="1">
      <alignment horizontal="right"/>
    </xf>
    <xf numFmtId="41" fontId="1" fillId="0" borderId="0" xfId="0" applyNumberFormat="1" applyFont="1" applyAlignment="1">
      <alignment horizontal="right"/>
    </xf>
    <xf numFmtId="0" fontId="10" fillId="0" borderId="1" xfId="0" applyFont="1" applyBorder="1" applyAlignment="1">
      <alignment horizontal="center" vertical="center" wrapText="1"/>
    </xf>
  </cellXfs>
  <cellStyles count="3">
    <cellStyle name="Hyperlink" xfId="2" builtinId="8"/>
    <cellStyle name="Normal" xfId="0" builtinId="0"/>
    <cellStyle name="Percent" xfId="1" builtinId="5"/>
  </cellStyles>
  <dxfs count="4">
    <dxf>
      <font>
        <b/>
        <i val="0"/>
        <color rgb="FFFF0000"/>
      </font>
    </dxf>
    <dxf>
      <font>
        <b/>
        <i val="0"/>
        <color rgb="FF00B050"/>
      </font>
    </dxf>
    <dxf>
      <font>
        <b/>
        <i val="0"/>
        <color rgb="FFFF0000"/>
      </font>
    </dxf>
    <dxf>
      <font>
        <b/>
        <i val="0"/>
        <color rgb="FF00B050"/>
      </font>
    </dxf>
  </dxfs>
  <tableStyles count="0" defaultTableStyle="TableStyleMedium2" defaultPivotStyle="PivotStyleLight16"/>
  <colors>
    <mruColors>
      <color rgb="FF0000FF"/>
      <color rgb="FF19893C"/>
      <color rgb="FFCCCCFF"/>
      <color rgb="FFFFCCCC"/>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AF63-C520-431D-8DDE-8F76518DEA9C}">
  <dimension ref="A1:B10"/>
  <sheetViews>
    <sheetView tabSelected="1" zoomScale="80" zoomScaleNormal="80" workbookViewId="0">
      <selection activeCell="A10" sqref="A10"/>
    </sheetView>
  </sheetViews>
  <sheetFormatPr defaultColWidth="8.7109375" defaultRowHeight="14.25" x14ac:dyDescent="0.2"/>
  <cols>
    <col min="1" max="1" width="37.28515625" style="1" customWidth="1"/>
    <col min="2" max="2" width="131.7109375" style="1" customWidth="1"/>
    <col min="3" max="16384" width="8.7109375" style="1"/>
  </cols>
  <sheetData>
    <row r="1" spans="1:2" ht="27.75" x14ac:dyDescent="0.4">
      <c r="A1" s="4" t="s">
        <v>10</v>
      </c>
      <c r="B1" s="5"/>
    </row>
    <row r="2" spans="1:2" x14ac:dyDescent="0.2">
      <c r="A2" s="3"/>
      <c r="B2" s="2"/>
    </row>
    <row r="3" spans="1:2" ht="18" x14ac:dyDescent="0.25">
      <c r="A3" s="6" t="s">
        <v>7</v>
      </c>
      <c r="B3" s="13" t="s">
        <v>6</v>
      </c>
    </row>
    <row r="4" spans="1:2" ht="18" x14ac:dyDescent="0.25">
      <c r="A4" s="6" t="s">
        <v>5</v>
      </c>
      <c r="B4" s="14">
        <v>44843.165203124998</v>
      </c>
    </row>
    <row r="5" spans="1:2" ht="18" x14ac:dyDescent="0.25">
      <c r="A5" s="7" t="s">
        <v>4</v>
      </c>
      <c r="B5" s="15" t="s">
        <v>11</v>
      </c>
    </row>
    <row r="6" spans="1:2" ht="135" x14ac:dyDescent="0.2">
      <c r="A6" s="10" t="s">
        <v>8</v>
      </c>
      <c r="B6" s="12" t="s">
        <v>9</v>
      </c>
    </row>
    <row r="7" spans="1:2" ht="18" x14ac:dyDescent="0.25">
      <c r="A7" s="8" t="s">
        <v>3</v>
      </c>
      <c r="B7" s="9" t="s">
        <v>2</v>
      </c>
    </row>
    <row r="8" spans="1:2" ht="38.85" customHeight="1" x14ac:dyDescent="0.2">
      <c r="A8" s="32" t="s">
        <v>1</v>
      </c>
      <c r="B8" s="11" t="s">
        <v>0</v>
      </c>
    </row>
    <row r="9" spans="1:2" ht="110.85" customHeight="1" x14ac:dyDescent="0.2">
      <c r="A9" s="32" t="s">
        <v>30</v>
      </c>
      <c r="B9" s="34" t="s">
        <v>31</v>
      </c>
    </row>
    <row r="10" spans="1:2" ht="52.5" customHeight="1" thickBot="1" x14ac:dyDescent="0.25">
      <c r="A10" s="33" t="s">
        <v>48</v>
      </c>
      <c r="B10" s="63" t="s">
        <v>49</v>
      </c>
    </row>
  </sheetData>
  <hyperlinks>
    <hyperlink ref="A8" location="Documentation!A1" display="Documentation" xr:uid="{968E99E0-8384-4C32-A987-5027981C0775}"/>
    <hyperlink ref="A9" location="Taxes!A1" display="Taxes" xr:uid="{F82DE909-41A9-47CD-B35C-FE86052095C6}"/>
    <hyperlink ref="A10" location="'Taxes (INDEX)'!A1" display="Taxes Index" xr:uid="{38275023-B096-4348-A368-AE65FFCE1602}"/>
  </hyperlinks>
  <pageMargins left="0.7" right="0.7" top="0.75" bottom="0.75" header="0.3" footer="0.3"/>
  <pageSetup orientation="portrait" horizontalDpi="4294967293" verticalDpi="0" r:id="rId1"/>
  <headerFooter>
    <oddHeader>&amp;CCheryl Hornung</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CBAFD-4B1D-4603-9388-E8C709BA705C}">
  <dimension ref="A1:Z100"/>
  <sheetViews>
    <sheetView zoomScale="110" zoomScaleNormal="110" workbookViewId="0">
      <pane xSplit="1" ySplit="15" topLeftCell="B16" activePane="bottomRight" state="frozen"/>
      <selection pane="topRight" activeCell="B1" sqref="B1"/>
      <selection pane="bottomLeft" activeCell="A16" sqref="A16"/>
      <selection pane="bottomRight" activeCell="F29" sqref="F29"/>
    </sheetView>
  </sheetViews>
  <sheetFormatPr defaultRowHeight="14.25" outlineLevelRow="1" x14ac:dyDescent="0.2"/>
  <cols>
    <col min="1" max="1" width="9.140625" style="1"/>
    <col min="2" max="2" width="12.7109375" style="1" bestFit="1" customWidth="1"/>
    <col min="3" max="3" width="12.28515625" style="1" customWidth="1"/>
    <col min="4" max="4" width="13.28515625" style="1" customWidth="1"/>
    <col min="5" max="6" width="16.140625" style="1" customWidth="1"/>
    <col min="7" max="7" width="17.5703125" style="1" bestFit="1" customWidth="1"/>
    <col min="8" max="8" width="15.5703125" style="1" customWidth="1"/>
    <col min="9" max="10" width="14.28515625" style="1" customWidth="1"/>
    <col min="11" max="11" width="17.85546875" style="1" bestFit="1" customWidth="1"/>
    <col min="12" max="14" width="14.28515625" style="1" customWidth="1"/>
    <col min="15" max="15" width="12" style="1" customWidth="1"/>
    <col min="16" max="25" width="9.140625" style="1"/>
    <col min="26" max="26" width="11.7109375" style="1" bestFit="1" customWidth="1"/>
    <col min="27" max="16384" width="9.140625" style="1"/>
  </cols>
  <sheetData>
    <row r="1" spans="1:15" ht="20.25" x14ac:dyDescent="0.3">
      <c r="A1" s="16" t="s">
        <v>11</v>
      </c>
      <c r="B1" s="16"/>
      <c r="C1" s="16"/>
      <c r="D1" s="16"/>
      <c r="E1" s="16"/>
      <c r="F1" s="16"/>
      <c r="G1" s="16"/>
      <c r="H1" s="16"/>
      <c r="I1" s="16"/>
      <c r="J1" s="16"/>
      <c r="K1" s="16"/>
      <c r="L1" s="16"/>
      <c r="M1" s="16"/>
      <c r="N1" s="16"/>
      <c r="O1" s="16"/>
    </row>
    <row r="2" spans="1:15" outlineLevel="1" x14ac:dyDescent="0.2">
      <c r="A2" s="1" t="s">
        <v>12</v>
      </c>
    </row>
    <row r="3" spans="1:15" outlineLevel="1" x14ac:dyDescent="0.2"/>
    <row r="4" spans="1:15" s="17" customFormat="1" ht="15.75" outlineLevel="1" x14ac:dyDescent="0.25">
      <c r="C4" s="60"/>
      <c r="E4" s="18" t="s">
        <v>13</v>
      </c>
      <c r="F4" s="18"/>
      <c r="G4" s="18"/>
      <c r="H4" s="18"/>
      <c r="K4" s="19" t="s">
        <v>14</v>
      </c>
      <c r="L4" s="19"/>
      <c r="N4" s="20" t="s">
        <v>15</v>
      </c>
      <c r="O4" s="20"/>
    </row>
    <row r="5" spans="1:15" outlineLevel="1" x14ac:dyDescent="0.2">
      <c r="E5" s="45" t="s">
        <v>33</v>
      </c>
      <c r="F5" s="45"/>
      <c r="G5" s="46" t="s">
        <v>37</v>
      </c>
      <c r="H5" s="46" t="s">
        <v>38</v>
      </c>
      <c r="K5" s="47" t="s">
        <v>35</v>
      </c>
      <c r="L5" s="47" t="s">
        <v>36</v>
      </c>
      <c r="N5" s="48" t="s">
        <v>46</v>
      </c>
      <c r="O5" s="48" t="s">
        <v>47</v>
      </c>
    </row>
    <row r="6" spans="1:15" outlineLevel="1" x14ac:dyDescent="0.2">
      <c r="E6" s="52">
        <v>0</v>
      </c>
      <c r="F6" s="54">
        <v>15000</v>
      </c>
      <c r="G6" s="49">
        <v>0</v>
      </c>
      <c r="H6" s="49">
        <v>0</v>
      </c>
      <c r="K6" s="57">
        <v>0</v>
      </c>
      <c r="L6" s="49">
        <v>0</v>
      </c>
      <c r="N6" s="30" t="s">
        <v>39</v>
      </c>
      <c r="O6" s="39">
        <v>250</v>
      </c>
    </row>
    <row r="7" spans="1:15" outlineLevel="1" x14ac:dyDescent="0.2">
      <c r="E7" s="55">
        <v>15000</v>
      </c>
      <c r="F7" s="56">
        <v>32000</v>
      </c>
      <c r="G7" s="49">
        <v>0.03</v>
      </c>
      <c r="H7" s="49">
        <v>0.05</v>
      </c>
      <c r="K7" s="58">
        <v>100</v>
      </c>
      <c r="L7" s="49">
        <v>0.05</v>
      </c>
      <c r="N7" s="30" t="s">
        <v>44</v>
      </c>
      <c r="O7" s="35">
        <v>400</v>
      </c>
    </row>
    <row r="8" spans="1:15" outlineLevel="1" x14ac:dyDescent="0.2">
      <c r="E8" s="55">
        <v>32000</v>
      </c>
      <c r="F8" s="56">
        <v>72000</v>
      </c>
      <c r="G8" s="49">
        <v>0.1</v>
      </c>
      <c r="H8" s="49">
        <v>7.0000000000000007E-2</v>
      </c>
      <c r="K8" s="58">
        <v>1000</v>
      </c>
      <c r="L8" s="49">
        <v>0.1</v>
      </c>
      <c r="N8" s="30" t="s">
        <v>41</v>
      </c>
      <c r="O8" s="35">
        <v>400</v>
      </c>
    </row>
    <row r="9" spans="1:15" outlineLevel="1" x14ac:dyDescent="0.2">
      <c r="E9" s="55">
        <v>72000</v>
      </c>
      <c r="F9" s="56">
        <v>122000</v>
      </c>
      <c r="G9" s="49">
        <v>0.15</v>
      </c>
      <c r="H9" s="49">
        <v>0.11</v>
      </c>
      <c r="K9" s="58">
        <v>5000</v>
      </c>
      <c r="L9" s="49">
        <v>0.15</v>
      </c>
      <c r="N9" s="30" t="s">
        <v>42</v>
      </c>
      <c r="O9" s="35">
        <v>600</v>
      </c>
    </row>
    <row r="10" spans="1:15" outlineLevel="1" x14ac:dyDescent="0.2">
      <c r="E10" s="55">
        <v>122000</v>
      </c>
      <c r="F10" s="53" t="s">
        <v>32</v>
      </c>
      <c r="G10" s="49">
        <v>0.22</v>
      </c>
      <c r="H10" s="49">
        <v>0.2</v>
      </c>
      <c r="K10" s="58">
        <v>10000</v>
      </c>
      <c r="L10" s="49">
        <v>0.2</v>
      </c>
      <c r="N10" s="30" t="s">
        <v>43</v>
      </c>
      <c r="O10" s="35">
        <v>800</v>
      </c>
    </row>
    <row r="11" spans="1:15" outlineLevel="1" x14ac:dyDescent="0.2">
      <c r="E11" s="51"/>
      <c r="F11" s="31"/>
      <c r="G11" s="50"/>
      <c r="H11" s="50"/>
      <c r="K11" s="58">
        <v>50000</v>
      </c>
      <c r="L11" s="49">
        <v>0.25</v>
      </c>
      <c r="N11" s="30" t="s">
        <v>40</v>
      </c>
      <c r="O11" s="35">
        <v>900</v>
      </c>
    </row>
    <row r="12" spans="1:15" outlineLevel="1" x14ac:dyDescent="0.2">
      <c r="K12" s="59"/>
      <c r="L12" s="50"/>
      <c r="N12" s="31"/>
      <c r="O12" s="36"/>
    </row>
    <row r="13" spans="1:15" outlineLevel="1" x14ac:dyDescent="0.2"/>
    <row r="14" spans="1:15" s="21" customFormat="1" ht="15" x14ac:dyDescent="0.25">
      <c r="G14" s="22" t="s">
        <v>16</v>
      </c>
      <c r="H14" s="22"/>
      <c r="I14" s="23" t="s">
        <v>17</v>
      </c>
      <c r="J14" s="23"/>
      <c r="K14" s="23"/>
      <c r="L14" s="24" t="s">
        <v>34</v>
      </c>
      <c r="M14" s="24"/>
      <c r="N14" s="24"/>
    </row>
    <row r="15" spans="1:15" s="29" customFormat="1" ht="30" x14ac:dyDescent="0.25">
      <c r="A15" s="25" t="s">
        <v>18</v>
      </c>
      <c r="B15" s="25" t="s">
        <v>19</v>
      </c>
      <c r="C15" s="25" t="s">
        <v>20</v>
      </c>
      <c r="D15" s="25" t="s">
        <v>21</v>
      </c>
      <c r="E15" s="25" t="s">
        <v>22</v>
      </c>
      <c r="F15" s="25" t="s">
        <v>23</v>
      </c>
      <c r="G15" s="26" t="s">
        <v>24</v>
      </c>
      <c r="H15" s="26" t="s">
        <v>25</v>
      </c>
      <c r="I15" s="25" t="s">
        <v>26</v>
      </c>
      <c r="J15" s="25" t="s">
        <v>24</v>
      </c>
      <c r="K15" s="25" t="s">
        <v>25</v>
      </c>
      <c r="L15" s="27" t="s">
        <v>27</v>
      </c>
      <c r="M15" s="27" t="s">
        <v>24</v>
      </c>
      <c r="N15" s="27" t="s">
        <v>25</v>
      </c>
      <c r="O15" s="28" t="s">
        <v>28</v>
      </c>
    </row>
    <row r="16" spans="1:15" x14ac:dyDescent="0.2">
      <c r="A16" s="43">
        <v>2464</v>
      </c>
      <c r="B16" s="39">
        <v>88865</v>
      </c>
      <c r="C16" s="41" t="s">
        <v>42</v>
      </c>
      <c r="D16" s="39">
        <v>14999</v>
      </c>
      <c r="E16" s="39">
        <v>0</v>
      </c>
      <c r="F16" s="39">
        <v>14422</v>
      </c>
      <c r="G16" s="40">
        <f>($B16*VLOOKUP($B16, $E$6:$G$11, COLUMNS(E$6:G$11),TRUE))</f>
        <v>13329.75</v>
      </c>
      <c r="H16" s="40">
        <f>($B16*VLOOKUP($B16, $E$6:$H$11, COLUMNS($E$6:$H$11), TRUE))</f>
        <v>9775.15</v>
      </c>
      <c r="I16" s="40">
        <f>(F16-($D16+$E16))</f>
        <v>-577</v>
      </c>
      <c r="J16" s="40">
        <f t="shared" ref="J16:K16" si="0">(G16-($D16+$E16))</f>
        <v>-1669.25</v>
      </c>
      <c r="K16" s="40">
        <f t="shared" si="0"/>
        <v>-5223.8500000000004</v>
      </c>
      <c r="L16" s="40">
        <f>IF(I16&gt;0,(I16*VLOOKUP(I16,$K$6:$L$12, COLUMNS($K$6:$L$12), TRUE)), 0)</f>
        <v>0</v>
      </c>
      <c r="M16" s="40">
        <f t="shared" ref="M16:N16" si="1">IF(J16&gt;0,(J16*VLOOKUP(J16,$K$6:$L$12, COLUMNS($K$6:$L$12), TRUE)), 0)</f>
        <v>0</v>
      </c>
      <c r="N16" s="40">
        <f t="shared" si="1"/>
        <v>0</v>
      </c>
      <c r="O16" s="61">
        <f>IFERROR(VLOOKUP($C16,$N$6:$O$12, COLUMNS($N$6:$O$12), FALSE), "None")</f>
        <v>600</v>
      </c>
    </row>
    <row r="17" spans="1:15" x14ac:dyDescent="0.2">
      <c r="A17" s="43">
        <v>593</v>
      </c>
      <c r="B17" s="35">
        <v>89263</v>
      </c>
      <c r="C17" s="41" t="s">
        <v>40</v>
      </c>
      <c r="D17" s="35">
        <v>16423</v>
      </c>
      <c r="E17" s="35">
        <v>0</v>
      </c>
      <c r="F17" s="35">
        <v>14534</v>
      </c>
      <c r="G17" s="37">
        <f t="shared" ref="G17:G25" si="2">($B17*VLOOKUP($B17, $E$6:$G$11, COLUMNS(E$6:G$11),TRUE))</f>
        <v>13389.449999999999</v>
      </c>
      <c r="H17" s="37">
        <f t="shared" ref="H17:H25" si="3">($B17*VLOOKUP($B17, $E$6:$H$11, COLUMNS($E$6:$H$11), TRUE))</f>
        <v>9818.93</v>
      </c>
      <c r="I17" s="37">
        <f t="shared" ref="I17:I25" si="4">(F17-($D17+$E17))</f>
        <v>-1889</v>
      </c>
      <c r="J17" s="37">
        <f t="shared" ref="J17:J25" si="5">(G17-($D17+$E17))</f>
        <v>-3033.5500000000011</v>
      </c>
      <c r="K17" s="37">
        <f t="shared" ref="K17:K25" si="6">(H17-($D17+$E17))</f>
        <v>-6604.07</v>
      </c>
      <c r="L17" s="37">
        <f t="shared" ref="L17:L25" si="7">IF(I17&gt;0,(I17*VLOOKUP(I17,$K$6:$L$12, COLUMNS($K$6:$L$12), TRUE)), 0)</f>
        <v>0</v>
      </c>
      <c r="M17" s="37">
        <f t="shared" ref="M17:M25" si="8">IF(J17&gt;0,(J17*VLOOKUP(J17,$K$6:$L$12, COLUMNS($K$6:$L$12), TRUE)), 0)</f>
        <v>0</v>
      </c>
      <c r="N17" s="37">
        <f t="shared" ref="N17:N25" si="9">IF(K17&gt;0,(K17*VLOOKUP(K17,$K$6:$L$12, COLUMNS($K$6:$L$12), TRUE)), 0)</f>
        <v>0</v>
      </c>
      <c r="O17" s="62">
        <f t="shared" ref="O17:O25" si="10">IFERROR(VLOOKUP($C17,$N$6:$O$12, COLUMNS($N$6:$O$12), FALSE), "None")</f>
        <v>900</v>
      </c>
    </row>
    <row r="18" spans="1:15" x14ac:dyDescent="0.2">
      <c r="A18" s="43">
        <v>8744</v>
      </c>
      <c r="B18" s="35">
        <v>54794</v>
      </c>
      <c r="C18" s="41" t="s">
        <v>44</v>
      </c>
      <c r="D18" s="35">
        <v>6384</v>
      </c>
      <c r="E18" s="35">
        <v>0</v>
      </c>
      <c r="F18" s="35">
        <v>6259</v>
      </c>
      <c r="G18" s="37">
        <f t="shared" si="2"/>
        <v>5479.4000000000005</v>
      </c>
      <c r="H18" s="37">
        <f t="shared" si="3"/>
        <v>3835.5800000000004</v>
      </c>
      <c r="I18" s="37">
        <f t="shared" si="4"/>
        <v>-125</v>
      </c>
      <c r="J18" s="37">
        <f t="shared" si="5"/>
        <v>-904.59999999999945</v>
      </c>
      <c r="K18" s="37">
        <f t="shared" si="6"/>
        <v>-2548.4199999999996</v>
      </c>
      <c r="L18" s="37">
        <f t="shared" si="7"/>
        <v>0</v>
      </c>
      <c r="M18" s="37">
        <f t="shared" si="8"/>
        <v>0</v>
      </c>
      <c r="N18" s="37">
        <f t="shared" si="9"/>
        <v>0</v>
      </c>
      <c r="O18" s="62">
        <f t="shared" si="10"/>
        <v>400</v>
      </c>
    </row>
    <row r="19" spans="1:15" x14ac:dyDescent="0.2">
      <c r="A19" s="43">
        <v>998</v>
      </c>
      <c r="B19" s="35">
        <v>364209</v>
      </c>
      <c r="C19" s="41" t="s">
        <v>45</v>
      </c>
      <c r="D19" s="35">
        <v>0</v>
      </c>
      <c r="E19" s="35">
        <v>93225</v>
      </c>
      <c r="F19" s="35">
        <v>103628</v>
      </c>
      <c r="G19" s="37">
        <f t="shared" si="2"/>
        <v>80125.98</v>
      </c>
      <c r="H19" s="37">
        <f t="shared" si="3"/>
        <v>72841.8</v>
      </c>
      <c r="I19" s="37">
        <f>(F19-($D19+$E19))</f>
        <v>10403</v>
      </c>
      <c r="J19" s="37">
        <f t="shared" si="5"/>
        <v>-13099.020000000004</v>
      </c>
      <c r="K19" s="37">
        <f t="shared" si="6"/>
        <v>-20383.199999999997</v>
      </c>
      <c r="L19" s="37">
        <f t="shared" si="7"/>
        <v>2080.6</v>
      </c>
      <c r="M19" s="37">
        <f t="shared" si="8"/>
        <v>0</v>
      </c>
      <c r="N19" s="37">
        <f t="shared" si="9"/>
        <v>0</v>
      </c>
      <c r="O19" s="62" t="str">
        <f t="shared" si="10"/>
        <v>None</v>
      </c>
    </row>
    <row r="20" spans="1:15" x14ac:dyDescent="0.2">
      <c r="A20" s="43">
        <v>5218</v>
      </c>
      <c r="B20" s="35">
        <v>71468</v>
      </c>
      <c r="C20" s="41" t="s">
        <v>42</v>
      </c>
      <c r="D20" s="35">
        <v>9402</v>
      </c>
      <c r="E20" s="35">
        <v>0</v>
      </c>
      <c r="F20" s="35">
        <v>9594</v>
      </c>
      <c r="G20" s="37">
        <f t="shared" si="2"/>
        <v>7146.8</v>
      </c>
      <c r="H20" s="37">
        <f t="shared" si="3"/>
        <v>5002.76</v>
      </c>
      <c r="I20" s="37">
        <f t="shared" si="4"/>
        <v>192</v>
      </c>
      <c r="J20" s="37">
        <f t="shared" si="5"/>
        <v>-2255.1999999999998</v>
      </c>
      <c r="K20" s="37">
        <f t="shared" si="6"/>
        <v>-4399.24</v>
      </c>
      <c r="L20" s="37">
        <f t="shared" si="7"/>
        <v>9.6000000000000014</v>
      </c>
      <c r="M20" s="37">
        <f t="shared" si="8"/>
        <v>0</v>
      </c>
      <c r="N20" s="37">
        <f t="shared" si="9"/>
        <v>0</v>
      </c>
      <c r="O20" s="62">
        <f t="shared" si="10"/>
        <v>600</v>
      </c>
    </row>
    <row r="21" spans="1:15" x14ac:dyDescent="0.2">
      <c r="A21" s="43">
        <v>4492</v>
      </c>
      <c r="B21" s="35">
        <v>23500</v>
      </c>
      <c r="C21" s="41" t="s">
        <v>40</v>
      </c>
      <c r="D21" s="35">
        <v>1254</v>
      </c>
      <c r="E21" s="35">
        <v>0</v>
      </c>
      <c r="F21" s="35">
        <v>700</v>
      </c>
      <c r="G21" s="37">
        <f t="shared" si="2"/>
        <v>705</v>
      </c>
      <c r="H21" s="37">
        <f t="shared" si="3"/>
        <v>1175</v>
      </c>
      <c r="I21" s="37">
        <f t="shared" si="4"/>
        <v>-554</v>
      </c>
      <c r="J21" s="37">
        <f t="shared" si="5"/>
        <v>-549</v>
      </c>
      <c r="K21" s="37">
        <f t="shared" si="6"/>
        <v>-79</v>
      </c>
      <c r="L21" s="37">
        <f t="shared" si="7"/>
        <v>0</v>
      </c>
      <c r="M21" s="37">
        <f t="shared" si="8"/>
        <v>0</v>
      </c>
      <c r="N21" s="37">
        <f t="shared" si="9"/>
        <v>0</v>
      </c>
      <c r="O21" s="62">
        <f t="shared" si="10"/>
        <v>900</v>
      </c>
    </row>
    <row r="22" spans="1:15" x14ac:dyDescent="0.2">
      <c r="A22" s="43">
        <v>2690</v>
      </c>
      <c r="B22" s="35">
        <v>324527</v>
      </c>
      <c r="C22" s="41" t="s">
        <v>44</v>
      </c>
      <c r="D22" s="35">
        <v>89629</v>
      </c>
      <c r="E22" s="35">
        <v>10864</v>
      </c>
      <c r="F22" s="35">
        <v>90535</v>
      </c>
      <c r="G22" s="37">
        <f t="shared" si="2"/>
        <v>71395.94</v>
      </c>
      <c r="H22" s="37">
        <f t="shared" si="3"/>
        <v>64905.4</v>
      </c>
      <c r="I22" s="37">
        <f t="shared" si="4"/>
        <v>-9958</v>
      </c>
      <c r="J22" s="37">
        <f t="shared" si="5"/>
        <v>-29097.059999999998</v>
      </c>
      <c r="K22" s="37">
        <f t="shared" si="6"/>
        <v>-35587.599999999999</v>
      </c>
      <c r="L22" s="37">
        <f t="shared" si="7"/>
        <v>0</v>
      </c>
      <c r="M22" s="37">
        <f t="shared" si="8"/>
        <v>0</v>
      </c>
      <c r="N22" s="37">
        <f t="shared" si="9"/>
        <v>0</v>
      </c>
      <c r="O22" s="62">
        <f t="shared" si="10"/>
        <v>400</v>
      </c>
    </row>
    <row r="23" spans="1:15" x14ac:dyDescent="0.2">
      <c r="A23" s="43">
        <v>1005</v>
      </c>
      <c r="B23" s="35">
        <v>54935</v>
      </c>
      <c r="C23" s="41" t="s">
        <v>41</v>
      </c>
      <c r="D23" s="35">
        <v>0</v>
      </c>
      <c r="E23" s="35">
        <v>6161</v>
      </c>
      <c r="F23" s="35">
        <v>6287</v>
      </c>
      <c r="G23" s="37">
        <f t="shared" si="2"/>
        <v>5493.5</v>
      </c>
      <c r="H23" s="37">
        <f t="shared" si="3"/>
        <v>3845.4500000000003</v>
      </c>
      <c r="I23" s="37">
        <f t="shared" si="4"/>
        <v>126</v>
      </c>
      <c r="J23" s="37">
        <f t="shared" si="5"/>
        <v>-667.5</v>
      </c>
      <c r="K23" s="37">
        <f t="shared" si="6"/>
        <v>-2315.5499999999997</v>
      </c>
      <c r="L23" s="37">
        <f t="shared" si="7"/>
        <v>6.3000000000000007</v>
      </c>
      <c r="M23" s="37">
        <f t="shared" si="8"/>
        <v>0</v>
      </c>
      <c r="N23" s="37">
        <f t="shared" si="9"/>
        <v>0</v>
      </c>
      <c r="O23" s="62">
        <f t="shared" si="10"/>
        <v>400</v>
      </c>
    </row>
    <row r="24" spans="1:15" x14ac:dyDescent="0.2">
      <c r="A24" s="43">
        <v>2965</v>
      </c>
      <c r="B24" s="35">
        <v>99399</v>
      </c>
      <c r="C24" s="41" t="s">
        <v>41</v>
      </c>
      <c r="D24" s="35">
        <v>20844</v>
      </c>
      <c r="E24" s="35">
        <v>0</v>
      </c>
      <c r="F24" s="35">
        <v>17370</v>
      </c>
      <c r="G24" s="37">
        <f t="shared" si="2"/>
        <v>14909.849999999999</v>
      </c>
      <c r="H24" s="37">
        <f t="shared" si="3"/>
        <v>10933.89</v>
      </c>
      <c r="I24" s="37">
        <f t="shared" si="4"/>
        <v>-3474</v>
      </c>
      <c r="J24" s="37">
        <f t="shared" si="5"/>
        <v>-5934.1500000000015</v>
      </c>
      <c r="K24" s="37">
        <f t="shared" si="6"/>
        <v>-9910.11</v>
      </c>
      <c r="L24" s="37">
        <f t="shared" si="7"/>
        <v>0</v>
      </c>
      <c r="M24" s="37">
        <f t="shared" si="8"/>
        <v>0</v>
      </c>
      <c r="N24" s="37">
        <f t="shared" si="9"/>
        <v>0</v>
      </c>
      <c r="O24" s="62">
        <f t="shared" si="10"/>
        <v>400</v>
      </c>
    </row>
    <row r="25" spans="1:15" x14ac:dyDescent="0.2">
      <c r="A25" s="43">
        <v>5389</v>
      </c>
      <c r="B25" s="35">
        <v>17437</v>
      </c>
      <c r="C25" s="41" t="s">
        <v>40</v>
      </c>
      <c r="D25" s="35">
        <v>227</v>
      </c>
      <c r="E25" s="35">
        <v>0</v>
      </c>
      <c r="F25" s="35">
        <v>244</v>
      </c>
      <c r="G25" s="37">
        <f t="shared" si="2"/>
        <v>523.11</v>
      </c>
      <c r="H25" s="37">
        <f t="shared" si="3"/>
        <v>871.85</v>
      </c>
      <c r="I25" s="37">
        <f t="shared" si="4"/>
        <v>17</v>
      </c>
      <c r="J25" s="37">
        <f t="shared" si="5"/>
        <v>296.11</v>
      </c>
      <c r="K25" s="37">
        <f>(H25-($D25+$E25))</f>
        <v>644.85</v>
      </c>
      <c r="L25" s="37">
        <f t="shared" si="7"/>
        <v>0</v>
      </c>
      <c r="M25" s="37">
        <f t="shared" si="8"/>
        <v>14.805500000000002</v>
      </c>
      <c r="N25" s="37">
        <f t="shared" si="9"/>
        <v>32.2425</v>
      </c>
      <c r="O25" s="62">
        <f t="shared" si="10"/>
        <v>900</v>
      </c>
    </row>
    <row r="26" spans="1:15" x14ac:dyDescent="0.2">
      <c r="A26" s="44"/>
      <c r="B26" s="36"/>
      <c r="C26" s="42"/>
      <c r="D26" s="36"/>
      <c r="E26" s="36"/>
      <c r="F26" s="36"/>
      <c r="G26" s="38"/>
      <c r="H26" s="38"/>
      <c r="I26" s="38"/>
      <c r="J26" s="38"/>
      <c r="K26" s="38"/>
      <c r="L26" s="38"/>
      <c r="M26" s="38"/>
      <c r="N26" s="38"/>
      <c r="O26" s="38"/>
    </row>
    <row r="28" spans="1:15" x14ac:dyDescent="0.2">
      <c r="A28" s="1" t="s">
        <v>29</v>
      </c>
      <c r="B28" s="40">
        <f>SUM(Taxable)</f>
        <v>1188397</v>
      </c>
      <c r="C28" s="37">
        <f>COUNTA(State)</f>
        <v>10</v>
      </c>
      <c r="D28" s="40">
        <f>SUM(Witholding)</f>
        <v>159162</v>
      </c>
      <c r="E28" s="40">
        <f>SUM(Estimated)</f>
        <v>110250</v>
      </c>
      <c r="F28" s="40">
        <f>SUM(Actual_Owed)</f>
        <v>263573</v>
      </c>
      <c r="G28" s="40">
        <f>SUM(Flat_1)</f>
        <v>212498.78</v>
      </c>
      <c r="H28" s="40">
        <f>SUM(Flat_2)</f>
        <v>183005.81000000003</v>
      </c>
      <c r="I28" s="40">
        <f>SUM(Unpaid_Actual)</f>
        <v>-5839</v>
      </c>
      <c r="J28" s="40">
        <f>SUM(Unpaid_1)</f>
        <v>-56913.220000000008</v>
      </c>
      <c r="K28" s="40">
        <f>SUM(Unpaid_2)</f>
        <v>-86406.189999999988</v>
      </c>
      <c r="L28" s="40">
        <f>SUM(Penalty_Actual)</f>
        <v>2096.5</v>
      </c>
      <c r="M28" s="40">
        <f>SUM(Penalty_1)</f>
        <v>14.805500000000002</v>
      </c>
      <c r="N28" s="40">
        <f>SUM(Alternate_2)</f>
        <v>32.2425</v>
      </c>
      <c r="O28" s="40">
        <f>SUM(Allowance)</f>
        <v>5500</v>
      </c>
    </row>
    <row r="100" spans="26:26" x14ac:dyDescent="0.2">
      <c r="Z100" s="1">
        <v>720053793</v>
      </c>
    </row>
  </sheetData>
  <conditionalFormatting sqref="A16:A26">
    <cfRule type="expression" dxfId="3" priority="2">
      <formula>$F16=MAX($F$16:$F$26)</formula>
    </cfRule>
    <cfRule type="expression" dxfId="2" priority="1">
      <formula>$F16=MIN(Actual_Owed)</formula>
    </cfRule>
  </conditionalFormatting>
  <dataValidations count="4">
    <dataValidation type="textLength" operator="equal" allowBlank="1" showInputMessage="1" showErrorMessage="1" sqref="A16 A18 A20:A26" xr:uid="{58C676CA-1AE2-4361-92A1-E968BFEA10EA}">
      <formula1>4</formula1>
    </dataValidation>
    <dataValidation type="textLength" operator="lessThanOrEqual" allowBlank="1" showInputMessage="1" showErrorMessage="1" sqref="A17" xr:uid="{150D859E-39E3-4484-A838-8BE821C6D3A7}">
      <formula1>4</formula1>
    </dataValidation>
    <dataValidation type="textLength" operator="lessThan" allowBlank="1" showInputMessage="1" showErrorMessage="1" sqref="A19" xr:uid="{926ECBBE-FFEE-481D-8F7F-A1AD28860506}">
      <formula1>5</formula1>
    </dataValidation>
    <dataValidation type="list" allowBlank="1" showInputMessage="1" showErrorMessage="1" errorTitle="Error" error="Not a valid state, please pick only those available from the dropdown menu." promptTitle="Choose" prompt="from dropdown menu" sqref="C16:C26" xr:uid="{6B6F65E5-B1C7-4A87-B172-71514A668CF0}">
      <formula1>$N$6:$N$12</formula1>
    </dataValidation>
  </dataValidations>
  <pageMargins left="0.7" right="0.7" top="0.75" bottom="0.75" header="0.3" footer="0.3"/>
  <pageSetup orientation="portrait" horizontalDpi="4294967293" verticalDpi="0" r:id="rId1"/>
  <headerFooter>
    <oddHeader>&amp;CCheryl Hornung</oddHead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DCE44-2AC4-4AFE-966F-D52BC9F2D219}">
  <sheetPr>
    <outlinePr summaryBelow="0"/>
  </sheetPr>
  <dimension ref="A1:Z100"/>
  <sheetViews>
    <sheetView workbookViewId="0">
      <selection activeCell="D1" sqref="D1"/>
    </sheetView>
  </sheetViews>
  <sheetFormatPr defaultRowHeight="15" outlineLevelRow="1" x14ac:dyDescent="0.2"/>
  <cols>
    <col min="1" max="1" width="9.140625" style="1"/>
    <col min="2" max="2" width="12.7109375" style="1" bestFit="1" customWidth="1"/>
    <col min="3" max="3" width="12.28515625" style="1" customWidth="1"/>
    <col min="4" max="4" width="13.28515625" style="1" customWidth="1"/>
    <col min="5" max="6" width="16.140625" style="1" customWidth="1"/>
    <col min="7" max="7" width="18.140625" style="1" bestFit="1" customWidth="1"/>
    <col min="8" max="8" width="15.5703125" style="1" customWidth="1"/>
    <col min="9" max="10" width="14.28515625" style="1" customWidth="1"/>
    <col min="11" max="11" width="17.85546875" style="1" bestFit="1" customWidth="1"/>
    <col min="12" max="14" width="14.28515625" style="1" customWidth="1"/>
    <col min="15" max="15" width="12" style="1" customWidth="1"/>
    <col min="16" max="25" width="9.140625" style="1"/>
    <col min="26" max="26" width="11.7109375" style="1" bestFit="1" customWidth="1"/>
    <col min="27" max="16384" width="9.140625" style="1"/>
  </cols>
  <sheetData>
    <row r="1" spans="1:15" ht="20.25" x14ac:dyDescent="0.3">
      <c r="A1" s="16" t="s">
        <v>11</v>
      </c>
      <c r="B1" s="16"/>
      <c r="C1" s="16"/>
      <c r="D1" s="16"/>
      <c r="E1" s="16"/>
      <c r="F1" s="16"/>
      <c r="G1" s="16"/>
      <c r="H1" s="16"/>
      <c r="I1" s="16"/>
      <c r="J1" s="16"/>
      <c r="K1" s="16"/>
      <c r="L1" s="16"/>
      <c r="M1" s="16"/>
      <c r="N1" s="16"/>
      <c r="O1" s="16"/>
    </row>
    <row r="2" spans="1:15" ht="14.25" x14ac:dyDescent="0.2">
      <c r="A2" s="1" t="s">
        <v>12</v>
      </c>
    </row>
    <row r="3" spans="1:15" ht="14.25" outlineLevel="1" x14ac:dyDescent="0.2"/>
    <row r="4" spans="1:15" s="17" customFormat="1" ht="15.75" outlineLevel="1" x14ac:dyDescent="0.25">
      <c r="C4" s="60"/>
      <c r="E4" s="18" t="s">
        <v>13</v>
      </c>
      <c r="F4" s="18"/>
      <c r="G4" s="18"/>
      <c r="H4" s="18"/>
      <c r="K4" s="19" t="s">
        <v>14</v>
      </c>
      <c r="L4" s="19"/>
      <c r="N4" s="20" t="s">
        <v>15</v>
      </c>
      <c r="O4" s="20"/>
    </row>
    <row r="5" spans="1:15" ht="14.25" outlineLevel="1" x14ac:dyDescent="0.2">
      <c r="E5" s="45" t="s">
        <v>33</v>
      </c>
      <c r="F5" s="45"/>
      <c r="G5" s="46" t="s">
        <v>37</v>
      </c>
      <c r="H5" s="46" t="s">
        <v>38</v>
      </c>
      <c r="K5" s="47" t="s">
        <v>35</v>
      </c>
      <c r="L5" s="47" t="s">
        <v>36</v>
      </c>
      <c r="N5" s="48" t="s">
        <v>46</v>
      </c>
      <c r="O5" s="48" t="s">
        <v>47</v>
      </c>
    </row>
    <row r="6" spans="1:15" ht="14.25" outlineLevel="1" x14ac:dyDescent="0.2">
      <c r="E6" s="52">
        <v>0</v>
      </c>
      <c r="F6" s="54">
        <v>15000</v>
      </c>
      <c r="G6" s="49">
        <v>0</v>
      </c>
      <c r="H6" s="49">
        <v>0</v>
      </c>
      <c r="K6" s="57">
        <v>0</v>
      </c>
      <c r="L6" s="49">
        <v>0</v>
      </c>
      <c r="N6" s="30" t="s">
        <v>39</v>
      </c>
      <c r="O6" s="39">
        <v>250</v>
      </c>
    </row>
    <row r="7" spans="1:15" ht="14.25" outlineLevel="1" x14ac:dyDescent="0.2">
      <c r="E7" s="55">
        <v>15000</v>
      </c>
      <c r="F7" s="56">
        <v>32000</v>
      </c>
      <c r="G7" s="49">
        <v>0.03</v>
      </c>
      <c r="H7" s="49">
        <v>0.05</v>
      </c>
      <c r="K7" s="58">
        <v>100</v>
      </c>
      <c r="L7" s="49">
        <v>0.05</v>
      </c>
      <c r="N7" s="30" t="s">
        <v>44</v>
      </c>
      <c r="O7" s="35">
        <v>400</v>
      </c>
    </row>
    <row r="8" spans="1:15" ht="14.25" outlineLevel="1" x14ac:dyDescent="0.2">
      <c r="E8" s="55">
        <v>32000</v>
      </c>
      <c r="F8" s="56">
        <v>72000</v>
      </c>
      <c r="G8" s="49">
        <v>0.1</v>
      </c>
      <c r="H8" s="49">
        <v>7.0000000000000007E-2</v>
      </c>
      <c r="K8" s="58">
        <v>1000</v>
      </c>
      <c r="L8" s="49">
        <v>0.1</v>
      </c>
      <c r="N8" s="30" t="s">
        <v>41</v>
      </c>
      <c r="O8" s="35">
        <v>400</v>
      </c>
    </row>
    <row r="9" spans="1:15" ht="14.25" outlineLevel="1" x14ac:dyDescent="0.2">
      <c r="E9" s="55">
        <v>72000</v>
      </c>
      <c r="F9" s="56">
        <v>122000</v>
      </c>
      <c r="G9" s="49">
        <v>0.15</v>
      </c>
      <c r="H9" s="49">
        <v>0.11</v>
      </c>
      <c r="K9" s="58">
        <v>5000</v>
      </c>
      <c r="L9" s="49">
        <v>0.15</v>
      </c>
      <c r="N9" s="30" t="s">
        <v>42</v>
      </c>
      <c r="O9" s="35">
        <v>600</v>
      </c>
    </row>
    <row r="10" spans="1:15" ht="14.25" outlineLevel="1" x14ac:dyDescent="0.2">
      <c r="E10" s="55">
        <v>122000</v>
      </c>
      <c r="F10" s="53" t="s">
        <v>32</v>
      </c>
      <c r="G10" s="49">
        <v>0.22</v>
      </c>
      <c r="H10" s="49">
        <v>0.2</v>
      </c>
      <c r="K10" s="58">
        <v>10000</v>
      </c>
      <c r="L10" s="49">
        <v>0.2</v>
      </c>
      <c r="N10" s="30" t="s">
        <v>43</v>
      </c>
      <c r="O10" s="35">
        <v>800</v>
      </c>
    </row>
    <row r="11" spans="1:15" ht="14.25" outlineLevel="1" x14ac:dyDescent="0.2">
      <c r="E11" s="51"/>
      <c r="F11" s="31"/>
      <c r="G11" s="50"/>
      <c r="H11" s="50"/>
      <c r="K11" s="58">
        <v>50000</v>
      </c>
      <c r="L11" s="49">
        <v>0.25</v>
      </c>
      <c r="N11" s="30" t="s">
        <v>40</v>
      </c>
      <c r="O11" s="35">
        <v>900</v>
      </c>
    </row>
    <row r="12" spans="1:15" ht="14.25" outlineLevel="1" x14ac:dyDescent="0.2">
      <c r="K12" s="59"/>
      <c r="L12" s="50"/>
      <c r="N12" s="31"/>
      <c r="O12" s="36"/>
    </row>
    <row r="13" spans="1:15" ht="14.25" outlineLevel="1" x14ac:dyDescent="0.2"/>
    <row r="14" spans="1:15" s="21" customFormat="1" x14ac:dyDescent="0.25">
      <c r="G14" s="22" t="s">
        <v>16</v>
      </c>
      <c r="H14" s="22"/>
      <c r="I14" s="23" t="s">
        <v>17</v>
      </c>
      <c r="J14" s="23"/>
      <c r="K14" s="23"/>
      <c r="L14" s="24" t="s">
        <v>34</v>
      </c>
      <c r="M14" s="24"/>
      <c r="N14" s="24"/>
    </row>
    <row r="15" spans="1:15" s="29" customFormat="1" ht="30" x14ac:dyDescent="0.25">
      <c r="A15" s="25" t="s">
        <v>18</v>
      </c>
      <c r="B15" s="25" t="s">
        <v>19</v>
      </c>
      <c r="C15" s="25" t="s">
        <v>20</v>
      </c>
      <c r="D15" s="25" t="s">
        <v>21</v>
      </c>
      <c r="E15" s="25" t="s">
        <v>22</v>
      </c>
      <c r="F15" s="25" t="s">
        <v>23</v>
      </c>
      <c r="G15" s="26" t="s">
        <v>24</v>
      </c>
      <c r="H15" s="26" t="s">
        <v>25</v>
      </c>
      <c r="I15" s="25" t="s">
        <v>26</v>
      </c>
      <c r="J15" s="25" t="s">
        <v>24</v>
      </c>
      <c r="K15" s="25" t="s">
        <v>25</v>
      </c>
      <c r="L15" s="27" t="s">
        <v>27</v>
      </c>
      <c r="M15" s="27" t="s">
        <v>24</v>
      </c>
      <c r="N15" s="27" t="s">
        <v>25</v>
      </c>
      <c r="O15" s="28" t="s">
        <v>28</v>
      </c>
    </row>
    <row r="16" spans="1:15" ht="14.25" x14ac:dyDescent="0.2">
      <c r="A16" s="43">
        <v>2464</v>
      </c>
      <c r="B16" s="39">
        <v>88865</v>
      </c>
      <c r="C16" s="41" t="s">
        <v>42</v>
      </c>
      <c r="D16" s="39">
        <v>14999</v>
      </c>
      <c r="E16" s="39">
        <v>0</v>
      </c>
      <c r="F16" s="39">
        <v>14422</v>
      </c>
      <c r="G16" s="40">
        <f>$B16*INDEX(G$6:G$11,MATCH($B16,$E$6:$E$11,1 ))</f>
        <v>13329.75</v>
      </c>
      <c r="H16" s="40">
        <f>$B16*INDEX(H$6:H$11,MATCH($B16,$E$6:$E$11,1 ))</f>
        <v>9775.15</v>
      </c>
      <c r="I16" s="40">
        <f>(F16-($D16+$E16))</f>
        <v>-577</v>
      </c>
      <c r="J16" s="40">
        <f t="shared" ref="J16:K25" si="0">(G16-($D16+$E16))</f>
        <v>-1669.25</v>
      </c>
      <c r="K16" s="40">
        <f t="shared" si="0"/>
        <v>-5223.8500000000004</v>
      </c>
      <c r="L16" s="40">
        <f>IF(I16&gt;0,I16*(INDEX($L$6:$L$12, MATCH(I16, $K$6:$K$12, 1))), 0)</f>
        <v>0</v>
      </c>
      <c r="M16" s="40">
        <f t="shared" ref="M16:N25" si="1">IF(J16&gt;0,J16*(INDEX($L$6:$L$12, MATCH(J16, $K$6:$K$12, 1))), 0)</f>
        <v>0</v>
      </c>
      <c r="N16" s="40">
        <f t="shared" si="1"/>
        <v>0</v>
      </c>
      <c r="O16" s="61">
        <f>IFERROR(INDEX($O$6:$O$12, MATCH(C16, $N$6:$N$12, 0)), "None")</f>
        <v>600</v>
      </c>
    </row>
    <row r="17" spans="1:15" ht="14.25" x14ac:dyDescent="0.2">
      <c r="A17" s="43">
        <v>593</v>
      </c>
      <c r="B17" s="35">
        <v>89263</v>
      </c>
      <c r="C17" s="41" t="s">
        <v>40</v>
      </c>
      <c r="D17" s="35">
        <v>16423</v>
      </c>
      <c r="E17" s="35">
        <v>0</v>
      </c>
      <c r="F17" s="35">
        <v>14534</v>
      </c>
      <c r="G17" s="37">
        <f t="shared" ref="G17:H25" si="2">$B17*INDEX(G$6:G$11,MATCH($B17,$E$6:$E$11,1 ))</f>
        <v>13389.449999999999</v>
      </c>
      <c r="H17" s="37">
        <f t="shared" si="2"/>
        <v>9818.93</v>
      </c>
      <c r="I17" s="37">
        <f t="shared" ref="I17:I25" si="3">(F17-($D17+$E17))</f>
        <v>-1889</v>
      </c>
      <c r="J17" s="37">
        <f t="shared" si="0"/>
        <v>-3033.5500000000011</v>
      </c>
      <c r="K17" s="37">
        <f t="shared" si="0"/>
        <v>-6604.07</v>
      </c>
      <c r="L17" s="37">
        <f t="shared" ref="L17:L25" si="4">IF(I17&gt;0,I17*(INDEX($L$6:$L$12, MATCH(I17, $K$6:$K$12, 1))), 0)</f>
        <v>0</v>
      </c>
      <c r="M17" s="37">
        <f t="shared" si="1"/>
        <v>0</v>
      </c>
      <c r="N17" s="37">
        <f t="shared" si="1"/>
        <v>0</v>
      </c>
      <c r="O17" s="62">
        <f t="shared" ref="O17:O25" si="5">IFERROR(INDEX($O$6:$O$12, MATCH(C17, $N$6:$N$12, 0)), "None")</f>
        <v>900</v>
      </c>
    </row>
    <row r="18" spans="1:15" ht="14.25" x14ac:dyDescent="0.2">
      <c r="A18" s="43">
        <v>8744</v>
      </c>
      <c r="B18" s="35">
        <v>54794</v>
      </c>
      <c r="C18" s="41" t="s">
        <v>44</v>
      </c>
      <c r="D18" s="35">
        <v>6384</v>
      </c>
      <c r="E18" s="35">
        <v>0</v>
      </c>
      <c r="F18" s="35">
        <v>6259</v>
      </c>
      <c r="G18" s="37">
        <f t="shared" si="2"/>
        <v>5479.4000000000005</v>
      </c>
      <c r="H18" s="37">
        <f t="shared" si="2"/>
        <v>3835.5800000000004</v>
      </c>
      <c r="I18" s="37">
        <f t="shared" si="3"/>
        <v>-125</v>
      </c>
      <c r="J18" s="37">
        <f t="shared" si="0"/>
        <v>-904.59999999999945</v>
      </c>
      <c r="K18" s="37">
        <f t="shared" si="0"/>
        <v>-2548.4199999999996</v>
      </c>
      <c r="L18" s="37">
        <f t="shared" si="4"/>
        <v>0</v>
      </c>
      <c r="M18" s="37">
        <f t="shared" si="1"/>
        <v>0</v>
      </c>
      <c r="N18" s="37">
        <f t="shared" si="1"/>
        <v>0</v>
      </c>
      <c r="O18" s="62">
        <f t="shared" si="5"/>
        <v>400</v>
      </c>
    </row>
    <row r="19" spans="1:15" ht="14.25" x14ac:dyDescent="0.2">
      <c r="A19" s="43">
        <v>998</v>
      </c>
      <c r="B19" s="35">
        <v>364209</v>
      </c>
      <c r="C19" s="41" t="s">
        <v>45</v>
      </c>
      <c r="D19" s="35">
        <v>0</v>
      </c>
      <c r="E19" s="35">
        <v>93225</v>
      </c>
      <c r="F19" s="35">
        <v>103628</v>
      </c>
      <c r="G19" s="37">
        <f t="shared" si="2"/>
        <v>80125.98</v>
      </c>
      <c r="H19" s="37">
        <f t="shared" si="2"/>
        <v>72841.8</v>
      </c>
      <c r="I19" s="37">
        <f>(F19-($D19+$E19))</f>
        <v>10403</v>
      </c>
      <c r="J19" s="37">
        <f t="shared" si="0"/>
        <v>-13099.020000000004</v>
      </c>
      <c r="K19" s="37">
        <f t="shared" si="0"/>
        <v>-20383.199999999997</v>
      </c>
      <c r="L19" s="37">
        <f t="shared" si="4"/>
        <v>2080.6</v>
      </c>
      <c r="M19" s="37">
        <f t="shared" si="1"/>
        <v>0</v>
      </c>
      <c r="N19" s="37">
        <f t="shared" si="1"/>
        <v>0</v>
      </c>
      <c r="O19" s="62" t="str">
        <f t="shared" si="5"/>
        <v>None</v>
      </c>
    </row>
    <row r="20" spans="1:15" ht="14.25" x14ac:dyDescent="0.2">
      <c r="A20" s="43">
        <v>5218</v>
      </c>
      <c r="B20" s="35">
        <v>71468</v>
      </c>
      <c r="C20" s="41" t="s">
        <v>42</v>
      </c>
      <c r="D20" s="35">
        <v>9402</v>
      </c>
      <c r="E20" s="35">
        <v>0</v>
      </c>
      <c r="F20" s="35">
        <v>9594</v>
      </c>
      <c r="G20" s="37">
        <f t="shared" si="2"/>
        <v>7146.8</v>
      </c>
      <c r="H20" s="37">
        <f t="shared" si="2"/>
        <v>5002.76</v>
      </c>
      <c r="I20" s="37">
        <f t="shared" si="3"/>
        <v>192</v>
      </c>
      <c r="J20" s="37">
        <f t="shared" si="0"/>
        <v>-2255.1999999999998</v>
      </c>
      <c r="K20" s="37">
        <f t="shared" si="0"/>
        <v>-4399.24</v>
      </c>
      <c r="L20" s="37">
        <f t="shared" si="4"/>
        <v>9.6000000000000014</v>
      </c>
      <c r="M20" s="37">
        <f t="shared" si="1"/>
        <v>0</v>
      </c>
      <c r="N20" s="37">
        <f t="shared" si="1"/>
        <v>0</v>
      </c>
      <c r="O20" s="62">
        <f t="shared" si="5"/>
        <v>600</v>
      </c>
    </row>
    <row r="21" spans="1:15" ht="14.25" x14ac:dyDescent="0.2">
      <c r="A21" s="43">
        <v>4492</v>
      </c>
      <c r="B21" s="35">
        <v>23500</v>
      </c>
      <c r="C21" s="41" t="s">
        <v>40</v>
      </c>
      <c r="D21" s="35">
        <v>1254</v>
      </c>
      <c r="E21" s="35">
        <v>0</v>
      </c>
      <c r="F21" s="35">
        <v>700</v>
      </c>
      <c r="G21" s="37">
        <f t="shared" si="2"/>
        <v>705</v>
      </c>
      <c r="H21" s="37">
        <f t="shared" si="2"/>
        <v>1175</v>
      </c>
      <c r="I21" s="37">
        <f t="shared" si="3"/>
        <v>-554</v>
      </c>
      <c r="J21" s="37">
        <f t="shared" si="0"/>
        <v>-549</v>
      </c>
      <c r="K21" s="37">
        <f t="shared" si="0"/>
        <v>-79</v>
      </c>
      <c r="L21" s="37">
        <f t="shared" si="4"/>
        <v>0</v>
      </c>
      <c r="M21" s="37">
        <f t="shared" si="1"/>
        <v>0</v>
      </c>
      <c r="N21" s="37">
        <f t="shared" si="1"/>
        <v>0</v>
      </c>
      <c r="O21" s="62">
        <f t="shared" si="5"/>
        <v>900</v>
      </c>
    </row>
    <row r="22" spans="1:15" ht="14.25" x14ac:dyDescent="0.2">
      <c r="A22" s="43">
        <v>2690</v>
      </c>
      <c r="B22" s="35">
        <v>324527</v>
      </c>
      <c r="C22" s="41" t="s">
        <v>44</v>
      </c>
      <c r="D22" s="35">
        <v>89629</v>
      </c>
      <c r="E22" s="35">
        <v>10864</v>
      </c>
      <c r="F22" s="35">
        <v>90535</v>
      </c>
      <c r="G22" s="37">
        <f t="shared" si="2"/>
        <v>71395.94</v>
      </c>
      <c r="H22" s="37">
        <f t="shared" si="2"/>
        <v>64905.4</v>
      </c>
      <c r="I22" s="37">
        <f t="shared" si="3"/>
        <v>-9958</v>
      </c>
      <c r="J22" s="37">
        <f t="shared" si="0"/>
        <v>-29097.059999999998</v>
      </c>
      <c r="K22" s="37">
        <f t="shared" si="0"/>
        <v>-35587.599999999999</v>
      </c>
      <c r="L22" s="37">
        <f t="shared" si="4"/>
        <v>0</v>
      </c>
      <c r="M22" s="37">
        <f t="shared" si="1"/>
        <v>0</v>
      </c>
      <c r="N22" s="37">
        <f t="shared" si="1"/>
        <v>0</v>
      </c>
      <c r="O22" s="62">
        <f t="shared" si="5"/>
        <v>400</v>
      </c>
    </row>
    <row r="23" spans="1:15" ht="14.25" x14ac:dyDescent="0.2">
      <c r="A23" s="43">
        <v>1005</v>
      </c>
      <c r="B23" s="35">
        <v>54935</v>
      </c>
      <c r="C23" s="41" t="s">
        <v>41</v>
      </c>
      <c r="D23" s="35">
        <v>0</v>
      </c>
      <c r="E23" s="35">
        <v>6161</v>
      </c>
      <c r="F23" s="35">
        <v>6287</v>
      </c>
      <c r="G23" s="37">
        <f t="shared" si="2"/>
        <v>5493.5</v>
      </c>
      <c r="H23" s="37">
        <f t="shared" si="2"/>
        <v>3845.4500000000003</v>
      </c>
      <c r="I23" s="37">
        <f t="shared" si="3"/>
        <v>126</v>
      </c>
      <c r="J23" s="37">
        <f t="shared" si="0"/>
        <v>-667.5</v>
      </c>
      <c r="K23" s="37">
        <f t="shared" si="0"/>
        <v>-2315.5499999999997</v>
      </c>
      <c r="L23" s="37">
        <f t="shared" si="4"/>
        <v>6.3000000000000007</v>
      </c>
      <c r="M23" s="37">
        <f t="shared" si="1"/>
        <v>0</v>
      </c>
      <c r="N23" s="37">
        <f t="shared" si="1"/>
        <v>0</v>
      </c>
      <c r="O23" s="62">
        <f t="shared" si="5"/>
        <v>400</v>
      </c>
    </row>
    <row r="24" spans="1:15" ht="14.25" x14ac:dyDescent="0.2">
      <c r="A24" s="43">
        <v>2965</v>
      </c>
      <c r="B24" s="35">
        <v>99399</v>
      </c>
      <c r="C24" s="41" t="s">
        <v>41</v>
      </c>
      <c r="D24" s="35">
        <v>20844</v>
      </c>
      <c r="E24" s="35">
        <v>0</v>
      </c>
      <c r="F24" s="35">
        <v>17370</v>
      </c>
      <c r="G24" s="37">
        <f t="shared" si="2"/>
        <v>14909.849999999999</v>
      </c>
      <c r="H24" s="37">
        <f t="shared" si="2"/>
        <v>10933.89</v>
      </c>
      <c r="I24" s="37">
        <f t="shared" si="3"/>
        <v>-3474</v>
      </c>
      <c r="J24" s="37">
        <f t="shared" si="0"/>
        <v>-5934.1500000000015</v>
      </c>
      <c r="K24" s="37">
        <f t="shared" si="0"/>
        <v>-9910.11</v>
      </c>
      <c r="L24" s="37">
        <f t="shared" si="4"/>
        <v>0</v>
      </c>
      <c r="M24" s="37">
        <f t="shared" si="1"/>
        <v>0</v>
      </c>
      <c r="N24" s="37">
        <f t="shared" si="1"/>
        <v>0</v>
      </c>
      <c r="O24" s="62">
        <f t="shared" si="5"/>
        <v>400</v>
      </c>
    </row>
    <row r="25" spans="1:15" ht="14.25" x14ac:dyDescent="0.2">
      <c r="A25" s="43">
        <v>5389</v>
      </c>
      <c r="B25" s="35">
        <v>17437</v>
      </c>
      <c r="C25" s="41" t="s">
        <v>40</v>
      </c>
      <c r="D25" s="35">
        <v>227</v>
      </c>
      <c r="E25" s="35">
        <v>0</v>
      </c>
      <c r="F25" s="35">
        <v>244</v>
      </c>
      <c r="G25" s="37">
        <f t="shared" si="2"/>
        <v>523.11</v>
      </c>
      <c r="H25" s="37">
        <f t="shared" si="2"/>
        <v>871.85</v>
      </c>
      <c r="I25" s="37">
        <f t="shared" si="3"/>
        <v>17</v>
      </c>
      <c r="J25" s="37">
        <f t="shared" si="0"/>
        <v>296.11</v>
      </c>
      <c r="K25" s="37">
        <f>(H25-($D25+$E25))</f>
        <v>644.85</v>
      </c>
      <c r="L25" s="37">
        <f t="shared" si="4"/>
        <v>0</v>
      </c>
      <c r="M25" s="37">
        <f t="shared" si="1"/>
        <v>14.805500000000002</v>
      </c>
      <c r="N25" s="37">
        <f t="shared" si="1"/>
        <v>32.2425</v>
      </c>
      <c r="O25" s="62">
        <f t="shared" si="5"/>
        <v>900</v>
      </c>
    </row>
    <row r="26" spans="1:15" ht="14.25" x14ac:dyDescent="0.2">
      <c r="A26" s="44"/>
      <c r="B26" s="36"/>
      <c r="C26" s="42"/>
      <c r="D26" s="36"/>
      <c r="E26" s="36"/>
      <c r="F26" s="36"/>
      <c r="G26" s="38"/>
      <c r="H26" s="38"/>
      <c r="I26" s="38"/>
      <c r="J26" s="38"/>
      <c r="K26" s="38"/>
      <c r="L26" s="38"/>
      <c r="M26" s="38"/>
      <c r="N26" s="38"/>
      <c r="O26" s="38"/>
    </row>
    <row r="28" spans="1:15" ht="14.25" x14ac:dyDescent="0.2">
      <c r="A28" s="1" t="s">
        <v>29</v>
      </c>
      <c r="B28" s="40">
        <f>SUM(Taxable)</f>
        <v>1188397</v>
      </c>
      <c r="C28" s="37">
        <f>COUNTA(State)</f>
        <v>10</v>
      </c>
      <c r="D28" s="40">
        <f>SUM(Witholding)</f>
        <v>159162</v>
      </c>
      <c r="E28" s="40">
        <f>SUM(Estimated)</f>
        <v>110250</v>
      </c>
      <c r="F28" s="40">
        <f>SUM(Actual_Owed)</f>
        <v>263573</v>
      </c>
      <c r="G28" s="40">
        <f>SUM(Flat_1)</f>
        <v>212498.78</v>
      </c>
      <c r="H28" s="40">
        <f>SUM(Flat_2)</f>
        <v>183005.81000000003</v>
      </c>
      <c r="I28" s="40">
        <f>SUM(Unpaid_Actual)</f>
        <v>-5839</v>
      </c>
      <c r="J28" s="40">
        <f>SUM(Unpaid_1)</f>
        <v>-56913.220000000008</v>
      </c>
      <c r="K28" s="40">
        <f>SUM(Unpaid_2)</f>
        <v>-86406.189999999988</v>
      </c>
      <c r="L28" s="40">
        <f>SUM(Penalty_Actual)</f>
        <v>2096.5</v>
      </c>
      <c r="M28" s="40">
        <f>SUM(Penalty_1)</f>
        <v>14.805500000000002</v>
      </c>
      <c r="N28" s="40">
        <f>SUM(Alternate_2)</f>
        <v>32.2425</v>
      </c>
      <c r="O28" s="40">
        <f>SUM(Allowance)</f>
        <v>5500</v>
      </c>
    </row>
    <row r="100" spans="26:26" ht="14.25" x14ac:dyDescent="0.2">
      <c r="Z100" s="1">
        <v>720053793</v>
      </c>
    </row>
  </sheetData>
  <conditionalFormatting sqref="A16:A26">
    <cfRule type="expression" dxfId="0" priority="1">
      <formula>$F16=MIN(Actual_Owed)</formula>
    </cfRule>
    <cfRule type="expression" dxfId="1" priority="2">
      <formula>$F16=MAX($F$16:$F$26)</formula>
    </cfRule>
  </conditionalFormatting>
  <dataValidations count="4">
    <dataValidation type="list" allowBlank="1" showInputMessage="1" showErrorMessage="1" errorTitle="Error" error="Not a valid state, please pick only those available from the dropdown menu." promptTitle="Choose" prompt="from dropdown menu" sqref="C16:C26" xr:uid="{49710420-B1CD-4D8E-9F65-78F93AD08DF2}">
      <formula1>$N$6:$N$12</formula1>
    </dataValidation>
    <dataValidation type="textLength" operator="lessThan" allowBlank="1" showInputMessage="1" showErrorMessage="1" sqref="A19" xr:uid="{B1BB7291-5E38-4D8F-87BC-BD05573D1303}">
      <formula1>5</formula1>
    </dataValidation>
    <dataValidation type="textLength" operator="lessThanOrEqual" allowBlank="1" showInputMessage="1" showErrorMessage="1" sqref="A17" xr:uid="{AF424F16-1DF9-4BFC-AC31-9B92053E95AF}">
      <formula1>4</formula1>
    </dataValidation>
    <dataValidation type="textLength" operator="equal" allowBlank="1" showInputMessage="1" showErrorMessage="1" sqref="A16 A18 A20:A26" xr:uid="{7FF88F50-0400-422B-AD4B-AC4756BDCD76}">
      <formula1>4</formula1>
    </dataValidation>
  </dataValidations>
  <pageMargins left="0.7" right="0.7" top="0.75" bottom="0.75" header="0.3" footer="0.3"/>
  <pageSetup orientation="portrait" horizontalDpi="4294967293" verticalDpi="0" r:id="rId1"/>
  <headerFooter>
    <oddHeader>&amp;CCheryl Hornung</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Documentation</vt:lpstr>
      <vt:lpstr>Taxes</vt:lpstr>
      <vt:lpstr>Taxes (INDEX)</vt:lpstr>
      <vt:lpstr>Actual_Owed</vt:lpstr>
      <vt:lpstr>Allowance</vt:lpstr>
      <vt:lpstr>Alternate_2</vt:lpstr>
      <vt:lpstr>Estimated</vt:lpstr>
      <vt:lpstr>Flat_1</vt:lpstr>
      <vt:lpstr>Flat_2</vt:lpstr>
      <vt:lpstr>flat1rate</vt:lpstr>
      <vt:lpstr>flat2rate</vt:lpstr>
      <vt:lpstr>ID</vt:lpstr>
      <vt:lpstr>Penalty_1</vt:lpstr>
      <vt:lpstr>Penalty_Actual</vt:lpstr>
      <vt:lpstr>State</vt:lpstr>
      <vt:lpstr>Taxable</vt:lpstr>
      <vt:lpstr>Unpaid_1</vt:lpstr>
      <vt:lpstr>Unpaid_2</vt:lpstr>
      <vt:lpstr>Unpaid_Actual</vt:lpstr>
      <vt:lpstr>Witholding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Hornung, Cheryl</dc:creator>
  <cp:lastModifiedBy>Hornung, Cheryl</cp:lastModifiedBy>
  <dcterms:created xsi:type="dcterms:W3CDTF">2022-09-18T00:41:18Z</dcterms:created>
  <dcterms:modified xsi:type="dcterms:W3CDTF">2022-10-09T12:30:30Z</dcterms:modified>
</cp:coreProperties>
</file>