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comments12.xml" ContentType="application/vnd.openxmlformats-officedocument.spreadsheetml.comments+xml"/>
  <Override PartName="/xl/drawings/drawing2.xml" ContentType="application/vnd.openxmlformats-officedocument.drawing+xml"/>
  <Override PartName="/xl/comments13.xml" ContentType="application/vnd.openxmlformats-officedocument.spreadsheetml.comments+xml"/>
  <Override PartName="/xl/drawings/drawing3.xml" ContentType="application/vnd.openxmlformats-officedocument.drawing+xml"/>
  <Override PartName="/xl/comments14.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24226"/>
  <mc:AlternateContent xmlns:mc="http://schemas.openxmlformats.org/markup-compatibility/2006">
    <mc:Choice Requires="x15">
      <x15ac:absPath xmlns:x15ac="http://schemas.microsoft.com/office/spreadsheetml/2010/11/ac" url="https://adminliveunc-my.sharepoint.com/personal/dayt_ad_unc_edu/Documents/Documents/Class/Notes/"/>
    </mc:Choice>
  </mc:AlternateContent>
  <xr:revisionPtr revIDLastSave="2274" documentId="11_0D5E54879B9DD4ECF63599649B55BA063268EDC4" xr6:coauthVersionLast="47" xr6:coauthVersionMax="47" xr10:uidLastSave="{059A46C3-9AF2-4454-BEF5-EFB2015363F6}"/>
  <bookViews>
    <workbookView xWindow="-120" yWindow="-120" windowWidth="29040" windowHeight="17520" tabRatio="815" xr2:uid="{00000000-000D-0000-FFFF-FFFF00000000}"/>
  </bookViews>
  <sheets>
    <sheet name="Documentation" sheetId="4" r:id="rId1"/>
    <sheet name="Interest" sheetId="5" r:id="rId2"/>
    <sheet name="_PMT" sheetId="7" r:id="rId3"/>
    <sheet name="Arguments" sheetId="8" r:id="rId4"/>
    <sheet name="Cell_references" sheetId="12" r:id="rId5"/>
    <sheet name="Validation" sheetId="40" r:id="rId6"/>
    <sheet name="_CashFlows" sheetId="9" r:id="rId7"/>
    <sheet name="Units of Time" sheetId="10" r:id="rId8"/>
    <sheet name="_FV" sheetId="38" r:id="rId9"/>
    <sheet name="FV_Options" sheetId="14" r:id="rId10"/>
    <sheet name="FV_Perspective" sheetId="35" r:id="rId11"/>
    <sheet name="Compounding" sheetId="31" r:id="rId12"/>
    <sheet name="Compounding-Advanced" sheetId="28" r:id="rId13"/>
    <sheet name="_PV" sheetId="16" r:id="rId14"/>
    <sheet name="PV_Perspective" sheetId="17" r:id="rId15"/>
    <sheet name="RATE1" sheetId="32" state="hidden" r:id="rId16"/>
    <sheet name="PV_Proof" sheetId="37" r:id="rId17"/>
    <sheet name="NPV" sheetId="19" r:id="rId18"/>
    <sheet name="_RATE" sheetId="15" r:id="rId19"/>
    <sheet name="IRR" sheetId="20" r:id="rId20"/>
    <sheet name="NPER1" sheetId="33" state="hidden" r:id="rId21"/>
    <sheet name="NPER" sheetId="34" r:id="rId22"/>
    <sheet name="Options1" sheetId="6" r:id="rId23"/>
    <sheet name="Options2" sheetId="13" r:id="rId24"/>
    <sheet name="_Goal_Seek" sheetId="36" r:id="rId25"/>
    <sheet name="_Amortization" sheetId="39" r:id="rId26"/>
    <sheet name="Amort_Functions" sheetId="23" r:id="rId27"/>
    <sheet name="Amort_Arithmetic" sheetId="11" r:id="rId28"/>
    <sheet name="CashFlow" sheetId="22" state="hidden" r:id="rId29"/>
    <sheet name="Depreciation" sheetId="24" state="hidden" r:id="rId30"/>
    <sheet name="High" sheetId="26" state="hidden" r:id="rId31"/>
    <sheet name="Low" sheetId="27" state="hidden" r:id="rId32"/>
    <sheet name="_Key" sheetId="29" r:id="rId33"/>
  </sheets>
  <definedNames>
    <definedName name="_xlnm._FilterDatabase" localSheetId="0" hidden="1">Documentation!$A$8:$G$42</definedName>
    <definedName name="anscount" hidden="1">1</definedName>
    <definedName name="Capital">Depreciation!$B$3</definedName>
    <definedName name="Disable_Video_Hyperlinks">Documentation!$C$2</definedName>
    <definedName name="element_designator">Documentation!$D$7</definedName>
    <definedName name="ErrorMsg">"ERR"</definedName>
    <definedName name="HW_Name" localSheetId="32">_Key!$I$11</definedName>
    <definedName name="Last_Modified">Documentation!$B$4</definedName>
    <definedName name="Life">Depreciation!$B$5</definedName>
    <definedName name="Salvage">Depreciation!$B$4</definedName>
    <definedName name="segment_designator">"_"</definedName>
    <definedName name="Taxrate">0.35</definedName>
    <definedName name="TOC">Documentation!$A$8</definedName>
    <definedName name="Video_Lengths_Description">"Length of video clips in this segment: "</definedName>
    <definedName name="Video_website">"https://public.kenan-flagler.unc.edu/faculty/dayt/class/video/"</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0" i="29" l="1"/>
  <c r="M60" i="29"/>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A9" i="4"/>
  <c r="F9" i="4" s="1"/>
  <c r="E8" i="4"/>
  <c r="N62" i="29"/>
  <c r="M62" i="29"/>
  <c r="N59" i="29"/>
  <c r="M59" i="29"/>
  <c r="N63" i="29"/>
  <c r="M63" i="29"/>
  <c r="A17" i="4"/>
  <c r="A16" i="4"/>
  <c r="A14" i="4"/>
  <c r="A35" i="4"/>
  <c r="A38" i="4"/>
  <c r="A40" i="4"/>
  <c r="A28" i="4"/>
  <c r="A33" i="4"/>
  <c r="A15" i="4"/>
  <c r="A18" i="4"/>
  <c r="A31" i="4"/>
  <c r="A19" i="4"/>
  <c r="A37" i="4"/>
  <c r="A21" i="4"/>
  <c r="A36" i="4"/>
  <c r="A12" i="4"/>
  <c r="A20" i="4"/>
  <c r="A32" i="4"/>
  <c r="A23" i="4"/>
  <c r="A41" i="4"/>
  <c r="A11" i="4"/>
  <c r="A13" i="4"/>
  <c r="A10" i="4"/>
  <c r="A30" i="4"/>
  <c r="A25" i="4"/>
  <c r="A34" i="4"/>
  <c r="A22" i="4"/>
  <c r="A39" i="4"/>
  <c r="A26" i="4"/>
  <c r="A27" i="4"/>
  <c r="A29" i="4"/>
  <c r="A24" i="4"/>
  <c r="F15" i="4" l="1"/>
  <c r="F23" i="4"/>
  <c r="F31" i="4"/>
  <c r="F39" i="4"/>
  <c r="F10" i="4"/>
  <c r="F20" i="4"/>
  <c r="F36" i="4"/>
  <c r="F33" i="4"/>
  <c r="F41" i="4"/>
  <c r="F28" i="4"/>
  <c r="F14" i="4"/>
  <c r="F22" i="4"/>
  <c r="F30" i="4"/>
  <c r="F38" i="4"/>
  <c r="F17" i="4"/>
  <c r="F11" i="4"/>
  <c r="F19" i="4"/>
  <c r="F27" i="4"/>
  <c r="F35" i="4"/>
  <c r="F34" i="4"/>
  <c r="F12" i="4"/>
  <c r="F16" i="4"/>
  <c r="F24" i="4"/>
  <c r="F32" i="4"/>
  <c r="F40" i="4"/>
  <c r="F18" i="4"/>
  <c r="F26" i="4"/>
  <c r="F25" i="4"/>
  <c r="F13" i="4"/>
  <c r="F21" i="4"/>
  <c r="F29" i="4"/>
  <c r="F37" i="4"/>
  <c r="C6" i="4"/>
  <c r="C27" i="40"/>
  <c r="B27" i="40"/>
  <c r="E14" i="40"/>
  <c r="E8" i="40"/>
  <c r="A4" i="40"/>
  <c r="A3" i="40"/>
  <c r="E14" i="12"/>
  <c r="E8" i="12"/>
  <c r="A3" i="39"/>
  <c r="A3" i="23"/>
  <c r="B2" i="38"/>
  <c r="A4" i="38" s="1"/>
  <c r="A3" i="38"/>
  <c r="A4" i="14"/>
  <c r="A4" i="35"/>
  <c r="A4" i="15"/>
  <c r="A4" i="20"/>
  <c r="A4" i="5"/>
  <c r="A4" i="7"/>
  <c r="A4" i="8"/>
  <c r="A4" i="9"/>
  <c r="A4" i="10"/>
  <c r="A4" i="12"/>
  <c r="A4" i="31"/>
  <c r="A4" i="28"/>
  <c r="A4" i="16"/>
  <c r="A4" i="17"/>
  <c r="A4" i="37"/>
  <c r="A4" i="19"/>
  <c r="A4" i="34"/>
  <c r="A4" i="6"/>
  <c r="A4" i="13"/>
  <c r="A4" i="36"/>
  <c r="A4" i="23"/>
  <c r="A4" i="11"/>
  <c r="J8" i="12"/>
  <c r="J14" i="12"/>
  <c r="A3" i="35" l="1"/>
  <c r="A3" i="7"/>
  <c r="A3" i="8"/>
  <c r="A3" i="9"/>
  <c r="A3" i="10"/>
  <c r="A3" i="12"/>
  <c r="A3" i="14"/>
  <c r="A3" i="31"/>
  <c r="A3" i="28"/>
  <c r="A3" i="16"/>
  <c r="A3" i="17"/>
  <c r="A3" i="37"/>
  <c r="A3" i="19"/>
  <c r="A3" i="15"/>
  <c r="A3" i="20"/>
  <c r="A3" i="34"/>
  <c r="A3" i="6"/>
  <c r="A3" i="13"/>
  <c r="A3" i="36"/>
  <c r="A3" i="11"/>
  <c r="A3" i="29"/>
  <c r="A3" i="5"/>
  <c r="E17" i="14" l="1"/>
  <c r="F17" i="14"/>
  <c r="G17" i="14"/>
  <c r="H17" i="14"/>
  <c r="E17" i="16"/>
  <c r="F17" i="16"/>
  <c r="G17" i="16"/>
  <c r="H17" i="16"/>
  <c r="D32" i="8" l="1"/>
  <c r="D22" i="37" l="1"/>
  <c r="D18" i="37"/>
  <c r="D20" i="37"/>
  <c r="E14" i="37" s="1"/>
  <c r="H12" i="13"/>
  <c r="H11" i="13"/>
  <c r="E22" i="37" l="1"/>
  <c r="E18" i="37"/>
  <c r="E20" i="37"/>
  <c r="D17" i="14" l="1"/>
  <c r="H17" i="9"/>
  <c r="F18" i="7"/>
  <c r="N67" i="29" l="1"/>
  <c r="M67" i="29"/>
  <c r="N66" i="29"/>
  <c r="M66" i="29"/>
  <c r="N65" i="29"/>
  <c r="M65" i="29"/>
  <c r="N64" i="29"/>
  <c r="M64" i="29"/>
  <c r="N61" i="29"/>
  <c r="M61" i="29"/>
  <c r="N58" i="29"/>
  <c r="M58" i="29"/>
  <c r="N57" i="29"/>
  <c r="M57" i="29"/>
  <c r="N56" i="29"/>
  <c r="M56" i="29"/>
  <c r="N55" i="29"/>
  <c r="M55" i="29"/>
  <c r="N54" i="29"/>
  <c r="M54" i="29"/>
  <c r="N53" i="29"/>
  <c r="M53" i="29"/>
  <c r="N52" i="29"/>
  <c r="M52" i="29"/>
  <c r="N51" i="29"/>
  <c r="M51" i="29"/>
  <c r="N50" i="29"/>
  <c r="M50" i="29"/>
  <c r="N49" i="29"/>
  <c r="M49" i="29"/>
  <c r="N46" i="29"/>
  <c r="M46" i="29"/>
  <c r="N44" i="29"/>
  <c r="M44" i="29"/>
  <c r="N48" i="29"/>
  <c r="M48" i="29"/>
  <c r="N45" i="29"/>
  <c r="M45" i="29"/>
  <c r="N43" i="29"/>
  <c r="M43" i="29"/>
  <c r="N42" i="29"/>
  <c r="M42" i="29"/>
  <c r="N41" i="29"/>
  <c r="M41" i="29"/>
  <c r="N40" i="29"/>
  <c r="M40" i="29"/>
  <c r="N39" i="29"/>
  <c r="M39" i="29"/>
  <c r="N38" i="29"/>
  <c r="M38" i="29"/>
  <c r="N37" i="29"/>
  <c r="M37" i="29"/>
  <c r="N36" i="29"/>
  <c r="M36" i="29"/>
  <c r="N35" i="29"/>
  <c r="M35" i="29"/>
  <c r="N34" i="29"/>
  <c r="M34" i="29"/>
  <c r="N33" i="29"/>
  <c r="M33" i="29"/>
  <c r="N32" i="29"/>
  <c r="M32" i="29"/>
  <c r="N31" i="29"/>
  <c r="M31" i="29"/>
  <c r="N30" i="29"/>
  <c r="M30" i="29"/>
  <c r="N29" i="29"/>
  <c r="M29" i="29"/>
  <c r="N28" i="29"/>
  <c r="M28" i="29"/>
  <c r="N27" i="29"/>
  <c r="M27" i="29"/>
  <c r="N26" i="29"/>
  <c r="M26" i="29"/>
  <c r="N25" i="29"/>
  <c r="M25" i="29"/>
  <c r="N24" i="29"/>
  <c r="M24" i="29"/>
  <c r="N23" i="29"/>
  <c r="M23" i="29"/>
  <c r="N22" i="29"/>
  <c r="M22" i="29"/>
  <c r="N21" i="29"/>
  <c r="M21" i="29"/>
  <c r="N20" i="29"/>
  <c r="M20" i="29"/>
  <c r="N19" i="29"/>
  <c r="M19" i="29"/>
  <c r="N18" i="29"/>
  <c r="M18" i="29"/>
  <c r="N17" i="29"/>
  <c r="M17" i="29"/>
  <c r="N16" i="29"/>
  <c r="M16" i="29"/>
  <c r="N15" i="29"/>
  <c r="M15" i="29"/>
  <c r="N14" i="29"/>
  <c r="M14" i="29"/>
  <c r="N13" i="29"/>
  <c r="M13" i="29"/>
  <c r="N12" i="29"/>
  <c r="M12" i="29"/>
  <c r="N11" i="29"/>
  <c r="M11" i="29"/>
  <c r="N10" i="29"/>
  <c r="M10" i="29"/>
  <c r="N9" i="29"/>
  <c r="M9" i="29"/>
  <c r="N8" i="29"/>
  <c r="M8" i="29"/>
  <c r="N7" i="29"/>
  <c r="M7" i="29"/>
  <c r="N6" i="29"/>
  <c r="M6" i="29"/>
  <c r="N5" i="29"/>
  <c r="M5" i="29"/>
  <c r="B13" i="36"/>
  <c r="B19" i="36" s="1"/>
  <c r="C31" i="28"/>
  <c r="C32" i="28" s="1"/>
  <c r="C33" i="28" s="1"/>
  <c r="E24" i="28"/>
  <c r="E21" i="28"/>
  <c r="Z18" i="17"/>
  <c r="Y18" i="17"/>
  <c r="X18" i="17"/>
  <c r="W18" i="17"/>
  <c r="V18" i="17"/>
  <c r="N18" i="17"/>
  <c r="O18" i="17"/>
  <c r="P18" i="17"/>
  <c r="Q18" i="17"/>
  <c r="M18" i="17"/>
  <c r="Z18" i="35"/>
  <c r="Y18" i="35"/>
  <c r="X18" i="35"/>
  <c r="W18" i="35"/>
  <c r="V18" i="35"/>
  <c r="Q18" i="35"/>
  <c r="M18" i="35"/>
  <c r="N18" i="35"/>
  <c r="O18" i="35"/>
  <c r="P18" i="35"/>
  <c r="X10" i="34"/>
  <c r="W10" i="34"/>
  <c r="V10" i="34"/>
  <c r="U10" i="34"/>
  <c r="T10" i="34"/>
  <c r="X25" i="34"/>
  <c r="W25" i="34"/>
  <c r="V25" i="34"/>
  <c r="U25" i="34"/>
  <c r="T25" i="34"/>
  <c r="M25" i="34"/>
  <c r="N25" i="34"/>
  <c r="O25" i="34"/>
  <c r="P25" i="34"/>
  <c r="L25" i="34"/>
  <c r="M10" i="34"/>
  <c r="N10" i="34"/>
  <c r="O10" i="34"/>
  <c r="P10" i="34"/>
  <c r="L10" i="34"/>
  <c r="W23" i="15"/>
  <c r="V23" i="15"/>
  <c r="U23" i="15"/>
  <c r="T23" i="15"/>
  <c r="S23" i="15"/>
  <c r="W8" i="15"/>
  <c r="V8" i="15"/>
  <c r="U8" i="15"/>
  <c r="T8" i="15"/>
  <c r="S8" i="15"/>
  <c r="L23" i="15"/>
  <c r="M23" i="15"/>
  <c r="N23" i="15"/>
  <c r="O23" i="15"/>
  <c r="K23" i="15"/>
  <c r="L8" i="15"/>
  <c r="M8" i="15"/>
  <c r="N8" i="15"/>
  <c r="O8" i="15"/>
  <c r="K8" i="15"/>
  <c r="G8" i="15"/>
  <c r="D25" i="34"/>
  <c r="E25" i="34"/>
  <c r="F25" i="34"/>
  <c r="G25" i="34"/>
  <c r="H25" i="34"/>
  <c r="C8" i="15"/>
  <c r="D8" i="15"/>
  <c r="E8" i="15"/>
  <c r="F8" i="15"/>
  <c r="D23" i="15"/>
  <c r="E23" i="15"/>
  <c r="F23" i="15"/>
  <c r="G23" i="15"/>
  <c r="E10" i="34"/>
  <c r="F10" i="34"/>
  <c r="G10" i="34"/>
  <c r="H10" i="34"/>
  <c r="D10" i="34"/>
  <c r="C23" i="15"/>
  <c r="C8" i="32"/>
  <c r="E18" i="35"/>
  <c r="F18" i="35"/>
  <c r="G18" i="35"/>
  <c r="H18" i="35"/>
  <c r="I17" i="31"/>
  <c r="I19" i="31"/>
  <c r="D18" i="35"/>
  <c r="H9" i="33"/>
  <c r="D9" i="33"/>
  <c r="V9" i="33"/>
  <c r="H8" i="33"/>
  <c r="C8" i="33"/>
  <c r="V8" i="33"/>
  <c r="F7" i="33"/>
  <c r="V7" i="33"/>
  <c r="G6" i="33"/>
  <c r="U6" i="33"/>
  <c r="E5" i="33"/>
  <c r="V5" i="33"/>
  <c r="H9" i="32"/>
  <c r="D9" i="32"/>
  <c r="V9" i="32"/>
  <c r="H8" i="32"/>
  <c r="V8" i="32"/>
  <c r="F7" i="32"/>
  <c r="U7" i="32"/>
  <c r="V7" i="32"/>
  <c r="G6" i="32"/>
  <c r="U6" i="32"/>
  <c r="E5" i="32"/>
  <c r="V5" i="32"/>
  <c r="E19" i="31"/>
  <c r="F19" i="31"/>
  <c r="G19" i="31"/>
  <c r="H19" i="31"/>
  <c r="D19" i="31"/>
  <c r="B27" i="12"/>
  <c r="C27" i="12"/>
  <c r="H17" i="31"/>
  <c r="G17" i="31"/>
  <c r="F17" i="31"/>
  <c r="E17" i="31"/>
  <c r="D17" i="31"/>
  <c r="U7" i="33"/>
  <c r="U5" i="33"/>
  <c r="V6" i="33"/>
  <c r="H5" i="33"/>
  <c r="U5" i="32"/>
  <c r="U8" i="32"/>
  <c r="U9" i="32"/>
  <c r="V6" i="32"/>
  <c r="H5" i="32"/>
  <c r="K33" i="5"/>
  <c r="D9" i="20"/>
  <c r="D10" i="20"/>
  <c r="A1" i="4"/>
  <c r="B9" i="4" s="1"/>
  <c r="E9" i="28"/>
  <c r="E12" i="28"/>
  <c r="A1" i="27"/>
  <c r="C18" i="27"/>
  <c r="D18" i="27"/>
  <c r="E18" i="27"/>
  <c r="F18" i="27"/>
  <c r="F19" i="27"/>
  <c r="F20" i="27"/>
  <c r="F22" i="27"/>
  <c r="F25" i="27"/>
  <c r="F26" i="27"/>
  <c r="F28" i="27"/>
  <c r="F29" i="27"/>
  <c r="G18" i="27"/>
  <c r="C19" i="27"/>
  <c r="D19" i="27"/>
  <c r="E19" i="27"/>
  <c r="E20" i="27"/>
  <c r="E22" i="27"/>
  <c r="E25" i="27"/>
  <c r="E26" i="27"/>
  <c r="E28" i="27"/>
  <c r="E29" i="27"/>
  <c r="G19" i="27"/>
  <c r="C20" i="27"/>
  <c r="D20" i="27"/>
  <c r="G20" i="27"/>
  <c r="C25" i="27"/>
  <c r="D25" i="27"/>
  <c r="G25" i="27"/>
  <c r="B36" i="27"/>
  <c r="B35" i="27"/>
  <c r="B46" i="27"/>
  <c r="A1" i="26"/>
  <c r="G4" i="26"/>
  <c r="C18" i="26"/>
  <c r="D18" i="26"/>
  <c r="E18" i="26"/>
  <c r="E19" i="26"/>
  <c r="E20" i="26"/>
  <c r="E22" i="26"/>
  <c r="E26" i="26"/>
  <c r="E28" i="26" s="1"/>
  <c r="E29" i="26" s="1"/>
  <c r="F18" i="26"/>
  <c r="G18" i="26"/>
  <c r="C19" i="26"/>
  <c r="D19" i="26"/>
  <c r="D20" i="26"/>
  <c r="D22" i="26"/>
  <c r="D26" i="26"/>
  <c r="D28" i="26"/>
  <c r="D29" i="26"/>
  <c r="F19" i="26"/>
  <c r="G19" i="26"/>
  <c r="C20" i="26"/>
  <c r="C22" i="26"/>
  <c r="C26" i="26"/>
  <c r="C28" i="26"/>
  <c r="C29" i="26"/>
  <c r="F20" i="26"/>
  <c r="G20" i="26"/>
  <c r="G22" i="26"/>
  <c r="G26" i="26"/>
  <c r="G28" i="26" s="1"/>
  <c r="G29" i="26" s="1"/>
  <c r="C25" i="26"/>
  <c r="D25" i="26"/>
  <c r="E25" i="26"/>
  <c r="F25" i="26"/>
  <c r="G25" i="26"/>
  <c r="B29" i="26"/>
  <c r="B46" i="26"/>
  <c r="B36" i="26"/>
  <c r="B35" i="26"/>
  <c r="B12" i="23"/>
  <c r="B15" i="23"/>
  <c r="C15" i="23"/>
  <c r="D15" i="23"/>
  <c r="C16" i="23"/>
  <c r="D16" i="23"/>
  <c r="C17" i="23"/>
  <c r="D17" i="23"/>
  <c r="C18" i="23"/>
  <c r="D18" i="23"/>
  <c r="C19" i="23"/>
  <c r="D19" i="23"/>
  <c r="C20" i="23"/>
  <c r="D20" i="23"/>
  <c r="C21" i="23"/>
  <c r="D21" i="23"/>
  <c r="C22" i="23"/>
  <c r="D22" i="23"/>
  <c r="C23" i="23"/>
  <c r="D23" i="23"/>
  <c r="C24" i="23"/>
  <c r="D24" i="23"/>
  <c r="C25" i="23"/>
  <c r="D25" i="23"/>
  <c r="C26" i="23"/>
  <c r="D26" i="23"/>
  <c r="C27" i="23"/>
  <c r="D27" i="23"/>
  <c r="C28" i="23"/>
  <c r="D28" i="23"/>
  <c r="C29" i="23"/>
  <c r="D29" i="23"/>
  <c r="C30" i="23"/>
  <c r="D30" i="23"/>
  <c r="C31" i="23"/>
  <c r="D31" i="23"/>
  <c r="C32" i="23"/>
  <c r="D32" i="23"/>
  <c r="C33" i="23"/>
  <c r="D33" i="23"/>
  <c r="C34" i="23"/>
  <c r="D34" i="23"/>
  <c r="C7" i="22"/>
  <c r="D7" i="22"/>
  <c r="E7" i="22"/>
  <c r="E9" i="22"/>
  <c r="E10" i="22"/>
  <c r="E12" i="22"/>
  <c r="E15" i="22"/>
  <c r="E16" i="22" s="1"/>
  <c r="E18" i="22" s="1"/>
  <c r="E19" i="22" s="1"/>
  <c r="F7" i="22"/>
  <c r="G7" i="22"/>
  <c r="C9" i="22"/>
  <c r="D9" i="22"/>
  <c r="F9" i="22"/>
  <c r="G9" i="22"/>
  <c r="C10" i="22"/>
  <c r="D10" i="22"/>
  <c r="F10" i="22"/>
  <c r="G10" i="22"/>
  <c r="G12" i="22"/>
  <c r="G15" i="22"/>
  <c r="G16" i="22" s="1"/>
  <c r="G18" i="22" s="1"/>
  <c r="G19" i="22" s="1"/>
  <c r="G21" i="22"/>
  <c r="C15" i="22"/>
  <c r="C16" i="22" s="1"/>
  <c r="C18" i="22" s="1"/>
  <c r="C19" i="22" s="1"/>
  <c r="D15" i="22"/>
  <c r="D21" i="22" s="1"/>
  <c r="F15" i="22"/>
  <c r="F16" i="22" s="1"/>
  <c r="F18" i="22" s="1"/>
  <c r="F19" i="22" s="1"/>
  <c r="C9" i="20"/>
  <c r="C15" i="20" s="1"/>
  <c r="D17" i="19"/>
  <c r="D21"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D18" i="17"/>
  <c r="E18" i="17"/>
  <c r="F18" i="17"/>
  <c r="G18" i="17"/>
  <c r="H18" i="17"/>
  <c r="D17" i="16"/>
  <c r="E8" i="13"/>
  <c r="H8" i="13" s="1"/>
  <c r="G9" i="13"/>
  <c r="F10" i="13"/>
  <c r="C11" i="13"/>
  <c r="D12" i="13"/>
  <c r="D6" i="10"/>
  <c r="D33" i="10"/>
  <c r="D17" i="9"/>
  <c r="F17" i="9"/>
  <c r="D19" i="9"/>
  <c r="D6" i="8"/>
  <c r="D18" i="7"/>
  <c r="H18" i="7"/>
  <c r="E11" i="5"/>
  <c r="E13" i="5" s="1"/>
  <c r="E12" i="5"/>
  <c r="I22" i="5"/>
  <c r="I23" i="5" s="1"/>
  <c r="I24" i="5" s="1"/>
  <c r="L33" i="5"/>
  <c r="M33" i="5" s="1"/>
  <c r="K34" i="5"/>
  <c r="L34" i="5" s="1"/>
  <c r="N33" i="5"/>
  <c r="D22" i="27"/>
  <c r="D26" i="27"/>
  <c r="D28" i="27"/>
  <c r="D29" i="27"/>
  <c r="C12" i="22"/>
  <c r="B37" i="26"/>
  <c r="B38" i="26"/>
  <c r="B20" i="20"/>
  <c r="F12" i="22"/>
  <c r="D12" i="22"/>
  <c r="F22" i="26"/>
  <c r="F26" i="26"/>
  <c r="F28" i="26" s="1"/>
  <c r="F29" i="26" s="1"/>
  <c r="G22" i="27"/>
  <c r="G26" i="27"/>
  <c r="G28" i="27"/>
  <c r="G29" i="27"/>
  <c r="C22" i="27"/>
  <c r="C26" i="27"/>
  <c r="C28" i="27"/>
  <c r="C29" i="27"/>
  <c r="B37" i="27"/>
  <c r="B38" i="27"/>
  <c r="D46" i="26"/>
  <c r="D46" i="27"/>
  <c r="G46" i="27"/>
  <c r="B43" i="27"/>
  <c r="E46" i="27"/>
  <c r="C46" i="27"/>
  <c r="B44" i="27"/>
  <c r="C36" i="27"/>
  <c r="C37" i="27"/>
  <c r="B41" i="27"/>
  <c r="F46" i="27"/>
  <c r="B39" i="26"/>
  <c r="C35" i="27"/>
  <c r="B34" i="27"/>
  <c r="B39" i="27"/>
  <c r="C38" i="27"/>
  <c r="B34" i="26"/>
  <c r="U9" i="33"/>
  <c r="U8" i="33"/>
  <c r="B40" i="27"/>
  <c r="C40" i="27"/>
  <c r="C39" i="27"/>
  <c r="B33" i="26"/>
  <c r="B33" i="27"/>
  <c r="C34" i="27"/>
  <c r="B40" i="26"/>
  <c r="C33" i="27"/>
  <c r="B32" i="27"/>
  <c r="C32" i="27"/>
  <c r="B32" i="26"/>
  <c r="C24" i="22" l="1"/>
  <c r="G24" i="22"/>
  <c r="E21" i="22"/>
  <c r="E24" i="22" s="1"/>
  <c r="C21" i="22"/>
  <c r="M34" i="5"/>
  <c r="K35" i="5"/>
  <c r="N34" i="5"/>
  <c r="B29" i="20"/>
  <c r="B51" i="20"/>
  <c r="B45" i="20"/>
  <c r="B25" i="20"/>
  <c r="B55" i="20"/>
  <c r="B52" i="20"/>
  <c r="B38" i="20"/>
  <c r="B35" i="20"/>
  <c r="B22" i="20"/>
  <c r="B31" i="20"/>
  <c r="B40" i="20"/>
  <c r="B47" i="20"/>
  <c r="B56" i="20"/>
  <c r="B44" i="20"/>
  <c r="B46" i="20"/>
  <c r="B24" i="20"/>
  <c r="B32" i="20"/>
  <c r="B48" i="20"/>
  <c r="B27" i="20"/>
  <c r="B41" i="20"/>
  <c r="B53" i="20"/>
  <c r="B42" i="20"/>
  <c r="B23" i="20"/>
  <c r="B36" i="20"/>
  <c r="B54" i="20"/>
  <c r="B37" i="20"/>
  <c r="B26" i="20"/>
  <c r="B33" i="20"/>
  <c r="B43" i="20"/>
  <c r="B49" i="20"/>
  <c r="B39" i="20"/>
  <c r="B28" i="20"/>
  <c r="B30" i="20"/>
  <c r="B21" i="20"/>
  <c r="B34" i="20"/>
  <c r="B50" i="20"/>
  <c r="B16" i="23"/>
  <c r="B17" i="23" s="1"/>
  <c r="B18" i="23" s="1"/>
  <c r="B19" i="23" s="1"/>
  <c r="B20" i="23" s="1"/>
  <c r="B21" i="23" s="1"/>
  <c r="B22" i="23" s="1"/>
  <c r="B23" i="23" s="1"/>
  <c r="B24" i="23" s="1"/>
  <c r="B25" i="23" s="1"/>
  <c r="B26" i="23" s="1"/>
  <c r="B27" i="23" s="1"/>
  <c r="B28" i="23" s="1"/>
  <c r="B29" i="23" s="1"/>
  <c r="B30" i="23" s="1"/>
  <c r="B31" i="23" s="1"/>
  <c r="B32" i="23" s="1"/>
  <c r="B33" i="23" s="1"/>
  <c r="B34" i="23" s="1"/>
  <c r="B35" i="23" s="1"/>
  <c r="D16" i="22"/>
  <c r="D18" i="22" s="1"/>
  <c r="D19" i="22" s="1"/>
  <c r="D24" i="22" s="1"/>
  <c r="F21" i="22"/>
  <c r="F24" i="22" s="1"/>
  <c r="C37" i="26"/>
  <c r="B41" i="26"/>
  <c r="C36" i="26"/>
  <c r="G46" i="26"/>
  <c r="C35" i="26"/>
  <c r="C40" i="26"/>
  <c r="C39" i="26"/>
  <c r="C32" i="26"/>
  <c r="C33" i="26"/>
  <c r="E46" i="26"/>
  <c r="F46" i="26"/>
  <c r="C38" i="26"/>
  <c r="C34" i="26"/>
  <c r="C46" i="26"/>
  <c r="B44" i="26" s="1"/>
  <c r="B43" i="26"/>
  <c r="D18" i="20" l="1"/>
  <c r="F18" i="20" s="1"/>
  <c r="L35" i="5"/>
  <c r="N35" i="5" s="1"/>
  <c r="M35" i="5"/>
  <c r="K36" i="5" l="1"/>
  <c r="L36" i="5"/>
  <c r="N36" i="5" s="1"/>
  <c r="K37" i="5" l="1"/>
  <c r="M36" i="5"/>
  <c r="L37" i="5" l="1"/>
  <c r="M37" i="5" s="1"/>
  <c r="K38" i="5" l="1"/>
  <c r="N37" i="5"/>
  <c r="L38" i="5"/>
  <c r="N38" i="5" s="1"/>
  <c r="K39" i="5" l="1"/>
  <c r="M38" i="5"/>
  <c r="L39" i="5"/>
  <c r="M39" i="5" s="1"/>
  <c r="N39" i="5"/>
  <c r="K40" i="5" l="1"/>
  <c r="L40" i="5" l="1"/>
  <c r="M40" i="5" s="1"/>
  <c r="N4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A6" authorId="0" shapeId="0" xr:uid="{00000000-0006-0000-0200-000001000000}">
      <text>
        <r>
          <rPr>
            <sz val="8"/>
            <color indexed="81"/>
            <rFont val="Tahoma"/>
            <family val="2"/>
          </rPr>
          <t>This is an example of when you may want to merge cells.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D17" authorId="0" shapeId="0" xr:uid="{27AC3FED-8A7E-420E-9053-EF9B6FEAF97B}">
      <text>
        <r>
          <rPr>
            <b/>
            <sz val="9"/>
            <color indexed="81"/>
            <rFont val="Tahoma"/>
            <family val="2"/>
          </rPr>
          <t>Travis Day:</t>
        </r>
        <r>
          <rPr>
            <sz val="9"/>
            <color indexed="81"/>
            <rFont val="Tahoma"/>
            <family val="2"/>
          </rPr>
          <t xml:space="preserve">
The  PV function is used to calculate  the Present Value  of  a stream of equal cash flows.  Entering a Payment Type of 1 specifies that the payments start at the beginning of the first period (T=0); whereas entering a Payment Type of 0 specifies that payments start at the end of the first period (T=1).</t>
        </r>
      </text>
    </comment>
    <comment ref="D21" authorId="0" shapeId="0" xr:uid="{F3B86928-6034-4870-BF3E-BD6AF9D9DE94}">
      <text>
        <r>
          <rPr>
            <b/>
            <sz val="9"/>
            <color indexed="81"/>
            <rFont val="Tahoma"/>
            <family val="2"/>
          </rPr>
          <t>Travis Day:</t>
        </r>
        <r>
          <rPr>
            <sz val="9"/>
            <color indexed="81"/>
            <rFont val="Tahoma"/>
            <family val="2"/>
          </rPr>
          <t xml:space="preserve">
The NPV function  can calcuate the Present Value of a  stream of equal or unequal cash flows.  It is assumed that these cash flows occur at the end of each period, starting at end of the first period (T=1).
A  cash flow occurring at the beginning (T=0) does not need to  be discounted, and therefore should not be included within the NPV function.  In order to accommodate a cash flow occurring at the beginning, simply add the initial cash flow to the result of the NPV calculation:  CashFlow0 + NPV(CashFlow1, Cashflow2, ....)  gobble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Day, Travis</author>
    <author>Travis Day</author>
  </authors>
  <commentList>
    <comment ref="F8" authorId="0" shapeId="0" xr:uid="{00000000-0006-0000-1000-000001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N8" authorId="0" shapeId="0" xr:uid="{00000000-0006-0000-1000-000002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V8" authorId="0" shapeId="0" xr:uid="{00000000-0006-0000-1000-000003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B11" authorId="1" shapeId="0" xr:uid="{00000000-0006-0000-1000-000004000000}">
      <text>
        <r>
          <rPr>
            <sz val="8"/>
            <color indexed="81"/>
            <rFont val="Tahoma"/>
            <family val="2"/>
          </rPr>
          <t>The "Payments per Year" assumption also serves as the interest compounding frequency.</t>
        </r>
      </text>
    </comment>
    <comment ref="J11" authorId="1" shapeId="0" xr:uid="{00000000-0006-0000-1000-000005000000}">
      <text>
        <r>
          <rPr>
            <sz val="8"/>
            <color indexed="81"/>
            <rFont val="Tahoma"/>
            <family val="2"/>
          </rPr>
          <t>The "Payments per Year" assumption also serves as the interest compounding frequency.</t>
        </r>
      </text>
    </comment>
    <comment ref="R11" authorId="1" shapeId="0" xr:uid="{00000000-0006-0000-1000-000006000000}">
      <text>
        <r>
          <rPr>
            <sz val="8"/>
            <color indexed="81"/>
            <rFont val="Tahoma"/>
            <family val="2"/>
          </rPr>
          <t>The "Payments per Year" assumption also serves as the interest compounding frequency.</t>
        </r>
      </text>
    </comment>
    <comment ref="D23" authorId="0" shapeId="0" xr:uid="{00000000-0006-0000-1000-000007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L23" authorId="0" shapeId="0" xr:uid="{00000000-0006-0000-1000-000008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T23" authorId="0" shapeId="0" xr:uid="{00000000-0006-0000-1000-000009000000}">
      <text>
        <r>
          <rPr>
            <b/>
            <sz val="9"/>
            <color indexed="81"/>
            <rFont val="Tahoma"/>
            <family val="2"/>
          </rPr>
          <t>Day, Travis:</t>
        </r>
        <r>
          <rPr>
            <sz val="9"/>
            <color indexed="81"/>
            <rFont val="Tahoma"/>
            <family val="2"/>
          </rPr>
          <t xml:space="preserve">
RATE cannot calculate this one, since there is effectively no interest being applied.</t>
        </r>
      </text>
    </comment>
    <comment ref="B26" authorId="1" shapeId="0" xr:uid="{00000000-0006-0000-1000-00000A000000}">
      <text>
        <r>
          <rPr>
            <sz val="8"/>
            <color indexed="81"/>
            <rFont val="Tahoma"/>
            <family val="2"/>
          </rPr>
          <t>The "Payments per Year" assumption also serves as the interest compounding frequency.</t>
        </r>
      </text>
    </comment>
    <comment ref="J26" authorId="1" shapeId="0" xr:uid="{00000000-0006-0000-1000-00000B000000}">
      <text>
        <r>
          <rPr>
            <sz val="8"/>
            <color indexed="81"/>
            <rFont val="Tahoma"/>
            <family val="2"/>
          </rPr>
          <t>The "Payments per Year" assumption also serves as the interest compounding frequency.</t>
        </r>
      </text>
    </comment>
    <comment ref="R26" authorId="1" shapeId="0" xr:uid="{00000000-0006-0000-1000-00000C000000}">
      <text>
        <r>
          <rPr>
            <sz val="8"/>
            <color indexed="81"/>
            <rFont val="Tahoma"/>
            <family val="2"/>
          </rPr>
          <t>The "Payments per Year" assumption also serves as the interest compounding frequency.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Day, Travis</author>
    <author>Travis Day</author>
  </authors>
  <commentList>
    <comment ref="G10" authorId="0" shapeId="0" xr:uid="{00000000-0006-0000-1200-000001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O10" authorId="0" shapeId="0" xr:uid="{00000000-0006-0000-1200-000002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W10" authorId="0" shapeId="0" xr:uid="{00000000-0006-0000-1200-000003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C11" authorId="1" shapeId="0" xr:uid="{00000000-0006-0000-1200-000004000000}">
      <text>
        <r>
          <rPr>
            <sz val="8"/>
            <color indexed="81"/>
            <rFont val="Tahoma"/>
            <family val="2"/>
          </rPr>
          <t>The "Payments per Year" assumption also serves as the interest compounding frequency.</t>
        </r>
      </text>
    </comment>
    <comment ref="K11" authorId="1" shapeId="0" xr:uid="{00000000-0006-0000-1200-000005000000}">
      <text>
        <r>
          <rPr>
            <sz val="8"/>
            <color indexed="81"/>
            <rFont val="Tahoma"/>
            <family val="2"/>
          </rPr>
          <t>The "Payments per Year" assumption also serves as the interest compounding frequency.</t>
        </r>
      </text>
    </comment>
    <comment ref="S11" authorId="1" shapeId="0" xr:uid="{00000000-0006-0000-1200-000006000000}">
      <text>
        <r>
          <rPr>
            <sz val="8"/>
            <color indexed="81"/>
            <rFont val="Tahoma"/>
            <family val="2"/>
          </rPr>
          <t>The "Payments per Year" assumption also serves as the interest compounding frequency.</t>
        </r>
      </text>
    </comment>
    <comment ref="E25" authorId="0" shapeId="0" xr:uid="{00000000-0006-0000-1200-000007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M25" authorId="0" shapeId="0" xr:uid="{00000000-0006-0000-1200-000008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U25" authorId="0" shapeId="0" xr:uid="{00000000-0006-0000-1200-000009000000}">
      <text>
        <r>
          <rPr>
            <b/>
            <sz val="9"/>
            <color indexed="81"/>
            <rFont val="Tahoma"/>
            <family val="2"/>
          </rPr>
          <t>Day, Travis:</t>
        </r>
        <r>
          <rPr>
            <sz val="9"/>
            <color indexed="81"/>
            <rFont val="Tahoma"/>
            <family val="2"/>
          </rPr>
          <t xml:space="preserve">
NPER cannot calculate this one as there is effectively NO interest rate being applied.</t>
        </r>
      </text>
    </comment>
    <comment ref="C26" authorId="1" shapeId="0" xr:uid="{00000000-0006-0000-1200-00000A000000}">
      <text>
        <r>
          <rPr>
            <sz val="8"/>
            <color indexed="81"/>
            <rFont val="Tahoma"/>
            <family val="2"/>
          </rPr>
          <t>The "Payments per Year" assumption also serves as the interest compounding frequency.</t>
        </r>
      </text>
    </comment>
    <comment ref="K26" authorId="1" shapeId="0" xr:uid="{00000000-0006-0000-1200-00000B000000}">
      <text>
        <r>
          <rPr>
            <sz val="8"/>
            <color indexed="81"/>
            <rFont val="Tahoma"/>
            <family val="2"/>
          </rPr>
          <t>The "Payments per Year" assumption also serves as the interest compounding frequency.</t>
        </r>
      </text>
    </comment>
    <comment ref="S26" authorId="1" shapeId="0" xr:uid="{00000000-0006-0000-1200-00000C000000}">
      <text>
        <r>
          <rPr>
            <sz val="8"/>
            <color indexed="81"/>
            <rFont val="Tahoma"/>
            <family val="2"/>
          </rPr>
          <t>The "Payments per Year" assumption also serves as the interest compounding frequency.</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B19" authorId="0" shapeId="0" xr:uid="{D2F11A9C-3A8A-41EC-99EE-74895FBA9232}">
      <text>
        <r>
          <rPr>
            <sz val="8"/>
            <color indexed="81"/>
            <rFont val="Tahoma"/>
            <family val="2"/>
          </rPr>
          <t>Use goal seek to make the result of this formula be $250 by changing some of the inputs above. 
You CANNOT change any cells that conain formulas.  In Excel, "changing cells should never be cells with formulas, whether for Goal Seek, Solver, Scenario Manager, etc.</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A14" authorId="0" shapeId="0" xr:uid="{00000000-0006-0000-1B00-000001000000}">
      <text>
        <r>
          <rPr>
            <b/>
            <sz val="8"/>
            <color indexed="81"/>
            <rFont val="Tahoma"/>
            <family val="2"/>
          </rPr>
          <t>Travis Day:</t>
        </r>
        <r>
          <rPr>
            <sz val="8"/>
            <color indexed="81"/>
            <rFont val="Tahoma"/>
            <family val="2"/>
          </rPr>
          <t xml:space="preserve">
Beginning = 1, End = 0</t>
        </r>
      </text>
    </comment>
    <comment ref="E55" authorId="0" shapeId="0" xr:uid="{00000000-0006-0000-1B00-000002000000}">
      <text>
        <r>
          <rPr>
            <b/>
            <sz val="8"/>
            <color indexed="81"/>
            <rFont val="Tahoma"/>
            <family val="2"/>
          </rPr>
          <t>Travis Day:</t>
        </r>
        <r>
          <rPr>
            <sz val="8"/>
            <color indexed="81"/>
            <rFont val="Tahoma"/>
            <family val="2"/>
          </rPr>
          <t xml:space="preserve">
This value is essentially 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 Travis</author>
  </authors>
  <commentList>
    <comment ref="D29" authorId="0" shapeId="0" xr:uid="{F9872926-A074-4390-8FC0-E55108CC6820}">
      <text>
        <r>
          <rPr>
            <b/>
            <sz val="9"/>
            <color indexed="81"/>
            <rFont val="Tahoma"/>
            <family val="2"/>
          </rPr>
          <t>Day, Travis:</t>
        </r>
        <r>
          <rPr>
            <sz val="9"/>
            <color indexed="81"/>
            <rFont val="Tahoma"/>
            <family val="2"/>
          </rPr>
          <t xml:space="preserve">
The ending balance (FV argument) for a loan will not always be 0.  But it usually will be 0.  Most of the time, you pay off a loan until the ending balance is 0.  So it could be okay to hard-code the 0 in the FV argument when calculating a payment.  (If I list the FV assumption in my screenshots, then use a cell reference to refer to that assumption.  Otherwise, it will be okay to hard-code the 0.)
The situation is different when calculating the Present Value and the Future Value.  In those situations, the FV argument more commonly refers to an ending or future lump sum rather than an “ending balance.”  In these cases, you should definitely refer to an assumption for the FV argument.
In any case, to be on the safe side, you could always refer to an assumption for the FV.  The only disadvantage might be that in the case of calculating a payment (using the PMT function), then the FV argument as an assumption might seem a bit unnecessary (or maybe even confusing for some users).
</t>
        </r>
      </text>
    </comment>
    <comment ref="D30" authorId="0" shapeId="0" xr:uid="{1F22941D-5CDA-4C9D-B911-B9DB883BE501}">
      <text>
        <r>
          <rPr>
            <b/>
            <sz val="9"/>
            <color indexed="81"/>
            <rFont val="Tahoma"/>
            <family val="2"/>
          </rPr>
          <t>Day, Travis:</t>
        </r>
        <r>
          <rPr>
            <sz val="9"/>
            <color indexed="81"/>
            <rFont val="Tahoma"/>
            <family val="2"/>
          </rPr>
          <t xml:space="preserve">
Unless specified otherwise, assume that loan payments will start one period from the loan closing date...this is the typical payment arrangement for the majority of loans.
Note:  When labeling (or thinking about) the timing of the loan payments, please don't think "start of the month versus end of the month".  The "date" of the regular monthly payment (1st day of the month, last day of the month, 15th day of the month...).  The Payment Type does does specify "when" during the month payments occur.  
Instead, the Payment Type indicates whether the regular monthly payments start "immediately" (at the time of loan closing) or "one month/period after" the loan closing date.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 Travis</author>
  </authors>
  <commentList>
    <comment ref="D28" authorId="0" shapeId="0" xr:uid="{FC1A77C7-85C7-47AB-8586-B426C04782C4}">
      <text>
        <r>
          <rPr>
            <b/>
            <sz val="9"/>
            <color indexed="81"/>
            <rFont val="Tahoma"/>
            <family val="2"/>
          </rPr>
          <t>Day, Travis:</t>
        </r>
        <r>
          <rPr>
            <sz val="9"/>
            <color indexed="81"/>
            <rFont val="Tahoma"/>
            <family val="2"/>
          </rPr>
          <t xml:space="preserve">
Change the Payments per year assumption to see the Payment Due for the corresponding Payment Frequency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1" authorId="0" shapeId="0" xr:uid="{00000000-0006-0000-0900-000001000000}">
      <text>
        <r>
          <rPr>
            <sz val="8"/>
            <color indexed="81"/>
            <rFont val="Tahoma"/>
            <family val="2"/>
          </rPr>
          <t>The "Payments per Year" assumption also serves as the interest compounding frequency.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2" authorId="0" shapeId="0" xr:uid="{00000000-0006-0000-0A00-000001000000}">
      <text>
        <r>
          <rPr>
            <sz val="8"/>
            <color indexed="81"/>
            <rFont val="Tahoma"/>
            <family val="2"/>
          </rPr>
          <t>The "Payments per Year" assumption also serves as the interest compounding frequency.</t>
        </r>
      </text>
    </comment>
    <comment ref="L12" authorId="0" shapeId="0" xr:uid="{00000000-0006-0000-0A00-000002000000}">
      <text>
        <r>
          <rPr>
            <sz val="8"/>
            <color indexed="81"/>
            <rFont val="Tahoma"/>
            <family val="2"/>
          </rPr>
          <t>The "Payments per Year" assumption also serves as the interest compounding frequency.</t>
        </r>
      </text>
    </comment>
    <comment ref="U12" authorId="0" shapeId="0" xr:uid="{00000000-0006-0000-0A00-000003000000}">
      <text>
        <r>
          <rPr>
            <sz val="8"/>
            <color indexed="81"/>
            <rFont val="Tahoma"/>
            <family val="2"/>
          </rPr>
          <t>The "Payments per Year" assumption also serves as the interest compounding frequency.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1" authorId="0" shapeId="0" xr:uid="{00000000-0006-0000-0B00-000001000000}">
      <text>
        <r>
          <rPr>
            <sz val="8"/>
            <color indexed="81"/>
            <rFont val="Tahoma"/>
            <family val="2"/>
          </rPr>
          <t>The "Payments per Year" assumption also serves as the interest compounding frequency.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1" authorId="0" shapeId="0" xr:uid="{00000000-0006-0000-0D00-000001000000}">
      <text>
        <r>
          <rPr>
            <sz val="8"/>
            <color indexed="81"/>
            <rFont val="Tahoma"/>
            <family val="2"/>
          </rPr>
          <t>The "Payments per Year" assumption also serves as the interest compounding frequency.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2" authorId="0" shapeId="0" xr:uid="{00000000-0006-0000-0E00-000001000000}">
      <text>
        <r>
          <rPr>
            <sz val="8"/>
            <color indexed="81"/>
            <rFont val="Tahoma"/>
            <family val="2"/>
          </rPr>
          <t>The "Payments per Year" assumption also serves as the interest compounding frequency.</t>
        </r>
      </text>
    </comment>
    <comment ref="L12" authorId="0" shapeId="0" xr:uid="{00000000-0006-0000-0E00-000002000000}">
      <text>
        <r>
          <rPr>
            <sz val="8"/>
            <color indexed="81"/>
            <rFont val="Tahoma"/>
            <family val="2"/>
          </rPr>
          <t>The "Payments per Year" assumption also serves as the interest compounding frequency.</t>
        </r>
      </text>
    </comment>
    <comment ref="U12" authorId="0" shapeId="0" xr:uid="{00000000-0006-0000-0E00-000003000000}">
      <text>
        <r>
          <rPr>
            <sz val="8"/>
            <color indexed="81"/>
            <rFont val="Tahoma"/>
            <family val="2"/>
          </rPr>
          <t>The "Payments per Year" assumption also serves as the interest compounding frequency.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Travis Day</author>
  </authors>
  <commentList>
    <comment ref="C12" authorId="0" shapeId="0" xr:uid="{80959B49-6078-4647-B8F4-22276803297F}">
      <text>
        <r>
          <rPr>
            <sz val="8"/>
            <color indexed="81"/>
            <rFont val="Tahoma"/>
            <family val="2"/>
          </rPr>
          <t>The "Payments per Year" assumption also serves as the interest compounding frequency.</t>
        </r>
      </text>
    </comment>
  </commentList>
</comments>
</file>

<file path=xl/sharedStrings.xml><?xml version="1.0" encoding="utf-8"?>
<sst xmlns="http://schemas.openxmlformats.org/spreadsheetml/2006/main" count="1129" uniqueCount="384">
  <si>
    <t>Worksheet Name</t>
  </si>
  <si>
    <t>Evaluating the Financial Impact of Loans and Investments</t>
  </si>
  <si>
    <t>Workbook Description</t>
  </si>
  <si>
    <t>Last Modified</t>
  </si>
  <si>
    <t>Travis Day</t>
  </si>
  <si>
    <t>Created by</t>
  </si>
  <si>
    <t>etc.</t>
  </si>
  <si>
    <r>
      <t>4</t>
    </r>
    <r>
      <rPr>
        <vertAlign val="superscript"/>
        <sz val="10"/>
        <rFont val="Arial"/>
        <family val="2"/>
      </rPr>
      <t>th</t>
    </r>
    <r>
      <rPr>
        <sz val="10"/>
        <rFont val="Arial"/>
        <family val="2"/>
      </rPr>
      <t xml:space="preserve"> Qtr: $10,303.01 [principal of $10,201 + accrued interest of $102.01) * .04/4 [interest rate] = $103.03</t>
    </r>
  </si>
  <si>
    <r>
      <t>3</t>
    </r>
    <r>
      <rPr>
        <vertAlign val="superscript"/>
        <sz val="10"/>
        <rFont val="Arial"/>
        <family val="2"/>
      </rPr>
      <t>rd</t>
    </r>
    <r>
      <rPr>
        <sz val="10"/>
        <rFont val="Arial"/>
        <family val="2"/>
      </rPr>
      <t xml:space="preserve"> Qtr: $10,201 [principal of $10,100 + accrued interest of $101) * .04/4 [interest rate] = $102.01</t>
    </r>
  </si>
  <si>
    <r>
      <t>2</t>
    </r>
    <r>
      <rPr>
        <vertAlign val="superscript"/>
        <sz val="10"/>
        <rFont val="Arial"/>
        <family val="2"/>
      </rPr>
      <t>nd</t>
    </r>
    <r>
      <rPr>
        <sz val="10"/>
        <rFont val="Arial"/>
        <family val="2"/>
      </rPr>
      <t xml:space="preserve"> Qtr: $10,100 [principal of $10,000 + accrued interest of $100] * .04/4 [interest rate] = $101.00</t>
    </r>
  </si>
  <si>
    <r>
      <t>1</t>
    </r>
    <r>
      <rPr>
        <vertAlign val="superscript"/>
        <sz val="10"/>
        <rFont val="Arial"/>
        <family val="2"/>
      </rPr>
      <t>st</t>
    </r>
    <r>
      <rPr>
        <sz val="10"/>
        <rFont val="Arial"/>
        <family val="2"/>
      </rPr>
      <t xml:space="preserve"> Qtr: $10,000 [principal] * .04/4 [interest rate] = $100.00</t>
    </r>
  </si>
  <si>
    <t>Interest</t>
  </si>
  <si>
    <t>Principal</t>
  </si>
  <si>
    <t>Quarter</t>
  </si>
  <si>
    <t>times per year</t>
  </si>
  <si>
    <t>Compounding Frequency</t>
  </si>
  <si>
    <t>(compounded quarterly)</t>
  </si>
  <si>
    <t>Interest Rate</t>
  </si>
  <si>
    <t>Calculating Compound Interest</t>
  </si>
  <si>
    <t>Total interest at the end of two years = $816</t>
  </si>
  <si>
    <t xml:space="preserve">Year 2: $10,400 [principal of $10,000 + accrued interest of $400] * .04 [interest rate] = </t>
  </si>
  <si>
    <t xml:space="preserve">Year 1: $10,000 [principal] * .04 [interest rate] = </t>
  </si>
  <si>
    <t>time per year</t>
  </si>
  <si>
    <t>(compounded annually)</t>
  </si>
  <si>
    <t xml:space="preserve">Total interest at the end of two years: = </t>
  </si>
  <si>
    <t>Year 2: $10,000 [principal] * .04 [interest rate] =</t>
  </si>
  <si>
    <t>Year 1: $10,000 [principal] * .04 [interest rate] =</t>
  </si>
  <si>
    <t>Calculating Simple Interest</t>
  </si>
  <si>
    <t>Understanding How Interest is Calculated</t>
  </si>
  <si>
    <t>?</t>
  </si>
  <si>
    <t>(4B) NWN loan at 6.5% rate</t>
  </si>
  <si>
    <t>(4A) NWN w/$150,000 payments</t>
  </si>
  <si>
    <t>(3) Delay Project &amp; Use Profits</t>
  </si>
  <si>
    <t>(2) Emergency Fund</t>
  </si>
  <si>
    <t>(1) CtrBank loan</t>
  </si>
  <si>
    <t>Future Value (FV)</t>
  </si>
  <si>
    <t>Present Value (PV)</t>
  </si>
  <si>
    <t>Periodic Payment (PMT)</t>
  </si>
  <si>
    <t>Duration in years</t>
  </si>
  <si>
    <t>Annual Interest Rate</t>
  </si>
  <si>
    <t xml:space="preserve"> Periods per year</t>
  </si>
  <si>
    <t>OPTION</t>
  </si>
  <si>
    <t>TZEdge Project Financing Options</t>
  </si>
  <si>
    <t>Reviewing Alternative Financing Options</t>
  </si>
  <si>
    <t>Payment Due</t>
  </si>
  <si>
    <t>Payment Type (beg=1, end=0)</t>
  </si>
  <si>
    <t>Ending Balance</t>
  </si>
  <si>
    <t>Payments per year</t>
  </si>
  <si>
    <t>Term of Loan, in yrs</t>
  </si>
  <si>
    <t>Amount of Loan</t>
  </si>
  <si>
    <t>(with interest)</t>
  </si>
  <si>
    <t>(no interest)</t>
  </si>
  <si>
    <t>Payment Function</t>
  </si>
  <si>
    <t>PMT Function</t>
  </si>
  <si>
    <t>Simple Division</t>
  </si>
  <si>
    <t>You only use the Payment function to find a loan payment when interest is being calculated (since the interest you owe the bank each month needs to be factored in to your monthly payment amount.)</t>
  </si>
  <si>
    <t>Using the PMT Function to Determine a Loan Payment</t>
  </si>
  <si>
    <t>1=Beg of period (starting immediately); 0 (or omitted)=End of period (starting one period from now)</t>
  </si>
  <si>
    <t>Designates when the payments (or deposits) are to be made</t>
  </si>
  <si>
    <t>Type</t>
  </si>
  <si>
    <t>"Future Value" (compounded amount):  Ending Balance OR Cash balance you want to attain after last Pmt is made (usually zero)</t>
  </si>
  <si>
    <t>FV</t>
  </si>
  <si>
    <t>"Present Value" (original principal amount):  Beginning Balance OR Loan Amount</t>
  </si>
  <si>
    <t>PV</t>
  </si>
  <si>
    <t>Number of compounding periods (# of Years * Pmts per Year)</t>
  </si>
  <si>
    <t>Nper</t>
  </si>
  <si>
    <t>Interest Rate per compounding period (Annual Percentage Rate / Pmts per Year)</t>
  </si>
  <si>
    <t>Rate</t>
  </si>
  <si>
    <t>(Don't forget to put a negative in front of the function!)</t>
  </si>
  <si>
    <r>
      <t>= - PMT (</t>
    </r>
    <r>
      <rPr>
        <b/>
        <sz val="10"/>
        <rFont val="Arial"/>
        <family val="2"/>
      </rPr>
      <t>Rate</t>
    </r>
    <r>
      <rPr>
        <sz val="10"/>
        <color theme="1"/>
        <rFont val="Calibri"/>
        <family val="2"/>
        <scheme val="minor"/>
      </rPr>
      <t xml:space="preserve">, </t>
    </r>
    <r>
      <rPr>
        <b/>
        <sz val="10"/>
        <rFont val="Arial"/>
        <family val="2"/>
      </rPr>
      <t>Nper</t>
    </r>
    <r>
      <rPr>
        <sz val="10"/>
        <color theme="1"/>
        <rFont val="Calibri"/>
        <family val="2"/>
        <scheme val="minor"/>
      </rPr>
      <t xml:space="preserve">, </t>
    </r>
    <r>
      <rPr>
        <b/>
        <sz val="10"/>
        <rFont val="Arial"/>
        <family val="2"/>
      </rPr>
      <t>PV</t>
    </r>
    <r>
      <rPr>
        <sz val="10"/>
        <color theme="1"/>
        <rFont val="Calibri"/>
        <family val="2"/>
        <scheme val="minor"/>
      </rPr>
      <t>, FV, Type)</t>
    </r>
  </si>
  <si>
    <t>The Arguments of the PMT Function</t>
  </si>
  <si>
    <t>Beg of period (immediately) = 1; End of period (one period from now) = 0</t>
  </si>
  <si>
    <t>When the first PMT (or deposit) is to be made</t>
  </si>
  <si>
    <t>Ending Balance OR Cash balance you want to attain after last Pmt is made (usually zero)</t>
  </si>
  <si>
    <t>Beginning Balance OR Loan Amount</t>
  </si>
  <si>
    <t># of Years * Pmts per Year</t>
  </si>
  <si>
    <t>Annual Percentage Rate / Pmts per Year</t>
  </si>
  <si>
    <t>Payment due</t>
  </si>
  <si>
    <t>(neutral perspective)</t>
  </si>
  <si>
    <t>(lender's perspective)</t>
  </si>
  <si>
    <t>(borrower's perspective)</t>
  </si>
  <si>
    <t>Understanding Cash Flow (Inputs and Outputs)</t>
  </si>
  <si>
    <t>daily</t>
  </si>
  <si>
    <t>weely</t>
  </si>
  <si>
    <t>bi-weekly</t>
  </si>
  <si>
    <t>monthly</t>
  </si>
  <si>
    <t>quarterly</t>
  </si>
  <si>
    <t>semi-annual</t>
  </si>
  <si>
    <t>annual</t>
  </si>
  <si>
    <t>Payments per Year</t>
  </si>
  <si>
    <t>Payment Frequency</t>
  </si>
  <si>
    <r>
      <t>Number of compounding periods (</t>
    </r>
    <r>
      <rPr>
        <b/>
        <sz val="10"/>
        <color indexed="10"/>
        <rFont val="Arial"/>
        <family val="2"/>
      </rPr>
      <t># of Years * Pmts per Year</t>
    </r>
    <r>
      <rPr>
        <sz val="10"/>
        <rFont val="Arial"/>
        <family val="2"/>
      </rPr>
      <t>)</t>
    </r>
  </si>
  <si>
    <r>
      <t>Interest Rate per compounding period (</t>
    </r>
    <r>
      <rPr>
        <b/>
        <sz val="10"/>
        <color indexed="10"/>
        <rFont val="Arial"/>
        <family val="2"/>
      </rPr>
      <t>Annual Percentage Rate / Pmts per Year</t>
    </r>
    <r>
      <rPr>
        <sz val="10"/>
        <rFont val="Arial"/>
        <family val="2"/>
      </rPr>
      <t>)</t>
    </r>
  </si>
  <si>
    <t>Specifying Consistent Units of Time</t>
  </si>
  <si>
    <t>Balance</t>
  </si>
  <si>
    <t>Towards Principal</t>
  </si>
  <si>
    <t>Towards Interest</t>
  </si>
  <si>
    <t>Payment</t>
  </si>
  <si>
    <t>Payment Type</t>
  </si>
  <si>
    <t>Using a Financial Function with Cell Referencing</t>
  </si>
  <si>
    <r>
      <t>FV(rate,nper,pmt,pv,type)</t>
    </r>
    <r>
      <rPr>
        <sz val="10"/>
        <rFont val="Arial"/>
        <family val="2"/>
      </rPr>
      <t>—Solves for the final value, the amount in or out at the end of the financial transaction</t>
    </r>
  </si>
  <si>
    <r>
      <t>PV(rate,nper,pmt,fv,type)</t>
    </r>
    <r>
      <rPr>
        <sz val="10"/>
        <rFont val="Arial"/>
        <family val="2"/>
      </rPr>
      <t>—Solves for the initial value, the amount in or out at the beginning of the financial transaction</t>
    </r>
  </si>
  <si>
    <r>
      <t>PMT(rate,nper,pv,fv,type)</t>
    </r>
    <r>
      <rPr>
        <sz val="10"/>
        <rFont val="Arial"/>
        <family val="2"/>
      </rPr>
      <t>—Solves for the value of the payment per period</t>
    </r>
  </si>
  <si>
    <r>
      <t>NPER(rate,pmt,pv,fv,type)</t>
    </r>
    <r>
      <rPr>
        <sz val="10"/>
        <rFont val="Arial"/>
        <family val="2"/>
      </rPr>
      <t>—Solves for the number of periods</t>
    </r>
  </si>
  <si>
    <r>
      <t>RATE(nper,pmt,pv,fv,type)</t>
    </r>
    <r>
      <rPr>
        <sz val="10"/>
        <rFont val="Arial"/>
        <family val="2"/>
      </rPr>
      <t>—Solves for the interest rate per period</t>
    </r>
  </si>
  <si>
    <t>Basic Financial Functions</t>
  </si>
  <si>
    <t>Using the RATE, NPER, PV, and FV Functions</t>
  </si>
  <si>
    <t>When the first PMT (or deposit) is to be made: (ONLY applies to the PMT argument!)</t>
  </si>
  <si>
    <t>Periodic Payment (NO LUMP SUMS in this box!)</t>
  </si>
  <si>
    <t>Pmt</t>
  </si>
  <si>
    <t>(Don't forget to put the negative in front of the function!)</t>
  </si>
  <si>
    <t>Ending (Future) Lump Sum</t>
  </si>
  <si>
    <t>Beginning (Present) Lump Sum</t>
  </si>
  <si>
    <t>Pmts per year/compounding freq</t>
  </si>
  <si>
    <t>Term of Pmt Schedule (yrs)</t>
  </si>
  <si>
    <t>Amount of Payment</t>
  </si>
  <si>
    <t>Annuity</t>
  </si>
  <si>
    <t>Future Value Function</t>
  </si>
  <si>
    <t>Option 1</t>
  </si>
  <si>
    <t>Determining the Future Value (FV) of a Financial Transaction</t>
  </si>
  <si>
    <t>Cash Flow Combo</t>
  </si>
  <si>
    <t>Future Lum Sum</t>
  </si>
  <si>
    <t>Annuity &amp; Lump Sum</t>
  </si>
  <si>
    <t>Lump Sum</t>
  </si>
  <si>
    <t>Option 5</t>
  </si>
  <si>
    <t>Option 4</t>
  </si>
  <si>
    <t>Option 3</t>
  </si>
  <si>
    <t>Option 2</t>
  </si>
  <si>
    <t>Present Value Function</t>
  </si>
  <si>
    <t>Determining the Present Value (PV) of a Financial Transaction</t>
  </si>
  <si>
    <t>Annual Payments</t>
  </si>
  <si>
    <t>(Now)</t>
  </si>
  <si>
    <t>Amount</t>
  </si>
  <si>
    <t xml:space="preserve"> (Timing)</t>
  </si>
  <si>
    <t>Period</t>
  </si>
  <si>
    <t>NPV</t>
  </si>
  <si>
    <t>APR</t>
  </si>
  <si>
    <t>Net Present Value Function</t>
  </si>
  <si>
    <t>Calculating the Net Present Value (NPV)</t>
  </si>
  <si>
    <t>IRR</t>
  </si>
  <si>
    <t>Cash Flows</t>
  </si>
  <si>
    <t>annualized</t>
  </si>
  <si>
    <t># months</t>
  </si>
  <si>
    <t>rate/period</t>
  </si>
  <si>
    <t>Monthly payment</t>
  </si>
  <si>
    <t>Pmt Type (beg=1, end=0)</t>
  </si>
  <si>
    <t>Term (years)</t>
  </si>
  <si>
    <t>Interest rate</t>
  </si>
  <si>
    <t>Amount to finance</t>
  </si>
  <si>
    <t>Down payment</t>
  </si>
  <si>
    <t>Manufacturer's rebate</t>
  </si>
  <si>
    <t>Price of car</t>
  </si>
  <si>
    <t>Calculating the Internal Rate of Return (IRR)</t>
  </si>
  <si>
    <t>Cash Flow Estimate:</t>
  </si>
  <si>
    <t>Subtract Principal Payments</t>
  </si>
  <si>
    <t>Add Back Depreciation</t>
  </si>
  <si>
    <t>Income After Taxes</t>
  </si>
  <si>
    <t>Taxes</t>
  </si>
  <si>
    <t>Taxable Income</t>
  </si>
  <si>
    <t>Depreciation</t>
  </si>
  <si>
    <t>Interest Expense</t>
  </si>
  <si>
    <t>Operating Income</t>
  </si>
  <si>
    <t>Selling Expense</t>
  </si>
  <si>
    <t>Cost of Goods Sold:</t>
  </si>
  <si>
    <t>$/shoe</t>
  </si>
  <si>
    <t xml:space="preserve">Revenue </t>
  </si>
  <si>
    <t>Selling Price Shoes - per pair</t>
  </si>
  <si>
    <t>Sales Volume:</t>
  </si>
  <si>
    <t>Year:</t>
  </si>
  <si>
    <t>TZEdge Projected 5-Year Cash Flow Estimate</t>
  </si>
  <si>
    <t>ending balance</t>
  </si>
  <si>
    <t>Principal Payment</t>
  </si>
  <si>
    <t>Interest Payment</t>
  </si>
  <si>
    <t>Remaining Principal</t>
  </si>
  <si>
    <t>Quarterly Payment</t>
  </si>
  <si>
    <t>Ending Value of Loan</t>
  </si>
  <si>
    <t>Number of periods per year</t>
  </si>
  <si>
    <t>Loan duration yrs</t>
  </si>
  <si>
    <t>Original Loan</t>
  </si>
  <si>
    <t>Life</t>
  </si>
  <si>
    <t>Salvage</t>
  </si>
  <si>
    <t>Capital</t>
  </si>
  <si>
    <t>Depreciation Values</t>
  </si>
  <si>
    <t>Cumulative Cashflow&gt;0</t>
  </si>
  <si>
    <t>Payback Calculation</t>
  </si>
  <si>
    <t>Return on Investment</t>
  </si>
  <si>
    <t xml:space="preserve">Hurdle rates   </t>
  </si>
  <si>
    <t>`</t>
  </si>
  <si>
    <t>Income Taxes</t>
  </si>
  <si>
    <t>Selling Expenses - per pair</t>
  </si>
  <si>
    <t>Cost of Goods Sold -per pair</t>
  </si>
  <si>
    <t>Year</t>
  </si>
  <si>
    <t>Project 5-Year Income after Taxes - Original Case</t>
  </si>
  <si>
    <t>Tax Rate</t>
  </si>
  <si>
    <t>Hurdle Rate:</t>
  </si>
  <si>
    <t>SLN</t>
  </si>
  <si>
    <t>Salvage Value</t>
  </si>
  <si>
    <t>Asset Value</t>
  </si>
  <si>
    <t>Depreciation Method (SLN)</t>
  </si>
  <si>
    <t>PMT</t>
  </si>
  <si>
    <t xml:space="preserve"> </t>
  </si>
  <si>
    <t>duration -years</t>
  </si>
  <si>
    <t>annual rate</t>
  </si>
  <si>
    <t>Income after Taxes</t>
  </si>
  <si>
    <t>Project 5-Year Income after Taxes - Low Capital Case</t>
  </si>
  <si>
    <t>compounding periods/year</t>
  </si>
  <si>
    <t>(The EFFECT function is available in the Analysis ToolPack.)</t>
  </si>
  <si>
    <t>while still using the FV function.  For instance, to calculate the FV with semi-annual payments but with MONTHLY compounding, use:</t>
  </si>
  <si>
    <t xml:space="preserve">To use a discreet compounding period (still different from the payment schedule), use the EFFECT function to simplify the rate conversion, </t>
  </si>
  <si>
    <t>Compounding frequency:</t>
  </si>
  <si>
    <t xml:space="preserve">Loan payment type: </t>
  </si>
  <si>
    <t>Payment Amount:</t>
  </si>
  <si>
    <t>Term of loan (years):</t>
  </si>
  <si>
    <t># of payments per year:</t>
  </si>
  <si>
    <t>Annual interest rate:</t>
  </si>
  <si>
    <t>Monthly Compounding: (semi-annual payment schedule)</t>
  </si>
  <si>
    <t>continuous</t>
  </si>
  <si>
    <t>Continuous Compounding: (semi-annual payment schedule)</t>
  </si>
  <si>
    <t>Additional Notes on the Interest Compounding Frequency</t>
  </si>
  <si>
    <t>PV and FV arguments</t>
  </si>
  <si>
    <t>PMT argument</t>
  </si>
  <si>
    <t>Rate, # of Periods, Pmts per Year</t>
  </si>
  <si>
    <t>FINANCIAL FUNCTIONS</t>
  </si>
  <si>
    <t>Chapter 6 Key Points</t>
  </si>
  <si>
    <t>Calculating Payments</t>
  </si>
  <si>
    <r>
      <t>= - PV (</t>
    </r>
    <r>
      <rPr>
        <b/>
        <sz val="10"/>
        <rFont val="Arial"/>
        <family val="2"/>
      </rPr>
      <t>Rate, Nper, Pmt</t>
    </r>
    <r>
      <rPr>
        <sz val="10"/>
        <color theme="1"/>
        <rFont val="Arial"/>
        <family val="2"/>
      </rPr>
      <t>, FV, Type) + PV</t>
    </r>
  </si>
  <si>
    <r>
      <t>= - FV (</t>
    </r>
    <r>
      <rPr>
        <b/>
        <sz val="10"/>
        <rFont val="Arial"/>
        <family val="2"/>
      </rPr>
      <t>Rate, Nper, Pmt,</t>
    </r>
    <r>
      <rPr>
        <sz val="10"/>
        <color theme="1"/>
        <rFont val="Arial"/>
        <family val="2"/>
      </rPr>
      <t xml:space="preserve"> PV, Type) + FV</t>
    </r>
  </si>
  <si>
    <t>RATE</t>
  </si>
  <si>
    <t>Term</t>
  </si>
  <si>
    <t>Accumulated</t>
  </si>
  <si>
    <t>Starting</t>
  </si>
  <si>
    <t>Ending</t>
  </si>
  <si>
    <t>Duration in years
(NPER)</t>
  </si>
  <si>
    <t>Annual Interest Rate (RATE)</t>
  </si>
  <si>
    <t>Present Value 
(PV)</t>
  </si>
  <si>
    <t>Future Value
(FV)</t>
  </si>
  <si>
    <t>Daily Compounding</t>
  </si>
  <si>
    <t>Quarterly Compounding</t>
  </si>
  <si>
    <t>Weekly Compounding</t>
  </si>
  <si>
    <t>Monthly Compounding</t>
  </si>
  <si>
    <t>Annual Compounding</t>
  </si>
  <si>
    <t>cell ref's</t>
  </si>
  <si>
    <t>hard-coded</t>
  </si>
  <si>
    <t>inflexible</t>
  </si>
  <si>
    <t>flexible</t>
  </si>
  <si>
    <t>Effective Interest Rate</t>
  </si>
  <si>
    <t>Annual (Nominal) Interest Rate</t>
  </si>
  <si>
    <t>Future Value of Investment</t>
  </si>
  <si>
    <t>Present Value of Investment</t>
  </si>
  <si>
    <t>Determining the Interest Rate of a Financial Transaction</t>
  </si>
  <si>
    <t>Determining the Number of Periods of a Financial Transaction</t>
  </si>
  <si>
    <t>Future Value</t>
  </si>
  <si>
    <t>Continuous Compounding</t>
  </si>
  <si>
    <t>Effects of Compounding on the Future Value and Effective Interest Rate</t>
  </si>
  <si>
    <r>
      <t>=RATE(</t>
    </r>
    <r>
      <rPr>
        <b/>
        <sz val="10"/>
        <rFont val="Arial"/>
        <family val="2"/>
      </rPr>
      <t>nper</t>
    </r>
    <r>
      <rPr>
        <sz val="10"/>
        <rFont val="Arial"/>
        <family val="2"/>
      </rPr>
      <t>,</t>
    </r>
    <r>
      <rPr>
        <b/>
        <sz val="10"/>
        <rFont val="Arial"/>
        <family val="2"/>
      </rPr>
      <t>pmt</t>
    </r>
    <r>
      <rPr>
        <sz val="10"/>
        <rFont val="Arial"/>
        <family val="2"/>
      </rPr>
      <t>,</t>
    </r>
    <r>
      <rPr>
        <b/>
        <sz val="10"/>
        <rFont val="Arial"/>
        <family val="2"/>
      </rPr>
      <t>pv</t>
    </r>
    <r>
      <rPr>
        <sz val="10"/>
        <rFont val="Arial"/>
        <family val="2"/>
      </rPr>
      <t>,fv,type)</t>
    </r>
  </si>
  <si>
    <r>
      <t>Bold arguments (</t>
    </r>
    <r>
      <rPr>
        <b/>
        <sz val="10"/>
        <rFont val="Arial"/>
        <family val="2"/>
      </rPr>
      <t>RATE, NPER, PV</t>
    </r>
    <r>
      <rPr>
        <sz val="10"/>
        <rFont val="Arial"/>
        <family val="2"/>
      </rPr>
      <t xml:space="preserve">) are required.  Non-bold arguments (FV, Type) are optional...if a value is not entered for these arguments, Excel will use a "default" value.
</t>
    </r>
  </si>
  <si>
    <t>Press Shift+F3 to open the Function Arguments window for a particular function.</t>
  </si>
  <si>
    <r>
      <t>=  FV (</t>
    </r>
    <r>
      <rPr>
        <b/>
        <sz val="10"/>
        <rFont val="Arial"/>
        <family val="2"/>
      </rPr>
      <t>Rate, Nper, Pmt,</t>
    </r>
    <r>
      <rPr>
        <sz val="10"/>
        <color theme="1"/>
        <rFont val="Arial"/>
        <family val="2"/>
      </rPr>
      <t xml:space="preserve"> PV, Type) - FV</t>
    </r>
  </si>
  <si>
    <r>
      <t>=  PV (</t>
    </r>
    <r>
      <rPr>
        <b/>
        <sz val="10"/>
        <rFont val="Arial"/>
        <family val="2"/>
      </rPr>
      <t>Rate, Nper, Pmt</t>
    </r>
    <r>
      <rPr>
        <sz val="10"/>
        <color theme="1"/>
        <rFont val="Arial"/>
        <family val="2"/>
      </rPr>
      <t>, FV, Type) - PV</t>
    </r>
  </si>
  <si>
    <t>-</t>
  </si>
  <si>
    <t>Neutral Perspective</t>
  </si>
  <si>
    <t>From the Bank's Perspective</t>
  </si>
  <si>
    <t>Nominal Rate</t>
  </si>
  <si>
    <t>Effective rate</t>
  </si>
  <si>
    <t>pmts/yr</t>
  </si>
  <si>
    <r>
      <rPr>
        <b/>
        <i/>
        <sz val="10"/>
        <rFont val="Arial"/>
        <family val="2"/>
      </rPr>
      <t>Goal Seek</t>
    </r>
    <r>
      <rPr>
        <sz val="10"/>
        <rFont val="Arial"/>
        <family val="2"/>
      </rPr>
      <t xml:space="preserve"> enables you to set an end result for a formula (e.g., monthly payment) by changing one of that formula's inputs (e.g. Price of car).</t>
    </r>
  </si>
  <si>
    <t>***With Goal Seek, only one parameter (e.g., Price of car OR Down payment, etc.) can be varied at a time.</t>
  </si>
  <si>
    <t>Can be a changing cell.</t>
  </si>
  <si>
    <t>Set cell</t>
  </si>
  <si>
    <t>"Set cell" MUST be a cell containing a formula.</t>
  </si>
  <si>
    <t>"To value" MUST be typed in manually.  Unfortunately, cell references are not possible.</t>
  </si>
  <si>
    <t xml:space="preserve">"By changing cell" must be a cell containing a value. </t>
  </si>
  <si>
    <t>Changing cells should NEVER be cells containing formulas.</t>
  </si>
  <si>
    <t>(This rule applies throughout Excel...Goal Seek, Solver, Scenario Manager….)</t>
  </si>
  <si>
    <t>From the Customer/Depositor's Perspective</t>
  </si>
  <si>
    <t>Financial Functions (General)</t>
  </si>
  <si>
    <t>Refer to an assumption for the Rate</t>
  </si>
  <si>
    <t>Refer to an assumption for the Term</t>
  </si>
  <si>
    <t>Refer to an assumption for the Payments per Year</t>
  </si>
  <si>
    <t>Wrong Payment amount in assumptions</t>
  </si>
  <si>
    <t>Refer to an assumption for the Payment</t>
  </si>
  <si>
    <t>Refer to an assumption for the Payment Type</t>
  </si>
  <si>
    <t>Include description of payment types (1=payment at beginning, 0=payment at end of month)</t>
  </si>
  <si>
    <t>Data Validation</t>
  </si>
  <si>
    <t>From a customer/depositor's perspective, these are cash outflows (money out of pocket, to be given to the bank), therefore the inputs (to be used in the FV arguments) are shown as negative values.
(Therefore the FV Lump Sum which would typically be "added" to the end needs to also have a negative applied to it.  The Future Value formula should reflect a -FV at the end, after the FV function.)</t>
  </si>
  <si>
    <t>From the bank's perspective, these are cash inflows (money into their pockets, from the customer/depositer), therefore the inputs (to be used in the FV arguments) are shown as positive values.
(Therefore the FV Lump Sum which would typically be "added" to the end needs to also have a negative applied to it.  The Future Value formula should reflect a -FV at the end, after the FV function.)</t>
  </si>
  <si>
    <t>Bottom Line:  To show a non-neutral perpective, apply a "negative" to the entire "neutral perspective future value" formula shown in the first example (to the left).</t>
  </si>
  <si>
    <t>Bottom Line:  To show a non-neutral perpective, apply a "negative" to the entire "neutral perspective future value" formula shown in the first example (to the far left).</t>
  </si>
  <si>
    <t>The "neutral perspective" does not establish a perspective (for the bank's perspective versus the customer).  It shows both cash inflows and cash outflows as positive amounts.  
(Don't forget to put the negative in front of the function!)</t>
  </si>
  <si>
    <t>Non-neutral Perspective (From the Bank's Perspective)</t>
  </si>
  <si>
    <t>Non-neutral Perspective (From the Customer/Depositor's Perspective)</t>
  </si>
  <si>
    <t>Worksheet Title</t>
  </si>
  <si>
    <t>Goal Seek</t>
  </si>
  <si>
    <t>Amoritization Table with IPMT &amp; PPMT</t>
  </si>
  <si>
    <t xml:space="preserve">Note:  Formulas in this spreadsheet have been removed, since creating an Amortization Schedule is part of this week's assignment.
When 10% interest is being charged, the monthly payment is $16.16 more each month.  Therefore you might be inclined to believe that whenever a monthly payment of $116.16 is made, $100 goes to pay off the initial principal (loan), and $16.16 goes towards paying the interest owed.  
However, this is NOT the case.  The Towards Interest and Towards Principal amounts should always add up to equal the Payment amount.  But the proportion of the monthly payment that gets applied to principal and interest changes every month.
For a payment schedule with a long term (like a mortgage), at the beginning of the loan when the interest expenses are high, most of the payment is used to pay off the interest.
  </t>
  </si>
  <si>
    <t>Regular Payment</t>
  </si>
  <si>
    <t>Amortization Schedule with Simple Arithmetic</t>
  </si>
  <si>
    <t>CANNOT be a changing cell, because it contains a formula.</t>
  </si>
  <si>
    <t>The negative sign in front of the function results in a "neutral perspective" (both inflows and outflow shown as positive values).</t>
  </si>
  <si>
    <r>
      <t>= - PV (</t>
    </r>
    <r>
      <rPr>
        <b/>
        <sz val="10"/>
        <rFont val="Arial"/>
        <family val="2"/>
      </rPr>
      <t>Rate, Nper, Pmt</t>
    </r>
    <r>
      <rPr>
        <sz val="10"/>
        <color theme="1"/>
        <rFont val="Arial"/>
        <family val="2"/>
      </rPr>
      <t xml:space="preserve">, FV, Type) + PV </t>
    </r>
    <r>
      <rPr>
        <sz val="10"/>
        <rFont val="Arial"/>
        <family val="2"/>
      </rPr>
      <t xml:space="preserve">     </t>
    </r>
    <r>
      <rPr>
        <b/>
        <sz val="10"/>
        <rFont val="Arial"/>
        <family val="2"/>
      </rPr>
      <t xml:space="preserve">OR  </t>
    </r>
    <r>
      <rPr>
        <sz val="10"/>
        <rFont val="Arial"/>
        <family val="2"/>
      </rPr>
      <t xml:space="preserve">   = - (PV (Rate, Nper, Pmt, FV, Type) - PV)</t>
    </r>
  </si>
  <si>
    <t>Present Value of Cash Flows</t>
  </si>
  <si>
    <t>Total Cash Flows</t>
  </si>
  <si>
    <t>(ignoring Time Value of Money)</t>
  </si>
  <si>
    <t>Present Value &amp; Time Value of Money</t>
  </si>
  <si>
    <t>Future Value of Cash Flows</t>
  </si>
  <si>
    <r>
      <rPr>
        <b/>
        <sz val="10"/>
        <rFont val="Arial"/>
        <family val="2"/>
      </rPr>
      <t>Note:</t>
    </r>
    <r>
      <rPr>
        <sz val="10"/>
        <rFont val="Arial"/>
        <family val="2"/>
      </rPr>
      <t xml:space="preserve">  This worksheet shows an example of where the "neutral perspective" is not used.</t>
    </r>
  </si>
  <si>
    <t>Hidden</t>
  </si>
  <si>
    <t>Visibility</t>
  </si>
  <si>
    <t>The Rate &amp; Nper arguments should be consistent:  APR / Pmts per Year, # of Years * Pmts per Year, where Payments per Year  reflects the payment frequency:
Note:  This payment frequency also serves as the compounding frequency.  When calculating a payment using the PMT function, it is assumed that the compounding frequency equals the payment frequency.</t>
  </si>
  <si>
    <t>Placing  the negative sign in front of the function argument is an alternative method to that described by the textbook, which places the negative sign within the function, in front of  one (or more) of the argument values.</t>
  </si>
  <si>
    <t>Enter a negative sign in front of the financial function,. (PMT, PV, FV) rather than using the ABS function.  The ABS function can hide potential problems with your formula.
So place a negative in front of the function instead.</t>
  </si>
  <si>
    <t>NOTE:  Placing  the negative sign in front of the function argument is an alternative method to that described by the book, which places the negative  sign within the function, in front of  one (or more) of the argument values.</t>
  </si>
  <si>
    <t>UNC_DAYT_EXCEL_4.2.1_LECTURE_PMT.mp4</t>
  </si>
  <si>
    <t>UNC_DAYT_EXCEL_4.2.2_LECTURE_CASH_FLOWS.mp4</t>
  </si>
  <si>
    <t>UNC_DAYT_EXCEL_4.2.3_LECTURE_FV_PT_1.mp4</t>
  </si>
  <si>
    <t>UNC_DAYT_EXCEL_4.2.4_LECTURE_FV_PT_2.mp4</t>
  </si>
  <si>
    <t>UNC_DAYT_EXCEL_4.2.5_LECTURE_PV_NPV.mp4</t>
  </si>
  <si>
    <t>UNC_DAYT_EXCEL_4.2.6_LECTURE_RATE_IRR_NPER.mp4</t>
  </si>
  <si>
    <t>UNC_DAYT_EXCEL_3.6.5_LECTURE_GOAL_SEEK.mp4</t>
  </si>
  <si>
    <t>Video Link</t>
  </si>
  <si>
    <r>
      <t>= - FV (</t>
    </r>
    <r>
      <rPr>
        <b/>
        <sz val="10"/>
        <rFont val="Arial"/>
        <family val="2"/>
      </rPr>
      <t>Rate, Nper, Pmt</t>
    </r>
    <r>
      <rPr>
        <sz val="10"/>
        <color theme="1"/>
        <rFont val="Arial"/>
        <family val="2"/>
      </rPr>
      <t xml:space="preserve">, PV, Type) + FV </t>
    </r>
    <r>
      <rPr>
        <sz val="10"/>
        <rFont val="Arial"/>
        <family val="2"/>
      </rPr>
      <t xml:space="preserve">     </t>
    </r>
    <r>
      <rPr>
        <b/>
        <sz val="10"/>
        <rFont val="Arial"/>
        <family val="2"/>
      </rPr>
      <t xml:space="preserve">OR  </t>
    </r>
    <r>
      <rPr>
        <sz val="10"/>
        <rFont val="Arial"/>
        <family val="2"/>
      </rPr>
      <t xml:space="preserve">   = - (FV (Rate, Nper, Pmt, PV, Type) - FV)</t>
    </r>
  </si>
  <si>
    <t>Video Length</t>
  </si>
  <si>
    <t>Segment</t>
  </si>
  <si>
    <t>Amortization</t>
  </si>
  <si>
    <t>UNC_DAYT_EXCEL_4.2.7_LECTURE_AMORTIZATION_SCHEDULE.mp4</t>
  </si>
  <si>
    <t>Do not "hard-code" assumptions within the arguments of the financial function (like below).</t>
  </si>
  <si>
    <t xml:space="preserve">This ensures that your functions are completely flexible.  </t>
  </si>
  <si>
    <t>Ensure that users of the spreadsheet can only enter valid input for the Payment Type</t>
  </si>
  <si>
    <t>Allow users to select valid options from a drop-down list in the “Payment Type” assumptions cell</t>
  </si>
  <si>
    <t>If the user attempt to enter an invalid Payment Type, an Error Alert should appear, explaining the options for entering valid Payment Types</t>
  </si>
  <si>
    <t>Total Video Length</t>
  </si>
  <si>
    <t xml:space="preserve">It is okay to "hard-code" the 0, 1 rather than using a cell reference. </t>
  </si>
  <si>
    <t>Instead, always use cell references for all arguments of your financial functions (like below):</t>
  </si>
  <si>
    <t xml:space="preserve">After selecting the cell containing the Payment Type, an Input Message should appear, </t>
  </si>
  <si>
    <t>describing the difference between the options which can be entered as the Payment type</t>
  </si>
  <si>
    <t>Formula results can be changed by simply changing the assumptions listed,</t>
  </si>
  <si>
    <t>rather than having to edit the formula itself.</t>
  </si>
  <si>
    <t>To precisely calculate the FV of a semi-annual payment schedule like illustrated here, yet with continuous compounding….</t>
  </si>
  <si>
    <t>= FV( ( EXP(annual_rate/pmts_per_year) - 1), term_of_loan * pmts_per_year, - pmt_amount, ,1 )</t>
  </si>
  <si>
    <t>= FV( ( EXP(0.07/2) - 1), 20*2, -500000, , 1)</t>
  </si>
  <si>
    <t>This is the same result received if converting the nominal rate to an effective rate (using the compounding frequency), and then convert back to a nominal rate before calculating FV (based on pmts/yr)</t>
  </si>
  <si>
    <t>= FV( EFFECT(annual_rate/pmts_per_year, compounding_frequency/pmts_per_year), term_of_loan * pmts_per_year, - pmt_amount, , 1 )</t>
  </si>
  <si>
    <t>= FV( EFFECT( 7%/2, 12/2 ), 20*2, -500000, , 1 )</t>
  </si>
  <si>
    <r>
      <t>If the user attempt to enter an invalid Payment Type, an</t>
    </r>
    <r>
      <rPr>
        <sz val="10"/>
        <color rgb="FFFF0000"/>
        <rFont val="Arial"/>
        <family val="2"/>
      </rPr>
      <t xml:space="preserve"> Error Alert</t>
    </r>
    <r>
      <rPr>
        <sz val="10"/>
        <rFont val="Arial"/>
        <family val="2"/>
      </rPr>
      <t xml:space="preserve"> should appear, explaining the options for entering valid Payment Types.</t>
    </r>
  </si>
  <si>
    <r>
      <t xml:space="preserve">You </t>
    </r>
    <r>
      <rPr>
        <sz val="10"/>
        <color rgb="FFFF0000"/>
        <rFont val="Arial"/>
        <family val="2"/>
      </rPr>
      <t>don't need</t>
    </r>
    <r>
      <rPr>
        <sz val="10"/>
        <rFont val="Arial"/>
        <family val="2"/>
      </rPr>
      <t xml:space="preserve"> to refer to an </t>
    </r>
    <r>
      <rPr>
        <sz val="10"/>
        <color rgb="FFFF0000"/>
        <rFont val="Arial"/>
        <family val="2"/>
      </rPr>
      <t>assumption</t>
    </r>
    <r>
      <rPr>
        <sz val="10"/>
        <rFont val="Arial"/>
        <family val="2"/>
      </rPr>
      <t xml:space="preserve"> for the </t>
    </r>
    <r>
      <rPr>
        <sz val="10"/>
        <color rgb="FFFF0000"/>
        <rFont val="Arial"/>
        <family val="2"/>
      </rPr>
      <t>Data Validation</t>
    </r>
    <r>
      <rPr>
        <sz val="10"/>
        <rFont val="Arial"/>
        <family val="2"/>
      </rPr>
      <t xml:space="preserve"> input for the </t>
    </r>
    <r>
      <rPr>
        <sz val="10"/>
        <color rgb="FFFF0000"/>
        <rFont val="Arial"/>
        <family val="2"/>
      </rPr>
      <t>Payment Type</t>
    </r>
    <r>
      <rPr>
        <sz val="10"/>
        <rFont val="Arial"/>
        <family val="2"/>
      </rPr>
      <t xml:space="preserve"> (since the Payment Type options will never change…it always be either 0 or 1).  So there's no need to make this "flexible."</t>
    </r>
  </si>
  <si>
    <r>
      <t xml:space="preserve">Use Excel's </t>
    </r>
    <r>
      <rPr>
        <sz val="10"/>
        <color indexed="10"/>
        <rFont val="Arial"/>
        <family val="2"/>
      </rPr>
      <t>built-in financial functions</t>
    </r>
    <r>
      <rPr>
        <sz val="10"/>
        <color theme="1"/>
        <rFont val="Arial"/>
        <family val="2"/>
      </rPr>
      <t xml:space="preserve"> rather than tedious financial formulas.</t>
    </r>
  </si>
  <si>
    <r>
      <t xml:space="preserve">Use the </t>
    </r>
    <r>
      <rPr>
        <sz val="10"/>
        <color indexed="10"/>
        <rFont val="Arial"/>
        <family val="2"/>
      </rPr>
      <t>PMT</t>
    </r>
    <r>
      <rPr>
        <sz val="10"/>
        <color theme="1"/>
        <rFont val="Arial"/>
        <family val="2"/>
      </rPr>
      <t xml:space="preserve"> function to calculate </t>
    </r>
    <r>
      <rPr>
        <sz val="10"/>
        <color indexed="10"/>
        <rFont val="Arial"/>
        <family val="2"/>
      </rPr>
      <t>payments</t>
    </r>
    <r>
      <rPr>
        <sz val="10"/>
        <color theme="1"/>
        <rFont val="Arial"/>
        <family val="2"/>
      </rPr>
      <t xml:space="preserve"> for a loan based on constant payments and a constant interest rate.</t>
    </r>
  </si>
  <si>
    <r>
      <t>Payment</t>
    </r>
    <r>
      <rPr>
        <sz val="10"/>
        <color theme="1"/>
        <rFont val="Arial"/>
        <family val="2"/>
      </rPr>
      <t xml:space="preserve">  = -PMT(Annual_Interest/Pmts_per_Yr, Term*Pmts_per_Yr, Present_Balance, Future_Balance, Type)</t>
    </r>
  </si>
  <si>
    <r>
      <t xml:space="preserve">Use the </t>
    </r>
    <r>
      <rPr>
        <sz val="10"/>
        <color indexed="10"/>
        <rFont val="Arial"/>
        <family val="2"/>
      </rPr>
      <t>FV</t>
    </r>
    <r>
      <rPr>
        <sz val="10"/>
        <color theme="1"/>
        <rFont val="Arial"/>
        <family val="2"/>
      </rPr>
      <t xml:space="preserve"> function to calculate the </t>
    </r>
    <r>
      <rPr>
        <sz val="10"/>
        <color indexed="10"/>
        <rFont val="Arial"/>
        <family val="2"/>
      </rPr>
      <t xml:space="preserve">future </t>
    </r>
    <r>
      <rPr>
        <sz val="10"/>
        <color theme="1"/>
        <rFont val="Arial"/>
        <family val="2"/>
      </rPr>
      <t>value of an investment based on periodic, constant payments and a constant interest rate.</t>
    </r>
  </si>
  <si>
    <r>
      <t>Future Value</t>
    </r>
    <r>
      <rPr>
        <sz val="10"/>
        <color theme="1"/>
        <rFont val="Arial"/>
        <family val="2"/>
      </rPr>
      <t xml:space="preserve">  = -FV(Annual_Interest/Pmts_per_Yr, Term*Pmts_per_Yr, Pmt, Present_Lump, Type) + Future_Lump</t>
    </r>
  </si>
  <si>
    <r>
      <t xml:space="preserve">Use the </t>
    </r>
    <r>
      <rPr>
        <sz val="10"/>
        <color indexed="10"/>
        <rFont val="Arial"/>
        <family val="2"/>
      </rPr>
      <t>PV</t>
    </r>
    <r>
      <rPr>
        <sz val="10"/>
        <color theme="1"/>
        <rFont val="Arial"/>
        <family val="2"/>
      </rPr>
      <t xml:space="preserve"> function to calculate the </t>
    </r>
    <r>
      <rPr>
        <sz val="10"/>
        <color indexed="10"/>
        <rFont val="Arial"/>
        <family val="2"/>
      </rPr>
      <t xml:space="preserve">present </t>
    </r>
    <r>
      <rPr>
        <sz val="10"/>
        <color theme="1"/>
        <rFont val="Arial"/>
        <family val="2"/>
      </rPr>
      <t xml:space="preserve">value of an investment: the total amount that a series of future payments is worth now.  (What is the </t>
    </r>
    <r>
      <rPr>
        <i/>
        <sz val="10"/>
        <rFont val="Arial"/>
        <family val="2"/>
      </rPr>
      <t>actual value</t>
    </r>
    <r>
      <rPr>
        <sz val="10"/>
        <color theme="1"/>
        <rFont val="Arial"/>
        <family val="2"/>
      </rPr>
      <t xml:space="preserve"> or </t>
    </r>
    <r>
      <rPr>
        <i/>
        <sz val="10"/>
        <rFont val="Arial"/>
        <family val="2"/>
      </rPr>
      <t>current worth</t>
    </r>
    <r>
      <rPr>
        <sz val="10"/>
        <color theme="1"/>
        <rFont val="Arial"/>
        <family val="2"/>
      </rPr>
      <t xml:space="preserve"> of a stream of cash flows?)</t>
    </r>
  </si>
  <si>
    <r>
      <t>Present Value</t>
    </r>
    <r>
      <rPr>
        <sz val="10"/>
        <color theme="1"/>
        <rFont val="Arial"/>
        <family val="2"/>
      </rPr>
      <t xml:space="preserve">  = -PV(Annual_Interest/Pmts_per_Yr, Term*Pmts_per_Yr, Pmt, Future_Lump, Type) + Present_Lump</t>
    </r>
  </si>
  <si>
    <r>
      <t xml:space="preserve">Financial calculations using a combination of annuity and lump sum amounts can be calculated using a </t>
    </r>
    <r>
      <rPr>
        <sz val="10"/>
        <color indexed="10"/>
        <rFont val="Arial"/>
        <family val="2"/>
      </rPr>
      <t>single financial function</t>
    </r>
    <r>
      <rPr>
        <sz val="10"/>
        <color theme="1"/>
        <rFont val="Arial"/>
        <family val="2"/>
      </rPr>
      <t>.  (For instance, there's no need to add the FV of the payment plus FV of the lump sum.)</t>
    </r>
  </si>
  <si>
    <r>
      <t xml:space="preserve">Excel views cash </t>
    </r>
    <r>
      <rPr>
        <sz val="10"/>
        <color indexed="10"/>
        <rFont val="Arial"/>
        <family val="2"/>
      </rPr>
      <t>inflows as positive</t>
    </r>
    <r>
      <rPr>
        <sz val="10"/>
        <color theme="1"/>
        <rFont val="Arial"/>
        <family val="2"/>
      </rPr>
      <t xml:space="preserve"> values and cash </t>
    </r>
    <r>
      <rPr>
        <sz val="10"/>
        <color indexed="10"/>
        <rFont val="Arial"/>
        <family val="2"/>
      </rPr>
      <t>outflows as negative</t>
    </r>
    <r>
      <rPr>
        <sz val="10"/>
        <color theme="1"/>
        <rFont val="Arial"/>
        <family val="2"/>
      </rPr>
      <t xml:space="preserve"> values.  (Whether a cash flow is an inflow or outflow depends on whose point of view you're using when evaluating the problem.)</t>
    </r>
  </si>
  <si>
    <r>
      <t xml:space="preserve">Make your spreadsheet more clear by showing </t>
    </r>
    <r>
      <rPr>
        <sz val="10"/>
        <color indexed="10"/>
        <rFont val="Arial"/>
        <family val="2"/>
      </rPr>
      <t>inputs</t>
    </r>
    <r>
      <rPr>
        <sz val="10"/>
        <color theme="1"/>
        <rFont val="Arial"/>
        <family val="2"/>
      </rPr>
      <t xml:space="preserve"> and </t>
    </r>
    <r>
      <rPr>
        <sz val="10"/>
        <color indexed="10"/>
        <rFont val="Arial"/>
        <family val="2"/>
      </rPr>
      <t>results</t>
    </r>
    <r>
      <rPr>
        <sz val="10"/>
        <color theme="1"/>
        <rFont val="Arial"/>
        <family val="2"/>
      </rPr>
      <t xml:space="preserve"> </t>
    </r>
    <r>
      <rPr>
        <sz val="10"/>
        <color indexed="10"/>
        <rFont val="Arial"/>
        <family val="2"/>
      </rPr>
      <t>as</t>
    </r>
    <r>
      <rPr>
        <sz val="10"/>
        <color theme="1"/>
        <rFont val="Arial"/>
        <family val="2"/>
      </rPr>
      <t xml:space="preserve"> </t>
    </r>
    <r>
      <rPr>
        <sz val="10"/>
        <color indexed="10"/>
        <rFont val="Arial"/>
        <family val="2"/>
      </rPr>
      <t>positive</t>
    </r>
    <r>
      <rPr>
        <sz val="10"/>
        <color theme="1"/>
        <rFont val="Arial"/>
        <family val="2"/>
      </rPr>
      <t xml:space="preserve"> rather than negative values.</t>
    </r>
  </si>
  <si>
    <r>
      <t xml:space="preserve">Enter a </t>
    </r>
    <r>
      <rPr>
        <sz val="10"/>
        <color rgb="FFFF0000"/>
        <rFont val="Arial"/>
        <family val="2"/>
      </rPr>
      <t>negative sign</t>
    </r>
    <r>
      <rPr>
        <sz val="10"/>
        <color theme="1"/>
        <rFont val="Arial"/>
        <family val="2"/>
      </rPr>
      <t xml:space="preserve"> in front of the financial function,. (PMT, PV, FV)</t>
    </r>
    <r>
      <rPr>
        <sz val="10"/>
        <color rgb="FFFF0000"/>
        <rFont val="Arial"/>
        <family val="2"/>
      </rPr>
      <t xml:space="preserve"> rather than</t>
    </r>
    <r>
      <rPr>
        <sz val="10"/>
        <color theme="1"/>
        <rFont val="Arial"/>
        <family val="2"/>
      </rPr>
      <t xml:space="preserve"> using the </t>
    </r>
    <r>
      <rPr>
        <sz val="10"/>
        <color rgb="FFFF0000"/>
        <rFont val="Arial"/>
        <family val="2"/>
      </rPr>
      <t>ABS</t>
    </r>
    <r>
      <rPr>
        <sz val="10"/>
        <color theme="1"/>
        <rFont val="Arial"/>
        <family val="2"/>
      </rPr>
      <t xml:space="preserve"> function.  The ABS function can hide potential problems with your formula.</t>
    </r>
  </si>
  <si>
    <r>
      <t xml:space="preserve">For the </t>
    </r>
    <r>
      <rPr>
        <i/>
        <sz val="10"/>
        <rFont val="Arial"/>
        <family val="2"/>
      </rPr>
      <t>Rate</t>
    </r>
    <r>
      <rPr>
        <sz val="10"/>
        <color theme="1"/>
        <rFont val="Arial"/>
        <family val="2"/>
      </rPr>
      <t xml:space="preserve"> argument, use the </t>
    </r>
    <r>
      <rPr>
        <sz val="10"/>
        <color indexed="10"/>
        <rFont val="Arial"/>
        <family val="2"/>
      </rPr>
      <t>annual</t>
    </r>
    <r>
      <rPr>
        <sz val="10"/>
        <color theme="1"/>
        <rFont val="Arial"/>
        <family val="2"/>
      </rPr>
      <t xml:space="preserve"> interest rate </t>
    </r>
    <r>
      <rPr>
        <sz val="10"/>
        <color indexed="10"/>
        <rFont val="Arial"/>
        <family val="2"/>
      </rPr>
      <t>divided</t>
    </r>
    <r>
      <rPr>
        <sz val="10"/>
        <color theme="1"/>
        <rFont val="Arial"/>
        <family val="2"/>
      </rPr>
      <t xml:space="preserve"> by </t>
    </r>
    <r>
      <rPr>
        <sz val="10"/>
        <color indexed="10"/>
        <rFont val="Arial"/>
        <family val="2"/>
      </rPr>
      <t>Pmts/yr.</t>
    </r>
  </si>
  <si>
    <r>
      <t xml:space="preserve">For the </t>
    </r>
    <r>
      <rPr>
        <i/>
        <sz val="10"/>
        <rFont val="Arial"/>
        <family val="2"/>
      </rPr>
      <t>Nper</t>
    </r>
    <r>
      <rPr>
        <sz val="10"/>
        <color theme="1"/>
        <rFont val="Arial"/>
        <family val="2"/>
      </rPr>
      <t xml:space="preserve"> argument, </t>
    </r>
    <r>
      <rPr>
        <sz val="10"/>
        <color indexed="10"/>
        <rFont val="Arial"/>
        <family val="2"/>
      </rPr>
      <t>multiply</t>
    </r>
    <r>
      <rPr>
        <sz val="10"/>
        <color theme="1"/>
        <rFont val="Arial"/>
        <family val="2"/>
      </rPr>
      <t xml:space="preserve"> the # of </t>
    </r>
    <r>
      <rPr>
        <sz val="10"/>
        <color indexed="10"/>
        <rFont val="Arial"/>
        <family val="2"/>
      </rPr>
      <t>years</t>
    </r>
    <r>
      <rPr>
        <sz val="10"/>
        <color theme="1"/>
        <rFont val="Arial"/>
        <family val="2"/>
      </rPr>
      <t xml:space="preserve"> by </t>
    </r>
    <r>
      <rPr>
        <sz val="10"/>
        <color indexed="10"/>
        <rFont val="Arial"/>
        <family val="2"/>
      </rPr>
      <t>Pmts/yr</t>
    </r>
    <r>
      <rPr>
        <sz val="10"/>
        <color theme="1"/>
        <rFont val="Arial"/>
        <family val="2"/>
      </rPr>
      <t>.</t>
    </r>
  </si>
  <si>
    <r>
      <t xml:space="preserve">For </t>
    </r>
    <r>
      <rPr>
        <sz val="10"/>
        <color indexed="10"/>
        <rFont val="Arial"/>
        <family val="2"/>
      </rPr>
      <t>monthly</t>
    </r>
    <r>
      <rPr>
        <sz val="10"/>
        <color theme="1"/>
        <rFont val="Arial"/>
        <family val="2"/>
      </rPr>
      <t xml:space="preserve"> payments, the </t>
    </r>
    <r>
      <rPr>
        <sz val="10"/>
        <color indexed="10"/>
        <rFont val="Arial"/>
        <family val="2"/>
      </rPr>
      <t>Pmts/yr</t>
    </r>
    <r>
      <rPr>
        <sz val="10"/>
        <color theme="1"/>
        <rFont val="Arial"/>
        <family val="2"/>
      </rPr>
      <t xml:space="preserve"> should be </t>
    </r>
    <r>
      <rPr>
        <sz val="10"/>
        <color indexed="10"/>
        <rFont val="Arial"/>
        <family val="2"/>
      </rPr>
      <t>12</t>
    </r>
    <r>
      <rPr>
        <sz val="10"/>
        <color theme="1"/>
        <rFont val="Arial"/>
        <family val="2"/>
      </rPr>
      <t>.  (For semi-annual payments, Pmts/yr should be 2, etc.)</t>
    </r>
  </si>
  <si>
    <r>
      <t xml:space="preserve">For a </t>
    </r>
    <r>
      <rPr>
        <sz val="10"/>
        <color indexed="10"/>
        <rFont val="Arial"/>
        <family val="2"/>
      </rPr>
      <t>Lump Sum</t>
    </r>
    <r>
      <rPr>
        <sz val="10"/>
        <color theme="1"/>
        <rFont val="Arial"/>
        <family val="2"/>
      </rPr>
      <t xml:space="preserve">, still divide the interest rate by  Pmts/yr and multiply the term by Pmts/yr.  (Otherwise, you imply that the interest gets </t>
    </r>
    <r>
      <rPr>
        <sz val="10"/>
        <color indexed="10"/>
        <rFont val="Arial"/>
        <family val="2"/>
      </rPr>
      <t>compounded only yearly</t>
    </r>
    <r>
      <rPr>
        <sz val="10"/>
        <color theme="1"/>
        <rFont val="Arial"/>
        <family val="2"/>
      </rPr>
      <t xml:space="preserve"> rather than monthly, like the rest of the money.)</t>
    </r>
  </si>
  <si>
    <r>
      <t xml:space="preserve">The </t>
    </r>
    <r>
      <rPr>
        <sz val="10"/>
        <color indexed="10"/>
        <rFont val="Arial"/>
        <family val="2"/>
      </rPr>
      <t>periodic payment</t>
    </r>
    <r>
      <rPr>
        <sz val="10"/>
        <color theme="1"/>
        <rFont val="Arial"/>
        <family val="2"/>
      </rPr>
      <t xml:space="preserve"> goes in the PMT box.</t>
    </r>
  </si>
  <si>
    <r>
      <t xml:space="preserve">Put </t>
    </r>
    <r>
      <rPr>
        <sz val="10"/>
        <color indexed="10"/>
        <rFont val="Arial"/>
        <family val="2"/>
      </rPr>
      <t>negative</t>
    </r>
    <r>
      <rPr>
        <sz val="10"/>
        <color theme="1"/>
        <rFont val="Arial"/>
        <family val="2"/>
      </rPr>
      <t xml:space="preserve"> signs in front of the cell references of all your financial inputs (PMT, PV, FV).</t>
    </r>
  </si>
  <si>
    <r>
      <t>Never include lump sums</t>
    </r>
    <r>
      <rPr>
        <sz val="10"/>
        <color theme="1"/>
        <rFont val="Arial"/>
        <family val="2"/>
      </rPr>
      <t xml:space="preserve"> in the payment box.</t>
    </r>
  </si>
  <si>
    <r>
      <t>Beginning lump sums</t>
    </r>
    <r>
      <rPr>
        <sz val="10"/>
        <color theme="1"/>
        <rFont val="Arial"/>
        <family val="2"/>
      </rPr>
      <t xml:space="preserve"> and balances go in the </t>
    </r>
    <r>
      <rPr>
        <sz val="10"/>
        <color indexed="10"/>
        <rFont val="Arial"/>
        <family val="2"/>
      </rPr>
      <t>PV box</t>
    </r>
    <r>
      <rPr>
        <sz val="10"/>
        <color theme="1"/>
        <rFont val="Arial"/>
        <family val="2"/>
      </rPr>
      <t>.  If there is not a PV input box (such as when you're calculating Present Value), add the Beginning Lump to the end of the formula (outside of the PV function)</t>
    </r>
  </si>
  <si>
    <r>
      <t xml:space="preserve">Ending lump sums </t>
    </r>
    <r>
      <rPr>
        <sz val="10"/>
        <color theme="1"/>
        <rFont val="Arial"/>
        <family val="2"/>
      </rPr>
      <t xml:space="preserve">and balances go in the </t>
    </r>
    <r>
      <rPr>
        <sz val="10"/>
        <color indexed="10"/>
        <rFont val="Arial"/>
        <family val="2"/>
      </rPr>
      <t>FV box</t>
    </r>
    <r>
      <rPr>
        <sz val="10"/>
        <color theme="1"/>
        <rFont val="Arial"/>
        <family val="2"/>
      </rPr>
      <t>.  If there is not a FV input box (such as when you're calculating Future Value), add the Ending Lump to the end of the formula (outside of the FV function)</t>
    </r>
  </si>
  <si>
    <r>
      <t xml:space="preserve">You </t>
    </r>
    <r>
      <rPr>
        <sz val="10"/>
        <color indexed="10"/>
        <rFont val="Arial"/>
        <family val="2"/>
      </rPr>
      <t>mixed</t>
    </r>
    <r>
      <rPr>
        <sz val="10"/>
        <color theme="1"/>
        <rFont val="Arial"/>
        <family val="2"/>
      </rPr>
      <t xml:space="preserve"> </t>
    </r>
    <r>
      <rPr>
        <sz val="10"/>
        <color indexed="10"/>
        <rFont val="Arial"/>
        <family val="2"/>
      </rPr>
      <t>up</t>
    </r>
    <r>
      <rPr>
        <sz val="10"/>
        <color theme="1"/>
        <rFont val="Arial"/>
        <family val="2"/>
      </rPr>
      <t xml:space="preserve"> the present lump sum and future lump sum amounts.</t>
    </r>
  </si>
  <si>
    <r>
      <t xml:space="preserve">If the first payment is made </t>
    </r>
    <r>
      <rPr>
        <sz val="10"/>
        <color indexed="10"/>
        <rFont val="Arial"/>
        <family val="2"/>
      </rPr>
      <t>immediately</t>
    </r>
    <r>
      <rPr>
        <sz val="10"/>
        <color theme="1"/>
        <rFont val="Arial"/>
        <family val="2"/>
      </rPr>
      <t xml:space="preserve"> (starting at beginning of the period), use a Payment Type of "</t>
    </r>
    <r>
      <rPr>
        <sz val="10"/>
        <color indexed="10"/>
        <rFont val="Arial"/>
        <family val="2"/>
      </rPr>
      <t>1</t>
    </r>
    <r>
      <rPr>
        <sz val="10"/>
        <color theme="1"/>
        <rFont val="Arial"/>
        <family val="2"/>
      </rPr>
      <t>".</t>
    </r>
  </si>
  <si>
    <r>
      <t>For the Payment Type assumption, make it so the user of the spreadsheet</t>
    </r>
    <r>
      <rPr>
        <sz val="10"/>
        <color rgb="FFFF0000"/>
        <rFont val="Arial"/>
        <family val="2"/>
      </rPr>
      <t xml:space="preserve"> can only enter a 1 or a 0</t>
    </r>
    <r>
      <rPr>
        <sz val="10"/>
        <color theme="1"/>
        <rFont val="Arial"/>
        <family val="2"/>
      </rPr>
      <t xml:space="preserve"> (selectable, from a drop-down list in that cell),</t>
    </r>
  </si>
  <si>
    <r>
      <t>For the Payment Type assumption, make it so the user of the spreadsheet can only enter a 1 or a 0 (</t>
    </r>
    <r>
      <rPr>
        <sz val="10"/>
        <color rgb="FFFF5050"/>
        <rFont val="Arial"/>
        <family val="2"/>
      </rPr>
      <t>selectable, from a drop-down list</t>
    </r>
    <r>
      <rPr>
        <sz val="10"/>
        <color theme="1"/>
        <rFont val="Arial"/>
        <family val="2"/>
      </rPr>
      <t xml:space="preserve"> in that cell),</t>
    </r>
  </si>
  <si>
    <r>
      <t xml:space="preserve">Make it so that when the user clicks on the cell to enter the </t>
    </r>
    <r>
      <rPr>
        <sz val="10"/>
        <color rgb="FFFF5050"/>
        <rFont val="Arial"/>
        <family val="2"/>
      </rPr>
      <t xml:space="preserve">Payment Type </t>
    </r>
    <r>
      <rPr>
        <sz val="10"/>
        <color theme="1"/>
        <rFont val="Arial"/>
        <family val="2"/>
      </rPr>
      <t xml:space="preserve">assumption, a </t>
    </r>
    <r>
      <rPr>
        <sz val="10"/>
        <color rgb="FFFF5050"/>
        <rFont val="Arial"/>
        <family val="2"/>
      </rPr>
      <t>message pops up</t>
    </r>
    <r>
      <rPr>
        <sz val="10"/>
        <color theme="1"/>
        <rFont val="Arial"/>
        <family val="2"/>
      </rPr>
      <t>, explaining the difference between entering a 1 or a 0 as the assumption.</t>
    </r>
  </si>
  <si>
    <r>
      <t xml:space="preserve">Make it so that when the user clicks on the cell to enter the </t>
    </r>
    <r>
      <rPr>
        <sz val="10"/>
        <color rgb="FFFF5050"/>
        <rFont val="Arial"/>
        <family val="2"/>
      </rPr>
      <t xml:space="preserve">Payment Type </t>
    </r>
    <r>
      <rPr>
        <sz val="10"/>
        <color theme="1"/>
        <rFont val="Arial"/>
        <family val="2"/>
      </rPr>
      <t xml:space="preserve">assumption, a </t>
    </r>
    <r>
      <rPr>
        <sz val="10"/>
        <color rgb="FFFF5050"/>
        <rFont val="Arial"/>
        <family val="2"/>
      </rPr>
      <t>message pops up</t>
    </r>
    <r>
      <rPr>
        <sz val="10"/>
        <color theme="1"/>
        <rFont val="Arial"/>
        <family val="2"/>
      </rPr>
      <t xml:space="preserve">, </t>
    </r>
    <r>
      <rPr>
        <sz val="10"/>
        <color rgb="FFFF0000"/>
        <rFont val="Arial"/>
        <family val="2"/>
      </rPr>
      <t>explaining the difference between entering a 1 or a 0</t>
    </r>
    <r>
      <rPr>
        <sz val="10"/>
        <color theme="1"/>
        <rFont val="Arial"/>
        <family val="2"/>
      </rPr>
      <t xml:space="preserve"> as the assumption.</t>
    </r>
  </si>
  <si>
    <r>
      <t xml:space="preserve">Use </t>
    </r>
    <r>
      <rPr>
        <sz val="10"/>
        <color rgb="FFFF0000"/>
        <rFont val="Arial"/>
        <family val="2"/>
      </rPr>
      <t>data validation</t>
    </r>
    <r>
      <rPr>
        <sz val="10"/>
        <color theme="1"/>
        <rFont val="Arial"/>
        <family val="2"/>
      </rPr>
      <t xml:space="preserve"> input message </t>
    </r>
    <r>
      <rPr>
        <sz val="10"/>
        <color rgb="FFFF0000"/>
        <rFont val="Arial"/>
        <family val="2"/>
      </rPr>
      <t>rather than</t>
    </r>
    <r>
      <rPr>
        <sz val="10"/>
        <color theme="1"/>
        <rFont val="Arial"/>
        <family val="2"/>
      </rPr>
      <t xml:space="preserve"> a </t>
    </r>
    <r>
      <rPr>
        <sz val="10"/>
        <color rgb="FFFF0000"/>
        <rFont val="Arial"/>
        <family val="2"/>
      </rPr>
      <t xml:space="preserve">comment </t>
    </r>
    <r>
      <rPr>
        <sz val="10"/>
        <color theme="1"/>
        <rFont val="Arial"/>
        <family val="2"/>
      </rPr>
      <t>or note.</t>
    </r>
  </si>
  <si>
    <r>
      <t xml:space="preserve">Refer to an </t>
    </r>
    <r>
      <rPr>
        <sz val="10"/>
        <color indexed="10"/>
        <rFont val="Arial"/>
        <family val="2"/>
      </rPr>
      <t>assumption</t>
    </r>
    <r>
      <rPr>
        <sz val="10"/>
        <color theme="1"/>
        <rFont val="Arial"/>
        <family val="2"/>
      </rPr>
      <t xml:space="preserve"> for the </t>
    </r>
    <r>
      <rPr>
        <sz val="10"/>
        <color indexed="10"/>
        <rFont val="Arial"/>
        <family val="2"/>
      </rPr>
      <t>FV.</t>
    </r>
    <r>
      <rPr>
        <sz val="10"/>
        <rFont val="Arial"/>
        <family val="2"/>
      </rPr>
      <t xml:space="preserve">  (Although it is often okay to leave this assumption blank, since loans are typically paid until the ending balance is 0.)</t>
    </r>
  </si>
  <si>
    <r>
      <t xml:space="preserve">Refer to an </t>
    </r>
    <r>
      <rPr>
        <sz val="10"/>
        <color indexed="10"/>
        <rFont val="Arial"/>
        <family val="2"/>
      </rPr>
      <t>assumption</t>
    </r>
    <r>
      <rPr>
        <sz val="10"/>
        <color theme="1"/>
        <rFont val="Arial"/>
        <family val="2"/>
      </rPr>
      <t xml:space="preserve"> for the </t>
    </r>
    <r>
      <rPr>
        <sz val="10"/>
        <color indexed="10"/>
        <rFont val="Arial"/>
        <family val="2"/>
      </rPr>
      <t>PV.</t>
    </r>
  </si>
  <si>
    <r>
      <t xml:space="preserve">Be sure to use correct </t>
    </r>
    <r>
      <rPr>
        <sz val="10"/>
        <color rgb="FFFF0000"/>
        <rFont val="Arial"/>
        <family val="2"/>
      </rPr>
      <t>cell reference types</t>
    </r>
    <r>
      <rPr>
        <sz val="10"/>
        <rFont val="Arial"/>
        <family val="2"/>
      </rPr>
      <t xml:space="preserve"> when referring to assumptions.</t>
    </r>
  </si>
  <si>
    <r>
      <t xml:space="preserve">It is simpler to enter a </t>
    </r>
    <r>
      <rPr>
        <sz val="10"/>
        <color indexed="10"/>
        <rFont val="Arial"/>
        <family val="2"/>
      </rPr>
      <t>negative sign</t>
    </r>
    <r>
      <rPr>
        <sz val="10"/>
        <color theme="1"/>
        <rFont val="Arial"/>
        <family val="2"/>
      </rPr>
      <t xml:space="preserve"> </t>
    </r>
    <r>
      <rPr>
        <sz val="10"/>
        <color indexed="10"/>
        <rFont val="Arial"/>
        <family val="2"/>
      </rPr>
      <t>in front</t>
    </r>
    <r>
      <rPr>
        <sz val="10"/>
        <color theme="1"/>
        <rFont val="Arial"/>
        <family val="2"/>
      </rPr>
      <t xml:space="preserve"> of the </t>
    </r>
    <r>
      <rPr>
        <sz val="10"/>
        <color indexed="10"/>
        <rFont val="Arial"/>
        <family val="2"/>
      </rPr>
      <t>function,</t>
    </r>
    <r>
      <rPr>
        <sz val="10"/>
        <color theme="1"/>
        <rFont val="Arial"/>
        <family val="2"/>
      </rPr>
      <t xml:space="preserve"> (rather than putting </t>
    </r>
    <r>
      <rPr>
        <sz val="10"/>
        <color indexed="10"/>
        <rFont val="Arial"/>
        <family val="2"/>
      </rPr>
      <t>negative</t>
    </r>
    <r>
      <rPr>
        <sz val="10"/>
        <color theme="1"/>
        <rFont val="Arial"/>
        <family val="2"/>
      </rPr>
      <t xml:space="preserve"> signs in front of the cell references of all your financial inputs: PMT, PV, FV).</t>
    </r>
  </si>
  <si>
    <t>Beginning of period (immediately) = 1; End of period (one period from now) = 0</t>
  </si>
  <si>
    <t>When the first payment (or deposit) is to be made: (ONLY applies to the PMT argument!)</t>
  </si>
  <si>
    <r>
      <rPr>
        <sz val="10"/>
        <rFont val="Arial"/>
        <family val="2"/>
      </rPr>
      <t>Future/Ending</t>
    </r>
    <r>
      <rPr>
        <sz val="10"/>
        <color theme="1"/>
        <rFont val="Arial"/>
        <family val="2"/>
      </rPr>
      <t xml:space="preserve"> Lump Sum</t>
    </r>
  </si>
  <si>
    <t>(Dollar values that are cash outflows are entered as negative values in the assumptions.)</t>
  </si>
  <si>
    <t>(The PV formula produces a negative result.)</t>
  </si>
  <si>
    <r>
      <t>Present/Beginning Balance and/or</t>
    </r>
    <r>
      <rPr>
        <sz val="10"/>
        <color theme="1"/>
        <rFont val="Arial"/>
        <family val="2"/>
      </rPr>
      <t xml:space="preserve"> Lump Sum</t>
    </r>
  </si>
  <si>
    <r>
      <t>Future/Ending</t>
    </r>
    <r>
      <rPr>
        <sz val="10"/>
        <color theme="1"/>
        <rFont val="Arial"/>
        <family val="2"/>
      </rPr>
      <t xml:space="preserve"> Lump Sum</t>
    </r>
  </si>
  <si>
    <r>
      <t>Present/Beginning</t>
    </r>
    <r>
      <rPr>
        <sz val="10"/>
        <color theme="1"/>
        <rFont val="Arial"/>
        <family val="2"/>
      </rPr>
      <t xml:space="preserve"> Balance and/or Lump Sum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</si>
</sst>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m/d/yyyy\ h:mm\ AM/PM"/>
    <numFmt numFmtId="165" formatCode="_(&quot;$&quot;* #,##0_);_(&quot;$&quot;* \(#,##0\);_(&quot;$&quot;* &quot;0&quot;??_);_(@_)"/>
    <numFmt numFmtId="166" formatCode="0.0%"/>
    <numFmt numFmtId="167" formatCode="_(&quot;$&quot;* #,##0_);_(&quot;$&quot;* \(#,##0\);_(&quot;$&quot;* &quot;-&quot;??_);_(@_)"/>
    <numFmt numFmtId="168" formatCode="&quot;T=&quot;General"/>
    <numFmt numFmtId="169" formatCode="_(* #,##0_);_(* \(#,##0\);_(* &quot;0&quot;_);_(@_)"/>
    <numFmt numFmtId="170" formatCode="_(* #,##0_);_(* \(#,##0\);_(* &quot;-&quot;??_);_(@_)"/>
    <numFmt numFmtId="171" formatCode="_(* #,##0.00_);_(* \(#,##0.00\);_(* &quot;0&quot;_);_(@_)"/>
    <numFmt numFmtId="172" formatCode="0.0000%"/>
    <numFmt numFmtId="173" formatCode="0_);[Red]\(0\)"/>
    <numFmt numFmtId="174" formatCode="General;\-General;\-0;@"/>
    <numFmt numFmtId="175" formatCode="General;\-General;;@"/>
    <numFmt numFmtId="176" formatCode="General;\-General;\-0"/>
    <numFmt numFmtId="177" formatCode="General;\-General;;"/>
    <numFmt numFmtId="178" formatCode="[&lt;0.0415]m&quot;m&quot;\ s&quot;s&quot;;[h]&quot;h&quot;\ m&quot;m&quot;\ s&quot;s&quot;;@"/>
    <numFmt numFmtId="179" formatCode="m&quot;m&quot;\ s&quot;s&quot;;@"/>
    <numFmt numFmtId="180" formatCode="[&lt;0.0415]m&quot;min&quot;\ s&quot;sec&quot;;[h]&quot;hr&quot;\ m&quot;min&quot;\ s&quot;sec&quot;;@"/>
  </numFmts>
  <fonts count="47" x14ac:knownFonts="1">
    <font>
      <sz val="10"/>
      <color theme="1"/>
      <name val="Calibri"/>
      <family val="2"/>
      <scheme val="minor"/>
    </font>
    <font>
      <sz val="10"/>
      <color theme="1"/>
      <name val="Arial"/>
      <family val="2"/>
    </font>
    <font>
      <sz val="10"/>
      <color theme="1"/>
      <name val="Arial"/>
      <family val="2"/>
    </font>
    <font>
      <sz val="10"/>
      <color theme="1"/>
      <name val="Arial"/>
      <family val="2"/>
    </font>
    <font>
      <sz val="10"/>
      <name val="Arial"/>
      <family val="2"/>
    </font>
    <font>
      <u/>
      <sz val="10"/>
      <color indexed="12"/>
      <name val="Arial"/>
      <family val="2"/>
    </font>
    <font>
      <b/>
      <sz val="10"/>
      <name val="Arial"/>
      <family val="2"/>
    </font>
    <font>
      <b/>
      <sz val="14"/>
      <name val="Arial"/>
      <family val="2"/>
    </font>
    <font>
      <vertAlign val="superscript"/>
      <sz val="10"/>
      <name val="Arial"/>
      <family val="2"/>
    </font>
    <font>
      <b/>
      <i/>
      <sz val="10"/>
      <name val="Arial"/>
      <family val="2"/>
    </font>
    <font>
      <b/>
      <i/>
      <sz val="12"/>
      <name val="Arial"/>
      <family val="2"/>
    </font>
    <font>
      <sz val="10"/>
      <color indexed="12"/>
      <name val="Arial"/>
      <family val="2"/>
    </font>
    <font>
      <sz val="14"/>
      <name val="Arial"/>
      <family val="2"/>
    </font>
    <font>
      <sz val="8"/>
      <color indexed="81"/>
      <name val="Tahoma"/>
      <family val="2"/>
    </font>
    <font>
      <b/>
      <u/>
      <sz val="10"/>
      <name val="Arial"/>
      <family val="2"/>
    </font>
    <font>
      <b/>
      <sz val="10"/>
      <color indexed="10"/>
      <name val="Arial"/>
      <family val="2"/>
    </font>
    <font>
      <b/>
      <sz val="8"/>
      <color indexed="81"/>
      <name val="Tahoma"/>
      <family val="2"/>
    </font>
    <font>
      <i/>
      <sz val="10"/>
      <name val="Arial"/>
      <family val="2"/>
    </font>
    <font>
      <b/>
      <sz val="10"/>
      <color indexed="8"/>
      <name val="Arial"/>
      <family val="2"/>
    </font>
    <font>
      <b/>
      <sz val="12"/>
      <name val="Arial"/>
      <family val="2"/>
    </font>
    <font>
      <sz val="10"/>
      <color indexed="10"/>
      <name val="Arial"/>
      <family val="2"/>
    </font>
    <font>
      <b/>
      <i/>
      <sz val="36"/>
      <name val="Arial"/>
      <family val="2"/>
    </font>
    <font>
      <sz val="10"/>
      <color theme="1"/>
      <name val="Calibri"/>
      <family val="2"/>
      <scheme val="minor"/>
    </font>
    <font>
      <sz val="10"/>
      <color theme="1"/>
      <name val="Arial"/>
      <family val="2"/>
    </font>
    <font>
      <sz val="10"/>
      <color indexed="8"/>
      <name val="Arial"/>
      <family val="2"/>
    </font>
    <font>
      <sz val="10"/>
      <color rgb="FF000000"/>
      <name val="Arial"/>
      <family val="2"/>
    </font>
    <font>
      <b/>
      <sz val="9"/>
      <color indexed="81"/>
      <name val="Tahoma"/>
      <family val="2"/>
    </font>
    <font>
      <sz val="9"/>
      <color indexed="81"/>
      <name val="Tahoma"/>
      <family val="2"/>
    </font>
    <font>
      <b/>
      <sz val="11"/>
      <name val="Arial"/>
      <family val="2"/>
    </font>
    <font>
      <sz val="10"/>
      <color rgb="FF0070C0"/>
      <name val="Arial"/>
      <family val="2"/>
    </font>
    <font>
      <b/>
      <sz val="10"/>
      <color rgb="FF0070C0"/>
      <name val="Arial"/>
      <family val="2"/>
    </font>
    <font>
      <sz val="10"/>
      <color rgb="FF0070C0"/>
      <name val="Calibri"/>
      <family val="2"/>
      <scheme val="minor"/>
    </font>
    <font>
      <sz val="10"/>
      <name val="Arial"/>
      <family val="2"/>
    </font>
    <font>
      <sz val="10"/>
      <color rgb="FFFF0000"/>
      <name val="Arial"/>
      <family val="2"/>
    </font>
    <font>
      <sz val="10"/>
      <color rgb="FF3333FF"/>
      <name val="Arial"/>
      <family val="2"/>
    </font>
    <font>
      <b/>
      <sz val="10"/>
      <color rgb="FF3333FF"/>
      <name val="Arial"/>
      <family val="2"/>
    </font>
    <font>
      <sz val="10"/>
      <color rgb="FFFF5050"/>
      <name val="Arial"/>
      <family val="2"/>
    </font>
    <font>
      <u/>
      <sz val="10"/>
      <color rgb="FF3333FF"/>
      <name val="Arial"/>
      <family val="2"/>
    </font>
    <font>
      <u/>
      <sz val="10"/>
      <color rgb="FF3333FF"/>
      <name val="Calibri"/>
      <family val="2"/>
      <scheme val="minor"/>
    </font>
    <font>
      <b/>
      <sz val="10"/>
      <name val="Calibri"/>
      <family val="2"/>
      <scheme val="minor"/>
    </font>
    <font>
      <b/>
      <u/>
      <sz val="10"/>
      <color indexed="12"/>
      <name val="Arial"/>
      <family val="2"/>
    </font>
    <font>
      <b/>
      <u/>
      <sz val="10"/>
      <color theme="1"/>
      <name val="Calibri"/>
      <family val="2"/>
      <scheme val="minor"/>
    </font>
    <font>
      <b/>
      <u/>
      <sz val="10"/>
      <color rgb="FF3333FF"/>
      <name val="Calibri"/>
      <family val="2"/>
      <scheme val="minor"/>
    </font>
    <font>
      <b/>
      <sz val="16"/>
      <color theme="1"/>
      <name val="Calibri"/>
      <family val="2"/>
      <scheme val="minor"/>
    </font>
    <font>
      <b/>
      <sz val="18"/>
      <color theme="1"/>
      <name val="Calibri"/>
      <family val="2"/>
      <scheme val="minor"/>
    </font>
    <font>
      <b/>
      <sz val="14"/>
      <color rgb="FF0070C0"/>
      <name val="Arial"/>
      <family val="2"/>
    </font>
    <font>
      <b/>
      <sz val="10"/>
      <name val="Arial Narrow"/>
      <family val="2"/>
    </font>
  </fonts>
  <fills count="11">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3"/>
        <bgColor indexed="64"/>
      </patternFill>
    </fill>
    <fill>
      <patternFill patternType="gray0625">
        <bgColor indexed="9"/>
      </patternFill>
    </fill>
    <fill>
      <patternFill patternType="gray0625"/>
    </fill>
    <fill>
      <patternFill patternType="solid">
        <fgColor indexed="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s>
  <borders count="31">
    <border>
      <left/>
      <right/>
      <top/>
      <bottom/>
      <diagonal/>
    </border>
    <border>
      <left/>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top style="medium">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diagonal/>
    </border>
    <border>
      <left/>
      <right style="thin">
        <color indexed="64"/>
      </right>
      <top/>
      <bottom/>
      <diagonal/>
    </border>
  </borders>
  <cellStyleXfs count="11">
    <xf numFmtId="0" fontId="0" fillId="0" borderId="0"/>
    <xf numFmtId="41" fontId="22"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7" fontId="4" fillId="0" borderId="0" applyFont="0" applyFill="0" applyBorder="0" applyAlignment="0" applyProtection="0"/>
    <xf numFmtId="0" fontId="5" fillId="0" borderId="0" applyNumberFormat="0" applyFill="0" applyBorder="0" applyAlignment="0" applyProtection="0">
      <alignment vertical="top"/>
      <protection locked="0"/>
    </xf>
    <xf numFmtId="0" fontId="4" fillId="0" borderId="0"/>
    <xf numFmtId="9" fontId="4" fillId="0" borderId="0" applyFont="0" applyFill="0" applyBorder="0" applyAlignment="0" applyProtection="0"/>
    <xf numFmtId="9" fontId="22" fillId="0" borderId="0" applyFont="0" applyFill="0" applyBorder="0" applyAlignment="0" applyProtection="0"/>
    <xf numFmtId="0" fontId="32" fillId="0" borderId="0"/>
    <xf numFmtId="7" fontId="4" fillId="0" borderId="0" applyFont="0" applyFill="0" applyBorder="0" applyAlignment="0" applyProtection="0"/>
  </cellStyleXfs>
  <cellXfs count="381">
    <xf numFmtId="0" fontId="0" fillId="0" borderId="0" xfId="0"/>
    <xf numFmtId="0" fontId="4" fillId="0" borderId="0" xfId="6"/>
    <xf numFmtId="0" fontId="6" fillId="0" borderId="0" xfId="6" applyFont="1"/>
    <xf numFmtId="0" fontId="4" fillId="0" borderId="0" xfId="6" applyFont="1" applyAlignment="1">
      <alignment horizontal="left" vertical="top" wrapText="1"/>
    </xf>
    <xf numFmtId="0" fontId="7" fillId="0" borderId="0" xfId="6" applyFont="1"/>
    <xf numFmtId="0" fontId="4" fillId="0" borderId="0" xfId="6" applyFont="1"/>
    <xf numFmtId="8" fontId="4" fillId="0" borderId="0" xfId="6" applyNumberFormat="1"/>
    <xf numFmtId="9" fontId="4" fillId="0" borderId="0" xfId="6" applyNumberFormat="1"/>
    <xf numFmtId="6" fontId="4" fillId="0" borderId="0" xfId="6" applyNumberFormat="1"/>
    <xf numFmtId="6" fontId="4" fillId="0" borderId="1" xfId="6" applyNumberFormat="1" applyBorder="1"/>
    <xf numFmtId="6" fontId="4" fillId="0" borderId="1" xfId="6" applyNumberFormat="1" applyFont="1" applyBorder="1"/>
    <xf numFmtId="6" fontId="4" fillId="0" borderId="0" xfId="6" applyNumberFormat="1" applyFont="1"/>
    <xf numFmtId="165" fontId="6" fillId="2" borderId="0" xfId="3" applyNumberFormat="1" applyFont="1" applyFill="1" applyBorder="1" applyAlignment="1">
      <alignment horizontal="right"/>
    </xf>
    <xf numFmtId="0" fontId="4" fillId="0" borderId="0" xfId="6" applyBorder="1"/>
    <xf numFmtId="0" fontId="4" fillId="0" borderId="0" xfId="6" applyBorder="1" applyAlignment="1">
      <alignment wrapText="1"/>
    </xf>
    <xf numFmtId="0" fontId="4" fillId="0" borderId="0" xfId="6" applyAlignment="1">
      <alignment horizontal="center"/>
    </xf>
    <xf numFmtId="0" fontId="9" fillId="0" borderId="0" xfId="6" applyFont="1" applyBorder="1" applyAlignment="1">
      <alignment horizontal="center" wrapText="1"/>
    </xf>
    <xf numFmtId="0" fontId="9" fillId="0" borderId="0" xfId="6" applyFont="1" applyBorder="1" applyAlignment="1">
      <alignment horizontal="center"/>
    </xf>
    <xf numFmtId="0" fontId="10" fillId="0" borderId="2" xfId="6" applyFont="1" applyBorder="1" applyAlignment="1">
      <alignment horizontal="centerContinuous"/>
    </xf>
    <xf numFmtId="0" fontId="10" fillId="0" borderId="3" xfId="6" applyFont="1" applyBorder="1" applyAlignment="1">
      <alignment horizontal="centerContinuous"/>
    </xf>
    <xf numFmtId="8" fontId="4" fillId="0" borderId="4" xfId="6" applyNumberFormat="1" applyBorder="1"/>
    <xf numFmtId="8" fontId="4" fillId="0" borderId="0" xfId="6" applyNumberFormat="1" applyBorder="1"/>
    <xf numFmtId="0" fontId="4" fillId="0" borderId="0" xfId="6" applyBorder="1" applyAlignment="1">
      <alignment horizontal="center"/>
    </xf>
    <xf numFmtId="0" fontId="11" fillId="0" borderId="0" xfId="6" applyNumberFormat="1" applyFont="1" applyAlignment="1">
      <alignment horizontal="right"/>
    </xf>
    <xf numFmtId="0" fontId="11" fillId="0" borderId="0" xfId="6" applyFont="1"/>
    <xf numFmtId="6" fontId="11" fillId="0" borderId="0" xfId="6" applyNumberFormat="1" applyFont="1" applyAlignment="1">
      <alignment horizontal="right"/>
    </xf>
    <xf numFmtId="0" fontId="11" fillId="0" borderId="0" xfId="6" applyFont="1" applyAlignment="1">
      <alignment horizontal="right"/>
    </xf>
    <xf numFmtId="6" fontId="11" fillId="0" borderId="0" xfId="6" applyNumberFormat="1" applyFont="1"/>
    <xf numFmtId="9" fontId="11" fillId="0" borderId="0" xfId="6" applyNumberFormat="1" applyFont="1"/>
    <xf numFmtId="0" fontId="4" fillId="0" borderId="0" xfId="6" applyFont="1" applyAlignment="1">
      <alignment horizontal="center"/>
    </xf>
    <xf numFmtId="0" fontId="6" fillId="0" borderId="0" xfId="6" applyFont="1" applyAlignment="1">
      <alignment horizontal="center"/>
    </xf>
    <xf numFmtId="0" fontId="7" fillId="0" borderId="0" xfId="6" applyFont="1" applyAlignment="1">
      <alignment horizontal="centerContinuous"/>
    </xf>
    <xf numFmtId="0" fontId="4" fillId="0" borderId="0" xfId="6" applyAlignment="1">
      <alignment horizontal="left"/>
    </xf>
    <xf numFmtId="0" fontId="4" fillId="0" borderId="0" xfId="6" quotePrefix="1"/>
    <xf numFmtId="0" fontId="14" fillId="0" borderId="0" xfId="6" applyFont="1" applyAlignment="1">
      <alignment horizontal="center" wrapText="1"/>
    </xf>
    <xf numFmtId="0" fontId="4" fillId="0" borderId="0" xfId="6" applyAlignment="1">
      <alignment horizontal="center" wrapText="1"/>
    </xf>
    <xf numFmtId="0" fontId="6" fillId="0" borderId="0" xfId="6" applyFont="1" applyAlignment="1">
      <alignment horizontal="center" wrapText="1"/>
    </xf>
    <xf numFmtId="165" fontId="6" fillId="2" borderId="0" xfId="3" applyNumberFormat="1" applyFont="1" applyFill="1" applyBorder="1"/>
    <xf numFmtId="0" fontId="17" fillId="0" borderId="0" xfId="6" applyFont="1"/>
    <xf numFmtId="43" fontId="6" fillId="2" borderId="0" xfId="2" applyFont="1" applyFill="1" applyBorder="1"/>
    <xf numFmtId="166" fontId="6" fillId="2" borderId="0" xfId="7" applyNumberFormat="1" applyFont="1" applyFill="1" applyBorder="1"/>
    <xf numFmtId="0" fontId="17" fillId="0" borderId="0" xfId="6" quotePrefix="1" applyFont="1"/>
    <xf numFmtId="6" fontId="4" fillId="0" borderId="0" xfId="6" applyNumberFormat="1" applyAlignment="1">
      <alignment horizontal="right"/>
    </xf>
    <xf numFmtId="0" fontId="4" fillId="0" borderId="0" xfId="6" applyAlignment="1">
      <alignment wrapText="1"/>
    </xf>
    <xf numFmtId="0" fontId="4" fillId="0" borderId="0" xfId="6" applyAlignment="1"/>
    <xf numFmtId="0" fontId="6" fillId="0" borderId="0" xfId="6" applyFont="1" applyAlignment="1"/>
    <xf numFmtId="0" fontId="4" fillId="0" borderId="0" xfId="6" applyAlignment="1">
      <alignment horizontal="centerContinuous"/>
    </xf>
    <xf numFmtId="0" fontId="4" fillId="0" borderId="0" xfId="6" applyAlignment="1">
      <alignment horizontal="right"/>
    </xf>
    <xf numFmtId="0" fontId="4" fillId="0" borderId="0" xfId="6" applyNumberFormat="1" applyAlignment="1">
      <alignment horizontal="right"/>
    </xf>
    <xf numFmtId="168" fontId="4" fillId="0" borderId="0" xfId="6" applyNumberFormat="1"/>
    <xf numFmtId="0" fontId="14" fillId="0" borderId="0" xfId="6" applyFont="1" applyAlignment="1">
      <alignment horizontal="left"/>
    </xf>
    <xf numFmtId="0" fontId="14" fillId="0" borderId="0" xfId="6" applyFont="1" applyAlignment="1">
      <alignment horizontal="right"/>
    </xf>
    <xf numFmtId="9" fontId="4" fillId="0" borderId="0" xfId="6" applyNumberFormat="1" applyAlignment="1">
      <alignment horizontal="right"/>
    </xf>
    <xf numFmtId="10" fontId="4" fillId="0" borderId="0" xfId="6" applyNumberFormat="1"/>
    <xf numFmtId="5" fontId="4" fillId="0" borderId="0" xfId="6" applyNumberFormat="1"/>
    <xf numFmtId="170" fontId="4" fillId="0" borderId="0" xfId="2" quotePrefix="1" applyNumberFormat="1" applyFont="1"/>
    <xf numFmtId="167" fontId="4" fillId="0" borderId="0" xfId="3" quotePrefix="1" applyNumberFormat="1" applyFont="1"/>
    <xf numFmtId="170" fontId="6" fillId="0" borderId="0" xfId="2" applyNumberFormat="1" applyFont="1" applyFill="1" applyBorder="1"/>
    <xf numFmtId="0" fontId="9" fillId="0" borderId="0" xfId="6" applyFont="1" applyFill="1" applyBorder="1"/>
    <xf numFmtId="9" fontId="6" fillId="0" borderId="19" xfId="7" applyFont="1" applyFill="1" applyBorder="1" applyAlignment="1">
      <alignment horizontal="right"/>
    </xf>
    <xf numFmtId="0" fontId="9" fillId="0" borderId="22" xfId="6" applyFont="1" applyBorder="1"/>
    <xf numFmtId="0" fontId="9" fillId="0" borderId="20" xfId="6" applyFont="1" applyBorder="1"/>
    <xf numFmtId="0" fontId="9" fillId="0" borderId="12" xfId="6" applyFont="1" applyBorder="1"/>
    <xf numFmtId="0" fontId="9" fillId="0" borderId="21" xfId="6" applyFont="1" applyBorder="1"/>
    <xf numFmtId="0" fontId="9" fillId="0" borderId="26" xfId="6" applyFont="1" applyBorder="1"/>
    <xf numFmtId="0" fontId="9" fillId="0" borderId="8" xfId="6" applyFont="1" applyBorder="1"/>
    <xf numFmtId="0" fontId="9" fillId="0" borderId="15" xfId="6" applyFont="1" applyBorder="1"/>
    <xf numFmtId="0" fontId="9" fillId="0" borderId="4" xfId="6" applyFont="1" applyBorder="1"/>
    <xf numFmtId="0" fontId="9" fillId="0" borderId="16" xfId="6" applyFont="1" applyBorder="1"/>
    <xf numFmtId="167" fontId="6" fillId="6" borderId="17" xfId="6" applyNumberFormat="1" applyFont="1" applyFill="1" applyBorder="1"/>
    <xf numFmtId="0" fontId="9" fillId="0" borderId="22" xfId="6" applyFont="1" applyFill="1" applyBorder="1" applyAlignment="1">
      <alignment horizontal="center"/>
    </xf>
    <xf numFmtId="0" fontId="9" fillId="0" borderId="23" xfId="6" applyFont="1" applyFill="1" applyBorder="1" applyAlignment="1">
      <alignment horizontal="center"/>
    </xf>
    <xf numFmtId="0" fontId="9" fillId="0" borderId="23" xfId="6" applyFont="1" applyFill="1" applyBorder="1" applyAlignment="1">
      <alignment horizontal="center" wrapText="1"/>
    </xf>
    <xf numFmtId="0" fontId="9" fillId="0" borderId="24" xfId="6" applyFont="1" applyFill="1" applyBorder="1" applyAlignment="1">
      <alignment horizontal="center"/>
    </xf>
    <xf numFmtId="170" fontId="4" fillId="0" borderId="0" xfId="2" applyNumberFormat="1" applyFont="1" applyFill="1" applyBorder="1"/>
    <xf numFmtId="8" fontId="4" fillId="0" borderId="0" xfId="6" quotePrefix="1" applyNumberFormat="1" applyFont="1"/>
    <xf numFmtId="0" fontId="4" fillId="0" borderId="0" xfId="6" quotePrefix="1" applyFont="1"/>
    <xf numFmtId="8" fontId="4" fillId="0" borderId="0" xfId="6" applyNumberFormat="1" applyFont="1"/>
    <xf numFmtId="0" fontId="4" fillId="0" borderId="0" xfId="6" applyFont="1" applyAlignment="1" applyProtection="1">
      <alignment vertical="center" wrapText="1"/>
      <protection locked="0"/>
    </xf>
    <xf numFmtId="0" fontId="21" fillId="0" borderId="0" xfId="6" applyFont="1" applyAlignment="1" applyProtection="1">
      <alignment vertical="center" wrapText="1"/>
      <protection locked="0"/>
    </xf>
    <xf numFmtId="0" fontId="7" fillId="0" borderId="0" xfId="0" applyFont="1"/>
    <xf numFmtId="164" fontId="4" fillId="0" borderId="0" xfId="6" applyNumberFormat="1" applyFont="1" applyAlignment="1">
      <alignment horizontal="left" vertical="top" wrapText="1"/>
    </xf>
    <xf numFmtId="0" fontId="4" fillId="0" borderId="0" xfId="6" applyFont="1" applyAlignment="1">
      <alignment vertical="top"/>
    </xf>
    <xf numFmtId="0" fontId="4" fillId="6" borderId="19" xfId="6" applyFont="1" applyFill="1" applyBorder="1" applyAlignment="1">
      <alignment wrapText="1"/>
    </xf>
    <xf numFmtId="166" fontId="23" fillId="6" borderId="18" xfId="7" applyNumberFormat="1" applyFont="1" applyFill="1" applyBorder="1"/>
    <xf numFmtId="0" fontId="4" fillId="6" borderId="18" xfId="6" applyFont="1" applyFill="1" applyBorder="1"/>
    <xf numFmtId="167" fontId="23" fillId="6" borderId="18" xfId="3" applyNumberFormat="1" applyFont="1" applyFill="1" applyBorder="1"/>
    <xf numFmtId="167" fontId="4" fillId="6" borderId="18" xfId="6" applyNumberFormat="1" applyFont="1" applyFill="1" applyBorder="1"/>
    <xf numFmtId="0" fontId="4" fillId="0" borderId="0" xfId="6" applyFont="1" applyFill="1" applyBorder="1"/>
    <xf numFmtId="0" fontId="4" fillId="6" borderId="11" xfId="6" applyFont="1" applyFill="1" applyBorder="1"/>
    <xf numFmtId="0" fontId="4" fillId="6" borderId="10" xfId="6" applyFont="1" applyFill="1" applyBorder="1"/>
    <xf numFmtId="167" fontId="23" fillId="6" borderId="10" xfId="3" applyNumberFormat="1" applyFont="1" applyFill="1" applyBorder="1"/>
    <xf numFmtId="0" fontId="4" fillId="6" borderId="9" xfId="6" applyFont="1" applyFill="1" applyBorder="1"/>
    <xf numFmtId="0" fontId="4" fillId="0" borderId="0" xfId="6" applyFont="1" applyBorder="1"/>
    <xf numFmtId="166" fontId="23" fillId="6" borderId="27" xfId="7" applyNumberFormat="1" applyFont="1" applyFill="1" applyBorder="1"/>
    <xf numFmtId="0" fontId="4" fillId="0" borderId="7" xfId="6" applyFont="1" applyFill="1" applyBorder="1"/>
    <xf numFmtId="166" fontId="23" fillId="6" borderId="25" xfId="7" applyNumberFormat="1" applyFont="1" applyFill="1" applyBorder="1"/>
    <xf numFmtId="0" fontId="4" fillId="0" borderId="21" xfId="6" applyFont="1" applyBorder="1" applyAlignment="1">
      <alignment horizontal="left"/>
    </xf>
    <xf numFmtId="0" fontId="4" fillId="0" borderId="12" xfId="6" applyFont="1" applyBorder="1" applyAlignment="1">
      <alignment horizontal="left"/>
    </xf>
    <xf numFmtId="170" fontId="23" fillId="5" borderId="12" xfId="2" applyNumberFormat="1" applyFont="1" applyFill="1" applyBorder="1"/>
    <xf numFmtId="170" fontId="23" fillId="5" borderId="20" xfId="2" applyNumberFormat="1" applyFont="1" applyFill="1" applyBorder="1"/>
    <xf numFmtId="167" fontId="23" fillId="5" borderId="12" xfId="3" applyNumberFormat="1" applyFont="1" applyFill="1" applyBorder="1"/>
    <xf numFmtId="167" fontId="23" fillId="5" borderId="20" xfId="3" applyNumberFormat="1" applyFont="1" applyFill="1" applyBorder="1"/>
    <xf numFmtId="44" fontId="23" fillId="5" borderId="12" xfId="3" applyNumberFormat="1" applyFont="1" applyFill="1" applyBorder="1"/>
    <xf numFmtId="44" fontId="23" fillId="5" borderId="20" xfId="3" applyNumberFormat="1" applyFont="1" applyFill="1" applyBorder="1"/>
    <xf numFmtId="0" fontId="4" fillId="0" borderId="21" xfId="6" applyFont="1" applyBorder="1"/>
    <xf numFmtId="0" fontId="4" fillId="0" borderId="12" xfId="6" applyFont="1" applyBorder="1"/>
    <xf numFmtId="0" fontId="4" fillId="0" borderId="12" xfId="6" applyFont="1" applyBorder="1" applyAlignment="1">
      <alignment wrapText="1"/>
    </xf>
    <xf numFmtId="0" fontId="4" fillId="0" borderId="20" xfId="6" applyFont="1" applyBorder="1"/>
    <xf numFmtId="167" fontId="23" fillId="0" borderId="12" xfId="3" applyNumberFormat="1" applyFont="1" applyBorder="1"/>
    <xf numFmtId="167" fontId="23" fillId="0" borderId="20" xfId="3" applyNumberFormat="1" applyFont="1" applyBorder="1"/>
    <xf numFmtId="0" fontId="4" fillId="0" borderId="12" xfId="6" applyFont="1" applyFill="1" applyBorder="1" applyAlignment="1">
      <alignment horizontal="center"/>
    </xf>
    <xf numFmtId="0" fontId="4" fillId="0" borderId="12" xfId="6" applyFont="1" applyFill="1" applyBorder="1"/>
    <xf numFmtId="0" fontId="4" fillId="0" borderId="14" xfId="6" applyFont="1" applyFill="1" applyBorder="1"/>
    <xf numFmtId="0" fontId="4" fillId="0" borderId="13" xfId="6" applyFont="1" applyFill="1" applyBorder="1"/>
    <xf numFmtId="0" fontId="4" fillId="0" borderId="21" xfId="6" applyFont="1" applyFill="1" applyBorder="1"/>
    <xf numFmtId="44" fontId="23" fillId="0" borderId="0" xfId="3" applyFont="1" applyBorder="1"/>
    <xf numFmtId="8" fontId="23" fillId="0" borderId="0" xfId="3" applyNumberFormat="1" applyFont="1" applyBorder="1"/>
    <xf numFmtId="167" fontId="4" fillId="0" borderId="12" xfId="6" applyNumberFormat="1" applyFont="1" applyBorder="1"/>
    <xf numFmtId="167" fontId="4" fillId="0" borderId="20" xfId="6" applyNumberFormat="1" applyFont="1" applyBorder="1"/>
    <xf numFmtId="170" fontId="4" fillId="0" borderId="12" xfId="6" applyNumberFormat="1" applyFont="1" applyBorder="1"/>
    <xf numFmtId="0" fontId="4" fillId="0" borderId="19" xfId="6" applyFont="1" applyBorder="1"/>
    <xf numFmtId="170" fontId="23" fillId="0" borderId="18" xfId="2" applyNumberFormat="1" applyFont="1" applyBorder="1"/>
    <xf numFmtId="170" fontId="4" fillId="0" borderId="18" xfId="6" applyNumberFormat="1" applyFont="1" applyBorder="1"/>
    <xf numFmtId="170" fontId="4" fillId="0" borderId="17" xfId="6" applyNumberFormat="1" applyFont="1" applyBorder="1"/>
    <xf numFmtId="9" fontId="23" fillId="0" borderId="21" xfId="7" applyFont="1" applyFill="1" applyBorder="1"/>
    <xf numFmtId="9" fontId="23" fillId="0" borderId="12" xfId="7" applyFont="1" applyFill="1" applyBorder="1"/>
    <xf numFmtId="9" fontId="4" fillId="0" borderId="21" xfId="6" applyNumberFormat="1" applyFont="1" applyFill="1" applyBorder="1"/>
    <xf numFmtId="9" fontId="4" fillId="4" borderId="12" xfId="6" applyNumberFormat="1" applyFont="1" applyFill="1" applyBorder="1"/>
    <xf numFmtId="9" fontId="23" fillId="4" borderId="18" xfId="7" applyFont="1" applyFill="1" applyBorder="1"/>
    <xf numFmtId="171" fontId="23" fillId="0" borderId="17" xfId="2" applyNumberFormat="1" applyFont="1" applyFill="1" applyBorder="1"/>
    <xf numFmtId="9" fontId="23" fillId="0" borderId="0" xfId="7" applyFont="1" applyFill="1" applyBorder="1"/>
    <xf numFmtId="167" fontId="4" fillId="0" borderId="0" xfId="6" applyNumberFormat="1" applyFont="1" applyBorder="1"/>
    <xf numFmtId="167" fontId="4" fillId="0" borderId="0" xfId="6" applyNumberFormat="1" applyFont="1"/>
    <xf numFmtId="44" fontId="23" fillId="0" borderId="12" xfId="3" applyFont="1" applyBorder="1"/>
    <xf numFmtId="44" fontId="23" fillId="0" borderId="20" xfId="3" applyFont="1" applyBorder="1"/>
    <xf numFmtId="6" fontId="23" fillId="0" borderId="12" xfId="3" applyNumberFormat="1" applyFont="1" applyBorder="1"/>
    <xf numFmtId="6" fontId="23" fillId="0" borderId="20" xfId="3" applyNumberFormat="1" applyFont="1" applyBorder="1"/>
    <xf numFmtId="8" fontId="4" fillId="0" borderId="0" xfId="6" applyNumberFormat="1" applyFont="1" applyBorder="1"/>
    <xf numFmtId="170" fontId="4" fillId="0" borderId="20" xfId="6" applyNumberFormat="1" applyFont="1" applyBorder="1"/>
    <xf numFmtId="3" fontId="4" fillId="0" borderId="0" xfId="6" applyNumberFormat="1" applyAlignment="1">
      <alignment horizontal="center"/>
    </xf>
    <xf numFmtId="0" fontId="4" fillId="0" borderId="0" xfId="6" applyFont="1" applyBorder="1" applyAlignment="1">
      <alignment wrapText="1"/>
    </xf>
    <xf numFmtId="0" fontId="4" fillId="0" borderId="0" xfId="6" applyFont="1" applyAlignment="1">
      <alignment horizontal="centerContinuous"/>
    </xf>
    <xf numFmtId="0" fontId="4" fillId="0" borderId="0" xfId="6" quotePrefix="1" applyFont="1" applyAlignment="1"/>
    <xf numFmtId="0" fontId="4" fillId="0" borderId="0" xfId="6" applyFont="1" applyAlignment="1"/>
    <xf numFmtId="0" fontId="4" fillId="0" borderId="0" xfId="6" applyFont="1" applyAlignment="1">
      <alignment wrapText="1"/>
    </xf>
    <xf numFmtId="6" fontId="4" fillId="0" borderId="0" xfId="6" applyNumberFormat="1" applyFont="1" applyAlignment="1">
      <alignment horizontal="right"/>
    </xf>
    <xf numFmtId="8" fontId="4" fillId="0" borderId="4" xfId="6" applyNumberFormat="1" applyFont="1" applyBorder="1"/>
    <xf numFmtId="0" fontId="4" fillId="0" borderId="0" xfId="6" applyFont="1" applyAlignment="1">
      <alignment horizontal="left" indent="1"/>
    </xf>
    <xf numFmtId="0" fontId="4" fillId="0" borderId="0" xfId="6" applyFont="1" applyAlignment="1">
      <alignment horizontal="right"/>
    </xf>
    <xf numFmtId="10" fontId="3" fillId="0" borderId="0" xfId="7" applyNumberFormat="1" applyFont="1"/>
    <xf numFmtId="0" fontId="4" fillId="0" borderId="16" xfId="6" applyFont="1" applyBorder="1"/>
    <xf numFmtId="0" fontId="4" fillId="0" borderId="4" xfId="6" applyFont="1" applyBorder="1"/>
    <xf numFmtId="0" fontId="4" fillId="0" borderId="15" xfId="6" applyFont="1" applyBorder="1"/>
    <xf numFmtId="0" fontId="4" fillId="0" borderId="14" xfId="6" applyFont="1" applyBorder="1" applyAlignment="1">
      <alignment horizontal="right"/>
    </xf>
    <xf numFmtId="0" fontId="4" fillId="2" borderId="0" xfId="6" applyFont="1" applyFill="1" applyBorder="1"/>
    <xf numFmtId="0" fontId="4" fillId="2" borderId="13" xfId="6" applyFont="1" applyFill="1" applyBorder="1"/>
    <xf numFmtId="167" fontId="3" fillId="0" borderId="12" xfId="3" applyNumberFormat="1" applyFont="1" applyBorder="1"/>
    <xf numFmtId="0" fontId="4" fillId="2" borderId="12" xfId="6" applyFont="1" applyFill="1" applyBorder="1"/>
    <xf numFmtId="0" fontId="4" fillId="2" borderId="12" xfId="6" applyFont="1" applyFill="1" applyBorder="1" applyAlignment="1">
      <alignment horizontal="center"/>
    </xf>
    <xf numFmtId="44" fontId="3" fillId="0" borderId="12" xfId="3" applyFont="1" applyBorder="1" applyAlignment="1">
      <alignment horizontal="center"/>
    </xf>
    <xf numFmtId="44" fontId="3" fillId="0" borderId="12" xfId="3" applyFont="1" applyFill="1" applyBorder="1"/>
    <xf numFmtId="44" fontId="3" fillId="0" borderId="0" xfId="3" applyFont="1"/>
    <xf numFmtId="167" fontId="3" fillId="0" borderId="0" xfId="3" applyNumberFormat="1" applyFont="1"/>
    <xf numFmtId="0" fontId="4" fillId="0" borderId="11" xfId="6" applyFont="1" applyBorder="1"/>
    <xf numFmtId="0" fontId="4" fillId="0" borderId="10" xfId="6" applyFont="1" applyBorder="1"/>
    <xf numFmtId="0" fontId="4" fillId="0" borderId="9" xfId="6" applyFont="1" applyBorder="1"/>
    <xf numFmtId="0" fontId="4" fillId="2" borderId="8" xfId="6" applyFont="1" applyFill="1" applyBorder="1"/>
    <xf numFmtId="0" fontId="4" fillId="2" borderId="7" xfId="6" applyFont="1" applyFill="1" applyBorder="1"/>
    <xf numFmtId="167" fontId="4" fillId="2" borderId="7" xfId="6" applyNumberFormat="1" applyFont="1" applyFill="1" applyBorder="1"/>
    <xf numFmtId="167" fontId="4" fillId="2" borderId="6" xfId="6" applyNumberFormat="1" applyFont="1" applyFill="1" applyBorder="1"/>
    <xf numFmtId="5" fontId="24" fillId="0" borderId="0" xfId="4" applyNumberFormat="1" applyFont="1"/>
    <xf numFmtId="10" fontId="24" fillId="0" borderId="0" xfId="6" applyNumberFormat="1" applyFont="1" applyFill="1"/>
    <xf numFmtId="0" fontId="24" fillId="0" borderId="0" xfId="6" applyFont="1"/>
    <xf numFmtId="8" fontId="24" fillId="0" borderId="0" xfId="6" applyNumberFormat="1" applyFont="1"/>
    <xf numFmtId="8" fontId="4" fillId="0" borderId="0" xfId="6" applyNumberFormat="1" applyFill="1"/>
    <xf numFmtId="0" fontId="6" fillId="0" borderId="0" xfId="6" applyFont="1" applyAlignment="1">
      <alignment horizontal="centerContinuous"/>
    </xf>
    <xf numFmtId="0" fontId="4" fillId="0" borderId="28" xfId="6" applyFont="1" applyBorder="1" applyAlignment="1">
      <alignment horizontal="center"/>
    </xf>
    <xf numFmtId="0" fontId="4" fillId="0" borderId="28" xfId="6" applyBorder="1" applyAlignment="1">
      <alignment horizontal="center"/>
    </xf>
    <xf numFmtId="8" fontId="4" fillId="0" borderId="29" xfId="6" applyNumberFormat="1" applyBorder="1"/>
    <xf numFmtId="0" fontId="11" fillId="0" borderId="0" xfId="6" applyFont="1" applyFill="1" applyAlignment="1">
      <alignment horizontal="right"/>
    </xf>
    <xf numFmtId="0" fontId="2" fillId="0" borderId="0" xfId="0" applyFont="1"/>
    <xf numFmtId="10" fontId="2" fillId="0" borderId="0" xfId="8" applyNumberFormat="1" applyFont="1"/>
    <xf numFmtId="0" fontId="24" fillId="0" borderId="0" xfId="6" applyNumberFormat="1" applyFont="1" applyFill="1"/>
    <xf numFmtId="166" fontId="6" fillId="8" borderId="0" xfId="7" applyNumberFormat="1" applyFont="1" applyFill="1" applyBorder="1"/>
    <xf numFmtId="0" fontId="4" fillId="0" borderId="0" xfId="6" applyAlignment="1">
      <alignment horizontal="centerContinuous" vertical="top"/>
    </xf>
    <xf numFmtId="0" fontId="4" fillId="0" borderId="0" xfId="6" applyAlignment="1">
      <alignment horizontal="centerContinuous" vertical="top" wrapText="1"/>
    </xf>
    <xf numFmtId="0" fontId="4" fillId="0" borderId="0" xfId="6" applyAlignment="1">
      <alignment horizontal="centerContinuous" wrapText="1"/>
    </xf>
    <xf numFmtId="0" fontId="28" fillId="0" borderId="0" xfId="6" applyFont="1" applyAlignment="1">
      <alignment horizontal="centerContinuous"/>
    </xf>
    <xf numFmtId="6" fontId="29" fillId="7" borderId="0" xfId="6" applyNumberFormat="1" applyFont="1" applyFill="1"/>
    <xf numFmtId="0" fontId="29" fillId="7" borderId="0" xfId="6" applyFont="1" applyFill="1"/>
    <xf numFmtId="6" fontId="29" fillId="4" borderId="0" xfId="6" applyNumberFormat="1" applyFont="1" applyFill="1"/>
    <xf numFmtId="9" fontId="29" fillId="4" borderId="0" xfId="6" applyNumberFormat="1" applyFont="1" applyFill="1"/>
    <xf numFmtId="0" fontId="29" fillId="4" borderId="0" xfId="6" applyFont="1" applyFill="1"/>
    <xf numFmtId="0" fontId="29" fillId="4" borderId="0" xfId="6" applyFont="1" applyFill="1" applyAlignment="1">
      <alignment horizontal="right"/>
    </xf>
    <xf numFmtId="6" fontId="29" fillId="4" borderId="0" xfId="6" applyNumberFormat="1" applyFont="1" applyFill="1" applyAlignment="1">
      <alignment horizontal="right"/>
    </xf>
    <xf numFmtId="0" fontId="29" fillId="4" borderId="0" xfId="6" applyNumberFormat="1" applyFont="1" applyFill="1" applyAlignment="1">
      <alignment horizontal="right"/>
    </xf>
    <xf numFmtId="170" fontId="30" fillId="4" borderId="0" xfId="1" applyNumberFormat="1" applyFont="1" applyFill="1" applyAlignment="1">
      <alignment horizontal="right"/>
    </xf>
    <xf numFmtId="9" fontId="29" fillId="4" borderId="28" xfId="6" applyNumberFormat="1" applyFont="1" applyFill="1" applyBorder="1"/>
    <xf numFmtId="6" fontId="29" fillId="4" borderId="28" xfId="6" applyNumberFormat="1" applyFont="1" applyFill="1" applyBorder="1"/>
    <xf numFmtId="0" fontId="29" fillId="4" borderId="28" xfId="6" applyFont="1" applyFill="1" applyBorder="1"/>
    <xf numFmtId="0" fontId="29" fillId="4" borderId="28" xfId="6" applyFont="1" applyFill="1" applyBorder="1" applyAlignment="1">
      <alignment horizontal="right"/>
    </xf>
    <xf numFmtId="6" fontId="29" fillId="4" borderId="28" xfId="6" applyNumberFormat="1" applyFont="1" applyFill="1" applyBorder="1" applyAlignment="1">
      <alignment horizontal="right"/>
    </xf>
    <xf numFmtId="0" fontId="29" fillId="0" borderId="28" xfId="6" applyFont="1" applyFill="1" applyBorder="1" applyAlignment="1">
      <alignment horizontal="right"/>
    </xf>
    <xf numFmtId="0" fontId="29" fillId="0" borderId="0" xfId="6" applyFont="1" applyAlignment="1">
      <alignment horizontal="center"/>
    </xf>
    <xf numFmtId="0" fontId="29" fillId="0" borderId="0" xfId="6" applyFont="1" applyBorder="1"/>
    <xf numFmtId="166" fontId="31" fillId="0" borderId="0" xfId="7" applyNumberFormat="1" applyFont="1" applyBorder="1"/>
    <xf numFmtId="43" fontId="31" fillId="0" borderId="0" xfId="2" applyFont="1" applyBorder="1"/>
    <xf numFmtId="165" fontId="31" fillId="0" borderId="0" xfId="3" applyNumberFormat="1" applyFont="1" applyBorder="1"/>
    <xf numFmtId="9" fontId="29" fillId="0" borderId="0" xfId="6" applyNumberFormat="1" applyFont="1" applyFill="1"/>
    <xf numFmtId="6" fontId="29" fillId="0" borderId="0" xfId="6" applyNumberFormat="1" applyFont="1" applyFill="1"/>
    <xf numFmtId="0" fontId="29" fillId="0" borderId="0" xfId="6" applyFont="1" applyFill="1"/>
    <xf numFmtId="0" fontId="29" fillId="0" borderId="0" xfId="6" applyFont="1" applyFill="1" applyAlignment="1">
      <alignment horizontal="right"/>
    </xf>
    <xf numFmtId="6" fontId="29" fillId="0" borderId="0" xfId="6" applyNumberFormat="1" applyFont="1" applyFill="1" applyAlignment="1">
      <alignment horizontal="right"/>
    </xf>
    <xf numFmtId="0" fontId="29" fillId="0" borderId="0" xfId="6" applyNumberFormat="1" applyFont="1" applyFill="1" applyAlignment="1">
      <alignment horizontal="right"/>
    </xf>
    <xf numFmtId="166" fontId="29" fillId="0" borderId="0" xfId="7" applyNumberFormat="1" applyFont="1" applyBorder="1"/>
    <xf numFmtId="43" fontId="29" fillId="0" borderId="0" xfId="2" applyFont="1" applyBorder="1"/>
    <xf numFmtId="165" fontId="29" fillId="0" borderId="0" xfId="2" applyNumberFormat="1" applyFont="1" applyBorder="1"/>
    <xf numFmtId="165" fontId="29" fillId="0" borderId="0" xfId="3" applyNumberFormat="1" applyFont="1" applyBorder="1"/>
    <xf numFmtId="41" fontId="29" fillId="0" borderId="0" xfId="2" applyNumberFormat="1" applyFont="1" applyBorder="1"/>
    <xf numFmtId="41" fontId="29" fillId="0" borderId="0" xfId="3" applyNumberFormat="1" applyFont="1" applyBorder="1"/>
    <xf numFmtId="41" fontId="29" fillId="0" borderId="0" xfId="6" applyNumberFormat="1" applyFont="1" applyBorder="1"/>
    <xf numFmtId="41" fontId="6" fillId="2" borderId="0" xfId="2" applyNumberFormat="1" applyFont="1" applyFill="1" applyBorder="1"/>
    <xf numFmtId="41" fontId="18" fillId="2" borderId="0" xfId="2" applyNumberFormat="1" applyFont="1" applyFill="1" applyBorder="1"/>
    <xf numFmtId="3" fontId="29" fillId="0" borderId="0" xfId="1" applyNumberFormat="1" applyFont="1" applyFill="1" applyAlignment="1">
      <alignment horizontal="right"/>
    </xf>
    <xf numFmtId="9" fontId="29" fillId="0" borderId="0" xfId="6" applyNumberFormat="1" applyFont="1"/>
    <xf numFmtId="0" fontId="29" fillId="0" borderId="0" xfId="6" applyFont="1"/>
    <xf numFmtId="6" fontId="29" fillId="0" borderId="0" xfId="6" applyNumberFormat="1" applyFont="1"/>
    <xf numFmtId="167" fontId="29" fillId="0" borderId="0" xfId="3" applyNumberFormat="1" applyFont="1" applyBorder="1"/>
    <xf numFmtId="41" fontId="29" fillId="0" borderId="0" xfId="6" applyNumberFormat="1" applyFont="1"/>
    <xf numFmtId="8" fontId="29" fillId="0" borderId="4" xfId="6" applyNumberFormat="1" applyFont="1" applyFill="1" applyBorder="1"/>
    <xf numFmtId="0" fontId="4" fillId="0" borderId="0" xfId="6" applyFont="1" applyFill="1"/>
    <xf numFmtId="6" fontId="4" fillId="0" borderId="0" xfId="6" applyNumberFormat="1" applyFont="1" applyFill="1" applyAlignment="1">
      <alignment horizontal="right"/>
    </xf>
    <xf numFmtId="0" fontId="4" fillId="0" borderId="0" xfId="6" applyFont="1" applyFill="1" applyAlignment="1">
      <alignment horizontal="center"/>
    </xf>
    <xf numFmtId="0" fontId="0" fillId="0" borderId="0" xfId="0" applyFill="1"/>
    <xf numFmtId="0" fontId="6" fillId="0" borderId="0" xfId="6" applyFont="1" applyFill="1" applyAlignment="1">
      <alignment horizontal="center"/>
    </xf>
    <xf numFmtId="0" fontId="6" fillId="0" borderId="0" xfId="6" applyFont="1" applyFill="1" applyAlignment="1">
      <alignment horizontal="center" wrapText="1"/>
    </xf>
    <xf numFmtId="0" fontId="4" fillId="0" borderId="0" xfId="6" quotePrefix="1" applyFont="1" applyFill="1" applyAlignment="1"/>
    <xf numFmtId="0" fontId="4" fillId="0" borderId="0" xfId="6" applyFont="1" applyFill="1" applyAlignment="1"/>
    <xf numFmtId="10" fontId="29" fillId="0" borderId="0" xfId="6" applyNumberFormat="1" applyFont="1" applyFill="1"/>
    <xf numFmtId="0" fontId="4" fillId="0" borderId="0" xfId="6" applyFill="1"/>
    <xf numFmtId="6" fontId="4" fillId="0" borderId="0" xfId="6" applyNumberFormat="1" applyFill="1" applyAlignment="1">
      <alignment horizontal="right"/>
    </xf>
    <xf numFmtId="8" fontId="4" fillId="0" borderId="4" xfId="6" applyNumberFormat="1" applyFill="1" applyBorder="1"/>
    <xf numFmtId="0" fontId="4" fillId="0" borderId="0" xfId="6" applyFill="1" applyAlignment="1">
      <alignment horizontal="right"/>
    </xf>
    <xf numFmtId="8" fontId="14" fillId="0" borderId="0" xfId="6" applyNumberFormat="1" applyFont="1" applyFill="1" applyAlignment="1">
      <alignment horizontal="right"/>
    </xf>
    <xf numFmtId="8" fontId="29" fillId="0" borderId="0" xfId="6" applyNumberFormat="1" applyFont="1" applyFill="1"/>
    <xf numFmtId="5" fontId="29" fillId="7" borderId="0" xfId="4" applyNumberFormat="1" applyFont="1" applyFill="1"/>
    <xf numFmtId="5" fontId="29" fillId="7" borderId="5" xfId="4" applyNumberFormat="1" applyFont="1" applyFill="1" applyBorder="1"/>
    <xf numFmtId="10" fontId="29" fillId="7" borderId="0" xfId="6" applyNumberFormat="1" applyFont="1" applyFill="1"/>
    <xf numFmtId="8" fontId="29" fillId="7" borderId="0" xfId="6" applyNumberFormat="1" applyFont="1" applyFill="1"/>
    <xf numFmtId="172" fontId="4" fillId="0" borderId="0" xfId="8" applyNumberFormat="1" applyFont="1"/>
    <xf numFmtId="173" fontId="29" fillId="4" borderId="0" xfId="6" applyNumberFormat="1" applyFont="1" applyFill="1"/>
    <xf numFmtId="0" fontId="32" fillId="0" borderId="0" xfId="9"/>
    <xf numFmtId="5" fontId="11" fillId="0" borderId="0" xfId="10" applyNumberFormat="1" applyFont="1"/>
    <xf numFmtId="5" fontId="11" fillId="0" borderId="5" xfId="10" applyNumberFormat="1" applyFont="1" applyBorder="1"/>
    <xf numFmtId="5" fontId="4" fillId="0" borderId="0" xfId="10" applyNumberFormat="1"/>
    <xf numFmtId="174" fontId="34" fillId="9" borderId="0" xfId="0" applyNumberFormat="1" applyFont="1" applyFill="1" applyAlignment="1">
      <alignment horizontal="center" vertical="center"/>
    </xf>
    <xf numFmtId="174" fontId="34" fillId="9" borderId="0" xfId="0" applyNumberFormat="1" applyFont="1" applyFill="1" applyAlignment="1">
      <alignment horizontal="center" vertical="center" wrapText="1"/>
    </xf>
    <xf numFmtId="175" fontId="34" fillId="9" borderId="0" xfId="0" applyNumberFormat="1" applyFont="1" applyFill="1" applyAlignment="1">
      <alignment horizontal="center" vertical="center"/>
    </xf>
    <xf numFmtId="174" fontId="34" fillId="9" borderId="0" xfId="0" applyNumberFormat="1" applyFont="1" applyFill="1" applyAlignment="1">
      <alignment horizontal="fill" vertical="center"/>
    </xf>
    <xf numFmtId="174" fontId="34" fillId="10" borderId="0" xfId="0" applyNumberFormat="1" applyFont="1" applyFill="1" applyAlignment="1">
      <alignment horizontal="center" vertical="center"/>
    </xf>
    <xf numFmtId="174" fontId="34" fillId="10" borderId="0" xfId="0" applyNumberFormat="1" applyFont="1" applyFill="1" applyAlignment="1">
      <alignment horizontal="center" vertical="center" wrapText="1"/>
    </xf>
    <xf numFmtId="175" fontId="34" fillId="10" borderId="0" xfId="0" applyNumberFormat="1" applyFont="1" applyFill="1" applyAlignment="1">
      <alignment horizontal="center" vertical="center"/>
    </xf>
    <xf numFmtId="174" fontId="34" fillId="10" borderId="0" xfId="0" applyNumberFormat="1" applyFont="1" applyFill="1" applyAlignment="1">
      <alignment horizontal="fill" vertical="center"/>
    </xf>
    <xf numFmtId="0" fontId="4" fillId="0" borderId="0" xfId="0" applyFont="1" applyAlignment="1">
      <alignment horizontal="center" vertical="center"/>
    </xf>
    <xf numFmtId="0" fontId="4" fillId="0" borderId="0" xfId="0" applyFont="1" applyAlignment="1">
      <alignment vertical="center" wrapText="1"/>
    </xf>
    <xf numFmtId="176" fontId="34" fillId="0" borderId="0" xfId="0" applyNumberFormat="1" applyFont="1" applyAlignment="1">
      <alignment horizontal="center" vertical="center"/>
    </xf>
    <xf numFmtId="176" fontId="34" fillId="0" borderId="0" xfId="0" quotePrefix="1" applyNumberFormat="1" applyFont="1" applyAlignment="1">
      <alignment horizontal="center" vertical="center"/>
    </xf>
    <xf numFmtId="176" fontId="35" fillId="0" borderId="0" xfId="0" applyNumberFormat="1" applyFont="1" applyAlignment="1">
      <alignment horizontal="center" vertical="center" wrapText="1"/>
    </xf>
    <xf numFmtId="177" fontId="34" fillId="0" borderId="0" xfId="0" applyNumberFormat="1" applyFont="1" applyAlignment="1">
      <alignment horizontal="center" vertical="center"/>
    </xf>
    <xf numFmtId="176" fontId="34" fillId="7" borderId="0" xfId="0" applyNumberFormat="1" applyFont="1" applyFill="1" applyAlignment="1">
      <alignment horizontal="center" vertical="center"/>
    </xf>
    <xf numFmtId="0" fontId="4" fillId="0" borderId="0" xfId="0" applyFont="1" applyAlignment="1" applyProtection="1">
      <alignment horizontal="center" vertical="center"/>
      <protection locked="0"/>
    </xf>
    <xf numFmtId="0" fontId="20" fillId="0" borderId="0" xfId="0" applyFont="1" applyAlignment="1">
      <alignment vertical="center" wrapText="1"/>
    </xf>
    <xf numFmtId="174" fontId="34" fillId="0" borderId="0" xfId="0" applyNumberFormat="1" applyFont="1" applyAlignment="1">
      <alignment horizontal="center" vertical="center"/>
    </xf>
    <xf numFmtId="174" fontId="34" fillId="0" borderId="0" xfId="0" quotePrefix="1" applyNumberFormat="1" applyFont="1" applyAlignment="1">
      <alignment horizontal="center" vertical="center"/>
    </xf>
    <xf numFmtId="174" fontId="35" fillId="0" borderId="0" xfId="0" applyNumberFormat="1" applyFont="1" applyAlignment="1">
      <alignment horizontal="center" vertical="center"/>
    </xf>
    <xf numFmtId="175" fontId="34" fillId="0" borderId="0" xfId="0" applyNumberFormat="1" applyFont="1" applyAlignment="1">
      <alignment horizontal="center" vertical="center"/>
    </xf>
    <xf numFmtId="174" fontId="34" fillId="7" borderId="0" xfId="0" applyNumberFormat="1" applyFont="1" applyFill="1" applyAlignment="1">
      <alignment horizontal="center" vertical="center"/>
    </xf>
    <xf numFmtId="174" fontId="34" fillId="0" borderId="0" xfId="0" applyNumberFormat="1" applyFont="1" applyAlignment="1">
      <alignment horizontal="fill" vertical="center"/>
    </xf>
    <xf numFmtId="174" fontId="34" fillId="10" borderId="0" xfId="0" quotePrefix="1" applyNumberFormat="1" applyFont="1" applyFill="1" applyAlignment="1">
      <alignment horizontal="center" vertical="center"/>
    </xf>
    <xf numFmtId="174" fontId="4" fillId="0" borderId="0" xfId="0" applyNumberFormat="1" applyFont="1" applyAlignment="1">
      <alignment horizontal="left" vertical="center"/>
    </xf>
    <xf numFmtId="174" fontId="6" fillId="10" borderId="0" xfId="0" applyNumberFormat="1" applyFont="1" applyFill="1" applyAlignment="1">
      <alignment horizontal="center" vertical="center" wrapText="1"/>
    </xf>
    <xf numFmtId="174" fontId="6" fillId="10" borderId="0" xfId="0" applyNumberFormat="1" applyFont="1" applyFill="1" applyAlignment="1">
      <alignment horizontal="left" vertical="center"/>
    </xf>
    <xf numFmtId="174" fontId="35" fillId="10" borderId="0" xfId="0" applyNumberFormat="1" applyFont="1" applyFill="1" applyAlignment="1">
      <alignment horizontal="center" vertical="center"/>
    </xf>
    <xf numFmtId="175" fontId="35" fillId="10" borderId="0" xfId="0" applyNumberFormat="1" applyFont="1" applyFill="1" applyAlignment="1">
      <alignment horizontal="center" vertical="center"/>
    </xf>
    <xf numFmtId="174" fontId="6" fillId="10" borderId="0" xfId="0" applyNumberFormat="1" applyFont="1" applyFill="1" applyAlignment="1">
      <alignment horizontal="center" vertical="center"/>
    </xf>
    <xf numFmtId="0" fontId="4" fillId="0" borderId="0" xfId="6" quotePrefix="1" applyFont="1" applyAlignment="1">
      <alignment horizontal="left" vertical="top" wrapText="1"/>
    </xf>
    <xf numFmtId="0" fontId="5" fillId="0" borderId="0" xfId="5" applyAlignment="1" applyProtection="1"/>
    <xf numFmtId="167" fontId="29" fillId="4" borderId="0" xfId="3" applyNumberFormat="1" applyFont="1" applyFill="1" applyBorder="1"/>
    <xf numFmtId="9" fontId="29" fillId="4" borderId="0" xfId="7" applyFont="1" applyFill="1" applyBorder="1"/>
    <xf numFmtId="170" fontId="29" fillId="4" borderId="0" xfId="2" applyNumberFormat="1" applyFont="1" applyFill="1" applyBorder="1"/>
    <xf numFmtId="169" fontId="29" fillId="4" borderId="0" xfId="2" applyNumberFormat="1" applyFont="1" applyFill="1" applyBorder="1"/>
    <xf numFmtId="0" fontId="4" fillId="3" borderId="0" xfId="6" applyFont="1" applyFill="1" applyBorder="1"/>
    <xf numFmtId="167" fontId="3" fillId="3" borderId="0" xfId="3" applyNumberFormat="1" applyFont="1" applyFill="1" applyBorder="1"/>
    <xf numFmtId="8" fontId="6" fillId="0" borderId="0" xfId="6" applyNumberFormat="1" applyFont="1" applyFill="1" applyBorder="1"/>
    <xf numFmtId="0" fontId="4" fillId="0" borderId="0" xfId="6" applyFont="1" applyBorder="1" applyAlignment="1">
      <alignment horizontal="right"/>
    </xf>
    <xf numFmtId="7" fontId="4" fillId="0" borderId="0" xfId="6" applyNumberFormat="1" applyFont="1" applyBorder="1"/>
    <xf numFmtId="43" fontId="4" fillId="0" borderId="0" xfId="6" applyNumberFormat="1" applyFont="1" applyBorder="1"/>
    <xf numFmtId="43" fontId="3" fillId="0" borderId="0" xfId="2" applyFont="1" applyBorder="1"/>
    <xf numFmtId="0" fontId="4" fillId="0" borderId="0" xfId="6" applyNumberFormat="1" applyFont="1" applyBorder="1"/>
    <xf numFmtId="8" fontId="29" fillId="0" borderId="0" xfId="6" applyNumberFormat="1" applyFont="1" applyFill="1" applyAlignment="1">
      <alignment horizontal="right"/>
    </xf>
    <xf numFmtId="0" fontId="4" fillId="0" borderId="10" xfId="6" applyFont="1" applyBorder="1" applyAlignment="1">
      <alignment horizontal="right"/>
    </xf>
    <xf numFmtId="173" fontId="29" fillId="4" borderId="0" xfId="6" applyNumberFormat="1" applyFont="1" applyFill="1" applyAlignment="1">
      <alignment horizontal="right"/>
    </xf>
    <xf numFmtId="0" fontId="5" fillId="0" borderId="0" xfId="5" applyAlignment="1" applyProtection="1">
      <alignment horizontal="left"/>
    </xf>
    <xf numFmtId="0" fontId="37" fillId="0" borderId="0" xfId="6" applyFont="1"/>
    <xf numFmtId="0" fontId="38" fillId="0" borderId="0" xfId="0" applyFont="1"/>
    <xf numFmtId="0" fontId="39" fillId="0" borderId="0" xfId="0" applyFont="1"/>
    <xf numFmtId="178" fontId="4" fillId="0" borderId="0" xfId="5" applyNumberFormat="1" applyFont="1" applyAlignment="1" applyProtection="1">
      <alignment horizontal="left"/>
    </xf>
    <xf numFmtId="0" fontId="31" fillId="0" borderId="0" xfId="0" applyFont="1"/>
    <xf numFmtId="0" fontId="7" fillId="0" borderId="0" xfId="6" applyFont="1" applyAlignment="1"/>
    <xf numFmtId="0" fontId="12" fillId="0" borderId="0" xfId="6" applyFont="1" applyAlignment="1"/>
    <xf numFmtId="0" fontId="19" fillId="0" borderId="0" xfId="6" applyFont="1" applyBorder="1" applyAlignment="1"/>
    <xf numFmtId="0" fontId="0" fillId="0" borderId="0" xfId="0" applyAlignment="1"/>
    <xf numFmtId="0" fontId="4" fillId="0" borderId="0" xfId="6" applyFill="1" applyAlignment="1"/>
    <xf numFmtId="0" fontId="28" fillId="0" borderId="0" xfId="6" applyFont="1" applyAlignment="1"/>
    <xf numFmtId="8" fontId="4" fillId="0" borderId="0" xfId="6" applyNumberFormat="1" applyAlignment="1"/>
    <xf numFmtId="180" fontId="37" fillId="0" borderId="0" xfId="6" applyNumberFormat="1" applyFont="1"/>
    <xf numFmtId="180" fontId="0" fillId="0" borderId="0" xfId="0" applyNumberFormat="1"/>
    <xf numFmtId="0" fontId="40" fillId="0" borderId="0" xfId="5" applyFont="1" applyAlignment="1" applyProtection="1"/>
    <xf numFmtId="0" fontId="41" fillId="0" borderId="0" xfId="0" applyFont="1"/>
    <xf numFmtId="180" fontId="41" fillId="0" borderId="0" xfId="0" applyNumberFormat="1" applyFont="1"/>
    <xf numFmtId="0" fontId="5" fillId="0" borderId="0" xfId="5" applyAlignment="1" applyProtection="1">
      <alignment horizontal="left" indent="1"/>
    </xf>
    <xf numFmtId="0" fontId="42" fillId="0" borderId="0" xfId="0" applyFont="1"/>
    <xf numFmtId="0" fontId="43" fillId="0" borderId="0" xfId="0" applyFont="1"/>
    <xf numFmtId="0" fontId="24" fillId="0" borderId="0" xfId="5" applyFont="1" applyAlignment="1" applyProtection="1">
      <alignment horizontal="left"/>
    </xf>
    <xf numFmtId="178" fontId="29" fillId="0" borderId="0" xfId="5" applyNumberFormat="1" applyFont="1" applyAlignment="1" applyProtection="1">
      <alignment horizontal="left"/>
    </xf>
    <xf numFmtId="0" fontId="29" fillId="0" borderId="0" xfId="6" applyFont="1" applyAlignment="1"/>
    <xf numFmtId="179" fontId="29" fillId="0" borderId="0" xfId="0" applyNumberFormat="1" applyFont="1" applyAlignment="1">
      <alignment horizontal="right"/>
    </xf>
    <xf numFmtId="0" fontId="44" fillId="0" borderId="0" xfId="0" applyFont="1"/>
    <xf numFmtId="0" fontId="31" fillId="0" borderId="0" xfId="0" applyFont="1" applyAlignment="1"/>
    <xf numFmtId="178" fontId="29" fillId="0" borderId="0" xfId="5" applyNumberFormat="1" applyFont="1" applyAlignment="1" applyProtection="1"/>
    <xf numFmtId="0" fontId="29" fillId="0" borderId="0" xfId="6" applyFont="1" applyFill="1" applyAlignment="1"/>
    <xf numFmtId="0" fontId="45" fillId="0" borderId="0" xfId="6" applyFont="1" applyAlignment="1"/>
    <xf numFmtId="0" fontId="29" fillId="0" borderId="0" xfId="6" quotePrefix="1" applyFont="1" applyAlignment="1"/>
    <xf numFmtId="8" fontId="29" fillId="0" borderId="0" xfId="6" applyNumberFormat="1" applyFont="1" applyAlignment="1"/>
    <xf numFmtId="179" fontId="29" fillId="0" borderId="0" xfId="0" applyNumberFormat="1" applyFont="1" applyAlignment="1"/>
    <xf numFmtId="0" fontId="6" fillId="0" borderId="28" xfId="6" applyFont="1" applyBorder="1" applyAlignment="1">
      <alignment horizontal="center"/>
    </xf>
    <xf numFmtId="9" fontId="29" fillId="0" borderId="28" xfId="6" applyNumberFormat="1" applyFont="1" applyFill="1" applyBorder="1"/>
    <xf numFmtId="6" fontId="29" fillId="0" borderId="28" xfId="6" applyNumberFormat="1" applyFont="1" applyFill="1" applyBorder="1"/>
    <xf numFmtId="0" fontId="29" fillId="0" borderId="28" xfId="6" applyFont="1" applyFill="1" applyBorder="1"/>
    <xf numFmtId="6" fontId="29" fillId="0" borderId="28" xfId="6" applyNumberFormat="1" applyFont="1" applyFill="1" applyBorder="1" applyAlignment="1">
      <alignment horizontal="right"/>
    </xf>
    <xf numFmtId="173" fontId="11" fillId="0" borderId="0" xfId="0" applyNumberFormat="1" applyFont="1" applyFill="1"/>
    <xf numFmtId="0" fontId="29" fillId="0" borderId="30" xfId="6" applyNumberFormat="1" applyFont="1" applyFill="1" applyBorder="1" applyAlignment="1">
      <alignment horizontal="right"/>
    </xf>
    <xf numFmtId="180" fontId="18" fillId="0" borderId="0" xfId="0" applyNumberFormat="1" applyFont="1" applyAlignment="1">
      <alignment horizontal="center"/>
    </xf>
    <xf numFmtId="180" fontId="6" fillId="0" borderId="0" xfId="0" applyNumberFormat="1" applyFont="1" applyAlignment="1">
      <alignment vertical="center"/>
    </xf>
    <xf numFmtId="0" fontId="46" fillId="0" borderId="0" xfId="6" applyFont="1" applyAlignment="1">
      <alignment horizontal="center" wrapText="1"/>
    </xf>
    <xf numFmtId="0" fontId="4" fillId="0" borderId="0" xfId="6" applyAlignment="1">
      <alignment horizontal="left" wrapText="1"/>
    </xf>
    <xf numFmtId="0" fontId="4" fillId="0" borderId="0" xfId="6" applyAlignment="1">
      <alignment horizontal="left" indent="1"/>
    </xf>
    <xf numFmtId="172" fontId="29" fillId="0" borderId="0" xfId="6" applyNumberFormat="1" applyFont="1"/>
    <xf numFmtId="174" fontId="6" fillId="9" borderId="0" xfId="0" applyNumberFormat="1" applyFont="1" applyFill="1" applyAlignment="1">
      <alignment horizontal="left" vertical="center" wrapText="1"/>
    </xf>
    <xf numFmtId="174" fontId="6" fillId="10" borderId="0" xfId="0" applyNumberFormat="1" applyFont="1" applyFill="1" applyAlignment="1">
      <alignment horizontal="left" vertical="center" wrapText="1" indent="1"/>
    </xf>
    <xf numFmtId="174" fontId="4" fillId="0" borderId="0" xfId="0" applyNumberFormat="1" applyFont="1" applyAlignment="1">
      <alignment horizontal="left" vertical="center" wrapText="1" indent="1"/>
    </xf>
    <xf numFmtId="174" fontId="6" fillId="10" borderId="0" xfId="0" applyNumberFormat="1" applyFont="1" applyFill="1" applyAlignment="1">
      <alignment horizontal="left" vertical="center" wrapText="1"/>
    </xf>
    <xf numFmtId="0" fontId="4" fillId="0" borderId="0" xfId="0" applyFont="1" applyAlignment="1">
      <alignment horizontal="left" vertical="center" wrapText="1"/>
    </xf>
    <xf numFmtId="0" fontId="20" fillId="0" borderId="0" xfId="0" applyFont="1" applyAlignment="1">
      <alignment horizontal="left" vertical="center" wrapText="1"/>
    </xf>
    <xf numFmtId="174" fontId="4" fillId="0" borderId="0" xfId="0" applyNumberFormat="1" applyFont="1" applyAlignment="1">
      <alignment horizontal="left" vertical="center" wrapText="1"/>
    </xf>
    <xf numFmtId="0" fontId="5" fillId="0" borderId="0" xfId="5" applyFont="1" applyAlignment="1" applyProtection="1">
      <alignment horizontal="left"/>
    </xf>
    <xf numFmtId="174" fontId="1" fillId="9" borderId="0" xfId="0" applyNumberFormat="1" applyFont="1" applyFill="1" applyAlignment="1">
      <alignment horizontal="center" vertical="center"/>
    </xf>
    <xf numFmtId="174" fontId="1" fillId="10" borderId="0" xfId="0" applyNumberFormat="1" applyFont="1" applyFill="1" applyAlignment="1">
      <alignment horizontal="left" vertical="center" indent="1"/>
    </xf>
    <xf numFmtId="174" fontId="1" fillId="10" borderId="0" xfId="0" applyNumberFormat="1" applyFont="1" applyFill="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174" fontId="1" fillId="0" borderId="0" xfId="0" applyNumberFormat="1" applyFont="1" applyAlignment="1">
      <alignment horizontal="center" vertical="center" wrapText="1"/>
    </xf>
    <xf numFmtId="174" fontId="1" fillId="0" borderId="0" xfId="0" applyNumberFormat="1" applyFont="1" applyAlignment="1">
      <alignment horizontal="left" vertical="center"/>
    </xf>
    <xf numFmtId="174" fontId="1" fillId="0" borderId="0" xfId="0" applyNumberFormat="1" applyFont="1" applyAlignment="1">
      <alignment horizontal="left" vertical="center" wrapText="1"/>
    </xf>
    <xf numFmtId="174" fontId="1" fillId="0" borderId="0" xfId="0" applyNumberFormat="1" applyFont="1" applyAlignment="1">
      <alignment horizontal="center" vertical="center"/>
    </xf>
    <xf numFmtId="0" fontId="4" fillId="0" borderId="0" xfId="6" applyFont="1" applyAlignment="1">
      <alignment vertical="center"/>
    </xf>
    <xf numFmtId="0" fontId="4" fillId="0" borderId="0" xfId="6" applyAlignment="1">
      <alignment horizontal="left" wrapText="1"/>
    </xf>
    <xf numFmtId="0" fontId="25" fillId="0" borderId="0" xfId="0" applyFont="1" applyAlignment="1">
      <alignment horizontal="left" vertical="top" wrapText="1" readingOrder="1"/>
    </xf>
    <xf numFmtId="0" fontId="4" fillId="0" borderId="0" xfId="6" applyAlignment="1">
      <alignment horizontal="left" vertical="top" wrapText="1"/>
    </xf>
    <xf numFmtId="0" fontId="0" fillId="0" borderId="0" xfId="0" applyAlignment="1">
      <alignment horizontal="left" vertical="top" wrapText="1"/>
    </xf>
    <xf numFmtId="0" fontId="4" fillId="0" borderId="0" xfId="6" quotePrefix="1" applyFont="1" applyAlignment="1">
      <alignment horizontal="left" vertical="top" wrapText="1"/>
    </xf>
    <xf numFmtId="0" fontId="4" fillId="0" borderId="0" xfId="6" applyFont="1" applyAlignment="1">
      <alignment horizontal="left" vertical="top" wrapText="1"/>
    </xf>
    <xf numFmtId="0" fontId="10" fillId="2" borderId="0" xfId="6" applyFont="1" applyFill="1" applyAlignment="1">
      <alignment horizontal="center"/>
    </xf>
    <xf numFmtId="0" fontId="19" fillId="0" borderId="0" xfId="6" applyFont="1" applyAlignment="1">
      <alignment horizontal="center"/>
    </xf>
    <xf numFmtId="0" fontId="4" fillId="0" borderId="0" xfId="6" applyFont="1" applyFill="1" applyBorder="1" applyAlignment="1">
      <alignment horizontal="center"/>
    </xf>
    <xf numFmtId="0" fontId="10" fillId="2" borderId="16" xfId="6" applyFont="1" applyFill="1" applyBorder="1" applyAlignment="1">
      <alignment horizontal="center"/>
    </xf>
    <xf numFmtId="0" fontId="10" fillId="2" borderId="4" xfId="6" applyFont="1" applyFill="1" applyBorder="1" applyAlignment="1">
      <alignment horizontal="center"/>
    </xf>
    <xf numFmtId="0" fontId="10" fillId="2" borderId="15" xfId="6" applyFont="1" applyFill="1" applyBorder="1" applyAlignment="1">
      <alignment horizontal="center"/>
    </xf>
    <xf numFmtId="0" fontId="9" fillId="0" borderId="24" xfId="6" applyFont="1" applyBorder="1" applyAlignment="1">
      <alignment horizontal="right"/>
    </xf>
    <xf numFmtId="0" fontId="9" fillId="0" borderId="23" xfId="6" applyFont="1" applyBorder="1" applyAlignment="1">
      <alignment horizontal="right"/>
    </xf>
  </cellXfs>
  <cellStyles count="11">
    <cellStyle name="Comma" xfId="1" builtinId="3" customBuiltin="1"/>
    <cellStyle name="Comma 2" xfId="2" xr:uid="{00000000-0005-0000-0000-000001000000}"/>
    <cellStyle name="Currency 2" xfId="3" xr:uid="{00000000-0005-0000-0000-000002000000}"/>
    <cellStyle name="Currency 2 2" xfId="10" xr:uid="{35788151-3432-4649-8560-20DE64861CF2}"/>
    <cellStyle name="Currency 3" xfId="4" xr:uid="{00000000-0005-0000-0000-000003000000}"/>
    <cellStyle name="Hyperlink" xfId="5" builtinId="8"/>
    <cellStyle name="Normal" xfId="0" builtinId="0"/>
    <cellStyle name="Normal 2" xfId="6" xr:uid="{00000000-0005-0000-0000-000006000000}"/>
    <cellStyle name="Normal 3" xfId="9" xr:uid="{77D220B5-21B9-48D8-97F7-01C92D2318C2}"/>
    <cellStyle name="Percent" xfId="8" builtinId="5"/>
    <cellStyle name="Percent 2" xfId="7" xr:uid="{00000000-0005-0000-0000-000008000000}"/>
  </cellStyles>
  <dxfs count="37">
    <dxf>
      <fill>
        <patternFill>
          <fgColor indexed="64"/>
          <bgColor rgb="FFDDDDDD"/>
        </patternFill>
      </fill>
    </dxf>
    <dxf>
      <fill>
        <patternFill>
          <fgColor indexed="64"/>
          <bgColor rgb="FFDDDDDD"/>
        </patternFill>
      </fill>
    </dxf>
    <dxf>
      <fill>
        <patternFill>
          <fgColor indexed="64"/>
          <bgColor rgb="FFDDDDDD"/>
        </patternFill>
      </fill>
    </dxf>
    <dxf>
      <fill>
        <patternFill>
          <fgColor indexed="64"/>
          <bgColor rgb="FFDDDDDD"/>
        </patternFill>
      </fill>
    </dxf>
    <dxf>
      <fill>
        <patternFill>
          <fgColor indexed="64"/>
          <bgColor rgb="FFDDDDDD"/>
        </patternFill>
      </fill>
    </dxf>
    <dxf>
      <fill>
        <patternFill>
          <fgColor indexed="64"/>
          <bgColor rgb="FFDDDDDD"/>
        </patternFill>
      </fill>
    </dxf>
    <dxf>
      <fill>
        <patternFill>
          <fgColor indexed="64"/>
          <bgColor rgb="FFDDDDDD"/>
        </patternFill>
      </fill>
    </dxf>
    <dxf>
      <font>
        <b/>
        <i val="0"/>
        <color rgb="FFFF0000"/>
      </font>
    </dxf>
    <dxf>
      <font>
        <color rgb="FFFF0000"/>
      </font>
    </dxf>
    <dxf>
      <font>
        <color rgb="FF000000"/>
      </font>
    </dxf>
    <dxf>
      <fill>
        <patternFill>
          <fgColor indexed="64"/>
          <bgColor rgb="FFDDDDDD"/>
        </patternFill>
      </fill>
    </dxf>
    <dxf>
      <font>
        <b/>
        <i val="0"/>
        <color rgb="FFFF0000"/>
      </font>
    </dxf>
    <dxf>
      <font>
        <color rgb="FFFF0000"/>
      </font>
    </dxf>
    <dxf>
      <font>
        <color rgb="FF000000"/>
      </font>
    </dxf>
    <dxf>
      <fill>
        <patternFill>
          <fgColor indexed="64"/>
          <bgColor rgb="FFDDDDDD"/>
        </patternFill>
      </fill>
    </dxf>
    <dxf>
      <font>
        <b/>
        <i val="0"/>
        <color rgb="FFFF0000"/>
      </font>
    </dxf>
    <dxf>
      <font>
        <color rgb="FFFF0000"/>
      </font>
    </dxf>
    <dxf>
      <font>
        <color rgb="FF000000"/>
      </font>
    </dxf>
    <dxf>
      <fill>
        <patternFill>
          <fgColor indexed="64"/>
          <bgColor rgb="FFDDDDDD"/>
        </patternFill>
      </fill>
    </dxf>
    <dxf>
      <fill>
        <patternFill>
          <fgColor indexed="64"/>
          <bgColor rgb="FFDDDDDD"/>
        </patternFill>
      </fill>
    </dxf>
    <dxf>
      <font>
        <b/>
        <i val="0"/>
        <color rgb="FFFF0000"/>
      </font>
    </dxf>
    <dxf>
      <font>
        <color rgb="FFFF0000"/>
      </font>
    </dxf>
    <dxf>
      <font>
        <color rgb="FF000000"/>
      </font>
    </dxf>
    <dxf>
      <fill>
        <patternFill>
          <fgColor indexed="64"/>
          <bgColor rgb="FFDDDDDD"/>
        </patternFill>
      </fill>
    </dxf>
    <dxf>
      <font>
        <b/>
        <i val="0"/>
        <color rgb="FFFF0000"/>
      </font>
    </dxf>
    <dxf>
      <font>
        <color rgb="FFFF0000"/>
      </font>
    </dxf>
    <dxf>
      <font>
        <color rgb="FF00000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
      <font>
        <color rgb="FF0070C0"/>
      </font>
    </dxf>
  </dxfs>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US"/>
              <a:t>NPV vs. Hurdle Rate</a:t>
            </a:r>
          </a:p>
        </c:rich>
      </c:tx>
      <c:layout>
        <c:manualLayout>
          <c:xMode val="edge"/>
          <c:yMode val="edge"/>
          <c:x val="0.43888888888888949"/>
          <c:y val="0"/>
        </c:manualLayout>
      </c:layout>
      <c:overlay val="0"/>
      <c:spPr>
        <a:noFill/>
        <a:ln w="25400">
          <a:noFill/>
        </a:ln>
      </c:spPr>
    </c:title>
    <c:autoTitleDeleted val="0"/>
    <c:plotArea>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10"/>
              <c:pt idx="0">
                <c:v>0.2100000000000001</c:v>
              </c:pt>
              <c:pt idx="1">
                <c:v>0.22</c:v>
              </c:pt>
              <c:pt idx="2">
                <c:v>0.23</c:v>
              </c:pt>
              <c:pt idx="3">
                <c:v>0.2400000000000001</c:v>
              </c:pt>
              <c:pt idx="4">
                <c:v>0.25</c:v>
              </c:pt>
              <c:pt idx="5">
                <c:v>0.26</c:v>
              </c:pt>
              <c:pt idx="6">
                <c:v>0.27</c:v>
              </c:pt>
              <c:pt idx="7">
                <c:v>0.28000000000000008</c:v>
              </c:pt>
              <c:pt idx="8">
                <c:v>0.2900000000000002</c:v>
              </c:pt>
              <c:pt idx="9">
                <c:v>0.52326859912623536</c:v>
              </c:pt>
            </c:numLit>
          </c:xVal>
          <c:yVal>
            <c:numLit>
              <c:formatCode>General</c:formatCode>
              <c:ptCount val="10"/>
              <c:pt idx="0">
                <c:v>1281598.8501865801</c:v>
              </c:pt>
              <c:pt idx="1">
                <c:v>1213171.1110958701</c:v>
              </c:pt>
              <c:pt idx="2">
                <c:v>1147479.5012828996</c:v>
              </c:pt>
              <c:pt idx="3">
                <c:v>1084389.8511250601</c:v>
              </c:pt>
              <c:pt idx="4">
                <c:v>1023775.7076192994</c:v>
              </c:pt>
              <c:pt idx="5">
                <c:v>965517.82817728911</c:v>
              </c:pt>
              <c:pt idx="6">
                <c:v>909503.71157117689</c:v>
              </c:pt>
              <c:pt idx="7">
                <c:v>855627.16302334866</c:v>
              </c:pt>
              <c:pt idx="8">
                <c:v>803787.89069785702</c:v>
              </c:pt>
              <c:pt idx="9">
                <c:v>0</c:v>
              </c:pt>
            </c:numLit>
          </c:yVal>
          <c:smooth val="0"/>
          <c:extLst>
            <c:ext xmlns:c16="http://schemas.microsoft.com/office/drawing/2014/chart" uri="{C3380CC4-5D6E-409C-BE32-E72D297353CC}">
              <c16:uniqueId val="{00000000-88F3-47B1-9B9B-4A6A5BE7E5E8}"/>
            </c:ext>
          </c:extLst>
        </c:ser>
        <c:dLbls>
          <c:showLegendKey val="0"/>
          <c:showVal val="0"/>
          <c:showCatName val="0"/>
          <c:showSerName val="0"/>
          <c:showPercent val="0"/>
          <c:showBubbleSize val="0"/>
        </c:dLbls>
        <c:axId val="647990616"/>
        <c:axId val="647985912"/>
      </c:scatterChart>
      <c:valAx>
        <c:axId val="647990616"/>
        <c:scaling>
          <c:orientation val="minMax"/>
        </c:scaling>
        <c:delete val="0"/>
        <c:axPos val="b"/>
        <c:title>
          <c:tx>
            <c:rich>
              <a:bodyPr/>
              <a:lstStyle/>
              <a:p>
                <a:pPr>
                  <a:defRPr sz="175" b="1" i="0" u="none" strike="noStrike" baseline="0">
                    <a:solidFill>
                      <a:srgbClr val="000000"/>
                    </a:solidFill>
                    <a:latin typeface="Arial"/>
                    <a:ea typeface="Arial"/>
                    <a:cs typeface="Arial"/>
                  </a:defRPr>
                </a:pPr>
                <a:r>
                  <a:rPr lang="en-US"/>
                  <a:t>Hurdle Rate Percentage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647985912"/>
        <c:crosses val="autoZero"/>
        <c:crossBetween val="midCat"/>
      </c:valAx>
      <c:valAx>
        <c:axId val="647985912"/>
        <c:scaling>
          <c:orientation val="minMax"/>
        </c:scaling>
        <c:delete val="0"/>
        <c:axPos val="l"/>
        <c:majorGridlines>
          <c:spPr>
            <a:ln w="3175">
              <a:solidFill>
                <a:srgbClr val="000000"/>
              </a:solidFill>
              <a:prstDash val="solid"/>
            </a:ln>
          </c:spPr>
        </c:majorGridlines>
        <c:title>
          <c:tx>
            <c:rich>
              <a:bodyPr/>
              <a:lstStyle/>
              <a:p>
                <a:pPr>
                  <a:defRPr sz="175" b="1" i="0" u="none" strike="noStrike" baseline="0">
                    <a:solidFill>
                      <a:srgbClr val="000000"/>
                    </a:solidFill>
                    <a:latin typeface="Arial"/>
                    <a:ea typeface="Arial"/>
                    <a:cs typeface="Arial"/>
                  </a:defRPr>
                </a:pPr>
                <a:r>
                  <a:rPr lang="en-US"/>
                  <a:t>NPV</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64799061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NPV vs. Hurdle Rate</a:t>
            </a:r>
          </a:p>
        </c:rich>
      </c:tx>
      <c:layout>
        <c:manualLayout>
          <c:xMode val="edge"/>
          <c:yMode val="edge"/>
          <c:x val="0.34722222222222232"/>
          <c:y val="4.0160642570281097E-2"/>
        </c:manualLayout>
      </c:layout>
      <c:overlay val="0"/>
      <c:spPr>
        <a:noFill/>
        <a:ln w="25400">
          <a:noFill/>
        </a:ln>
      </c:spPr>
    </c:title>
    <c:autoTitleDeleted val="0"/>
    <c:plotArea>
      <c:layout>
        <c:manualLayout>
          <c:layoutTarget val="inner"/>
          <c:xMode val="edge"/>
          <c:yMode val="edge"/>
          <c:x val="0.25555624879624783"/>
          <c:y val="0.224900480439259"/>
          <c:w val="0.68055740168565959"/>
          <c:h val="0.52209040101970783"/>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10"/>
              <c:pt idx="0">
                <c:v>0.2100000000000001</c:v>
              </c:pt>
              <c:pt idx="1">
                <c:v>0.22</c:v>
              </c:pt>
              <c:pt idx="2">
                <c:v>0.23</c:v>
              </c:pt>
              <c:pt idx="3">
                <c:v>0.2400000000000001</c:v>
              </c:pt>
              <c:pt idx="4">
                <c:v>0.25</c:v>
              </c:pt>
              <c:pt idx="5">
                <c:v>0.26</c:v>
              </c:pt>
              <c:pt idx="6">
                <c:v>0.27</c:v>
              </c:pt>
              <c:pt idx="7">
                <c:v>0.28000000000000008</c:v>
              </c:pt>
              <c:pt idx="8">
                <c:v>0.2900000000000002</c:v>
              </c:pt>
              <c:pt idx="9">
                <c:v>0.52326859912623536</c:v>
              </c:pt>
            </c:numLit>
          </c:xVal>
          <c:yVal>
            <c:numLit>
              <c:formatCode>General</c:formatCode>
              <c:ptCount val="10"/>
              <c:pt idx="0">
                <c:v>1281598.8501865801</c:v>
              </c:pt>
              <c:pt idx="1">
                <c:v>1213171.1110958701</c:v>
              </c:pt>
              <c:pt idx="2">
                <c:v>1147479.5012828996</c:v>
              </c:pt>
              <c:pt idx="3">
                <c:v>1084389.8511250601</c:v>
              </c:pt>
              <c:pt idx="4">
                <c:v>1023775.7076192994</c:v>
              </c:pt>
              <c:pt idx="5">
                <c:v>965517.82817728911</c:v>
              </c:pt>
              <c:pt idx="6">
                <c:v>909503.71157117689</c:v>
              </c:pt>
              <c:pt idx="7">
                <c:v>855627.16302334866</c:v>
              </c:pt>
              <c:pt idx="8">
                <c:v>803787.89069785702</c:v>
              </c:pt>
              <c:pt idx="9">
                <c:v>0</c:v>
              </c:pt>
            </c:numLit>
          </c:yVal>
          <c:smooth val="0"/>
          <c:extLst>
            <c:ext xmlns:c16="http://schemas.microsoft.com/office/drawing/2014/chart" uri="{C3380CC4-5D6E-409C-BE32-E72D297353CC}">
              <c16:uniqueId val="{00000000-C448-4574-9FA5-866AFE0DFEC2}"/>
            </c:ext>
          </c:extLst>
        </c:ser>
        <c:dLbls>
          <c:showLegendKey val="0"/>
          <c:showVal val="0"/>
          <c:showCatName val="0"/>
          <c:showSerName val="0"/>
          <c:showPercent val="0"/>
          <c:showBubbleSize val="0"/>
        </c:dLbls>
        <c:axId val="647992184"/>
        <c:axId val="647983952"/>
      </c:scatterChart>
      <c:valAx>
        <c:axId val="6479921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Hurdle Rate Percentage</a:t>
                </a:r>
              </a:p>
            </c:rich>
          </c:tx>
          <c:layout>
            <c:manualLayout>
              <c:xMode val="edge"/>
              <c:yMode val="edge"/>
              <c:x val="0.41111227763196295"/>
              <c:y val="0.855425059819329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983952"/>
        <c:crosses val="autoZero"/>
        <c:crossBetween val="midCat"/>
      </c:valAx>
      <c:valAx>
        <c:axId val="647983952"/>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NPV</a:t>
                </a:r>
              </a:p>
            </c:rich>
          </c:tx>
          <c:layout>
            <c:manualLayout>
              <c:xMode val="edge"/>
              <c:yMode val="edge"/>
              <c:x val="4.4444444444444488E-2"/>
              <c:y val="0.441768754809263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9921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NPV vs. Hurdle Rate</a:t>
            </a:r>
          </a:p>
        </c:rich>
      </c:tx>
      <c:layout>
        <c:manualLayout>
          <c:xMode val="edge"/>
          <c:yMode val="edge"/>
          <c:x val="0.34293948126801177"/>
          <c:y val="4.0322580645161331E-2"/>
        </c:manualLayout>
      </c:layout>
      <c:overlay val="0"/>
      <c:spPr>
        <a:noFill/>
        <a:ln w="25400">
          <a:noFill/>
        </a:ln>
      </c:spPr>
    </c:title>
    <c:autoTitleDeleted val="0"/>
    <c:plotArea>
      <c:layout>
        <c:manualLayout>
          <c:layoutTarget val="inner"/>
          <c:xMode val="edge"/>
          <c:yMode val="edge"/>
          <c:x val="0.26512968299711831"/>
          <c:y val="0.22580645161290341"/>
          <c:w val="0.66858789625360349"/>
          <c:h val="0.52016129032258063"/>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10"/>
              <c:pt idx="0">
                <c:v>0.2100000000000001</c:v>
              </c:pt>
              <c:pt idx="1">
                <c:v>0.22</c:v>
              </c:pt>
              <c:pt idx="2">
                <c:v>0.23</c:v>
              </c:pt>
              <c:pt idx="3">
                <c:v>0.2400000000000001</c:v>
              </c:pt>
              <c:pt idx="4">
                <c:v>0.25</c:v>
              </c:pt>
              <c:pt idx="5">
                <c:v>0.26</c:v>
              </c:pt>
              <c:pt idx="6">
                <c:v>0.27</c:v>
              </c:pt>
              <c:pt idx="7">
                <c:v>0.28000000000000008</c:v>
              </c:pt>
              <c:pt idx="8">
                <c:v>0.2900000000000002</c:v>
              </c:pt>
              <c:pt idx="9">
                <c:v>0.90976751044682003</c:v>
              </c:pt>
            </c:numLit>
          </c:xVal>
          <c:yVal>
            <c:numLit>
              <c:formatCode>General</c:formatCode>
              <c:ptCount val="10"/>
              <c:pt idx="0">
                <c:v>884791.80518187908</c:v>
              </c:pt>
              <c:pt idx="1">
                <c:v>851690.54707692505</c:v>
              </c:pt>
              <c:pt idx="2">
                <c:v>819900.8674344006</c:v>
              </c:pt>
              <c:pt idx="3">
                <c:v>789358.73713714909</c:v>
              </c:pt>
              <c:pt idx="4">
                <c:v>760003.8</c:v>
              </c:pt>
              <c:pt idx="5">
                <c:v>731779.13224103802</c:v>
              </c:pt>
              <c:pt idx="6">
                <c:v>704631.0195842539</c:v>
              </c:pt>
              <c:pt idx="7">
                <c:v>678508.750567585</c:v>
              </c:pt>
              <c:pt idx="8">
                <c:v>653364.424756277</c:v>
              </c:pt>
              <c:pt idx="9">
                <c:v>0</c:v>
              </c:pt>
            </c:numLit>
          </c:yVal>
          <c:smooth val="0"/>
          <c:extLst>
            <c:ext xmlns:c16="http://schemas.microsoft.com/office/drawing/2014/chart" uri="{C3380CC4-5D6E-409C-BE32-E72D297353CC}">
              <c16:uniqueId val="{00000000-C3E6-45E4-AC49-B4847D729FEE}"/>
            </c:ext>
          </c:extLst>
        </c:ser>
        <c:dLbls>
          <c:showLegendKey val="0"/>
          <c:showVal val="0"/>
          <c:showCatName val="0"/>
          <c:showSerName val="0"/>
          <c:showPercent val="0"/>
          <c:showBubbleSize val="0"/>
        </c:dLbls>
        <c:axId val="647989440"/>
        <c:axId val="647990224"/>
      </c:scatterChart>
      <c:valAx>
        <c:axId val="6479894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Hurdle Rate Percentage</a:t>
                </a:r>
              </a:p>
            </c:rich>
          </c:tx>
          <c:layout>
            <c:manualLayout>
              <c:xMode val="edge"/>
              <c:yMode val="edge"/>
              <c:x val="0.40922190201729108"/>
              <c:y val="0.854838709677419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990224"/>
        <c:crosses val="autoZero"/>
        <c:crossBetween val="midCat"/>
      </c:valAx>
      <c:valAx>
        <c:axId val="647990224"/>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NPV</a:t>
                </a:r>
              </a:p>
            </c:rich>
          </c:tx>
          <c:layout>
            <c:manualLayout>
              <c:xMode val="edge"/>
              <c:yMode val="edge"/>
              <c:x val="4.6109510086455294E-2"/>
              <c:y val="0.439516129032258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98944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538370</xdr:colOff>
      <xdr:row>2</xdr:row>
      <xdr:rowOff>101203</xdr:rowOff>
    </xdr:from>
    <xdr:to>
      <xdr:col>12</xdr:col>
      <xdr:colOff>57978</xdr:colOff>
      <xdr:row>13</xdr:row>
      <xdr:rowOff>140804</xdr:rowOff>
    </xdr:to>
    <xdr:sp macro="" textlink="">
      <xdr:nvSpPr>
        <xdr:cNvPr id="2" name="TextBox 1">
          <a:extLst>
            <a:ext uri="{FF2B5EF4-FFF2-40B4-BE49-F238E27FC236}">
              <a16:creationId xmlns:a16="http://schemas.microsoft.com/office/drawing/2014/main" id="{00000000-0008-0000-1500-000002000000}"/>
            </a:ext>
          </a:extLst>
        </xdr:cNvPr>
        <xdr:cNvSpPr txBox="1">
          <a:spLocks noChangeArrowheads="1"/>
        </xdr:cNvSpPr>
      </xdr:nvSpPr>
      <xdr:spPr bwMode="auto">
        <a:xfrm>
          <a:off x="3342292" y="488156"/>
          <a:ext cx="4377358" cy="1807679"/>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Calibri"/>
            </a:rPr>
            <a:t>Internal Rate of Return =IRR(values,guess)</a:t>
          </a:r>
        </a:p>
        <a:p>
          <a:pPr algn="l" rtl="0">
            <a:defRPr sz="1000"/>
          </a:pPr>
          <a:r>
            <a:rPr lang="en-US" sz="1000" b="0" i="0" strike="noStrike">
              <a:solidFill>
                <a:srgbClr val="000000"/>
              </a:solidFill>
              <a:latin typeface="Calibri"/>
            </a:rPr>
            <a:t>IRR calculates the rate at which discounted cash flows in and out are equal, essentially where NPV=0.</a:t>
          </a:r>
        </a:p>
        <a:p>
          <a:pPr algn="l" rtl="0">
            <a:defRPr sz="1000"/>
          </a:pPr>
          <a:endParaRPr lang="en-US" sz="1000" b="0" i="0" strike="noStrike">
            <a:solidFill>
              <a:srgbClr val="000000"/>
            </a:solidFill>
            <a:latin typeface="Calibri"/>
          </a:endParaRPr>
        </a:p>
        <a:p>
          <a:pPr algn="l" rtl="0">
            <a:defRPr sz="1000"/>
          </a:pPr>
          <a:r>
            <a:rPr lang="en-US" sz="1000" b="0" i="0" strike="noStrike">
              <a:solidFill>
                <a:srgbClr val="000000"/>
              </a:solidFill>
              <a:latin typeface="Calibri"/>
            </a:rPr>
            <a:t>The RATE function works to find the rate when all of the  payment amounts are the same.  But IRR will find the internal rate of return when there are various different cash inflows and outflows.   (In order for the IRR function to work, at least one positive &amp; one negative cash flow must be included.)</a:t>
          </a:r>
        </a:p>
        <a:p>
          <a:pPr algn="l" rtl="0">
            <a:defRPr sz="1000"/>
          </a:pPr>
          <a:endParaRPr lang="en-US" sz="1000" b="0" i="0" strike="noStrike">
            <a:solidFill>
              <a:srgbClr val="000000"/>
            </a:solidFill>
            <a:latin typeface="Calibri"/>
          </a:endParaRPr>
        </a:p>
        <a:p>
          <a:pPr algn="l" rtl="0">
            <a:defRPr sz="1000"/>
          </a:pPr>
          <a:r>
            <a:rPr lang="en-US" sz="1000" b="0" i="0" strike="noStrike">
              <a:solidFill>
                <a:srgbClr val="000000"/>
              </a:solidFill>
              <a:latin typeface="Calibri"/>
            </a:rPr>
            <a:t>The guess argument is optional, necessary only if the IRR function initially returns an error.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20</xdr:row>
      <xdr:rowOff>47625</xdr:rowOff>
    </xdr:from>
    <xdr:to>
      <xdr:col>2</xdr:col>
      <xdr:colOff>587363</xdr:colOff>
      <xdr:row>31</xdr:row>
      <xdr:rowOff>30568</xdr:rowOff>
    </xdr:to>
    <xdr:pic>
      <xdr:nvPicPr>
        <xdr:cNvPr id="3" name="Picture 2">
          <a:extLst>
            <a:ext uri="{FF2B5EF4-FFF2-40B4-BE49-F238E27FC236}">
              <a16:creationId xmlns:a16="http://schemas.microsoft.com/office/drawing/2014/main" id="{5F108493-141F-45A8-84C5-12B9492B97A0}"/>
            </a:ext>
          </a:extLst>
        </xdr:cNvPr>
        <xdr:cNvPicPr>
          <a:picLocks noChangeAspect="1"/>
        </xdr:cNvPicPr>
      </xdr:nvPicPr>
      <xdr:blipFill>
        <a:blip xmlns:r="http://schemas.openxmlformats.org/officeDocument/2006/relationships" r:embed="rId1"/>
        <a:stretch>
          <a:fillRect/>
        </a:stretch>
      </xdr:blipFill>
      <xdr:spPr>
        <a:xfrm>
          <a:off x="104775" y="3028950"/>
          <a:ext cx="2549513" cy="17641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191233</xdr:colOff>
      <xdr:row>21</xdr:row>
      <xdr:rowOff>149471</xdr:rowOff>
    </xdr:from>
    <xdr:to>
      <xdr:col>10</xdr:col>
      <xdr:colOff>25644</xdr:colOff>
      <xdr:row>24</xdr:row>
      <xdr:rowOff>36635</xdr:rowOff>
    </xdr:to>
    <xdr:sp macro="" textlink="">
      <xdr:nvSpPr>
        <xdr:cNvPr id="2" name="TextBox 1">
          <a:extLst>
            <a:ext uri="{FF2B5EF4-FFF2-40B4-BE49-F238E27FC236}">
              <a16:creationId xmlns:a16="http://schemas.microsoft.com/office/drawing/2014/main" id="{00000000-0008-0000-1A00-000002000000}"/>
            </a:ext>
          </a:extLst>
        </xdr:cNvPr>
        <xdr:cNvSpPr txBox="1"/>
      </xdr:nvSpPr>
      <xdr:spPr>
        <a:xfrm>
          <a:off x="4785214" y="3571144"/>
          <a:ext cx="4252545" cy="370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Do</a:t>
          </a:r>
          <a:r>
            <a:rPr lang="en-US" sz="1100" baseline="0"/>
            <a:t> NOT use this Amortization Table example for your assignment.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29</xdr:row>
      <xdr:rowOff>0</xdr:rowOff>
    </xdr:from>
    <xdr:to>
      <xdr:col>6</xdr:col>
      <xdr:colOff>981075</xdr:colOff>
      <xdr:row>29</xdr:row>
      <xdr:rowOff>0</xdr:rowOff>
    </xdr:to>
    <xdr:graphicFrame macro="">
      <xdr:nvGraphicFramePr>
        <xdr:cNvPr id="14339" name="Chart 1">
          <a:extLst>
            <a:ext uri="{FF2B5EF4-FFF2-40B4-BE49-F238E27FC236}">
              <a16:creationId xmlns:a16="http://schemas.microsoft.com/office/drawing/2014/main" id="{00000000-0008-0000-1800-000003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29</xdr:row>
      <xdr:rowOff>95250</xdr:rowOff>
    </xdr:from>
    <xdr:to>
      <xdr:col>6</xdr:col>
      <xdr:colOff>981075</xdr:colOff>
      <xdr:row>44</xdr:row>
      <xdr:rowOff>19050</xdr:rowOff>
    </xdr:to>
    <xdr:graphicFrame macro="">
      <xdr:nvGraphicFramePr>
        <xdr:cNvPr id="14340" name="Chart 2">
          <a:extLst>
            <a:ext uri="{FF2B5EF4-FFF2-40B4-BE49-F238E27FC236}">
              <a16:creationId xmlns:a16="http://schemas.microsoft.com/office/drawing/2014/main" id="{00000000-0008-0000-1800-000004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247650</xdr:colOff>
      <xdr:row>29</xdr:row>
      <xdr:rowOff>123825</xdr:rowOff>
    </xdr:from>
    <xdr:to>
      <xdr:col>7</xdr:col>
      <xdr:colOff>0</xdr:colOff>
      <xdr:row>44</xdr:row>
      <xdr:rowOff>38100</xdr:rowOff>
    </xdr:to>
    <xdr:graphicFrame macro="">
      <xdr:nvGraphicFramePr>
        <xdr:cNvPr id="17410" name="Chart 1">
          <a:extLst>
            <a:ext uri="{FF2B5EF4-FFF2-40B4-BE49-F238E27FC236}">
              <a16:creationId xmlns:a16="http://schemas.microsoft.com/office/drawing/2014/main" id="{00000000-0008-0000-1900-000002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2.xml"/><Relationship Id="rId1" Type="http://schemas.openxmlformats.org/officeDocument/2006/relationships/printerSettings" Target="../printerSettings/printerSettings24.bin"/><Relationship Id="rId4" Type="http://schemas.openxmlformats.org/officeDocument/2006/relationships/comments" Target="../comments1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outlinePr summaryBelow="0" summaryRight="0"/>
  </sheetPr>
  <dimension ref="A1:G42"/>
  <sheetViews>
    <sheetView tabSelected="1" zoomScale="145" zoomScaleNormal="145" workbookViewId="0">
      <pane ySplit="8" topLeftCell="A9" activePane="bottomLeft" state="frozen"/>
      <selection pane="bottomLeft" activeCell="B4" sqref="B4"/>
    </sheetView>
  </sheetViews>
  <sheetFormatPr defaultRowHeight="12.75" outlineLevelCol="1" x14ac:dyDescent="0.2"/>
  <cols>
    <col min="1" max="1" width="21.85546875" style="5" bestFit="1" customWidth="1"/>
    <col min="2" max="2" width="57.28515625" style="3" bestFit="1" customWidth="1"/>
    <col min="3" max="3" width="16.28515625" style="316" customWidth="1" outlineLevel="1"/>
    <col min="4" max="4" width="54" style="304" customWidth="1" outlineLevel="1"/>
    <col min="5" max="5" width="2.7109375" style="5" customWidth="1" collapsed="1"/>
    <col min="6" max="6" width="50.7109375" style="5" hidden="1" customWidth="1" outlineLevel="1"/>
    <col min="7" max="7" width="7.85546875" style="5" hidden="1" customWidth="1" outlineLevel="1"/>
    <col min="8" max="16384" width="9.140625" style="5"/>
  </cols>
  <sheetData>
    <row r="1" spans="1:7" ht="18" x14ac:dyDescent="0.25">
      <c r="A1" s="80" t="str">
        <f ca="1">SUBSTITUTE(MID(CELL("filename",A1),FIND("[",CELL("filename",A1),1)+1,FIND("]",CELL("filename",A1),1)-FIND("[",CELL("filename",A1),1)-1),".xlsx","")</f>
        <v>7_Financial_Analysis_Notes</v>
      </c>
    </row>
    <row r="3" spans="1:7" x14ac:dyDescent="0.2">
      <c r="A3" s="5" t="s">
        <v>5</v>
      </c>
      <c r="B3" s="3" t="s">
        <v>4</v>
      </c>
    </row>
    <row r="4" spans="1:7" x14ac:dyDescent="0.2">
      <c r="A4" s="5" t="s">
        <v>3</v>
      </c>
      <c r="B4" s="81">
        <v>44767.544431018519</v>
      </c>
    </row>
    <row r="5" spans="1:7" x14ac:dyDescent="0.2">
      <c r="C5" s="343" t="s">
        <v>330</v>
      </c>
    </row>
    <row r="6" spans="1:7" x14ac:dyDescent="0.2">
      <c r="A6" s="82" t="s">
        <v>2</v>
      </c>
      <c r="B6" s="3" t="s">
        <v>1</v>
      </c>
      <c r="C6" s="344">
        <f>SUMIFS(C9:C60,D9:D60,"?*")</f>
        <v>6.1550925925925933E-2</v>
      </c>
    </row>
    <row r="8" spans="1:7" s="2" customFormat="1" x14ac:dyDescent="0.2">
      <c r="A8" s="319" t="s">
        <v>0</v>
      </c>
      <c r="B8" s="319" t="s">
        <v>291</v>
      </c>
      <c r="C8" s="320" t="s">
        <v>321</v>
      </c>
      <c r="D8" s="306" t="s">
        <v>319</v>
      </c>
      <c r="E8" s="319" t="str">
        <f>segment_designator</f>
        <v>_</v>
      </c>
      <c r="F8" s="319" t="s">
        <v>322</v>
      </c>
      <c r="G8" s="319" t="s">
        <v>307</v>
      </c>
    </row>
    <row r="9" spans="1:7" x14ac:dyDescent="0.2">
      <c r="A9" s="321" t="str">
        <f ca="1">HYPERLINK("#"&amp;CELL("address",Documentation!$A$1),MID(CELL("filename",Documentation!$A$1),FIND("]",CELL("filename",Documentation!$A$1))+1,255))</f>
        <v>Documentation</v>
      </c>
      <c r="B9" t="str">
        <f ca="1">IF(Documentation!$A$1="","", Documentation!$A$1)</f>
        <v>7_Financial_Analysis_Notes</v>
      </c>
      <c r="C9" s="317" t="str">
        <f>IF(Documentation!$B$2="","",Documentation!$B$2)</f>
        <v/>
      </c>
      <c r="D9" s="305" t="str">
        <f>IF(Documentation!$A$2="","",HYPERLINK(Video_website&amp;Documentation!$A$2, Documentation!$A$2))</f>
        <v/>
      </c>
      <c r="E9"/>
      <c r="F9" t="str">
        <f t="shared" ref="F9:F41" ca="1" si="0">IF(LEFT($A9,1)=segment_designator,B9,"")</f>
        <v/>
      </c>
      <c r="G9"/>
    </row>
    <row r="10" spans="1:7" x14ac:dyDescent="0.2">
      <c r="A10" s="321" t="str">
        <f ca="1">HYPERLINK("#"&amp;CELL("address",Interest!$A$1),MID(CELL("filename",Interest!$A$1),FIND("]",CELL("filename",Interest!$A$1))+1,255))</f>
        <v>Interest</v>
      </c>
      <c r="B10" t="str">
        <f>IF(Interest!$A$1="","", Interest!$A$1)</f>
        <v>Understanding How Interest is Calculated</v>
      </c>
      <c r="C10" s="317" t="str">
        <f>IF(Interest!$B$2="","",Interest!$B$2)</f>
        <v/>
      </c>
      <c r="D10" s="305" t="str">
        <f>IF(Interest!$A$2="","",HYPERLINK(Video_website&amp;Interest!$A$2, Interest!$A$2))</f>
        <v/>
      </c>
      <c r="E10"/>
      <c r="F10" t="str">
        <f t="shared" ca="1" si="0"/>
        <v/>
      </c>
      <c r="G10"/>
    </row>
    <row r="11" spans="1:7" x14ac:dyDescent="0.2">
      <c r="A11" s="318" t="str">
        <f ca="1">HYPERLINK("#"&amp;CELL("address",_PMT!$A$1),MID(CELL("filename",_PMT!$A$1),FIND("]",CELL("filename",_PMT!$A$1))+1,255))</f>
        <v>_PMT</v>
      </c>
      <c r="B11" s="319" t="str">
        <f>IF(_PMT!$A$1="","", _PMT!$A$1)</f>
        <v>Using the PMT Function to Determine a Loan Payment</v>
      </c>
      <c r="C11" s="320">
        <f>IF(_PMT!$B$2="","",_PMT!$B$2)</f>
        <v>8.0324074074074082E-3</v>
      </c>
      <c r="D11" s="322" t="str">
        <f>IF(_PMT!$A$2="","",HYPERLINK(Video_website&amp;_PMT!$A$2, _PMT!$A$2))</f>
        <v>UNC_DAYT_EXCEL_4.2.1_LECTURE_PMT.mp4</v>
      </c>
      <c r="E11" s="319"/>
      <c r="F11" s="319" t="str">
        <f t="shared" ca="1" si="0"/>
        <v>Using the PMT Function to Determine a Loan Payment</v>
      </c>
      <c r="G11" s="319"/>
    </row>
    <row r="12" spans="1:7" x14ac:dyDescent="0.2">
      <c r="A12" s="321" t="str">
        <f ca="1">HYPERLINK("#"&amp;CELL("address",Arguments!$A$1),MID(CELL("filename",Arguments!$A$1),FIND("]",CELL("filename",Arguments!$A$1))+1,255))</f>
        <v>Arguments</v>
      </c>
      <c r="B12" t="str">
        <f>IF(Arguments!$A$1="","", Arguments!$A$1)</f>
        <v>The Arguments of the PMT Function</v>
      </c>
      <c r="C12" s="317" t="str">
        <f>IF(Arguments!$B$2="","",Arguments!$B$2)</f>
        <v/>
      </c>
      <c r="D12" s="305" t="str">
        <f>IF(Arguments!$A$2="","",HYPERLINK(Video_website&amp;Arguments!$A$2, Arguments!$A$2))</f>
        <v/>
      </c>
      <c r="E12"/>
      <c r="F12" t="str">
        <f t="shared" ca="1" si="0"/>
        <v/>
      </c>
      <c r="G12"/>
    </row>
    <row r="13" spans="1:7" x14ac:dyDescent="0.2">
      <c r="A13" s="321" t="str">
        <f ca="1">HYPERLINK("#"&amp;CELL("address",Cell_references!$A$1),MID(CELL("filename",Cell_references!$A$1),FIND("]",CELL("filename",Cell_references!$A$1))+1,255))</f>
        <v>Cell_references</v>
      </c>
      <c r="B13" t="str">
        <f>IF(Cell_references!$A$1="","", Cell_references!$A$1)</f>
        <v>Using a Financial Function with Cell Referencing</v>
      </c>
      <c r="C13" s="317" t="str">
        <f>IF(Cell_references!$B$2="","",Cell_references!$B$2)</f>
        <v/>
      </c>
      <c r="D13" s="305" t="str">
        <f>IF(Cell_references!$A$2="","",HYPERLINK(Video_website&amp;Cell_references!$A$2, Cell_references!$A$2))</f>
        <v/>
      </c>
      <c r="E13"/>
      <c r="F13" t="str">
        <f t="shared" ca="1" si="0"/>
        <v/>
      </c>
      <c r="G13"/>
    </row>
    <row r="14" spans="1:7" x14ac:dyDescent="0.2">
      <c r="A14" s="321" t="str">
        <f ca="1">HYPERLINK("#"&amp;CELL("address",Validation!$A$1),MID(CELL("filename",Validation!$A$1),FIND("]",CELL("filename",Validation!$A$1))+1,255))</f>
        <v>Validation</v>
      </c>
      <c r="B14" t="str">
        <f>IF(Validation!$A$1="","", Validation!$A$1)</f>
        <v>Using a Financial Function with Cell Referencing</v>
      </c>
      <c r="C14" s="317" t="str">
        <f>IF(Validation!$B$2="","",Validation!$B$2)</f>
        <v/>
      </c>
      <c r="D14" s="305" t="str">
        <f>IF(Validation!$A$2="","",HYPERLINK(Video_website&amp;Validation!$A$2, Validation!$A$2))</f>
        <v/>
      </c>
      <c r="E14"/>
      <c r="F14" t="str">
        <f t="shared" ca="1" si="0"/>
        <v/>
      </c>
      <c r="G14"/>
    </row>
    <row r="15" spans="1:7" x14ac:dyDescent="0.2">
      <c r="A15" s="318" t="str">
        <f ca="1">HYPERLINK("#"&amp;CELL("address",_CashFlows!$A$1),MID(CELL("filename",_CashFlows!$A$1),FIND("]",CELL("filename",_CashFlows!$A$1))+1,255))</f>
        <v>_CashFlows</v>
      </c>
      <c r="B15" s="319" t="str">
        <f>IF(_CashFlows!$A$1="","", _CashFlows!$A$1)</f>
        <v>Understanding Cash Flow (Inputs and Outputs)</v>
      </c>
      <c r="C15" s="320">
        <f>IF(_CashFlows!$B$2="","",_CashFlows!$B$2)</f>
        <v>8.5763888888888886E-3</v>
      </c>
      <c r="D15" s="322" t="str">
        <f>IF(_CashFlows!$A$2="","",HYPERLINK(Video_website&amp;_CashFlows!$A$2, _CashFlows!$A$2))</f>
        <v>UNC_DAYT_EXCEL_4.2.2_LECTURE_CASH_FLOWS.mp4</v>
      </c>
      <c r="E15" s="319"/>
      <c r="F15" s="319" t="str">
        <f t="shared" ca="1" si="0"/>
        <v>Understanding Cash Flow (Inputs and Outputs)</v>
      </c>
      <c r="G15" s="319"/>
    </row>
    <row r="16" spans="1:7" x14ac:dyDescent="0.2">
      <c r="A16" s="321" t="str">
        <f ca="1">HYPERLINK("#"&amp;CELL("address",'Units of Time'!$A$1),MID(CELL("filename",'Units of Time'!$A$1),FIND("]",CELL("filename",'Units of Time'!$A$1))+1,255))</f>
        <v>Units of Time</v>
      </c>
      <c r="B16" t="str">
        <f>IF('Units of Time'!$A$1="","", 'Units of Time'!$A$1)</f>
        <v>Specifying Consistent Units of Time</v>
      </c>
      <c r="C16" s="317" t="str">
        <f>IF('Units of Time'!$B$2="","",'Units of Time'!$B$2)</f>
        <v/>
      </c>
      <c r="D16" s="305" t="str">
        <f>IF('Units of Time'!$A$2="","",HYPERLINK(Video_website&amp;'Units of Time'!$A$2, 'Units of Time'!$A$2))</f>
        <v/>
      </c>
      <c r="E16"/>
      <c r="F16" t="str">
        <f t="shared" ca="1" si="0"/>
        <v/>
      </c>
      <c r="G16"/>
    </row>
    <row r="17" spans="1:7" x14ac:dyDescent="0.2">
      <c r="A17" s="318" t="str">
        <f ca="1">HYPERLINK("#"&amp;CELL("address",_FV!$A$1),MID(CELL("filename",_FV!$A$1),FIND("]",CELL("filename",_FV!$A$1))+1,255))</f>
        <v>_FV</v>
      </c>
      <c r="B17" s="319" t="str">
        <f>IF(_FV!$A$1="","", _FV!$A$1)</f>
        <v>Future Value</v>
      </c>
      <c r="C17" s="320">
        <f>IF(_FV!$B$2="","",_FV!$B$2)</f>
        <v>1.5219907407407408E-2</v>
      </c>
      <c r="D17" s="322" t="str">
        <f>IF(_FV!$A$2="","",HYPERLINK(Video_website&amp;_FV!$A$2, _FV!$A$2))</f>
        <v/>
      </c>
      <c r="E17" s="319"/>
      <c r="F17" s="319" t="str">
        <f t="shared" ca="1" si="0"/>
        <v>Future Value</v>
      </c>
      <c r="G17" s="319"/>
    </row>
    <row r="18" spans="1:7" x14ac:dyDescent="0.2">
      <c r="A18" s="321" t="str">
        <f ca="1">HYPERLINK("#"&amp;CELL("address",FV_Options!$A$1),MID(CELL("filename",FV_Options!$A$1),FIND("]",CELL("filename",FV_Options!$A$1))+1,255))</f>
        <v>FV_Options</v>
      </c>
      <c r="B18" t="str">
        <f>IF(FV_Options!$A$1="","", FV_Options!$A$1)</f>
        <v>Determining the Future Value (FV) of a Financial Transaction</v>
      </c>
      <c r="C18" s="317">
        <f>IF(FV_Options!$B$2="","",FV_Options!$B$2)</f>
        <v>8.3796296296296292E-3</v>
      </c>
      <c r="D18" s="305" t="str">
        <f>IF(FV_Options!$A$2="","",HYPERLINK(Video_website&amp;FV_Options!$A$2, FV_Options!$A$2))</f>
        <v>UNC_DAYT_EXCEL_4.2.3_LECTURE_FV_PT_1.mp4</v>
      </c>
      <c r="E18"/>
      <c r="F18" t="str">
        <f t="shared" ca="1" si="0"/>
        <v/>
      </c>
      <c r="G18"/>
    </row>
    <row r="19" spans="1:7" x14ac:dyDescent="0.2">
      <c r="A19" s="321" t="str">
        <f ca="1">HYPERLINK("#"&amp;CELL("address",FV_Perspective!$A$1),MID(CELL("filename",FV_Perspective!$A$1),FIND("]",CELL("filename",FV_Perspective!$A$1))+1,255))</f>
        <v>FV_Perspective</v>
      </c>
      <c r="B19" t="str">
        <f>IF(FV_Perspective!$A$1="","", FV_Perspective!$A$1)</f>
        <v>Determining the Future Value (FV) of a Financial Transaction</v>
      </c>
      <c r="C19" s="317">
        <f>IF(FV_Perspective!$B$2="","",FV_Perspective!$B$2)</f>
        <v>6.8402777777777793E-3</v>
      </c>
      <c r="D19" s="305" t="str">
        <f>IF(FV_Perspective!$A$2="","",HYPERLINK(Video_website&amp;FV_Perspective!$A$2, FV_Perspective!$A$2))</f>
        <v>UNC_DAYT_EXCEL_4.2.4_LECTURE_FV_PT_2.mp4</v>
      </c>
      <c r="E19"/>
      <c r="F19" t="str">
        <f t="shared" ca="1" si="0"/>
        <v/>
      </c>
      <c r="G19"/>
    </row>
    <row r="20" spans="1:7" x14ac:dyDescent="0.2">
      <c r="A20" s="321" t="str">
        <f ca="1">HYPERLINK("#"&amp;CELL("address",Compounding!$A$1),MID(CELL("filename",Compounding!$A$1),FIND("]",CELL("filename",Compounding!$A$1))+1,255))</f>
        <v>Compounding</v>
      </c>
      <c r="B20" t="str">
        <f>IF(Compounding!$A$1="","", Compounding!$A$1)</f>
        <v>Effects of Compounding on the Future Value and Effective Interest Rate</v>
      </c>
      <c r="C20" s="317" t="str">
        <f>IF(Compounding!$B$2="","",Compounding!$B$2)</f>
        <v/>
      </c>
      <c r="D20" s="305" t="str">
        <f>IF(Compounding!$A$2="","",HYPERLINK(Video_website&amp;Compounding!$A$2, Compounding!$A$2))</f>
        <v/>
      </c>
      <c r="E20"/>
      <c r="F20" t="str">
        <f t="shared" ca="1" si="0"/>
        <v/>
      </c>
      <c r="G20"/>
    </row>
    <row r="21" spans="1:7" x14ac:dyDescent="0.2">
      <c r="A21" s="321" t="str">
        <f ca="1">HYPERLINK("#"&amp;CELL("address",'Compounding-Advanced'!$A$1),MID(CELL("filename",'Compounding-Advanced'!$A$1),FIND("]",CELL("filename",'Compounding-Advanced'!$A$1))+1,255))</f>
        <v>Compounding-Advanced</v>
      </c>
      <c r="B21" t="str">
        <f>IF('Compounding-Advanced'!$A$1="","", 'Compounding-Advanced'!$A$1)</f>
        <v>Additional Notes on the Interest Compounding Frequency</v>
      </c>
      <c r="C21" s="317" t="str">
        <f>IF('Compounding-Advanced'!$B$2="","",'Compounding-Advanced'!$B$2)</f>
        <v/>
      </c>
      <c r="D21" s="305" t="str">
        <f>IF('Compounding-Advanced'!$A$2="","",HYPERLINK(Video_website&amp;'Compounding-Advanced'!$A$2, 'Compounding-Advanced'!$A$2))</f>
        <v/>
      </c>
      <c r="E21"/>
      <c r="F21" t="str">
        <f t="shared" ca="1" si="0"/>
        <v/>
      </c>
      <c r="G21"/>
    </row>
    <row r="22" spans="1:7" x14ac:dyDescent="0.2">
      <c r="A22" s="318" t="str">
        <f ca="1">HYPERLINK("#"&amp;CELL("address",_PV!$A$1),MID(CELL("filename",_PV!$A$1),FIND("]",CELL("filename",_PV!$A$1))+1,255))</f>
        <v>_PV</v>
      </c>
      <c r="B22" s="319" t="str">
        <f>IF(_PV!$A$1="","", _PV!$A$1)</f>
        <v>Determining the Present Value (PV) of a Financial Transaction</v>
      </c>
      <c r="C22" s="320">
        <f>IF(_PV!$B$2="","",_PV!$B$2)</f>
        <v>8.9583333333333338E-3</v>
      </c>
      <c r="D22" s="322" t="str">
        <f>IF(_PV!$A$2="","",HYPERLINK(Video_website&amp;_PV!$A$2, _PV!$A$2))</f>
        <v>UNC_DAYT_EXCEL_4.2.5_LECTURE_PV_NPV.mp4</v>
      </c>
      <c r="E22" s="319"/>
      <c r="F22" s="319" t="str">
        <f t="shared" ca="1" si="0"/>
        <v>Determining the Present Value (PV) of a Financial Transaction</v>
      </c>
      <c r="G22" s="319"/>
    </row>
    <row r="23" spans="1:7" x14ac:dyDescent="0.2">
      <c r="A23" s="321" t="str">
        <f ca="1">HYPERLINK("#"&amp;CELL("address",PV_Perspective!$A$1),MID(CELL("filename",PV_Perspective!$A$1),FIND("]",CELL("filename",PV_Perspective!$A$1))+1,255))</f>
        <v>PV_Perspective</v>
      </c>
      <c r="B23" t="str">
        <f>IF(PV_Perspective!$A$1="","", PV_Perspective!$A$1)</f>
        <v>Determining the Present Value (PV) of a Financial Transaction</v>
      </c>
      <c r="C23" s="317" t="str">
        <f>IF(PV_Perspective!$B$2="","",PV_Perspective!$B$2)</f>
        <v/>
      </c>
      <c r="D23" s="305" t="str">
        <f>IF(PV_Perspective!$A$2="","",HYPERLINK(Video_website&amp;PV_Perspective!$A$2, PV_Perspective!$A$2))</f>
        <v/>
      </c>
      <c r="E23"/>
      <c r="F23" t="str">
        <f t="shared" ca="1" si="0"/>
        <v/>
      </c>
      <c r="G23"/>
    </row>
    <row r="24" spans="1:7" hidden="1" x14ac:dyDescent="0.2">
      <c r="A24" s="321" t="str">
        <f ca="1">HYPERLINK("#"&amp;CELL("address",RATE1!$A$1),MID(CELL("filename",RATE1!$A$1),FIND("]",CELL("filename",RATE1!$A$1))+1,255))</f>
        <v>RATE1</v>
      </c>
      <c r="B24" t="str">
        <f>IF(RATE1!$A$1="","", RATE1!$A$1)</f>
        <v>Determining the Interest Rate of a Financial Transaction</v>
      </c>
      <c r="C24" s="317" t="str">
        <f>IF(RATE1!$B$2="","",RATE1!$B$2)</f>
        <v/>
      </c>
      <c r="D24" s="305" t="str">
        <f>IF(RATE1!$A$2="","",HYPERLINK(Video_website&amp;RATE1!$A$2, RATE1!$A$2))</f>
        <v/>
      </c>
      <c r="E24"/>
      <c r="F24" t="str">
        <f t="shared" ca="1" si="0"/>
        <v/>
      </c>
      <c r="G24" t="s">
        <v>306</v>
      </c>
    </row>
    <row r="25" spans="1:7" x14ac:dyDescent="0.2">
      <c r="A25" s="321" t="str">
        <f ca="1">HYPERLINK("#"&amp;CELL("address",PV_Proof!$A$1),MID(CELL("filename",PV_Proof!$A$1),FIND("]",CELL("filename",PV_Proof!$A$1))+1,255))</f>
        <v>PV_Proof</v>
      </c>
      <c r="B25" t="str">
        <f>IF(PV_Proof!$A$1="","", PV_Proof!$A$1)</f>
        <v>Present Value &amp; Time Value of Money</v>
      </c>
      <c r="C25" s="317" t="str">
        <f>IF(PV_Proof!$B$2="","",PV_Proof!$B$2)</f>
        <v/>
      </c>
      <c r="D25" s="305" t="str">
        <f>IF(PV_Proof!$A$2="","",HYPERLINK(Video_website&amp;PV_Proof!$A$2, PV_Proof!$A$2))</f>
        <v/>
      </c>
      <c r="E25"/>
      <c r="F25" t="str">
        <f t="shared" ca="1" si="0"/>
        <v/>
      </c>
      <c r="G25"/>
    </row>
    <row r="26" spans="1:7" x14ac:dyDescent="0.2">
      <c r="A26" s="321" t="str">
        <f ca="1">HYPERLINK("#"&amp;CELL("address",NPV!$A$1),MID(CELL("filename",NPV!$A$1),FIND("]",CELL("filename",NPV!$A$1))+1,255))</f>
        <v>NPV</v>
      </c>
      <c r="B26" t="str">
        <f>IF(NPV!$A$1="","", NPV!$A$1)</f>
        <v>Calculating the Net Present Value (NPV)</v>
      </c>
      <c r="C26" s="317" t="str">
        <f>IF(NPV!$B$2="","",NPV!$B$2)</f>
        <v/>
      </c>
      <c r="D26" s="305" t="str">
        <f>IF(NPV!$A$2="","",HYPERLINK(Video_website&amp;NPV!$A$2, NPV!$A$2))</f>
        <v/>
      </c>
      <c r="E26"/>
      <c r="F26" t="str">
        <f t="shared" ca="1" si="0"/>
        <v/>
      </c>
      <c r="G26"/>
    </row>
    <row r="27" spans="1:7" x14ac:dyDescent="0.2">
      <c r="A27" s="318" t="str">
        <f ca="1">HYPERLINK("#"&amp;CELL("address",_RATE!$A$1),MID(CELL("filename",_RATE!$A$1),FIND("]",CELL("filename",_RATE!$A$1))+1,255))</f>
        <v>_RATE</v>
      </c>
      <c r="B27" s="319" t="str">
        <f>IF(_RATE!$A$1="","", _RATE!$A$1)</f>
        <v>Determining the Interest Rate of a Financial Transaction</v>
      </c>
      <c r="C27" s="320">
        <f>IF(_RATE!$B$2="","",_RATE!$B$2)</f>
        <v>9.4212962962962957E-3</v>
      </c>
      <c r="D27" s="322" t="str">
        <f>IF(_RATE!$A$2="","",HYPERLINK(Video_website&amp;_RATE!$A$2, _RATE!$A$2))</f>
        <v>UNC_DAYT_EXCEL_4.2.6_LECTURE_RATE_IRR_NPER.mp4</v>
      </c>
      <c r="E27" s="319"/>
      <c r="F27" s="319" t="str">
        <f t="shared" ca="1" si="0"/>
        <v>Determining the Interest Rate of a Financial Transaction</v>
      </c>
      <c r="G27" s="319"/>
    </row>
    <row r="28" spans="1:7" x14ac:dyDescent="0.2">
      <c r="A28" s="321" t="str">
        <f ca="1">HYPERLINK("#"&amp;CELL("address",IRR!$A$1),MID(CELL("filename",IRR!$A$1),FIND("]",CELL("filename",IRR!$A$1))+1,255))</f>
        <v>IRR</v>
      </c>
      <c r="B28" t="str">
        <f>IF(IRR!$A$1="","", IRR!$A$1)</f>
        <v>Calculating the Internal Rate of Return (IRR)</v>
      </c>
      <c r="C28" s="317" t="str">
        <f>IF(IRR!$B$2="","",IRR!$B$2)</f>
        <v/>
      </c>
      <c r="D28" s="305" t="str">
        <f>IF(IRR!$A$2="","",HYPERLINK(Video_website&amp;IRR!$A$2, IRR!$A$2))</f>
        <v/>
      </c>
      <c r="E28"/>
      <c r="F28" t="str">
        <f t="shared" ca="1" si="0"/>
        <v/>
      </c>
      <c r="G28"/>
    </row>
    <row r="29" spans="1:7" hidden="1" x14ac:dyDescent="0.2">
      <c r="A29" s="321" t="str">
        <f ca="1">HYPERLINK("#"&amp;CELL("address",NPER1!$A$1),MID(CELL("filename",NPER1!$A$1),FIND("]",CELL("filename",NPER1!$A$1))+1,255))</f>
        <v>NPER1</v>
      </c>
      <c r="B29" t="str">
        <f>IF(NPER1!$A$1="","", NPER1!$A$1)</f>
        <v>Determining the Number of Periods of a Financial Transaction</v>
      </c>
      <c r="C29" s="317" t="str">
        <f>IF(NPER1!$B$2="","",NPER1!$B$2)</f>
        <v/>
      </c>
      <c r="D29" s="305" t="str">
        <f>IF(NPER1!$A$2="","",HYPERLINK(Video_website&amp;NPER1!$A$2, NPER1!$A$2))</f>
        <v/>
      </c>
      <c r="E29"/>
      <c r="F29" t="str">
        <f t="shared" ca="1" si="0"/>
        <v/>
      </c>
      <c r="G29" t="s">
        <v>306</v>
      </c>
    </row>
    <row r="30" spans="1:7" x14ac:dyDescent="0.2">
      <c r="A30" s="321" t="str">
        <f ca="1">HYPERLINK("#"&amp;CELL("address",NPER!$A$1),MID(CELL("filename",NPER!$A$1),FIND("]",CELL("filename",NPER!$A$1))+1,255))</f>
        <v>NPER</v>
      </c>
      <c r="B30" t="str">
        <f>IF(NPER!$A$1="","", NPER!$A$1)</f>
        <v>Determining the Number of Periods of a Financial Transaction</v>
      </c>
      <c r="C30" s="317" t="str">
        <f>IF(NPER!$B$2="","",NPER!$B$2)</f>
        <v/>
      </c>
      <c r="D30" s="305" t="str">
        <f>IF(NPER!$A$2="","",HYPERLINK(Video_website&amp;NPER!$A$2, NPER!$A$2))</f>
        <v/>
      </c>
      <c r="E30"/>
      <c r="F30" t="str">
        <f t="shared" ca="1" si="0"/>
        <v/>
      </c>
      <c r="G30"/>
    </row>
    <row r="31" spans="1:7" x14ac:dyDescent="0.2">
      <c r="A31" s="321" t="str">
        <f ca="1">HYPERLINK("#"&amp;CELL("address",Options1!$A$1),MID(CELL("filename",Options1!$A$1),FIND("]",CELL("filename",Options1!$A$1))+1,255))</f>
        <v>Options1</v>
      </c>
      <c r="B31" t="str">
        <f>IF(Options1!$A$1="","", Options1!$A$1)</f>
        <v>Reviewing Alternative Financing Options</v>
      </c>
      <c r="C31" s="317" t="str">
        <f>IF(Options1!$B$2="","",Options1!$B$2)</f>
        <v/>
      </c>
      <c r="D31" s="305" t="str">
        <f>IF(Options1!$A$2="","",HYPERLINK(Video_website&amp;Options1!$A$2, Options1!$A$2))</f>
        <v/>
      </c>
      <c r="E31"/>
      <c r="F31" t="str">
        <f t="shared" ca="1" si="0"/>
        <v/>
      </c>
      <c r="G31"/>
    </row>
    <row r="32" spans="1:7" x14ac:dyDescent="0.2">
      <c r="A32" s="321" t="str">
        <f ca="1">HYPERLINK("#"&amp;CELL("address",Options2!$A$1),MID(CELL("filename",Options2!$A$1),FIND("]",CELL("filename",Options2!$A$1))+1,255))</f>
        <v>Options2</v>
      </c>
      <c r="B32" t="str">
        <f>IF(Options2!$A$1="","", Options2!$A$1)</f>
        <v>Using the RATE, NPER, PV, and FV Functions</v>
      </c>
      <c r="C32" s="317" t="str">
        <f>IF(Options2!$B$2="","",Options2!$B$2)</f>
        <v/>
      </c>
      <c r="D32" s="305" t="str">
        <f>IF(Options2!$A$2="","",HYPERLINK(Video_website&amp;Options2!$A$2, Options2!$A$2))</f>
        <v/>
      </c>
      <c r="E32"/>
      <c r="F32" t="str">
        <f t="shared" ca="1" si="0"/>
        <v/>
      </c>
      <c r="G32"/>
    </row>
    <row r="33" spans="1:7" ht="11.25" customHeight="1" x14ac:dyDescent="0.2">
      <c r="A33" s="318" t="str">
        <f ca="1">HYPERLINK("#"&amp;CELL("address",_Goal_Seek!$A$1),MID(CELL("filename",_Goal_Seek!$A$1),FIND("]",CELL("filename",_Goal_Seek!$A$1))+1,255))</f>
        <v>_Goal_Seek</v>
      </c>
      <c r="B33" s="319" t="str">
        <f>IF(_Goal_Seek!$A$1="","", _Goal_Seek!$A$1)</f>
        <v>Goal Seek</v>
      </c>
      <c r="C33" s="320">
        <f>IF(_Goal_Seek!$B$2="","",_Goal_Seek!$B$2)</f>
        <v>4.8611111111111112E-3</v>
      </c>
      <c r="D33" s="322" t="str">
        <f>IF(_Goal_Seek!$A$2="","",HYPERLINK(Video_website&amp;_Goal_Seek!$A$2, _Goal_Seek!$A$2))</f>
        <v>UNC_DAYT_EXCEL_3.6.5_LECTURE_GOAL_SEEK.mp4</v>
      </c>
      <c r="E33" s="319"/>
      <c r="F33" s="319" t="str">
        <f t="shared" ca="1" si="0"/>
        <v>Goal Seek</v>
      </c>
      <c r="G33" s="319"/>
    </row>
    <row r="34" spans="1:7" x14ac:dyDescent="0.2">
      <c r="A34" s="318" t="str">
        <f ca="1">HYPERLINK("#"&amp;CELL("address",_Amortization!$A$1),MID(CELL("filename",_Amortization!$A$1),FIND("]",CELL("filename",_Amortization!$A$1))+1,255))</f>
        <v>_Amortization</v>
      </c>
      <c r="B34" s="319" t="str">
        <f>IF(_Amortization!$A$1="","", _Amortization!$A$1)</f>
        <v>Amortization</v>
      </c>
      <c r="C34" s="320">
        <f>IF(_Amortization!$B$2="","",_Amortization!$B$2)</f>
        <v>6.4814814814814813E-3</v>
      </c>
      <c r="D34" s="322" t="str">
        <f>IF(_Amortization!$A$2="","",HYPERLINK(Video_website&amp;_Amortization!$A$2, _Amortization!$A$2))</f>
        <v>UNC_DAYT_EXCEL_4.2.7_LECTURE_AMORTIZATION_SCHEDULE.mp4</v>
      </c>
      <c r="E34" s="319"/>
      <c r="F34" s="319" t="str">
        <f t="shared" ca="1" si="0"/>
        <v>Amortization</v>
      </c>
      <c r="G34" s="319"/>
    </row>
    <row r="35" spans="1:7" x14ac:dyDescent="0.2">
      <c r="A35" s="321" t="str">
        <f ca="1">HYPERLINK("#"&amp;CELL("address",Amort_Functions!$A$1),MID(CELL("filename",Amort_Functions!$A$1),FIND("]",CELL("filename",Amort_Functions!$A$1))+1,255))</f>
        <v>Amort_Functions</v>
      </c>
      <c r="B35" t="str">
        <f>IF(Amort_Functions!$A$1="","", Amort_Functions!$A$1)</f>
        <v>Amoritization Table with IPMT &amp; PPMT</v>
      </c>
      <c r="C35" s="317" t="str">
        <f>IF(Amort_Functions!$B$2="","",Amort_Functions!$B$2)</f>
        <v/>
      </c>
      <c r="D35" s="305" t="str">
        <f>IF(Amort_Functions!$A$2="","",HYPERLINK(Video_website&amp;Amort_Functions!$A$2, Amort_Functions!$A$2))</f>
        <v/>
      </c>
      <c r="E35"/>
      <c r="F35" t="str">
        <f t="shared" ca="1" si="0"/>
        <v/>
      </c>
      <c r="G35"/>
    </row>
    <row r="36" spans="1:7" x14ac:dyDescent="0.2">
      <c r="A36" s="321" t="str">
        <f ca="1">HYPERLINK("#"&amp;CELL("address",Amort_Arithmetic!$A$1),MID(CELL("filename",Amort_Arithmetic!$A$1),FIND("]",CELL("filename",Amort_Arithmetic!$A$1))+1,255))</f>
        <v>Amort_Arithmetic</v>
      </c>
      <c r="B36" t="str">
        <f>IF(Amort_Arithmetic!$A$1="","", Amort_Arithmetic!$A$1)</f>
        <v>Amortization Schedule with Simple Arithmetic</v>
      </c>
      <c r="C36" s="317" t="str">
        <f>IF(Amort_Arithmetic!$B$2="","",Amort_Arithmetic!$B$2)</f>
        <v/>
      </c>
      <c r="D36" s="305" t="str">
        <f>IF(Amort_Arithmetic!$A$2="","",HYPERLINK(Video_website&amp;Amort_Arithmetic!$A$2, Amort_Arithmetic!$A$2))</f>
        <v/>
      </c>
      <c r="E36"/>
      <c r="F36" t="str">
        <f t="shared" ca="1" si="0"/>
        <v/>
      </c>
      <c r="G36"/>
    </row>
    <row r="37" spans="1:7" hidden="1" x14ac:dyDescent="0.2">
      <c r="A37" s="321" t="str">
        <f ca="1">HYPERLINK("#"&amp;CELL("address",CashFlow!$A$1),MID(CELL("filename",CashFlow!$A$1),FIND("]",CELL("filename",CashFlow!$A$1))+1,255))</f>
        <v>CashFlow</v>
      </c>
      <c r="B37" t="str">
        <f>IF(CashFlow!$A$1="","", CashFlow!$A$1)</f>
        <v>TZEdge Projected 5-Year Cash Flow Estimate</v>
      </c>
      <c r="C37" s="317" t="str">
        <f>IF(CashFlow!$B$2="","",CashFlow!$B$2)</f>
        <v/>
      </c>
      <c r="D37" s="305" t="str">
        <f>IF(CashFlow!$A$2="","",HYPERLINK(Video_website&amp;CashFlow!$A$2, CashFlow!$A$2))</f>
        <v/>
      </c>
      <c r="E37"/>
      <c r="F37" t="str">
        <f t="shared" ca="1" si="0"/>
        <v/>
      </c>
      <c r="G37" t="s">
        <v>306</v>
      </c>
    </row>
    <row r="38" spans="1:7" hidden="1" x14ac:dyDescent="0.2">
      <c r="A38" s="321" t="str">
        <f ca="1">HYPERLINK("#"&amp;CELL("address",Depreciation!$A$1),MID(CELL("filename",Depreciation!$A$1),FIND("]",CELL("filename",Depreciation!$A$1))+1,255))</f>
        <v>Depreciation</v>
      </c>
      <c r="B38" t="str">
        <f>IF(Depreciation!$A$1="","", Depreciation!$A$1)</f>
        <v>Depreciation Values</v>
      </c>
      <c r="C38" s="317" t="str">
        <f>IF(Depreciation!$B$2="","",Depreciation!$B$2)</f>
        <v/>
      </c>
      <c r="D38" s="305" t="str">
        <f>IF(Depreciation!$A$2="","",HYPERLINK(Video_website&amp;Depreciation!$A$2, Depreciation!$A$2))</f>
        <v/>
      </c>
      <c r="E38"/>
      <c r="F38" t="str">
        <f t="shared" ca="1" si="0"/>
        <v/>
      </c>
      <c r="G38" t="s">
        <v>306</v>
      </c>
    </row>
    <row r="39" spans="1:7" hidden="1" x14ac:dyDescent="0.2">
      <c r="A39" s="321" t="str">
        <f ca="1">HYPERLINK("#"&amp;CELL("address",High!$A$1),MID(CELL("filename",High!$A$1),FIND("]",CELL("filename",High!$A$1))+1,255))</f>
        <v>High</v>
      </c>
      <c r="B39" t="str">
        <f>IF(High!$A$1="","", High!$A$1)</f>
        <v>Project 5-Year Income after Taxes - Original Case</v>
      </c>
      <c r="C39" s="317" t="str">
        <f>IF(High!$B$2="","",High!$B$2)</f>
        <v/>
      </c>
      <c r="D39" s="305" t="str">
        <f>IF(High!$A$2="","",HYPERLINK(Video_website&amp;High!$A$2, High!$A$2))</f>
        <v/>
      </c>
      <c r="E39"/>
      <c r="F39" t="str">
        <f t="shared" ca="1" si="0"/>
        <v/>
      </c>
      <c r="G39" t="s">
        <v>306</v>
      </c>
    </row>
    <row r="40" spans="1:7" hidden="1" x14ac:dyDescent="0.2">
      <c r="A40" s="321" t="str">
        <f ca="1">HYPERLINK("#"&amp;CELL("address",Low!$A$1),MID(CELL("filename",Low!$A$1),FIND("]",CELL("filename",Low!$A$1))+1,255))</f>
        <v>Low</v>
      </c>
      <c r="B40" t="str">
        <f>IF(Low!$A$1="","", Low!$A$1)</f>
        <v>Project 5-Year Income after Taxes - Low Capital Case</v>
      </c>
      <c r="C40" s="317" t="str">
        <f>IF(Low!$B$2="","",Low!$B$2)</f>
        <v/>
      </c>
      <c r="D40" s="305" t="str">
        <f>IF(Low!$A$2="","",HYPERLINK(Video_website&amp;Low!$A$2, Low!$A$2))</f>
        <v/>
      </c>
      <c r="E40"/>
      <c r="F40" t="str">
        <f t="shared" ca="1" si="0"/>
        <v/>
      </c>
      <c r="G40" t="s">
        <v>306</v>
      </c>
    </row>
    <row r="41" spans="1:7" x14ac:dyDescent="0.2">
      <c r="A41" s="321" t="str">
        <f ca="1">HYPERLINK("#"&amp;CELL("address",_Key!$A$1),MID(CELL("filename",_Key!$A$1),FIND("]",CELL("filename",_Key!$A$1))+1,255))</f>
        <v>_Key</v>
      </c>
      <c r="B41" t="str">
        <f>IF(_Key!$A$1="","", _Key!$A$1)</f>
        <v/>
      </c>
      <c r="C41" s="317" t="str">
        <f>IF(_Key!$B$2="","",_Key!$B$2)</f>
        <v/>
      </c>
      <c r="D41" s="305" t="str">
        <f>IF(_Key!$A$2="","",HYPERLINK(Video_website&amp;_Key!$A$2, _Key!$A$2))</f>
        <v/>
      </c>
      <c r="E41"/>
      <c r="F41" t="str">
        <f t="shared" ca="1" si="0"/>
        <v/>
      </c>
      <c r="G41"/>
    </row>
    <row r="42" spans="1:7" x14ac:dyDescent="0.2">
      <c r="A42"/>
      <c r="B42"/>
      <c r="C42" s="317"/>
      <c r="D42" s="305"/>
      <c r="E42"/>
      <c r="F42"/>
      <c r="G42"/>
    </row>
  </sheetData>
  <autoFilter ref="A8:G42" xr:uid="{00000000-0001-0000-0000-000000000000}">
    <filterColumn colId="6">
      <filters blank="1"/>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outlinePr summaryBelow="0" summaryRight="0"/>
  </sheetPr>
  <dimension ref="A1:H29"/>
  <sheetViews>
    <sheetView zoomScale="145" zoomScaleNormal="145" workbookViewId="0">
      <selection activeCell="B5" sqref="B5"/>
    </sheetView>
  </sheetViews>
  <sheetFormatPr defaultColWidth="10.7109375" defaultRowHeight="12.75" outlineLevelCol="1" x14ac:dyDescent="0.2"/>
  <cols>
    <col min="1" max="1" width="7.5703125" style="5" customWidth="1"/>
    <col min="2" max="2" width="8.140625" style="5" customWidth="1"/>
    <col min="3" max="3" width="22.5703125" style="5" customWidth="1"/>
    <col min="4" max="4" width="10.7109375" style="5" collapsed="1"/>
    <col min="5" max="5" width="10.5703125" style="5" hidden="1" customWidth="1" outlineLevel="1"/>
    <col min="6" max="8" width="10.7109375" style="5" hidden="1" customWidth="1" outlineLevel="1"/>
    <col min="9" max="16384" width="10.7109375" style="5"/>
  </cols>
  <sheetData>
    <row r="1" spans="1:8" s="144" customFormat="1" ht="18" x14ac:dyDescent="0.25">
      <c r="A1" s="309" t="s">
        <v>119</v>
      </c>
    </row>
    <row r="2" spans="1:8" s="326" customFormat="1" hidden="1" x14ac:dyDescent="0.2">
      <c r="A2" s="326" t="s">
        <v>314</v>
      </c>
      <c r="B2" s="327">
        <v>8.3796296296296292E-3</v>
      </c>
    </row>
    <row r="3" spans="1:8" s="144" customFormat="1" x14ac:dyDescent="0.2">
      <c r="A3" s="287" t="str">
        <f>IF(A2="","",IF(Disable_Video_Hyperlinks,A2,HYPERLINK(Video_website&amp;A2,A2)))</f>
        <v>UNC_DAYT_EXCEL_4.2.3_LECTURE_FV_PT_1.mp4</v>
      </c>
    </row>
    <row r="4" spans="1:8" x14ac:dyDescent="0.2">
      <c r="A4" s="307">
        <f>IF(B2="","",B2)</f>
        <v>8.3796296296296292E-3</v>
      </c>
    </row>
    <row r="6" spans="1:8" x14ac:dyDescent="0.2">
      <c r="D6" s="30" t="s">
        <v>118</v>
      </c>
      <c r="E6" s="30" t="s">
        <v>127</v>
      </c>
      <c r="F6" s="30" t="s">
        <v>126</v>
      </c>
      <c r="G6" s="30" t="s">
        <v>125</v>
      </c>
      <c r="H6" s="30" t="s">
        <v>124</v>
      </c>
    </row>
    <row r="7" spans="1:8" s="145" customFormat="1" ht="38.25" x14ac:dyDescent="0.2">
      <c r="A7" s="45" t="s">
        <v>117</v>
      </c>
      <c r="B7" s="143"/>
      <c r="C7" s="144"/>
      <c r="D7" s="36" t="s">
        <v>116</v>
      </c>
      <c r="E7" s="36" t="s">
        <v>123</v>
      </c>
      <c r="F7" s="36" t="s">
        <v>122</v>
      </c>
      <c r="G7" s="36" t="s">
        <v>121</v>
      </c>
      <c r="H7" s="36" t="s">
        <v>120</v>
      </c>
    </row>
    <row r="8" spans="1:8" x14ac:dyDescent="0.2">
      <c r="B8" s="5" t="s">
        <v>39</v>
      </c>
      <c r="D8" s="209">
        <v>0.1</v>
      </c>
      <c r="E8" s="209">
        <v>0.1</v>
      </c>
      <c r="F8" s="209">
        <v>0.1</v>
      </c>
      <c r="G8" s="209">
        <v>0.1</v>
      </c>
      <c r="H8" s="209">
        <v>0.1</v>
      </c>
    </row>
    <row r="9" spans="1:8" x14ac:dyDescent="0.2">
      <c r="B9" s="5" t="s">
        <v>115</v>
      </c>
      <c r="D9" s="210">
        <v>100</v>
      </c>
      <c r="E9" s="210">
        <v>0</v>
      </c>
      <c r="F9" s="210">
        <v>50</v>
      </c>
      <c r="G9" s="210">
        <v>0</v>
      </c>
      <c r="H9" s="210">
        <v>25</v>
      </c>
    </row>
    <row r="10" spans="1:8" x14ac:dyDescent="0.2">
      <c r="B10" s="5" t="s">
        <v>114</v>
      </c>
      <c r="D10" s="211">
        <v>3</v>
      </c>
      <c r="E10" s="211">
        <v>3</v>
      </c>
      <c r="F10" s="211">
        <v>3</v>
      </c>
      <c r="G10" s="211">
        <v>3</v>
      </c>
      <c r="H10" s="211">
        <v>3</v>
      </c>
    </row>
    <row r="11" spans="1:8" x14ac:dyDescent="0.2">
      <c r="B11" s="5" t="s">
        <v>113</v>
      </c>
      <c r="D11" s="212">
        <v>12</v>
      </c>
      <c r="E11" s="212">
        <v>12</v>
      </c>
      <c r="F11" s="212">
        <v>12</v>
      </c>
      <c r="G11" s="212">
        <v>12</v>
      </c>
      <c r="H11" s="212">
        <v>12</v>
      </c>
    </row>
    <row r="12" spans="1:8" x14ac:dyDescent="0.2">
      <c r="D12" s="26"/>
      <c r="E12" s="26"/>
      <c r="F12" s="26"/>
      <c r="G12" s="26"/>
      <c r="H12" s="26"/>
    </row>
    <row r="13" spans="1:8" x14ac:dyDescent="0.2">
      <c r="B13" s="5" t="s">
        <v>112</v>
      </c>
      <c r="D13" s="213">
        <v>0</v>
      </c>
      <c r="E13" s="213">
        <v>3000</v>
      </c>
      <c r="F13" s="213">
        <v>1500</v>
      </c>
      <c r="G13" s="213">
        <v>0</v>
      </c>
      <c r="H13" s="213">
        <v>1500</v>
      </c>
    </row>
    <row r="14" spans="1:8" x14ac:dyDescent="0.2">
      <c r="B14" s="5" t="s">
        <v>111</v>
      </c>
      <c r="D14" s="213">
        <v>0</v>
      </c>
      <c r="E14" s="213">
        <v>0</v>
      </c>
      <c r="F14" s="213">
        <v>0</v>
      </c>
      <c r="G14" s="213">
        <v>4000</v>
      </c>
      <c r="H14" s="213">
        <v>1000</v>
      </c>
    </row>
    <row r="15" spans="1:8" x14ac:dyDescent="0.2">
      <c r="B15" s="5" t="s">
        <v>45</v>
      </c>
      <c r="D15" s="214">
        <v>0</v>
      </c>
      <c r="E15" s="214">
        <v>0</v>
      </c>
      <c r="F15" s="214">
        <v>0</v>
      </c>
      <c r="G15" s="214">
        <v>0</v>
      </c>
      <c r="H15" s="214">
        <v>0</v>
      </c>
    </row>
    <row r="16" spans="1:8" x14ac:dyDescent="0.2">
      <c r="D16" s="146"/>
    </row>
    <row r="17" spans="1:8" x14ac:dyDescent="0.2">
      <c r="B17" s="5" t="s">
        <v>251</v>
      </c>
      <c r="D17" s="77">
        <f t="shared" ref="D17:H17" si="0">-FV(D8/D11,D10*D11,D9,D13,D15)+D14</f>
        <v>4178.1821090259218</v>
      </c>
      <c r="E17" s="77">
        <f t="shared" si="0"/>
        <v>4044.5455272564805</v>
      </c>
      <c r="F17" s="77">
        <f t="shared" si="0"/>
        <v>4111.3638181412007</v>
      </c>
      <c r="G17" s="77">
        <f t="shared" si="0"/>
        <v>4000</v>
      </c>
      <c r="H17" s="77">
        <f t="shared" si="0"/>
        <v>4066.8182908847207</v>
      </c>
    </row>
    <row r="18" spans="1:8" x14ac:dyDescent="0.2">
      <c r="D18" s="146"/>
      <c r="F18" s="29"/>
      <c r="G18" s="29"/>
    </row>
    <row r="19" spans="1:8" x14ac:dyDescent="0.2">
      <c r="A19" s="76" t="s">
        <v>226</v>
      </c>
      <c r="D19" s="77"/>
    </row>
    <row r="20" spans="1:8" x14ac:dyDescent="0.2">
      <c r="A20" s="148" t="s">
        <v>298</v>
      </c>
      <c r="D20" s="77"/>
    </row>
    <row r="21" spans="1:8" x14ac:dyDescent="0.2">
      <c r="A21" s="148"/>
      <c r="D21" s="77"/>
    </row>
    <row r="22" spans="1:8" x14ac:dyDescent="0.2">
      <c r="B22" s="30" t="s">
        <v>67</v>
      </c>
      <c r="C22" s="5" t="s">
        <v>76</v>
      </c>
    </row>
    <row r="23" spans="1:8" x14ac:dyDescent="0.2">
      <c r="B23" s="30" t="s">
        <v>65</v>
      </c>
      <c r="C23" s="5" t="s">
        <v>75</v>
      </c>
    </row>
    <row r="24" spans="1:8" x14ac:dyDescent="0.2">
      <c r="B24" s="30" t="s">
        <v>109</v>
      </c>
      <c r="C24" s="76" t="s">
        <v>108</v>
      </c>
    </row>
    <row r="25" spans="1:8" x14ac:dyDescent="0.2">
      <c r="B25" s="29" t="s">
        <v>63</v>
      </c>
      <c r="C25" s="76" t="s">
        <v>383</v>
      </c>
    </row>
    <row r="26" spans="1:8" x14ac:dyDescent="0.2">
      <c r="B26" s="29" t="s">
        <v>59</v>
      </c>
      <c r="C26" s="5" t="s">
        <v>377</v>
      </c>
    </row>
    <row r="27" spans="1:8" x14ac:dyDescent="0.2">
      <c r="B27" s="29"/>
      <c r="C27" s="5" t="s">
        <v>376</v>
      </c>
    </row>
    <row r="28" spans="1:8" x14ac:dyDescent="0.2">
      <c r="B28" s="29"/>
    </row>
    <row r="29" spans="1:8" x14ac:dyDescent="0.2">
      <c r="B29" s="29" t="s">
        <v>61</v>
      </c>
      <c r="C29" s="76" t="s">
        <v>382</v>
      </c>
    </row>
  </sheetData>
  <conditionalFormatting sqref="B2">
    <cfRule type="expression" dxfId="34" priority="1">
      <formula>NOT(_xlfn.ISFORMULA(B2))</formula>
    </cfRule>
  </conditionalFormatting>
  <pageMargins left="0.75" right="0.75" top="1" bottom="1" header="0.5" footer="0.5"/>
  <pageSetup scale="77"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dimension ref="A1:Z32"/>
  <sheetViews>
    <sheetView zoomScale="145" zoomScaleNormal="145" workbookViewId="0">
      <selection activeCell="C23" sqref="C23:C30"/>
    </sheetView>
  </sheetViews>
  <sheetFormatPr defaultColWidth="10.7109375" defaultRowHeight="12.75" outlineLevelCol="1" x14ac:dyDescent="0.2"/>
  <cols>
    <col min="1" max="1" width="7" style="5" customWidth="1"/>
    <col min="2" max="2" width="8.140625" style="5" customWidth="1"/>
    <col min="3" max="3" width="21.140625" style="5" customWidth="1"/>
    <col min="4" max="5" width="10.7109375" style="5"/>
    <col min="6" max="6" width="10.85546875" style="5" customWidth="1"/>
    <col min="7" max="8" width="10.7109375" style="5"/>
    <col min="9" max="9" width="4.5703125" style="5" customWidth="1"/>
    <col min="10" max="10" width="4.28515625" style="5" customWidth="1" outlineLevel="1"/>
    <col min="11" max="11" width="8.140625" style="5" customWidth="1" outlineLevel="1"/>
    <col min="12" max="12" width="21.140625" style="5" customWidth="1" outlineLevel="1"/>
    <col min="13" max="14" width="10.7109375" style="5" outlineLevel="1"/>
    <col min="15" max="15" width="10.85546875" style="5" customWidth="1" outlineLevel="1"/>
    <col min="16" max="18" width="10.7109375" style="5" outlineLevel="1"/>
    <col min="19" max="19" width="4.28515625" style="5" customWidth="1" outlineLevel="1"/>
    <col min="20" max="20" width="8.140625" style="5" customWidth="1" outlineLevel="1"/>
    <col min="21" max="21" width="21.140625" style="5" customWidth="1" outlineLevel="1"/>
    <col min="22" max="23" width="10.7109375" style="5" outlineLevel="1"/>
    <col min="24" max="24" width="10.85546875" style="5" customWidth="1" outlineLevel="1"/>
    <col min="25" max="25" width="10.7109375" style="5" outlineLevel="1"/>
    <col min="26" max="26" width="10.42578125" style="5" bestFit="1" customWidth="1" outlineLevel="1"/>
    <col min="27" max="16384" width="10.7109375" style="5"/>
  </cols>
  <sheetData>
    <row r="1" spans="1:26" s="144" customFormat="1" ht="18" x14ac:dyDescent="0.25">
      <c r="A1" s="309" t="s">
        <v>119</v>
      </c>
      <c r="J1" s="309" t="s">
        <v>119</v>
      </c>
      <c r="S1" s="309" t="s">
        <v>119</v>
      </c>
    </row>
    <row r="2" spans="1:26" s="326" customFormat="1" hidden="1" x14ac:dyDescent="0.2">
      <c r="A2" s="326" t="s">
        <v>315</v>
      </c>
      <c r="B2" s="327">
        <v>6.8402777777777793E-3</v>
      </c>
    </row>
    <row r="3" spans="1:26" s="144" customFormat="1" x14ac:dyDescent="0.2">
      <c r="A3" s="287" t="str">
        <f>IF(A2="","",IF(Disable_Video_Hyperlinks,A2,HYPERLINK(Video_website&amp;A2,A2)))</f>
        <v>UNC_DAYT_EXCEL_4.2.4_LECTURE_FV_PT_2.mp4</v>
      </c>
    </row>
    <row r="4" spans="1:26" x14ac:dyDescent="0.2">
      <c r="A4" s="307">
        <f>IF(B2="","",B2)</f>
        <v>6.8402777777777793E-3</v>
      </c>
      <c r="B4" s="142"/>
      <c r="C4" s="142"/>
      <c r="D4" s="142"/>
      <c r="E4" s="142"/>
      <c r="F4" s="142"/>
      <c r="G4" s="142"/>
      <c r="H4" s="142"/>
      <c r="J4" s="142"/>
      <c r="K4" s="142"/>
      <c r="L4" s="142"/>
      <c r="M4" s="142"/>
      <c r="N4" s="142"/>
      <c r="O4" s="142"/>
      <c r="P4" s="142"/>
      <c r="Q4" s="142"/>
      <c r="S4" s="142"/>
      <c r="T4" s="142"/>
      <c r="U4" s="142"/>
      <c r="V4" s="142"/>
      <c r="W4" s="142"/>
      <c r="X4" s="142"/>
      <c r="Y4" s="142"/>
      <c r="Z4" s="142"/>
    </row>
    <row r="5" spans="1:26" s="1" customFormat="1" ht="18" x14ac:dyDescent="0.25">
      <c r="A5" s="31"/>
      <c r="B5" s="188" t="s">
        <v>260</v>
      </c>
      <c r="C5" s="46"/>
      <c r="D5" s="46"/>
      <c r="E5" s="46"/>
      <c r="F5" s="46"/>
      <c r="G5" s="46"/>
      <c r="H5" s="46"/>
      <c r="J5" s="188" t="s">
        <v>289</v>
      </c>
      <c r="K5" s="46"/>
      <c r="L5" s="46"/>
      <c r="M5" s="46"/>
      <c r="N5" s="46"/>
      <c r="O5" s="46"/>
      <c r="P5" s="46"/>
      <c r="Q5" s="46"/>
      <c r="S5" s="188" t="s">
        <v>290</v>
      </c>
      <c r="T5" s="46"/>
      <c r="U5" s="46"/>
      <c r="V5" s="46"/>
      <c r="W5" s="46"/>
      <c r="X5" s="46"/>
      <c r="Y5" s="46"/>
      <c r="Z5" s="46"/>
    </row>
    <row r="7" spans="1:26" x14ac:dyDescent="0.2">
      <c r="D7" s="30" t="s">
        <v>118</v>
      </c>
      <c r="E7" s="30" t="s">
        <v>127</v>
      </c>
      <c r="F7" s="30" t="s">
        <v>126</v>
      </c>
      <c r="G7" s="30" t="s">
        <v>125</v>
      </c>
      <c r="H7" s="30" t="s">
        <v>124</v>
      </c>
      <c r="M7" s="30" t="s">
        <v>118</v>
      </c>
      <c r="N7" s="30" t="s">
        <v>127</v>
      </c>
      <c r="O7" s="30" t="s">
        <v>126</v>
      </c>
      <c r="P7" s="30" t="s">
        <v>125</v>
      </c>
      <c r="Q7" s="30" t="s">
        <v>124</v>
      </c>
      <c r="V7" s="30" t="s">
        <v>118</v>
      </c>
      <c r="W7" s="30" t="s">
        <v>127</v>
      </c>
      <c r="X7" s="30" t="s">
        <v>126</v>
      </c>
      <c r="Y7" s="30" t="s">
        <v>125</v>
      </c>
      <c r="Z7" s="30" t="s">
        <v>124</v>
      </c>
    </row>
    <row r="8" spans="1:26" s="145" customFormat="1" ht="25.5" x14ac:dyDescent="0.2">
      <c r="A8" s="45" t="s">
        <v>117</v>
      </c>
      <c r="B8" s="143"/>
      <c r="C8" s="144"/>
      <c r="D8" s="36" t="s">
        <v>116</v>
      </c>
      <c r="E8" s="36" t="s">
        <v>123</v>
      </c>
      <c r="F8" s="36" t="s">
        <v>122</v>
      </c>
      <c r="G8" s="36" t="s">
        <v>121</v>
      </c>
      <c r="H8" s="36" t="s">
        <v>120</v>
      </c>
      <c r="J8" s="45" t="s">
        <v>117</v>
      </c>
      <c r="K8" s="143"/>
      <c r="L8" s="144"/>
      <c r="M8" s="36" t="s">
        <v>116</v>
      </c>
      <c r="N8" s="36" t="s">
        <v>123</v>
      </c>
      <c r="O8" s="36" t="s">
        <v>122</v>
      </c>
      <c r="P8" s="36" t="s">
        <v>121</v>
      </c>
      <c r="Q8" s="36" t="s">
        <v>120</v>
      </c>
      <c r="S8" s="45" t="s">
        <v>117</v>
      </c>
      <c r="T8" s="143"/>
      <c r="U8" s="144"/>
      <c r="V8" s="36" t="s">
        <v>116</v>
      </c>
      <c r="W8" s="36" t="s">
        <v>123</v>
      </c>
      <c r="X8" s="36" t="s">
        <v>122</v>
      </c>
      <c r="Y8" s="36" t="s">
        <v>121</v>
      </c>
      <c r="Z8" s="36" t="s">
        <v>120</v>
      </c>
    </row>
    <row r="9" spans="1:26" x14ac:dyDescent="0.2">
      <c r="B9" s="5" t="s">
        <v>39</v>
      </c>
      <c r="D9" s="209">
        <v>0.1</v>
      </c>
      <c r="E9" s="209">
        <v>0.1</v>
      </c>
      <c r="F9" s="209">
        <v>0.1</v>
      </c>
      <c r="G9" s="209">
        <v>0.1</v>
      </c>
      <c r="H9" s="209">
        <v>0.1</v>
      </c>
      <c r="K9" s="5" t="s">
        <v>39</v>
      </c>
      <c r="M9" s="209">
        <v>0.1</v>
      </c>
      <c r="N9" s="209">
        <v>0.1</v>
      </c>
      <c r="O9" s="209">
        <v>0.1</v>
      </c>
      <c r="P9" s="209">
        <v>0.1</v>
      </c>
      <c r="Q9" s="209">
        <v>0.1</v>
      </c>
      <c r="T9" s="5" t="s">
        <v>39</v>
      </c>
      <c r="V9" s="209">
        <v>0.1</v>
      </c>
      <c r="W9" s="209">
        <v>0.1</v>
      </c>
      <c r="X9" s="209">
        <v>0.1</v>
      </c>
      <c r="Y9" s="209">
        <v>0.1</v>
      </c>
      <c r="Z9" s="209">
        <v>0.1</v>
      </c>
    </row>
    <row r="10" spans="1:26" x14ac:dyDescent="0.2">
      <c r="B10" s="5" t="s">
        <v>115</v>
      </c>
      <c r="D10" s="210">
        <v>100</v>
      </c>
      <c r="E10" s="210">
        <v>0</v>
      </c>
      <c r="F10" s="210">
        <v>50</v>
      </c>
      <c r="G10" s="210">
        <v>0</v>
      </c>
      <c r="H10" s="210">
        <v>25</v>
      </c>
      <c r="K10" s="5" t="s">
        <v>115</v>
      </c>
      <c r="M10" s="210">
        <v>100</v>
      </c>
      <c r="N10" s="210">
        <v>0</v>
      </c>
      <c r="O10" s="210">
        <v>50</v>
      </c>
      <c r="P10" s="210">
        <v>0</v>
      </c>
      <c r="Q10" s="210">
        <v>25</v>
      </c>
      <c r="T10" s="5" t="s">
        <v>115</v>
      </c>
      <c r="V10" s="210">
        <v>-100</v>
      </c>
      <c r="W10" s="210">
        <v>0</v>
      </c>
      <c r="X10" s="210">
        <v>-50</v>
      </c>
      <c r="Y10" s="210">
        <v>0</v>
      </c>
      <c r="Z10" s="210">
        <v>-25</v>
      </c>
    </row>
    <row r="11" spans="1:26" x14ac:dyDescent="0.2">
      <c r="B11" s="5" t="s">
        <v>114</v>
      </c>
      <c r="D11" s="211">
        <v>3</v>
      </c>
      <c r="E11" s="211">
        <v>3</v>
      </c>
      <c r="F11" s="211">
        <v>3</v>
      </c>
      <c r="G11" s="211">
        <v>3</v>
      </c>
      <c r="H11" s="211">
        <v>3</v>
      </c>
      <c r="K11" s="5" t="s">
        <v>114</v>
      </c>
      <c r="M11" s="211">
        <v>3</v>
      </c>
      <c r="N11" s="211">
        <v>3</v>
      </c>
      <c r="O11" s="211">
        <v>3</v>
      </c>
      <c r="P11" s="211">
        <v>3</v>
      </c>
      <c r="Q11" s="211">
        <v>3</v>
      </c>
      <c r="T11" s="5" t="s">
        <v>114</v>
      </c>
      <c r="V11" s="211">
        <v>3</v>
      </c>
      <c r="W11" s="211">
        <v>3</v>
      </c>
      <c r="X11" s="211">
        <v>3</v>
      </c>
      <c r="Y11" s="211">
        <v>3</v>
      </c>
      <c r="Z11" s="211">
        <v>3</v>
      </c>
    </row>
    <row r="12" spans="1:26" x14ac:dyDescent="0.2">
      <c r="B12" s="5" t="s">
        <v>113</v>
      </c>
      <c r="D12" s="212">
        <v>12</v>
      </c>
      <c r="E12" s="212">
        <v>12</v>
      </c>
      <c r="F12" s="212">
        <v>12</v>
      </c>
      <c r="G12" s="212">
        <v>12</v>
      </c>
      <c r="H12" s="212">
        <v>12</v>
      </c>
      <c r="K12" s="5" t="s">
        <v>113</v>
      </c>
      <c r="M12" s="212">
        <v>12</v>
      </c>
      <c r="N12" s="212">
        <v>12</v>
      </c>
      <c r="O12" s="212">
        <v>12</v>
      </c>
      <c r="P12" s="212">
        <v>12</v>
      </c>
      <c r="Q12" s="212">
        <v>12</v>
      </c>
      <c r="T12" s="5" t="s">
        <v>113</v>
      </c>
      <c r="V12" s="212">
        <v>12</v>
      </c>
      <c r="W12" s="212">
        <v>12</v>
      </c>
      <c r="X12" s="212">
        <v>12</v>
      </c>
      <c r="Y12" s="212">
        <v>12</v>
      </c>
      <c r="Z12" s="212">
        <v>12</v>
      </c>
    </row>
    <row r="13" spans="1:26" x14ac:dyDescent="0.2">
      <c r="D13" s="26"/>
      <c r="E13" s="26"/>
      <c r="F13" s="26"/>
      <c r="G13" s="26"/>
      <c r="H13" s="26"/>
      <c r="M13" s="26"/>
      <c r="N13" s="26"/>
      <c r="O13" s="26"/>
      <c r="P13" s="26"/>
      <c r="Q13" s="26"/>
      <c r="V13" s="212"/>
      <c r="W13" s="212"/>
      <c r="X13" s="212"/>
      <c r="Y13" s="212"/>
      <c r="Z13" s="212"/>
    </row>
    <row r="14" spans="1:26" x14ac:dyDescent="0.2">
      <c r="B14" s="5" t="s">
        <v>112</v>
      </c>
      <c r="D14" s="213">
        <v>0</v>
      </c>
      <c r="E14" s="213">
        <v>3000</v>
      </c>
      <c r="F14" s="213">
        <v>1500</v>
      </c>
      <c r="G14" s="213">
        <v>0</v>
      </c>
      <c r="H14" s="213">
        <v>1500</v>
      </c>
      <c r="K14" s="5" t="s">
        <v>112</v>
      </c>
      <c r="M14" s="213">
        <v>0</v>
      </c>
      <c r="N14" s="213">
        <v>3000</v>
      </c>
      <c r="O14" s="213">
        <v>1500</v>
      </c>
      <c r="P14" s="213">
        <v>0</v>
      </c>
      <c r="Q14" s="213">
        <v>1500</v>
      </c>
      <c r="T14" s="5" t="s">
        <v>112</v>
      </c>
      <c r="V14" s="213">
        <v>0</v>
      </c>
      <c r="W14" s="213">
        <v>-3000</v>
      </c>
      <c r="X14" s="213">
        <v>-1500</v>
      </c>
      <c r="Y14" s="213">
        <v>0</v>
      </c>
      <c r="Z14" s="213">
        <v>-1500</v>
      </c>
    </row>
    <row r="15" spans="1:26" x14ac:dyDescent="0.2">
      <c r="B15" s="5" t="s">
        <v>111</v>
      </c>
      <c r="D15" s="213">
        <v>0</v>
      </c>
      <c r="E15" s="213">
        <v>0</v>
      </c>
      <c r="F15" s="213">
        <v>0</v>
      </c>
      <c r="G15" s="213">
        <v>4000</v>
      </c>
      <c r="H15" s="213">
        <v>1000</v>
      </c>
      <c r="K15" s="5" t="s">
        <v>111</v>
      </c>
      <c r="M15" s="213">
        <v>0</v>
      </c>
      <c r="N15" s="213">
        <v>0</v>
      </c>
      <c r="O15" s="213">
        <v>0</v>
      </c>
      <c r="P15" s="213">
        <v>4000</v>
      </c>
      <c r="Q15" s="213">
        <v>1000</v>
      </c>
      <c r="T15" s="5" t="s">
        <v>111</v>
      </c>
      <c r="V15" s="213">
        <v>0</v>
      </c>
      <c r="W15" s="213">
        <v>0</v>
      </c>
      <c r="X15" s="213">
        <v>0</v>
      </c>
      <c r="Y15" s="213">
        <v>-4000</v>
      </c>
      <c r="Z15" s="213">
        <v>-1000</v>
      </c>
    </row>
    <row r="16" spans="1:26" x14ac:dyDescent="0.2">
      <c r="B16" s="5" t="s">
        <v>45</v>
      </c>
      <c r="D16" s="214">
        <v>1</v>
      </c>
      <c r="E16" s="214">
        <v>1</v>
      </c>
      <c r="F16" s="214">
        <v>1</v>
      </c>
      <c r="G16" s="214">
        <v>1</v>
      </c>
      <c r="H16" s="214">
        <v>1</v>
      </c>
      <c r="K16" s="5" t="s">
        <v>45</v>
      </c>
      <c r="M16" s="214">
        <v>1</v>
      </c>
      <c r="N16" s="214">
        <v>1</v>
      </c>
      <c r="O16" s="214">
        <v>1</v>
      </c>
      <c r="P16" s="214">
        <v>1</v>
      </c>
      <c r="Q16" s="214">
        <v>1</v>
      </c>
      <c r="T16" s="5" t="s">
        <v>45</v>
      </c>
      <c r="V16" s="214">
        <v>1</v>
      </c>
      <c r="W16" s="214">
        <v>1</v>
      </c>
      <c r="X16" s="214">
        <v>1</v>
      </c>
      <c r="Y16" s="214">
        <v>1</v>
      </c>
      <c r="Z16" s="214">
        <v>1</v>
      </c>
    </row>
    <row r="17" spans="1:26" ht="13.5" thickBot="1" x14ac:dyDescent="0.25">
      <c r="D17" s="146"/>
      <c r="M17" s="146"/>
      <c r="V17" s="146"/>
    </row>
    <row r="18" spans="1:26" x14ac:dyDescent="0.2">
      <c r="B18" s="5" t="s">
        <v>251</v>
      </c>
      <c r="D18" s="147">
        <f>-FV(D9/D12,D11*D12,D10,D14,D16)+D15</f>
        <v>4213.0002932678035</v>
      </c>
      <c r="E18" s="147">
        <f t="shared" ref="E18:H18" si="0">-FV(E9/E12,E11*E12,E10,E14,E16)+E15</f>
        <v>4044.5455272564805</v>
      </c>
      <c r="F18" s="147">
        <f t="shared" si="0"/>
        <v>4128.7729102621415</v>
      </c>
      <c r="G18" s="147">
        <f t="shared" si="0"/>
        <v>4000</v>
      </c>
      <c r="H18" s="147">
        <f t="shared" si="0"/>
        <v>4075.5228369451911</v>
      </c>
      <c r="K18" s="5" t="s">
        <v>251</v>
      </c>
      <c r="M18" s="147">
        <f t="shared" ref="M18:O18" si="1">FV(M9/M12,M11*M12,M10,M14,M16)-M15</f>
        <v>-4213.0002932678035</v>
      </c>
      <c r="N18" s="147">
        <f t="shared" si="1"/>
        <v>-4044.5455272564805</v>
      </c>
      <c r="O18" s="147">
        <f t="shared" si="1"/>
        <v>-4128.7729102621415</v>
      </c>
      <c r="P18" s="147">
        <f>FV(P9/P12,P11*P12,P10,P14,P16)-P15</f>
        <v>-4000</v>
      </c>
      <c r="Q18" s="147">
        <f>FV(Q9/Q12,Q11*Q12,Q10,Q14,Q16)-Q15</f>
        <v>-4075.5228369451911</v>
      </c>
      <c r="T18" s="5" t="s">
        <v>251</v>
      </c>
      <c r="V18" s="147">
        <f t="shared" ref="V18:X18" si="2">FV(V9/V12,V11*V12,V10,V14,V16)-V15</f>
        <v>4213.0002932678035</v>
      </c>
      <c r="W18" s="147">
        <f t="shared" si="2"/>
        <v>4044.5455272564805</v>
      </c>
      <c r="X18" s="147">
        <f t="shared" si="2"/>
        <v>4128.7729102621415</v>
      </c>
      <c r="Y18" s="147">
        <f>FV(Y9/Y12,Y11*Y12,Y10,Y14,Y16)-Y15</f>
        <v>4000</v>
      </c>
      <c r="Z18" s="147">
        <f>FV(Z9/Z12,Z11*Z12,Z10,Z14,Z16)-Z15</f>
        <v>4075.5228369451911</v>
      </c>
    </row>
    <row r="19" spans="1:26" x14ac:dyDescent="0.2">
      <c r="D19" s="146"/>
      <c r="F19" s="29"/>
      <c r="G19" s="29"/>
      <c r="M19" s="146"/>
      <c r="O19" s="29"/>
      <c r="P19" s="29"/>
      <c r="V19" s="146"/>
      <c r="X19" s="29"/>
      <c r="Y19" s="29"/>
    </row>
    <row r="20" spans="1:26" x14ac:dyDescent="0.2">
      <c r="A20" s="76" t="s">
        <v>320</v>
      </c>
      <c r="E20" s="77"/>
      <c r="J20" s="76" t="s">
        <v>257</v>
      </c>
      <c r="N20" s="77"/>
      <c r="S20" s="76" t="s">
        <v>257</v>
      </c>
      <c r="W20" s="77"/>
    </row>
    <row r="21" spans="1:26" ht="54.75" customHeight="1" x14ac:dyDescent="0.2">
      <c r="A21" s="372" t="s">
        <v>288</v>
      </c>
      <c r="B21" s="370"/>
      <c r="C21" s="370"/>
      <c r="D21" s="370"/>
      <c r="E21" s="370"/>
      <c r="F21" s="370"/>
      <c r="G21" s="370"/>
      <c r="H21" s="370"/>
      <c r="J21" s="371" t="s">
        <v>285</v>
      </c>
      <c r="K21" s="371"/>
      <c r="L21" s="371"/>
      <c r="M21" s="371"/>
      <c r="N21" s="371"/>
      <c r="O21" s="371"/>
      <c r="P21" s="371"/>
      <c r="Q21" s="371"/>
      <c r="S21" s="371" t="s">
        <v>284</v>
      </c>
      <c r="T21" s="371"/>
      <c r="U21" s="371"/>
      <c r="V21" s="371"/>
      <c r="W21" s="371"/>
      <c r="X21" s="371"/>
      <c r="Y21" s="371"/>
      <c r="Z21" s="371"/>
    </row>
    <row r="22" spans="1:26" x14ac:dyDescent="0.2">
      <c r="A22" s="76"/>
      <c r="E22" s="77"/>
      <c r="J22" s="286"/>
      <c r="K22" s="286"/>
      <c r="L22" s="286"/>
      <c r="M22" s="286"/>
      <c r="N22" s="286"/>
      <c r="O22" s="286"/>
      <c r="P22" s="286"/>
      <c r="Q22" s="286"/>
      <c r="S22" s="286"/>
      <c r="T22" s="286"/>
      <c r="U22" s="286"/>
      <c r="V22" s="286"/>
      <c r="W22" s="286"/>
      <c r="X22" s="286"/>
      <c r="Y22" s="286"/>
      <c r="Z22" s="286"/>
    </row>
    <row r="23" spans="1:26" ht="25.5" customHeight="1" x14ac:dyDescent="0.2">
      <c r="B23" s="30" t="s">
        <v>67</v>
      </c>
      <c r="C23" s="5" t="s">
        <v>76</v>
      </c>
      <c r="D23" s="77"/>
      <c r="J23" s="372" t="s">
        <v>286</v>
      </c>
      <c r="K23" s="370"/>
      <c r="L23" s="370"/>
      <c r="M23" s="370"/>
      <c r="N23" s="370"/>
      <c r="O23" s="370"/>
      <c r="P23" s="370"/>
      <c r="Q23" s="370"/>
      <c r="S23" s="372" t="s">
        <v>287</v>
      </c>
      <c r="T23" s="370"/>
      <c r="U23" s="370"/>
      <c r="V23" s="370"/>
      <c r="W23" s="370"/>
      <c r="X23" s="370"/>
      <c r="Y23" s="370"/>
      <c r="Z23" s="370"/>
    </row>
    <row r="24" spans="1:26" x14ac:dyDescent="0.2">
      <c r="A24" s="148"/>
      <c r="B24" s="30" t="s">
        <v>65</v>
      </c>
      <c r="C24" s="5" t="s">
        <v>75</v>
      </c>
      <c r="D24" s="77"/>
      <c r="J24" s="148"/>
      <c r="M24" s="77"/>
      <c r="S24" s="148"/>
      <c r="V24" s="77"/>
    </row>
    <row r="25" spans="1:26" x14ac:dyDescent="0.2">
      <c r="B25" s="30" t="s">
        <v>109</v>
      </c>
      <c r="C25" s="76" t="s">
        <v>108</v>
      </c>
      <c r="K25" s="30"/>
      <c r="T25" s="30"/>
    </row>
    <row r="26" spans="1:26" x14ac:dyDescent="0.2">
      <c r="B26" s="29" t="s">
        <v>63</v>
      </c>
      <c r="C26" s="76" t="s">
        <v>383</v>
      </c>
      <c r="K26" s="30"/>
      <c r="T26" s="30"/>
    </row>
    <row r="27" spans="1:26" x14ac:dyDescent="0.2">
      <c r="B27" s="29" t="s">
        <v>59</v>
      </c>
      <c r="C27" s="5" t="s">
        <v>377</v>
      </c>
      <c r="K27" s="30"/>
      <c r="L27" s="76"/>
      <c r="T27" s="30"/>
      <c r="U27" s="76"/>
    </row>
    <row r="28" spans="1:26" x14ac:dyDescent="0.2">
      <c r="B28" s="29"/>
      <c r="C28" s="5" t="s">
        <v>376</v>
      </c>
      <c r="K28" s="29"/>
      <c r="L28" s="41"/>
      <c r="T28" s="29"/>
      <c r="U28" s="41"/>
    </row>
    <row r="29" spans="1:26" x14ac:dyDescent="0.2">
      <c r="B29" s="29"/>
      <c r="K29" s="29"/>
      <c r="T29" s="29"/>
    </row>
    <row r="30" spans="1:26" x14ac:dyDescent="0.2">
      <c r="B30" s="29" t="s">
        <v>61</v>
      </c>
      <c r="C30" s="76" t="s">
        <v>382</v>
      </c>
      <c r="K30" s="29"/>
      <c r="T30" s="29"/>
    </row>
    <row r="31" spans="1:26" x14ac:dyDescent="0.2">
      <c r="K31" s="29"/>
      <c r="T31" s="29"/>
    </row>
    <row r="32" spans="1:26" x14ac:dyDescent="0.2">
      <c r="K32" s="29"/>
      <c r="L32" s="41"/>
      <c r="T32" s="29"/>
      <c r="U32" s="41"/>
    </row>
  </sheetData>
  <mergeCells count="5">
    <mergeCell ref="S21:Z21"/>
    <mergeCell ref="J21:Q21"/>
    <mergeCell ref="J23:Q23"/>
    <mergeCell ref="S23:Z23"/>
    <mergeCell ref="A21:H21"/>
  </mergeCells>
  <conditionalFormatting sqref="B2">
    <cfRule type="expression" dxfId="33" priority="1">
      <formula>NOT(_xlfn.ISFORMULA(B2))</formula>
    </cfRule>
  </conditionalFormatting>
  <pageMargins left="0.75" right="0.75" top="1" bottom="1" header="0.5" footer="0.5"/>
  <pageSetup scale="77"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I29"/>
  <sheetViews>
    <sheetView zoomScale="160" zoomScaleNormal="160" workbookViewId="0">
      <selection activeCell="A3" sqref="A3"/>
    </sheetView>
  </sheetViews>
  <sheetFormatPr defaultColWidth="10.7109375" defaultRowHeight="12.75" x14ac:dyDescent="0.2"/>
  <cols>
    <col min="1" max="1" width="4.28515625" style="5" customWidth="1"/>
    <col min="2" max="2" width="8.140625" style="5" customWidth="1"/>
    <col min="3" max="3" width="20.5703125" style="5" customWidth="1"/>
    <col min="4" max="9" width="11.42578125" style="5" customWidth="1"/>
    <col min="10" max="16384" width="10.7109375" style="5"/>
  </cols>
  <sheetData>
    <row r="1" spans="1:9" s="144" customFormat="1" ht="18" x14ac:dyDescent="0.25">
      <c r="A1" s="309" t="s">
        <v>253</v>
      </c>
    </row>
    <row r="2" spans="1:9" s="326" customFormat="1" hidden="1" x14ac:dyDescent="0.2">
      <c r="B2" s="330"/>
    </row>
    <row r="3" spans="1:9" s="144" customFormat="1" x14ac:dyDescent="0.2">
      <c r="A3" s="287" t="str">
        <f>IF(A2="","",IF(Disable_Video_Hyperlinks,A2,HYPERLINK(Video_website&amp;A2,A2)))</f>
        <v/>
      </c>
    </row>
    <row r="4" spans="1:9" x14ac:dyDescent="0.2">
      <c r="A4" s="307" t="str">
        <f>IF(B2="","",B2)</f>
        <v/>
      </c>
    </row>
    <row r="6" spans="1:9" x14ac:dyDescent="0.2">
      <c r="D6" s="30"/>
      <c r="E6" s="30"/>
      <c r="F6" s="30"/>
      <c r="G6" s="30"/>
      <c r="H6" s="30"/>
    </row>
    <row r="7" spans="1:9" s="145" customFormat="1" ht="38.25" x14ac:dyDescent="0.2">
      <c r="A7" s="45"/>
      <c r="B7" s="143"/>
      <c r="C7" s="144"/>
      <c r="D7" s="345" t="s">
        <v>240</v>
      </c>
      <c r="E7" s="345" t="s">
        <v>237</v>
      </c>
      <c r="F7" s="345" t="s">
        <v>239</v>
      </c>
      <c r="G7" s="345" t="s">
        <v>238</v>
      </c>
      <c r="H7" s="345" t="s">
        <v>236</v>
      </c>
      <c r="I7" s="345" t="s">
        <v>252</v>
      </c>
    </row>
    <row r="8" spans="1:9" x14ac:dyDescent="0.2">
      <c r="B8" s="5" t="s">
        <v>246</v>
      </c>
      <c r="D8" s="209">
        <v>0.1</v>
      </c>
      <c r="E8" s="209">
        <v>0.1</v>
      </c>
      <c r="F8" s="209">
        <v>0.1</v>
      </c>
      <c r="G8" s="209">
        <v>0.1</v>
      </c>
      <c r="H8" s="209">
        <v>0.1</v>
      </c>
      <c r="I8" s="209">
        <v>0.1</v>
      </c>
    </row>
    <row r="9" spans="1:9" x14ac:dyDescent="0.2">
      <c r="B9" s="5" t="s">
        <v>115</v>
      </c>
      <c r="D9" s="210">
        <v>0</v>
      </c>
      <c r="E9" s="210">
        <v>0</v>
      </c>
      <c r="F9" s="210">
        <v>0</v>
      </c>
      <c r="G9" s="210">
        <v>0</v>
      </c>
      <c r="H9" s="210">
        <v>0</v>
      </c>
      <c r="I9" s="210">
        <v>0</v>
      </c>
    </row>
    <row r="10" spans="1:9" x14ac:dyDescent="0.2">
      <c r="B10" s="5" t="s">
        <v>114</v>
      </c>
      <c r="D10" s="211">
        <v>3</v>
      </c>
      <c r="E10" s="211">
        <v>3</v>
      </c>
      <c r="F10" s="211">
        <v>3</v>
      </c>
      <c r="G10" s="211">
        <v>3</v>
      </c>
      <c r="H10" s="211">
        <v>3</v>
      </c>
      <c r="I10" s="211">
        <v>3</v>
      </c>
    </row>
    <row r="11" spans="1:9" x14ac:dyDescent="0.2">
      <c r="B11" s="5" t="s">
        <v>113</v>
      </c>
      <c r="D11" s="224">
        <v>1</v>
      </c>
      <c r="E11" s="224">
        <v>4</v>
      </c>
      <c r="F11" s="224">
        <v>12</v>
      </c>
      <c r="G11" s="224">
        <v>52</v>
      </c>
      <c r="H11" s="224">
        <v>365</v>
      </c>
      <c r="I11" s="224">
        <v>100000</v>
      </c>
    </row>
    <row r="12" spans="1:9" x14ac:dyDescent="0.2">
      <c r="D12" s="26"/>
      <c r="E12" s="26"/>
      <c r="F12" s="26"/>
      <c r="G12" s="26"/>
      <c r="H12" s="26"/>
      <c r="I12" s="26"/>
    </row>
    <row r="13" spans="1:9" x14ac:dyDescent="0.2">
      <c r="B13" s="5" t="s">
        <v>112</v>
      </c>
      <c r="D13" s="213">
        <v>3000</v>
      </c>
      <c r="E13" s="213">
        <v>3000</v>
      </c>
      <c r="F13" s="213">
        <v>3000</v>
      </c>
      <c r="G13" s="213">
        <v>3000</v>
      </c>
      <c r="H13" s="213">
        <v>3000</v>
      </c>
      <c r="I13" s="213">
        <v>3000</v>
      </c>
    </row>
    <row r="14" spans="1:9" x14ac:dyDescent="0.2">
      <c r="B14" s="5" t="s">
        <v>111</v>
      </c>
      <c r="D14" s="213">
        <v>0</v>
      </c>
      <c r="E14" s="213">
        <v>0</v>
      </c>
      <c r="F14" s="213">
        <v>0</v>
      </c>
      <c r="G14" s="213">
        <v>0</v>
      </c>
      <c r="H14" s="213">
        <v>0</v>
      </c>
      <c r="I14" s="213">
        <v>0</v>
      </c>
    </row>
    <row r="15" spans="1:9" x14ac:dyDescent="0.2">
      <c r="B15" s="5" t="s">
        <v>45</v>
      </c>
      <c r="D15" s="214">
        <v>0</v>
      </c>
      <c r="E15" s="214">
        <v>0</v>
      </c>
      <c r="F15" s="214">
        <v>0</v>
      </c>
      <c r="G15" s="214">
        <v>0</v>
      </c>
      <c r="H15" s="214">
        <v>0</v>
      </c>
      <c r="I15" s="214">
        <v>0</v>
      </c>
    </row>
    <row r="16" spans="1:9" ht="13.5" thickBot="1" x14ac:dyDescent="0.25">
      <c r="D16" s="146"/>
      <c r="E16" s="146"/>
      <c r="F16" s="146"/>
      <c r="G16" s="146"/>
      <c r="H16" s="146"/>
      <c r="I16" s="146"/>
    </row>
    <row r="17" spans="1:9" x14ac:dyDescent="0.2">
      <c r="B17" s="5" t="s">
        <v>251</v>
      </c>
      <c r="D17" s="147">
        <f t="shared" ref="D17:I17" si="0">-FV(D8/D11,D10*D11,D9,D13,D15)+D14</f>
        <v>3993.0000000000014</v>
      </c>
      <c r="E17" s="147">
        <f t="shared" si="0"/>
        <v>4034.6664727388925</v>
      </c>
      <c r="F17" s="147">
        <f t="shared" si="0"/>
        <v>4044.5455272564805</v>
      </c>
      <c r="G17" s="147">
        <f t="shared" si="0"/>
        <v>4048.4099391861851</v>
      </c>
      <c r="H17" s="147">
        <f t="shared" si="0"/>
        <v>4049.4100355873074</v>
      </c>
      <c r="I17" s="147">
        <f t="shared" si="0"/>
        <v>4049.5758152191697</v>
      </c>
    </row>
    <row r="18" spans="1:9" x14ac:dyDescent="0.2">
      <c r="D18" s="146"/>
      <c r="F18" s="29"/>
      <c r="G18" s="29"/>
    </row>
    <row r="19" spans="1:9" x14ac:dyDescent="0.2">
      <c r="A19" s="181"/>
      <c r="B19" s="181" t="s">
        <v>245</v>
      </c>
      <c r="C19" s="181"/>
      <c r="D19" s="182">
        <f>EFFECT(D8,D11)</f>
        <v>0.10000000000000009</v>
      </c>
      <c r="E19" s="182">
        <f t="shared" ref="E19:H19" si="1">EFFECT(E8,E11)</f>
        <v>0.10381289062499977</v>
      </c>
      <c r="F19" s="182">
        <f t="shared" si="1"/>
        <v>0.10471306744129683</v>
      </c>
      <c r="G19" s="182">
        <f t="shared" si="1"/>
        <v>0.10506479277976588</v>
      </c>
      <c r="H19" s="182">
        <f t="shared" si="1"/>
        <v>0.10515578161622718</v>
      </c>
      <c r="I19" s="182">
        <f t="shared" ref="I19" si="2">EFFECT(I8,I11)</f>
        <v>0.10517086281051458</v>
      </c>
    </row>
    <row r="20" spans="1:9" x14ac:dyDescent="0.2">
      <c r="A20" s="181"/>
      <c r="B20" s="181"/>
      <c r="C20" s="181"/>
      <c r="D20" s="181"/>
      <c r="E20" s="181"/>
      <c r="F20" s="181"/>
      <c r="G20" s="181"/>
      <c r="H20" s="181"/>
    </row>
    <row r="21" spans="1:9" x14ac:dyDescent="0.2">
      <c r="A21" s="181"/>
      <c r="B21" s="181"/>
      <c r="C21" s="181"/>
      <c r="D21" s="181"/>
      <c r="E21" s="181"/>
      <c r="F21" s="181"/>
      <c r="G21" s="181"/>
      <c r="H21" s="181"/>
    </row>
    <row r="22" spans="1:9" x14ac:dyDescent="0.2">
      <c r="A22" s="181"/>
      <c r="B22" s="181"/>
      <c r="C22" s="181"/>
      <c r="D22" s="181"/>
      <c r="E22" s="181"/>
      <c r="F22" s="181"/>
      <c r="G22" s="181"/>
      <c r="H22" s="181"/>
    </row>
    <row r="23" spans="1:9" x14ac:dyDescent="0.2">
      <c r="A23" s="181"/>
      <c r="B23" s="181"/>
      <c r="C23" s="181"/>
      <c r="D23" s="181"/>
      <c r="E23" s="181"/>
      <c r="F23" s="181"/>
      <c r="G23" s="181"/>
      <c r="H23" s="181"/>
    </row>
    <row r="24" spans="1:9" x14ac:dyDescent="0.2">
      <c r="A24" s="181"/>
      <c r="B24" s="181"/>
      <c r="C24" s="181"/>
      <c r="D24" s="181"/>
      <c r="E24" s="181"/>
      <c r="F24" s="181"/>
      <c r="G24" s="181"/>
      <c r="H24" s="181"/>
    </row>
    <row r="25" spans="1:9" x14ac:dyDescent="0.2">
      <c r="A25" s="181"/>
      <c r="B25" s="181"/>
      <c r="C25" s="181"/>
      <c r="D25" s="181"/>
      <c r="E25" s="181"/>
      <c r="F25" s="181"/>
      <c r="G25" s="181"/>
      <c r="H25" s="181"/>
    </row>
    <row r="26" spans="1:9" x14ac:dyDescent="0.2">
      <c r="A26" s="181"/>
      <c r="B26" s="181"/>
      <c r="C26" s="181"/>
      <c r="D26" s="181"/>
      <c r="E26" s="181"/>
      <c r="F26" s="181"/>
      <c r="G26" s="181"/>
      <c r="H26" s="181"/>
    </row>
    <row r="27" spans="1:9" x14ac:dyDescent="0.2">
      <c r="A27" s="181"/>
      <c r="B27" s="181"/>
      <c r="C27" s="181"/>
      <c r="D27" s="181"/>
      <c r="E27" s="181"/>
      <c r="F27" s="181"/>
      <c r="G27" s="181"/>
      <c r="H27" s="181"/>
    </row>
    <row r="28" spans="1:9" x14ac:dyDescent="0.2">
      <c r="A28" s="181"/>
      <c r="B28" s="181"/>
      <c r="C28" s="181"/>
      <c r="D28" s="181"/>
      <c r="E28" s="181"/>
      <c r="F28" s="181"/>
      <c r="G28" s="181"/>
      <c r="H28" s="181"/>
    </row>
    <row r="29" spans="1:9" x14ac:dyDescent="0.2">
      <c r="A29" s="181"/>
      <c r="B29" s="181"/>
      <c r="C29" s="181"/>
      <c r="D29" s="181"/>
      <c r="E29" s="181"/>
      <c r="F29" s="181"/>
      <c r="G29" s="181"/>
      <c r="H29" s="181"/>
    </row>
  </sheetData>
  <pageMargins left="0.75" right="0.75" top="1" bottom="1" header="0.5" footer="0.5"/>
  <pageSetup scale="77"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dimension ref="A1:J33"/>
  <sheetViews>
    <sheetView zoomScale="145" zoomScaleNormal="145" workbookViewId="0">
      <selection activeCell="C30" sqref="C30"/>
    </sheetView>
  </sheetViews>
  <sheetFormatPr defaultRowHeight="12.75" x14ac:dyDescent="0.2"/>
  <cols>
    <col min="1" max="1" width="29" style="5" customWidth="1"/>
    <col min="2" max="2" width="9.140625" style="5"/>
    <col min="3" max="3" width="15.5703125" style="5" bestFit="1" customWidth="1"/>
    <col min="4" max="4" width="9.140625" style="5"/>
    <col min="5" max="5" width="17.28515625" style="5" customWidth="1"/>
    <col min="6" max="8" width="9.140625" style="5"/>
    <col min="9" max="9" width="15.5703125" style="5" bestFit="1" customWidth="1"/>
    <col min="10" max="10" width="20.140625" style="5" customWidth="1"/>
    <col min="11" max="16384" width="9.140625" style="5"/>
  </cols>
  <sheetData>
    <row r="1" spans="1:5" s="144" customFormat="1" ht="18" x14ac:dyDescent="0.25">
      <c r="A1" s="309" t="s">
        <v>218</v>
      </c>
    </row>
    <row r="2" spans="1:5" s="326" customFormat="1" hidden="1" x14ac:dyDescent="0.2">
      <c r="B2" s="330"/>
    </row>
    <row r="3" spans="1:5" s="144" customFormat="1" x14ac:dyDescent="0.2">
      <c r="A3" s="287" t="str">
        <f>IF(A2="","",IF(Disable_Video_Hyperlinks,A2,HYPERLINK(Video_website&amp;A2,A2)))</f>
        <v/>
      </c>
    </row>
    <row r="4" spans="1:5" x14ac:dyDescent="0.2">
      <c r="A4" s="307" t="str">
        <f>IF(B2="","",B2)</f>
        <v/>
      </c>
    </row>
    <row r="7" spans="1:5" x14ac:dyDescent="0.2">
      <c r="A7" s="2" t="s">
        <v>217</v>
      </c>
      <c r="E7" s="5" t="s">
        <v>337</v>
      </c>
    </row>
    <row r="8" spans="1:5" x14ac:dyDescent="0.2">
      <c r="A8" s="5" t="s">
        <v>214</v>
      </c>
      <c r="C8" s="225">
        <v>7.0000000000000007E-2</v>
      </c>
    </row>
    <row r="9" spans="1:5" x14ac:dyDescent="0.2">
      <c r="A9" s="5" t="s">
        <v>213</v>
      </c>
      <c r="C9" s="226">
        <v>2</v>
      </c>
      <c r="E9" s="77">
        <f>FV((EXP($C$8/$C$9)-1),$C$10*$C$9,-$C$11,,$C$12)</f>
        <v>44413969.212765791</v>
      </c>
    </row>
    <row r="10" spans="1:5" x14ac:dyDescent="0.2">
      <c r="A10" s="5" t="s">
        <v>212</v>
      </c>
      <c r="C10" s="226">
        <v>20</v>
      </c>
      <c r="E10" s="76" t="s">
        <v>338</v>
      </c>
    </row>
    <row r="11" spans="1:5" x14ac:dyDescent="0.2">
      <c r="A11" s="5" t="s">
        <v>211</v>
      </c>
      <c r="C11" s="227">
        <v>500000</v>
      </c>
    </row>
    <row r="12" spans="1:5" x14ac:dyDescent="0.2">
      <c r="A12" s="5" t="s">
        <v>210</v>
      </c>
      <c r="C12" s="226">
        <v>1</v>
      </c>
      <c r="E12" s="77">
        <f>FV((EXP(0.07/2)-1),20*2,-500000,,1)</f>
        <v>44413969.212765791</v>
      </c>
    </row>
    <row r="13" spans="1:5" x14ac:dyDescent="0.2">
      <c r="A13" s="5" t="s">
        <v>209</v>
      </c>
      <c r="C13" s="226" t="s">
        <v>216</v>
      </c>
      <c r="E13" s="76" t="s">
        <v>339</v>
      </c>
    </row>
    <row r="17" spans="1:10" x14ac:dyDescent="0.2">
      <c r="A17" s="2" t="s">
        <v>215</v>
      </c>
      <c r="E17" s="5" t="s">
        <v>208</v>
      </c>
      <c r="J17" s="29"/>
    </row>
    <row r="18" spans="1:10" x14ac:dyDescent="0.2">
      <c r="A18" s="5" t="s">
        <v>214</v>
      </c>
      <c r="C18" s="225">
        <v>7.0000000000000007E-2</v>
      </c>
      <c r="E18" s="5" t="s">
        <v>207</v>
      </c>
      <c r="J18" s="77"/>
    </row>
    <row r="19" spans="1:10" x14ac:dyDescent="0.2">
      <c r="A19" s="5" t="s">
        <v>213</v>
      </c>
      <c r="C19" s="226">
        <v>2</v>
      </c>
      <c r="E19" s="5" t="s">
        <v>206</v>
      </c>
      <c r="J19" s="77"/>
    </row>
    <row r="20" spans="1:10" x14ac:dyDescent="0.2">
      <c r="A20" s="5" t="s">
        <v>212</v>
      </c>
      <c r="C20" s="226">
        <v>20</v>
      </c>
    </row>
    <row r="21" spans="1:10" x14ac:dyDescent="0.2">
      <c r="A21" s="5" t="s">
        <v>211</v>
      </c>
      <c r="C21" s="227">
        <v>500000</v>
      </c>
      <c r="E21" s="75">
        <f>-FV(EFFECT($C$18/$C$19,$C$23/$C$19),$C$20*$C$19,$C$21,,$C$22)</f>
        <v>44301149.606386788</v>
      </c>
    </row>
    <row r="22" spans="1:10" x14ac:dyDescent="0.2">
      <c r="A22" s="5" t="s">
        <v>210</v>
      </c>
      <c r="C22" s="226">
        <v>1</v>
      </c>
      <c r="E22" s="76" t="s">
        <v>341</v>
      </c>
    </row>
    <row r="23" spans="1:10" x14ac:dyDescent="0.2">
      <c r="A23" s="5" t="s">
        <v>209</v>
      </c>
      <c r="C23" s="226">
        <v>12</v>
      </c>
    </row>
    <row r="24" spans="1:10" x14ac:dyDescent="0.2">
      <c r="E24" s="75">
        <f>-FV(EFFECT(7%/2,12/2),20*2,500000,,1)</f>
        <v>44301149.606386788</v>
      </c>
    </row>
    <row r="25" spans="1:10" x14ac:dyDescent="0.2">
      <c r="E25" s="76" t="s">
        <v>342</v>
      </c>
    </row>
    <row r="28" spans="1:10" x14ac:dyDescent="0.2">
      <c r="A28" s="5" t="s">
        <v>340</v>
      </c>
    </row>
    <row r="29" spans="1:10" x14ac:dyDescent="0.2">
      <c r="B29" s="29" t="s">
        <v>264</v>
      </c>
    </row>
    <row r="30" spans="1:10" x14ac:dyDescent="0.2">
      <c r="A30" s="5" t="s">
        <v>262</v>
      </c>
      <c r="B30" s="204">
        <v>1</v>
      </c>
      <c r="C30" s="348">
        <v>7.0000000000000007E-2</v>
      </c>
    </row>
    <row r="31" spans="1:10" x14ac:dyDescent="0.2">
      <c r="A31" s="5" t="s">
        <v>263</v>
      </c>
      <c r="B31" s="204">
        <v>12</v>
      </c>
      <c r="C31" s="250">
        <f>EFFECT(C30,B31)</f>
        <v>7.2290080856235894E-2</v>
      </c>
    </row>
    <row r="32" spans="1:10" x14ac:dyDescent="0.2">
      <c r="A32" s="5" t="s">
        <v>262</v>
      </c>
      <c r="B32" s="204">
        <v>2</v>
      </c>
      <c r="C32" s="250">
        <f>NOMINAL(C31,B32)</f>
        <v>7.1028807965969332E-2</v>
      </c>
    </row>
    <row r="33" spans="1:3" x14ac:dyDescent="0.2">
      <c r="A33" s="5" t="s">
        <v>251</v>
      </c>
      <c r="C33" s="77">
        <f>-FV(C32/B32,C20*B32,C21,,C22)</f>
        <v>44301149.606386788</v>
      </c>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outlinePr summaryBelow="0" summaryRight="0"/>
  </sheetPr>
  <dimension ref="A1:H29"/>
  <sheetViews>
    <sheetView zoomScale="145" zoomScaleNormal="145" workbookViewId="0">
      <selection activeCell="I29" sqref="I29"/>
    </sheetView>
  </sheetViews>
  <sheetFormatPr defaultColWidth="10.7109375" defaultRowHeight="12.75" outlineLevelCol="1" x14ac:dyDescent="0.2"/>
  <cols>
    <col min="1" max="2" width="8.140625" style="5" customWidth="1"/>
    <col min="3" max="3" width="21.5703125" style="5" customWidth="1"/>
    <col min="4" max="4" width="10.7109375" style="5" collapsed="1"/>
    <col min="5" max="8" width="10.7109375" style="5" hidden="1" customWidth="1" outlineLevel="1"/>
    <col min="9" max="16384" width="10.7109375" style="5"/>
  </cols>
  <sheetData>
    <row r="1" spans="1:8" s="144" customFormat="1" ht="18" collapsed="1" x14ac:dyDescent="0.25">
      <c r="A1" s="309" t="s">
        <v>129</v>
      </c>
    </row>
    <row r="2" spans="1:8" s="326" customFormat="1" hidden="1" x14ac:dyDescent="0.2">
      <c r="A2" s="326" t="s">
        <v>316</v>
      </c>
      <c r="B2" s="327">
        <v>8.9583333333333338E-3</v>
      </c>
    </row>
    <row r="3" spans="1:8" s="144" customFormat="1" x14ac:dyDescent="0.2">
      <c r="A3" s="287" t="str">
        <f>IF(A2="","",IF(Disable_Video_Hyperlinks,A2,HYPERLINK(Video_website&amp;A2,A2)))</f>
        <v>UNC_DAYT_EXCEL_4.2.5_LECTURE_PV_NPV.mp4</v>
      </c>
    </row>
    <row r="4" spans="1:8" x14ac:dyDescent="0.2">
      <c r="A4" s="307">
        <f>IF(B2="","",B2)</f>
        <v>8.9583333333333338E-3</v>
      </c>
    </row>
    <row r="6" spans="1:8" x14ac:dyDescent="0.2">
      <c r="D6" s="30" t="s">
        <v>118</v>
      </c>
      <c r="E6" s="30" t="s">
        <v>127</v>
      </c>
      <c r="F6" s="30" t="s">
        <v>126</v>
      </c>
      <c r="G6" s="30" t="s">
        <v>125</v>
      </c>
      <c r="H6" s="30" t="s">
        <v>124</v>
      </c>
    </row>
    <row r="7" spans="1:8" s="145" customFormat="1" ht="38.25" x14ac:dyDescent="0.2">
      <c r="A7" s="45" t="s">
        <v>128</v>
      </c>
      <c r="B7" s="144"/>
      <c r="C7" s="144"/>
      <c r="D7" s="36" t="s">
        <v>116</v>
      </c>
      <c r="E7" s="36" t="s">
        <v>123</v>
      </c>
      <c r="F7" s="36" t="s">
        <v>122</v>
      </c>
      <c r="G7" s="36" t="s">
        <v>121</v>
      </c>
      <c r="H7" s="36" t="s">
        <v>120</v>
      </c>
    </row>
    <row r="8" spans="1:8" x14ac:dyDescent="0.2">
      <c r="A8" s="2"/>
      <c r="B8" s="5" t="s">
        <v>39</v>
      </c>
      <c r="D8" s="209">
        <v>0.1</v>
      </c>
      <c r="E8" s="209">
        <v>0.1</v>
      </c>
      <c r="F8" s="209">
        <v>0.1</v>
      </c>
      <c r="G8" s="209">
        <v>0.1</v>
      </c>
      <c r="H8" s="209">
        <v>0.1</v>
      </c>
    </row>
    <row r="9" spans="1:8" x14ac:dyDescent="0.2">
      <c r="A9" s="2"/>
      <c r="B9" s="5" t="s">
        <v>115</v>
      </c>
      <c r="D9" s="210">
        <v>100</v>
      </c>
      <c r="E9" s="210">
        <v>0</v>
      </c>
      <c r="F9" s="210">
        <v>50</v>
      </c>
      <c r="G9" s="210">
        <v>0</v>
      </c>
      <c r="H9" s="210">
        <v>25</v>
      </c>
    </row>
    <row r="10" spans="1:8" x14ac:dyDescent="0.2">
      <c r="A10" s="2"/>
      <c r="B10" s="5" t="s">
        <v>114</v>
      </c>
      <c r="D10" s="211">
        <v>3</v>
      </c>
      <c r="E10" s="211">
        <v>3</v>
      </c>
      <c r="F10" s="211">
        <v>3</v>
      </c>
      <c r="G10" s="211">
        <v>3</v>
      </c>
      <c r="H10" s="211">
        <v>3</v>
      </c>
    </row>
    <row r="11" spans="1:8" x14ac:dyDescent="0.2">
      <c r="A11" s="2"/>
      <c r="B11" s="5" t="s">
        <v>113</v>
      </c>
      <c r="D11" s="212">
        <v>12</v>
      </c>
      <c r="E11" s="212">
        <v>12</v>
      </c>
      <c r="F11" s="212">
        <v>12</v>
      </c>
      <c r="G11" s="212">
        <v>12</v>
      </c>
      <c r="H11" s="212">
        <v>12</v>
      </c>
    </row>
    <row r="12" spans="1:8" x14ac:dyDescent="0.2">
      <c r="D12" s="26"/>
      <c r="E12" s="26"/>
      <c r="F12" s="26"/>
      <c r="G12" s="26"/>
      <c r="H12" s="26"/>
    </row>
    <row r="13" spans="1:8" x14ac:dyDescent="0.2">
      <c r="B13" s="5" t="s">
        <v>112</v>
      </c>
      <c r="D13" s="213">
        <v>0</v>
      </c>
      <c r="E13" s="213">
        <v>3000</v>
      </c>
      <c r="F13" s="213">
        <v>1500</v>
      </c>
      <c r="G13" s="213">
        <v>0</v>
      </c>
      <c r="H13" s="213">
        <v>1500</v>
      </c>
    </row>
    <row r="14" spans="1:8" x14ac:dyDescent="0.2">
      <c r="B14" s="5" t="s">
        <v>111</v>
      </c>
      <c r="D14" s="213">
        <v>0</v>
      </c>
      <c r="E14" s="213">
        <v>0</v>
      </c>
      <c r="F14" s="213">
        <v>0</v>
      </c>
      <c r="G14" s="213">
        <v>4000</v>
      </c>
      <c r="H14" s="213">
        <v>1000</v>
      </c>
    </row>
    <row r="15" spans="1:8" x14ac:dyDescent="0.2">
      <c r="B15" s="5" t="s">
        <v>45</v>
      </c>
      <c r="D15" s="214">
        <v>0</v>
      </c>
      <c r="E15" s="214">
        <v>0</v>
      </c>
      <c r="F15" s="214">
        <v>0</v>
      </c>
      <c r="G15" s="214">
        <v>0</v>
      </c>
      <c r="H15" s="214">
        <v>0</v>
      </c>
    </row>
    <row r="16" spans="1:8" ht="13.5" thickBot="1" x14ac:dyDescent="0.25">
      <c r="D16" s="146"/>
    </row>
    <row r="17" spans="1:8" x14ac:dyDescent="0.2">
      <c r="D17" s="147">
        <f>-PV(D8/D11,D10*D11,D9,D14,D15)+D13</f>
        <v>3099.1235585324889</v>
      </c>
      <c r="E17" s="147">
        <f t="shared" ref="E17:H17" si="0">-PV(E8/E11,E10*E11,E9,E14,E15)+E13</f>
        <v>3000</v>
      </c>
      <c r="F17" s="147">
        <f t="shared" si="0"/>
        <v>3049.5617792662442</v>
      </c>
      <c r="G17" s="147">
        <f t="shared" si="0"/>
        <v>2966.958813822504</v>
      </c>
      <c r="H17" s="147">
        <f t="shared" si="0"/>
        <v>3016.5205930887482</v>
      </c>
    </row>
    <row r="18" spans="1:8" x14ac:dyDescent="0.2">
      <c r="A18" s="2"/>
      <c r="D18" s="149"/>
      <c r="F18" s="29"/>
      <c r="G18" s="29"/>
    </row>
    <row r="19" spans="1:8" x14ac:dyDescent="0.2">
      <c r="A19" s="76" t="s">
        <v>225</v>
      </c>
      <c r="D19" s="77"/>
    </row>
    <row r="20" spans="1:8" x14ac:dyDescent="0.2">
      <c r="A20" s="148" t="s">
        <v>298</v>
      </c>
      <c r="D20" s="77"/>
    </row>
    <row r="21" spans="1:8" x14ac:dyDescent="0.2">
      <c r="A21" s="148"/>
      <c r="D21" s="77"/>
    </row>
    <row r="22" spans="1:8" x14ac:dyDescent="0.2">
      <c r="B22" s="30" t="s">
        <v>67</v>
      </c>
      <c r="C22" s="5" t="s">
        <v>76</v>
      </c>
    </row>
    <row r="23" spans="1:8" x14ac:dyDescent="0.2">
      <c r="B23" s="30" t="s">
        <v>65</v>
      </c>
      <c r="C23" s="5" t="s">
        <v>75</v>
      </c>
      <c r="D23" s="77"/>
    </row>
    <row r="24" spans="1:8" x14ac:dyDescent="0.2">
      <c r="B24" s="30" t="s">
        <v>109</v>
      </c>
      <c r="C24" s="76" t="s">
        <v>108</v>
      </c>
    </row>
    <row r="25" spans="1:8" x14ac:dyDescent="0.2">
      <c r="B25" s="29" t="s">
        <v>61</v>
      </c>
      <c r="C25" s="76" t="s">
        <v>378</v>
      </c>
    </row>
    <row r="26" spans="1:8" x14ac:dyDescent="0.2">
      <c r="B26" s="29" t="s">
        <v>59</v>
      </c>
      <c r="C26" s="5" t="s">
        <v>107</v>
      </c>
    </row>
    <row r="27" spans="1:8" x14ac:dyDescent="0.2">
      <c r="B27" s="29"/>
      <c r="C27" s="5" t="s">
        <v>71</v>
      </c>
    </row>
    <row r="28" spans="1:8" x14ac:dyDescent="0.2">
      <c r="B28" s="29"/>
    </row>
    <row r="29" spans="1:8" x14ac:dyDescent="0.2">
      <c r="B29" s="29" t="s">
        <v>63</v>
      </c>
      <c r="C29" s="76" t="s">
        <v>381</v>
      </c>
    </row>
  </sheetData>
  <conditionalFormatting sqref="B2">
    <cfRule type="expression" dxfId="32" priority="1">
      <formula>NOT(_xlfn.ISFORMULA(B2))</formula>
    </cfRule>
  </conditionalFormatting>
  <pageMargins left="0.75" right="0.75" top="1" bottom="1" header="0.5" footer="0.5"/>
  <pageSetup scale="77"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Z29"/>
  <sheetViews>
    <sheetView zoomScale="145" zoomScaleNormal="145" workbookViewId="0">
      <selection activeCell="C25" sqref="C25"/>
    </sheetView>
  </sheetViews>
  <sheetFormatPr defaultColWidth="10.7109375" defaultRowHeight="12.75" outlineLevelCol="1" x14ac:dyDescent="0.2"/>
  <cols>
    <col min="1" max="1" width="4.28515625" style="5" customWidth="1"/>
    <col min="2" max="2" width="8.140625" style="5" customWidth="1"/>
    <col min="3" max="3" width="20.5703125" style="5" customWidth="1"/>
    <col min="4" max="8" width="10.85546875" style="5" customWidth="1"/>
    <col min="9" max="9" width="8.28515625" style="5" customWidth="1"/>
    <col min="10" max="10" width="4.28515625" style="5" customWidth="1" outlineLevel="1"/>
    <col min="11" max="11" width="8.140625" style="5" customWidth="1" outlineLevel="1"/>
    <col min="12" max="12" width="20.5703125" style="5" customWidth="1" outlineLevel="1"/>
    <col min="13" max="17" width="10.85546875" style="5" customWidth="1" outlineLevel="1"/>
    <col min="18" max="18" width="10.7109375" style="5" customWidth="1" outlineLevel="1"/>
    <col min="19" max="19" width="4.28515625" style="5" customWidth="1" outlineLevel="1"/>
    <col min="20" max="20" width="8.140625" style="5" customWidth="1" outlineLevel="1"/>
    <col min="21" max="21" width="20.5703125" style="5" customWidth="1" outlineLevel="1"/>
    <col min="22" max="26" width="10.85546875" style="5" customWidth="1" outlineLevel="1"/>
    <col min="27" max="16384" width="10.7109375" style="5"/>
  </cols>
  <sheetData>
    <row r="1" spans="1:26" s="144" customFormat="1" ht="18" x14ac:dyDescent="0.25">
      <c r="A1" s="309" t="s">
        <v>129</v>
      </c>
      <c r="J1" s="309" t="s">
        <v>129</v>
      </c>
      <c r="S1" s="309" t="s">
        <v>129</v>
      </c>
    </row>
    <row r="2" spans="1:26" s="326" customFormat="1" ht="18" hidden="1" x14ac:dyDescent="0.25">
      <c r="A2" s="332"/>
      <c r="B2" s="330"/>
    </row>
    <row r="3" spans="1:26" s="144" customFormat="1" ht="15" x14ac:dyDescent="0.25">
      <c r="A3" s="287" t="str">
        <f>IF(A2="","",IF(Disable_Video_Hyperlinks,A2,HYPERLINK(Video_website&amp;A2,A2)))</f>
        <v/>
      </c>
      <c r="B3" s="314"/>
      <c r="J3" s="314" t="s">
        <v>261</v>
      </c>
      <c r="S3" s="314" t="s">
        <v>274</v>
      </c>
    </row>
    <row r="4" spans="1:26" ht="15" x14ac:dyDescent="0.25">
      <c r="A4" s="307" t="str">
        <f>IF(B2="","",B2)</f>
        <v/>
      </c>
      <c r="B4" s="188"/>
      <c r="C4" s="142"/>
      <c r="D4" s="142"/>
      <c r="E4" s="142"/>
      <c r="F4" s="142"/>
      <c r="G4" s="142"/>
      <c r="H4" s="142"/>
      <c r="J4" s="188"/>
      <c r="K4" s="142"/>
      <c r="L4" s="142"/>
      <c r="M4" s="142"/>
      <c r="N4" s="142"/>
      <c r="O4" s="142"/>
      <c r="P4" s="142"/>
      <c r="Q4" s="142"/>
      <c r="S4" s="188"/>
      <c r="T4" s="142"/>
      <c r="U4" s="142"/>
      <c r="V4" s="142"/>
      <c r="W4" s="142"/>
      <c r="X4" s="142"/>
      <c r="Y4" s="142"/>
      <c r="Z4" s="142"/>
    </row>
    <row r="5" spans="1:26" ht="18" x14ac:dyDescent="0.25">
      <c r="A5" s="31"/>
      <c r="B5" s="188"/>
      <c r="C5" s="142"/>
      <c r="D5" s="142"/>
      <c r="E5" s="142"/>
      <c r="F5" s="142"/>
      <c r="G5" s="142"/>
      <c r="H5" s="142"/>
      <c r="J5" s="188"/>
      <c r="K5" s="142"/>
      <c r="L5" s="142"/>
      <c r="M5" s="142"/>
      <c r="N5" s="142"/>
      <c r="O5" s="142"/>
      <c r="P5" s="142"/>
      <c r="Q5" s="142"/>
      <c r="S5" s="188"/>
      <c r="T5" s="142"/>
      <c r="U5" s="142"/>
      <c r="V5" s="142"/>
      <c r="W5" s="142"/>
      <c r="X5" s="142"/>
      <c r="Y5" s="142"/>
      <c r="Z5" s="142"/>
    </row>
    <row r="7" spans="1:26" x14ac:dyDescent="0.2">
      <c r="D7" s="30" t="s">
        <v>118</v>
      </c>
      <c r="E7" s="30" t="s">
        <v>127</v>
      </c>
      <c r="F7" s="30" t="s">
        <v>126</v>
      </c>
      <c r="G7" s="30" t="s">
        <v>125</v>
      </c>
      <c r="H7" s="30" t="s">
        <v>124</v>
      </c>
      <c r="M7" s="30" t="s">
        <v>118</v>
      </c>
      <c r="N7" s="30" t="s">
        <v>127</v>
      </c>
      <c r="O7" s="30" t="s">
        <v>126</v>
      </c>
      <c r="P7" s="30" t="s">
        <v>125</v>
      </c>
      <c r="Q7" s="30" t="s">
        <v>124</v>
      </c>
      <c r="V7" s="30" t="s">
        <v>118</v>
      </c>
      <c r="W7" s="30" t="s">
        <v>127</v>
      </c>
      <c r="X7" s="30" t="s">
        <v>126</v>
      </c>
      <c r="Y7" s="30" t="s">
        <v>125</v>
      </c>
      <c r="Z7" s="30" t="s">
        <v>124</v>
      </c>
    </row>
    <row r="8" spans="1:26" s="145" customFormat="1" ht="25.5" x14ac:dyDescent="0.2">
      <c r="A8" s="45" t="s">
        <v>128</v>
      </c>
      <c r="B8" s="144"/>
      <c r="C8" s="144"/>
      <c r="D8" s="36" t="s">
        <v>116</v>
      </c>
      <c r="E8" s="36" t="s">
        <v>123</v>
      </c>
      <c r="F8" s="36" t="s">
        <v>122</v>
      </c>
      <c r="G8" s="36" t="s">
        <v>121</v>
      </c>
      <c r="H8" s="36" t="s">
        <v>120</v>
      </c>
      <c r="J8" s="45" t="s">
        <v>128</v>
      </c>
      <c r="K8" s="144"/>
      <c r="L8" s="144"/>
      <c r="M8" s="36" t="s">
        <v>116</v>
      </c>
      <c r="N8" s="36" t="s">
        <v>123</v>
      </c>
      <c r="O8" s="36" t="s">
        <v>122</v>
      </c>
      <c r="P8" s="36" t="s">
        <v>121</v>
      </c>
      <c r="Q8" s="36" t="s">
        <v>120</v>
      </c>
      <c r="S8" s="45" t="s">
        <v>128</v>
      </c>
      <c r="T8" s="144"/>
      <c r="U8" s="144"/>
      <c r="V8" s="36" t="s">
        <v>116</v>
      </c>
      <c r="W8" s="36" t="s">
        <v>123</v>
      </c>
      <c r="X8" s="36" t="s">
        <v>122</v>
      </c>
      <c r="Y8" s="36" t="s">
        <v>121</v>
      </c>
      <c r="Z8" s="36" t="s">
        <v>120</v>
      </c>
    </row>
    <row r="9" spans="1:26" x14ac:dyDescent="0.2">
      <c r="A9" s="2"/>
      <c r="B9" s="5" t="s">
        <v>39</v>
      </c>
      <c r="D9" s="209">
        <v>0.1</v>
      </c>
      <c r="E9" s="209">
        <v>0.1</v>
      </c>
      <c r="F9" s="209">
        <v>0.1</v>
      </c>
      <c r="G9" s="209">
        <v>0.1</v>
      </c>
      <c r="H9" s="209">
        <v>0.1</v>
      </c>
      <c r="J9" s="2"/>
      <c r="K9" s="5" t="s">
        <v>39</v>
      </c>
      <c r="M9" s="209">
        <v>0.1</v>
      </c>
      <c r="N9" s="209">
        <v>0.1</v>
      </c>
      <c r="O9" s="209">
        <v>0.1</v>
      </c>
      <c r="P9" s="209">
        <v>0.1</v>
      </c>
      <c r="Q9" s="209">
        <v>0.1</v>
      </c>
      <c r="S9" s="2"/>
      <c r="T9" s="5" t="s">
        <v>39</v>
      </c>
      <c r="V9" s="209">
        <v>0.1</v>
      </c>
      <c r="W9" s="209">
        <v>0.1</v>
      </c>
      <c r="X9" s="209">
        <v>0.1</v>
      </c>
      <c r="Y9" s="209">
        <v>0.1</v>
      </c>
      <c r="Z9" s="209">
        <v>0.1</v>
      </c>
    </row>
    <row r="10" spans="1:26" x14ac:dyDescent="0.2">
      <c r="A10" s="2"/>
      <c r="B10" s="5" t="s">
        <v>115</v>
      </c>
      <c r="D10" s="210">
        <v>100</v>
      </c>
      <c r="E10" s="210">
        <v>0</v>
      </c>
      <c r="F10" s="210">
        <v>50</v>
      </c>
      <c r="G10" s="210">
        <v>0</v>
      </c>
      <c r="H10" s="210">
        <v>25</v>
      </c>
      <c r="J10" s="2"/>
      <c r="K10" s="5" t="s">
        <v>115</v>
      </c>
      <c r="M10" s="210">
        <v>100</v>
      </c>
      <c r="N10" s="210">
        <v>0</v>
      </c>
      <c r="O10" s="210">
        <v>50</v>
      </c>
      <c r="P10" s="210">
        <v>0</v>
      </c>
      <c r="Q10" s="210">
        <v>25</v>
      </c>
      <c r="S10" s="2"/>
      <c r="T10" s="5" t="s">
        <v>115</v>
      </c>
      <c r="V10" s="210">
        <v>-100</v>
      </c>
      <c r="W10" s="210">
        <v>0</v>
      </c>
      <c r="X10" s="210">
        <v>-50</v>
      </c>
      <c r="Y10" s="210">
        <v>0</v>
      </c>
      <c r="Z10" s="210">
        <v>-25</v>
      </c>
    </row>
    <row r="11" spans="1:26" x14ac:dyDescent="0.2">
      <c r="A11" s="2"/>
      <c r="B11" s="5" t="s">
        <v>114</v>
      </c>
      <c r="D11" s="211">
        <v>3</v>
      </c>
      <c r="E11" s="211">
        <v>3</v>
      </c>
      <c r="F11" s="211">
        <v>3</v>
      </c>
      <c r="G11" s="211">
        <v>3</v>
      </c>
      <c r="H11" s="211">
        <v>3</v>
      </c>
      <c r="J11" s="2"/>
      <c r="K11" s="5" t="s">
        <v>114</v>
      </c>
      <c r="M11" s="211">
        <v>3</v>
      </c>
      <c r="N11" s="211">
        <v>3</v>
      </c>
      <c r="O11" s="211">
        <v>3</v>
      </c>
      <c r="P11" s="211">
        <v>3</v>
      </c>
      <c r="Q11" s="211">
        <v>3</v>
      </c>
      <c r="S11" s="2"/>
      <c r="T11" s="5" t="s">
        <v>114</v>
      </c>
      <c r="V11" s="211">
        <v>3</v>
      </c>
      <c r="W11" s="211">
        <v>3</v>
      </c>
      <c r="X11" s="211">
        <v>3</v>
      </c>
      <c r="Y11" s="211">
        <v>3</v>
      </c>
      <c r="Z11" s="211">
        <v>3</v>
      </c>
    </row>
    <row r="12" spans="1:26" x14ac:dyDescent="0.2">
      <c r="A12" s="2"/>
      <c r="B12" s="5" t="s">
        <v>113</v>
      </c>
      <c r="D12" s="212">
        <v>12</v>
      </c>
      <c r="E12" s="212">
        <v>12</v>
      </c>
      <c r="F12" s="212">
        <v>12</v>
      </c>
      <c r="G12" s="212">
        <v>12</v>
      </c>
      <c r="H12" s="212">
        <v>12</v>
      </c>
      <c r="J12" s="2"/>
      <c r="K12" s="5" t="s">
        <v>113</v>
      </c>
      <c r="M12" s="212">
        <v>12</v>
      </c>
      <c r="N12" s="212">
        <v>12</v>
      </c>
      <c r="O12" s="212">
        <v>12</v>
      </c>
      <c r="P12" s="212">
        <v>12</v>
      </c>
      <c r="Q12" s="212">
        <v>12</v>
      </c>
      <c r="S12" s="2"/>
      <c r="T12" s="5" t="s">
        <v>113</v>
      </c>
      <c r="V12" s="212">
        <v>12</v>
      </c>
      <c r="W12" s="212">
        <v>12</v>
      </c>
      <c r="X12" s="212">
        <v>12</v>
      </c>
      <c r="Y12" s="212">
        <v>12</v>
      </c>
      <c r="Z12" s="212">
        <v>12</v>
      </c>
    </row>
    <row r="13" spans="1:26" x14ac:dyDescent="0.2">
      <c r="D13" s="26"/>
      <c r="E13" s="26"/>
      <c r="F13" s="26"/>
      <c r="G13" s="26"/>
      <c r="H13" s="26"/>
      <c r="M13" s="26"/>
      <c r="N13" s="26"/>
      <c r="O13" s="26"/>
      <c r="P13" s="26"/>
      <c r="Q13" s="26"/>
      <c r="V13" s="212"/>
      <c r="W13" s="212"/>
      <c r="X13" s="212"/>
      <c r="Y13" s="212"/>
      <c r="Z13" s="212"/>
    </row>
    <row r="14" spans="1:26" x14ac:dyDescent="0.2">
      <c r="B14" s="5" t="s">
        <v>112</v>
      </c>
      <c r="D14" s="213">
        <v>0</v>
      </c>
      <c r="E14" s="213">
        <v>3000</v>
      </c>
      <c r="F14" s="213">
        <v>1500</v>
      </c>
      <c r="G14" s="213">
        <v>0</v>
      </c>
      <c r="H14" s="213">
        <v>1500</v>
      </c>
      <c r="K14" s="5" t="s">
        <v>112</v>
      </c>
      <c r="M14" s="213">
        <v>0</v>
      </c>
      <c r="N14" s="213">
        <v>3000</v>
      </c>
      <c r="O14" s="213">
        <v>1500</v>
      </c>
      <c r="P14" s="213">
        <v>0</v>
      </c>
      <c r="Q14" s="213">
        <v>1500</v>
      </c>
      <c r="T14" s="5" t="s">
        <v>112</v>
      </c>
      <c r="V14" s="213">
        <v>0</v>
      </c>
      <c r="W14" s="213">
        <v>-3000</v>
      </c>
      <c r="X14" s="213">
        <v>-1500</v>
      </c>
      <c r="Y14" s="213">
        <v>0</v>
      </c>
      <c r="Z14" s="213">
        <v>-1500</v>
      </c>
    </row>
    <row r="15" spans="1:26" x14ac:dyDescent="0.2">
      <c r="B15" s="5" t="s">
        <v>111</v>
      </c>
      <c r="D15" s="213">
        <v>0</v>
      </c>
      <c r="E15" s="213">
        <v>0</v>
      </c>
      <c r="F15" s="213">
        <v>0</v>
      </c>
      <c r="G15" s="213">
        <v>4000</v>
      </c>
      <c r="H15" s="213">
        <v>1000</v>
      </c>
      <c r="K15" s="5" t="s">
        <v>111</v>
      </c>
      <c r="M15" s="213">
        <v>0</v>
      </c>
      <c r="N15" s="213">
        <v>0</v>
      </c>
      <c r="O15" s="213">
        <v>0</v>
      </c>
      <c r="P15" s="213">
        <v>4000</v>
      </c>
      <c r="Q15" s="213">
        <v>1000</v>
      </c>
      <c r="T15" s="5" t="s">
        <v>111</v>
      </c>
      <c r="V15" s="213">
        <v>0</v>
      </c>
      <c r="W15" s="213">
        <v>0</v>
      </c>
      <c r="X15" s="213">
        <v>0</v>
      </c>
      <c r="Y15" s="213">
        <v>-4000</v>
      </c>
      <c r="Z15" s="213">
        <v>-1000</v>
      </c>
    </row>
    <row r="16" spans="1:26" x14ac:dyDescent="0.2">
      <c r="B16" s="5" t="s">
        <v>45</v>
      </c>
      <c r="D16" s="214">
        <v>0</v>
      </c>
      <c r="E16" s="214">
        <v>0</v>
      </c>
      <c r="F16" s="214">
        <v>0</v>
      </c>
      <c r="G16" s="214">
        <v>0</v>
      </c>
      <c r="H16" s="214">
        <v>0</v>
      </c>
      <c r="K16" s="5" t="s">
        <v>45</v>
      </c>
      <c r="M16" s="214">
        <v>0</v>
      </c>
      <c r="N16" s="214">
        <v>0</v>
      </c>
      <c r="O16" s="214">
        <v>0</v>
      </c>
      <c r="P16" s="214">
        <v>0</v>
      </c>
      <c r="Q16" s="214">
        <v>0</v>
      </c>
      <c r="T16" s="5" t="s">
        <v>45</v>
      </c>
      <c r="V16" s="214">
        <v>0</v>
      </c>
      <c r="W16" s="214">
        <v>0</v>
      </c>
      <c r="X16" s="214">
        <v>0</v>
      </c>
      <c r="Y16" s="214">
        <v>0</v>
      </c>
      <c r="Z16" s="214">
        <v>0</v>
      </c>
    </row>
    <row r="17" spans="1:26" ht="13.5" thickBot="1" x14ac:dyDescent="0.25">
      <c r="D17" s="146"/>
      <c r="M17" s="146"/>
      <c r="V17" s="146"/>
    </row>
    <row r="18" spans="1:26" x14ac:dyDescent="0.2">
      <c r="D18" s="147">
        <f>-PV(D9/D12,D11*D12,D10,D15,D16)+D14</f>
        <v>3099.1235585324889</v>
      </c>
      <c r="E18" s="147">
        <f>-PV(E9/E12,E11*E12,E10,E15,E16)+E14</f>
        <v>3000</v>
      </c>
      <c r="F18" s="147">
        <f>-PV(F9/F12,F11*F12,F10,F15,F16)+F14</f>
        <v>3049.5617792662442</v>
      </c>
      <c r="G18" s="147">
        <f>-PV(G9/G12,G11*G12,G10,G15,G16)+G14</f>
        <v>2966.958813822504</v>
      </c>
      <c r="H18" s="147">
        <f>-PV(H9/H12,H11*H12,H10,H15,H16)+H14</f>
        <v>3016.5205930887482</v>
      </c>
      <c r="M18" s="147">
        <f>PV(M9/M12,M11*M12,M10,M15,M16)-M14</f>
        <v>-3099.1235585324889</v>
      </c>
      <c r="N18" s="147">
        <f t="shared" ref="N18:Q18" si="0">PV(N9/N12,N11*N12,N10,N15,N16)-N14</f>
        <v>-3000</v>
      </c>
      <c r="O18" s="147">
        <f t="shared" si="0"/>
        <v>-3049.5617792662442</v>
      </c>
      <c r="P18" s="147">
        <f t="shared" si="0"/>
        <v>-2966.958813822504</v>
      </c>
      <c r="Q18" s="147">
        <f t="shared" si="0"/>
        <v>-3016.5205930887482</v>
      </c>
      <c r="V18" s="147">
        <f>PV(V9/V12,V11*V12,V10,V15,V16)-V14</f>
        <v>3099.1235585324889</v>
      </c>
      <c r="W18" s="147">
        <f t="shared" ref="W18:Z18" si="1">PV(W9/W12,W11*W12,W10,W15,W16)-W14</f>
        <v>3000</v>
      </c>
      <c r="X18" s="147">
        <f t="shared" si="1"/>
        <v>3049.5617792662442</v>
      </c>
      <c r="Y18" s="147">
        <f t="shared" si="1"/>
        <v>2966.958813822504</v>
      </c>
      <c r="Z18" s="147">
        <f t="shared" si="1"/>
        <v>3016.5205930887482</v>
      </c>
    </row>
    <row r="19" spans="1:26" x14ac:dyDescent="0.2">
      <c r="A19" s="2"/>
      <c r="D19" s="149"/>
      <c r="F19" s="29"/>
      <c r="G19" s="29"/>
      <c r="J19" s="2"/>
      <c r="M19" s="149"/>
      <c r="O19" s="29"/>
      <c r="P19" s="29"/>
      <c r="S19" s="2"/>
      <c r="V19" s="149"/>
      <c r="X19" s="29"/>
      <c r="Y19" s="29"/>
    </row>
    <row r="20" spans="1:26" x14ac:dyDescent="0.2">
      <c r="A20" s="76" t="s">
        <v>299</v>
      </c>
      <c r="E20" s="77"/>
      <c r="J20" s="76" t="s">
        <v>258</v>
      </c>
      <c r="N20" s="77"/>
      <c r="S20" s="76" t="s">
        <v>258</v>
      </c>
      <c r="W20" s="77"/>
    </row>
    <row r="21" spans="1:26" x14ac:dyDescent="0.2">
      <c r="A21" s="148" t="s">
        <v>110</v>
      </c>
      <c r="D21" s="77"/>
      <c r="J21" s="148" t="s">
        <v>380</v>
      </c>
      <c r="M21" s="77"/>
      <c r="S21" s="148" t="s">
        <v>379</v>
      </c>
      <c r="V21" s="77"/>
    </row>
    <row r="22" spans="1:26" x14ac:dyDescent="0.2">
      <c r="B22" s="30" t="s">
        <v>67</v>
      </c>
      <c r="C22" s="5" t="s">
        <v>76</v>
      </c>
      <c r="K22" s="30"/>
      <c r="T22" s="30"/>
    </row>
    <row r="23" spans="1:26" x14ac:dyDescent="0.2">
      <c r="B23" s="30" t="s">
        <v>65</v>
      </c>
      <c r="C23" s="5" t="s">
        <v>75</v>
      </c>
      <c r="D23" s="77"/>
      <c r="K23" s="30"/>
      <c r="M23" s="77"/>
      <c r="T23" s="30"/>
      <c r="V23" s="77"/>
    </row>
    <row r="24" spans="1:26" x14ac:dyDescent="0.2">
      <c r="B24" s="30" t="s">
        <v>109</v>
      </c>
      <c r="C24" s="76" t="s">
        <v>108</v>
      </c>
      <c r="K24" s="30"/>
      <c r="L24" s="76"/>
      <c r="T24" s="30"/>
      <c r="U24" s="76"/>
    </row>
    <row r="25" spans="1:26" x14ac:dyDescent="0.2">
      <c r="B25" s="29" t="s">
        <v>61</v>
      </c>
      <c r="C25" s="76" t="s">
        <v>378</v>
      </c>
      <c r="K25" s="29"/>
      <c r="L25" s="41"/>
      <c r="T25" s="29"/>
      <c r="U25" s="41"/>
    </row>
    <row r="26" spans="1:26" x14ac:dyDescent="0.2">
      <c r="B26" s="29" t="s">
        <v>59</v>
      </c>
      <c r="C26" s="5" t="s">
        <v>107</v>
      </c>
      <c r="K26" s="29"/>
      <c r="T26" s="29"/>
    </row>
    <row r="27" spans="1:26" x14ac:dyDescent="0.2">
      <c r="B27" s="29"/>
      <c r="C27" s="5" t="s">
        <v>71</v>
      </c>
      <c r="K27" s="29"/>
      <c r="T27" s="29"/>
    </row>
    <row r="28" spans="1:26" x14ac:dyDescent="0.2">
      <c r="B28" s="29"/>
      <c r="K28" s="29"/>
      <c r="T28" s="29"/>
    </row>
    <row r="29" spans="1:26" x14ac:dyDescent="0.2">
      <c r="B29" s="29" t="s">
        <v>63</v>
      </c>
      <c r="C29" s="76" t="s">
        <v>381</v>
      </c>
      <c r="K29" s="29"/>
      <c r="L29" s="41"/>
      <c r="T29" s="29"/>
      <c r="U29" s="41"/>
    </row>
  </sheetData>
  <pageMargins left="0.75" right="0.75" top="1" bottom="1" header="0.5" footer="0.5"/>
  <pageSetup scale="77"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2"/>
  <dimension ref="A1:V12"/>
  <sheetViews>
    <sheetView zoomScaleNormal="100" workbookViewId="0">
      <selection activeCell="C8" sqref="C8"/>
    </sheetView>
  </sheetViews>
  <sheetFormatPr defaultRowHeight="12.75" x14ac:dyDescent="0.2"/>
  <cols>
    <col min="1" max="1" width="29.42578125" style="5" customWidth="1"/>
    <col min="2" max="2" width="8.7109375" style="5" bestFit="1" customWidth="1"/>
    <col min="3" max="3" width="8.28515625" style="5" customWidth="1"/>
    <col min="4" max="4" width="8.7109375" style="5" bestFit="1" customWidth="1"/>
    <col min="5" max="5" width="10.85546875" style="5" bestFit="1" customWidth="1"/>
    <col min="6" max="6" width="11.85546875" style="5" bestFit="1" customWidth="1"/>
    <col min="7" max="7" width="12.85546875" style="5" bestFit="1" customWidth="1"/>
    <col min="8" max="8" width="10.85546875" style="5" bestFit="1" customWidth="1"/>
    <col min="9" max="20" width="9.140625" style="5"/>
    <col min="21" max="21" width="13.42578125" style="5" hidden="1" customWidth="1"/>
    <col min="22" max="22" width="14" style="5" hidden="1" customWidth="1"/>
    <col min="23" max="16384" width="9.140625" style="5"/>
  </cols>
  <sheetData>
    <row r="1" spans="1:22" ht="18" x14ac:dyDescent="0.25">
      <c r="A1" s="4" t="s">
        <v>249</v>
      </c>
    </row>
    <row r="3" spans="1:22" ht="15" x14ac:dyDescent="0.2">
      <c r="A3" s="19" t="s">
        <v>42</v>
      </c>
      <c r="B3" s="18"/>
      <c r="C3" s="18"/>
      <c r="D3" s="18"/>
      <c r="E3" s="18"/>
      <c r="F3" s="18"/>
      <c r="G3" s="18"/>
    </row>
    <row r="4" spans="1:22" s="29" customFormat="1" ht="51" x14ac:dyDescent="0.2">
      <c r="A4" s="17" t="s">
        <v>41</v>
      </c>
      <c r="B4" s="16" t="s">
        <v>40</v>
      </c>
      <c r="C4" s="16" t="s">
        <v>233</v>
      </c>
      <c r="D4" s="16" t="s">
        <v>232</v>
      </c>
      <c r="E4" s="16" t="s">
        <v>37</v>
      </c>
      <c r="F4" s="16" t="s">
        <v>234</v>
      </c>
      <c r="G4" s="16" t="s">
        <v>235</v>
      </c>
      <c r="H4" s="16" t="s">
        <v>130</v>
      </c>
      <c r="U4" s="29" t="s">
        <v>63</v>
      </c>
      <c r="V4" s="29" t="s">
        <v>61</v>
      </c>
    </row>
    <row r="5" spans="1:22" x14ac:dyDescent="0.2">
      <c r="A5" s="141" t="s">
        <v>34</v>
      </c>
      <c r="B5" s="205">
        <v>4</v>
      </c>
      <c r="C5" s="215">
        <v>0.08</v>
      </c>
      <c r="D5" s="216">
        <v>5</v>
      </c>
      <c r="E5" s="37">
        <f>PMT(C5/B5,D5*B5,F5,G5)</f>
        <v>-61156.718125290397</v>
      </c>
      <c r="F5" s="218">
        <v>1000000</v>
      </c>
      <c r="G5" s="218">
        <v>0</v>
      </c>
      <c r="H5" s="228">
        <f>E5*B5</f>
        <v>-244626.87250116159</v>
      </c>
      <c r="U5" s="11">
        <f>-PV(C5/B5,D5*B5,E5,G5)+F5</f>
        <v>0</v>
      </c>
      <c r="V5" s="11">
        <f>-FV(C5/B5,D5*B5,E5,F5)+G5</f>
        <v>0</v>
      </c>
    </row>
    <row r="6" spans="1:22" x14ac:dyDescent="0.2">
      <c r="A6" s="93" t="s">
        <v>33</v>
      </c>
      <c r="B6" s="205">
        <v>12</v>
      </c>
      <c r="C6" s="215">
        <v>3.5000000000000003E-2</v>
      </c>
      <c r="D6" s="216">
        <v>2</v>
      </c>
      <c r="E6" s="219">
        <v>0</v>
      </c>
      <c r="F6" s="219">
        <v>-900000</v>
      </c>
      <c r="G6" s="222">
        <f>FV(C6/B6,D6*B6,E6,F6)</f>
        <v>965159.02263042156</v>
      </c>
      <c r="H6" s="229"/>
      <c r="U6" s="11">
        <f t="shared" ref="U6:U9" si="0">-PV(C6/B6,D6*B6,E6,G6)+F6</f>
        <v>0</v>
      </c>
      <c r="V6" s="11">
        <f t="shared" ref="V6:V9" si="1">-FV(C6/B6,D6*B6,E6,F6)+G6</f>
        <v>0</v>
      </c>
    </row>
    <row r="7" spans="1:22" x14ac:dyDescent="0.2">
      <c r="A7" s="141" t="s">
        <v>32</v>
      </c>
      <c r="B7" s="205">
        <v>12</v>
      </c>
      <c r="C7" s="215">
        <v>0.04</v>
      </c>
      <c r="D7" s="216">
        <v>1.5</v>
      </c>
      <c r="E7" s="219">
        <v>-50000</v>
      </c>
      <c r="F7" s="223">
        <f>PV(C7/B7,D7*B7,E7,G7)</f>
        <v>-69736.095464562793</v>
      </c>
      <c r="G7" s="219">
        <v>1000000</v>
      </c>
      <c r="H7" s="229"/>
      <c r="U7" s="11">
        <f t="shared" si="0"/>
        <v>0</v>
      </c>
      <c r="V7" s="11">
        <f t="shared" si="1"/>
        <v>0</v>
      </c>
    </row>
    <row r="8" spans="1:22" x14ac:dyDescent="0.2">
      <c r="A8" s="141" t="s">
        <v>31</v>
      </c>
      <c r="B8" s="205">
        <v>2</v>
      </c>
      <c r="C8" s="184">
        <f>B8*RATE(D8*B8,E8,F8,G8)</f>
        <v>8.4789286424155119E-2</v>
      </c>
      <c r="D8" s="216">
        <v>4</v>
      </c>
      <c r="E8" s="219">
        <v>-150000</v>
      </c>
      <c r="F8" s="219">
        <v>1000000</v>
      </c>
      <c r="G8" s="219">
        <v>0</v>
      </c>
      <c r="H8" s="220">
        <f>E8*B8</f>
        <v>-300000</v>
      </c>
      <c r="U8" s="11">
        <f t="shared" si="0"/>
        <v>2.3050233721733093E-8</v>
      </c>
      <c r="V8" s="11">
        <f t="shared" si="1"/>
        <v>3.2130628824234009E-8</v>
      </c>
    </row>
    <row r="9" spans="1:22" x14ac:dyDescent="0.2">
      <c r="A9" s="141" t="s">
        <v>30</v>
      </c>
      <c r="B9" s="205">
        <v>4</v>
      </c>
      <c r="C9" s="215">
        <v>6.5000000000000002E-2</v>
      </c>
      <c r="D9" s="39">
        <f>NPER(C9/B9,E9,F9,G9)/B9</f>
        <v>2.9095193490160596</v>
      </c>
      <c r="E9" s="219">
        <v>-95000</v>
      </c>
      <c r="F9" s="220">
        <v>1000000</v>
      </c>
      <c r="G9" s="221">
        <v>0</v>
      </c>
      <c r="H9" s="220">
        <f>E9*B9</f>
        <v>-380000</v>
      </c>
      <c r="U9" s="11">
        <f t="shared" si="0"/>
        <v>0</v>
      </c>
      <c r="V9" s="11">
        <f t="shared" si="1"/>
        <v>4.6566128730773926E-10</v>
      </c>
    </row>
    <row r="12" spans="1:22" x14ac:dyDescent="0.2">
      <c r="A12" s="76" t="s">
        <v>254</v>
      </c>
    </row>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2117-B388-4CBE-9C6D-F9FCA4F48B8C}">
  <sheetPr codeName="Sheet27"/>
  <dimension ref="A1:F27"/>
  <sheetViews>
    <sheetView zoomScale="175" zoomScaleNormal="175" workbookViewId="0">
      <selection activeCell="A2" sqref="A2"/>
    </sheetView>
  </sheetViews>
  <sheetFormatPr defaultColWidth="10.7109375" defaultRowHeight="12.75" x14ac:dyDescent="0.2"/>
  <cols>
    <col min="1" max="1" width="4.28515625" style="5" customWidth="1"/>
    <col min="2" max="2" width="8.140625" style="5" customWidth="1"/>
    <col min="3" max="3" width="20.5703125" style="5" customWidth="1"/>
    <col min="4" max="5" width="10.85546875" style="5" customWidth="1"/>
    <col min="7" max="16384" width="10.7109375" style="5"/>
  </cols>
  <sheetData>
    <row r="1" spans="1:6" s="144" customFormat="1" ht="18" x14ac:dyDescent="0.25">
      <c r="A1" s="309" t="s">
        <v>303</v>
      </c>
      <c r="F1" s="312"/>
    </row>
    <row r="2" spans="1:6" s="326" customFormat="1" ht="18" x14ac:dyDescent="0.25">
      <c r="A2" s="332"/>
      <c r="B2" s="330"/>
      <c r="F2" s="329"/>
    </row>
    <row r="3" spans="1:6" s="144" customFormat="1" ht="15" x14ac:dyDescent="0.25">
      <c r="A3" s="287" t="str">
        <f>IF(A2="","",IF(Disable_Video_Hyperlinks,A2,HYPERLINK(Video_website&amp;A2,A2)))</f>
        <v/>
      </c>
      <c r="B3" s="314"/>
      <c r="F3" s="312"/>
    </row>
    <row r="4" spans="1:6" ht="15" x14ac:dyDescent="0.25">
      <c r="A4" s="307" t="str">
        <f>IF(B2="","",B2)</f>
        <v/>
      </c>
      <c r="B4" s="188"/>
      <c r="C4" s="142"/>
      <c r="D4" s="142"/>
      <c r="E4" s="142"/>
    </row>
    <row r="5" spans="1:6" ht="18" x14ac:dyDescent="0.25">
      <c r="A5" s="31"/>
      <c r="B5" s="188"/>
      <c r="C5" s="142"/>
      <c r="D5" s="142"/>
      <c r="E5" s="142"/>
    </row>
    <row r="7" spans="1:6" x14ac:dyDescent="0.2">
      <c r="D7" s="30" t="s">
        <v>118</v>
      </c>
      <c r="E7" s="30" t="s">
        <v>127</v>
      </c>
    </row>
    <row r="8" spans="1:6" s="145" customFormat="1" x14ac:dyDescent="0.2">
      <c r="A8" s="45" t="s">
        <v>128</v>
      </c>
      <c r="B8" s="144"/>
      <c r="C8" s="144"/>
      <c r="D8" s="36" t="s">
        <v>116</v>
      </c>
      <c r="E8" s="36" t="s">
        <v>123</v>
      </c>
    </row>
    <row r="9" spans="1:6" x14ac:dyDescent="0.2">
      <c r="A9" s="2"/>
      <c r="B9" s="5" t="s">
        <v>39</v>
      </c>
      <c r="D9" s="209">
        <v>0.1</v>
      </c>
      <c r="E9" s="209">
        <v>0.1</v>
      </c>
    </row>
    <row r="10" spans="1:6" x14ac:dyDescent="0.2">
      <c r="A10" s="2"/>
      <c r="B10" s="5" t="s">
        <v>115</v>
      </c>
      <c r="D10" s="210">
        <v>100</v>
      </c>
      <c r="E10" s="210">
        <v>0</v>
      </c>
    </row>
    <row r="11" spans="1:6" x14ac:dyDescent="0.2">
      <c r="A11" s="2"/>
      <c r="B11" s="5" t="s">
        <v>114</v>
      </c>
      <c r="D11" s="211">
        <v>3</v>
      </c>
      <c r="E11" s="211">
        <v>3</v>
      </c>
    </row>
    <row r="12" spans="1:6" x14ac:dyDescent="0.2">
      <c r="A12" s="2"/>
      <c r="B12" s="5" t="s">
        <v>113</v>
      </c>
      <c r="D12" s="212">
        <v>12</v>
      </c>
      <c r="E12" s="212">
        <v>12</v>
      </c>
    </row>
    <row r="13" spans="1:6" x14ac:dyDescent="0.2">
      <c r="D13" s="26"/>
      <c r="E13" s="26"/>
    </row>
    <row r="14" spans="1:6" x14ac:dyDescent="0.2">
      <c r="B14" s="5" t="s">
        <v>112</v>
      </c>
      <c r="D14" s="213">
        <v>0</v>
      </c>
      <c r="E14" s="300">
        <f>D20</f>
        <v>3099.1235585324889</v>
      </c>
    </row>
    <row r="15" spans="1:6" x14ac:dyDescent="0.2">
      <c r="B15" s="5" t="s">
        <v>111</v>
      </c>
      <c r="D15" s="213">
        <v>0</v>
      </c>
      <c r="E15" s="213">
        <v>0</v>
      </c>
    </row>
    <row r="16" spans="1:6" x14ac:dyDescent="0.2">
      <c r="B16" s="5" t="s">
        <v>45</v>
      </c>
      <c r="D16" s="214">
        <v>0</v>
      </c>
      <c r="E16" s="214">
        <v>0</v>
      </c>
    </row>
    <row r="17" spans="1:5" x14ac:dyDescent="0.2">
      <c r="D17" s="146"/>
    </row>
    <row r="18" spans="1:5" x14ac:dyDescent="0.2">
      <c r="B18" s="5" t="s">
        <v>301</v>
      </c>
      <c r="D18" s="146">
        <f>D10*D11*D12+D14+D15</f>
        <v>3600</v>
      </c>
      <c r="E18" s="146">
        <f>E10*E11*E12+E14+E15</f>
        <v>3099.1235585324889</v>
      </c>
    </row>
    <row r="19" spans="1:5" ht="13.5" thickBot="1" x14ac:dyDescent="0.25">
      <c r="B19" s="148" t="s">
        <v>302</v>
      </c>
      <c r="D19" s="146"/>
    </row>
    <row r="20" spans="1:5" x14ac:dyDescent="0.2">
      <c r="B20" s="5" t="s">
        <v>300</v>
      </c>
      <c r="D20" s="147">
        <f>-PV(D9/D12,D11*D12,D10,D15,D16)+D14</f>
        <v>3099.1235585324889</v>
      </c>
      <c r="E20" s="147">
        <f>-PV(E9/E12,E11*E12,E10,E15,E16)+E14</f>
        <v>3099.1235585324889</v>
      </c>
    </row>
    <row r="21" spans="1:5" ht="13.5" thickBot="1" x14ac:dyDescent="0.25">
      <c r="A21" s="2"/>
      <c r="D21" s="301"/>
      <c r="E21" s="165"/>
    </row>
    <row r="22" spans="1:5" x14ac:dyDescent="0.2">
      <c r="B22" s="5" t="s">
        <v>304</v>
      </c>
      <c r="D22" s="77">
        <f>-FV(D9/D12,D11*D12,D10,D14,D16)+D15</f>
        <v>4178.1821090259218</v>
      </c>
      <c r="E22" s="77">
        <f>-FV(E9/E12,E11*E12,E10,E14,E16)+E15</f>
        <v>4178.1821090259218</v>
      </c>
    </row>
    <row r="27" spans="1:5" ht="12" customHeight="1" x14ac:dyDescent="0.2"/>
  </sheetData>
  <pageMargins left="0.75" right="0.75" top="1" bottom="1" header="0.5" footer="0.5"/>
  <pageSetup scale="77" orientation="portrait"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H60"/>
  <sheetViews>
    <sheetView zoomScale="145" zoomScaleNormal="145" workbookViewId="0">
      <pane ySplit="23" topLeftCell="A24" activePane="bottomLeft" state="frozen"/>
      <selection activeCell="A2" sqref="A2:XFD2"/>
      <selection pane="bottomLeft" activeCell="A2" sqref="A2:XFD2"/>
    </sheetView>
  </sheetViews>
  <sheetFormatPr defaultColWidth="10.7109375" defaultRowHeight="12.75" x14ac:dyDescent="0.2"/>
  <cols>
    <col min="1" max="1" width="4.28515625" style="1" customWidth="1"/>
    <col min="2" max="2" width="8.140625" style="1" customWidth="1"/>
    <col min="3" max="3" width="18.28515625" style="1" customWidth="1"/>
    <col min="4" max="4" width="10.7109375" style="240"/>
    <col min="5" max="16384" width="10.7109375" style="1"/>
  </cols>
  <sheetData>
    <row r="1" spans="1:8" s="44" customFormat="1" ht="18" x14ac:dyDescent="0.25">
      <c r="A1" s="309" t="s">
        <v>138</v>
      </c>
      <c r="D1" s="313"/>
    </row>
    <row r="2" spans="1:8" s="326" customFormat="1" hidden="1" x14ac:dyDescent="0.2">
      <c r="B2" s="330"/>
      <c r="D2" s="331"/>
    </row>
    <row r="3" spans="1:8" s="44" customFormat="1" collapsed="1" x14ac:dyDescent="0.2">
      <c r="A3" s="287" t="str">
        <f>IF(A2="","",IF(Disable_Video_Hyperlinks,A2,HYPERLINK(Video_website&amp;A2,A2)))</f>
        <v/>
      </c>
      <c r="D3" s="313"/>
    </row>
    <row r="4" spans="1:8" x14ac:dyDescent="0.2">
      <c r="A4" s="307" t="str">
        <f>IF(B2="","",B2)</f>
        <v/>
      </c>
    </row>
    <row r="6" spans="1:8" x14ac:dyDescent="0.2">
      <c r="D6" s="235" t="s">
        <v>118</v>
      </c>
    </row>
    <row r="7" spans="1:8" s="43" customFormat="1" x14ac:dyDescent="0.2">
      <c r="A7" s="45" t="s">
        <v>128</v>
      </c>
      <c r="B7" s="44"/>
      <c r="C7" s="44"/>
      <c r="D7" s="236" t="s">
        <v>116</v>
      </c>
      <c r="E7" s="35"/>
      <c r="F7" s="35"/>
      <c r="G7" s="35"/>
      <c r="H7" s="35"/>
    </row>
    <row r="8" spans="1:8" x14ac:dyDescent="0.2">
      <c r="A8" s="2"/>
      <c r="B8" s="1" t="s">
        <v>39</v>
      </c>
      <c r="D8" s="209">
        <v>0.1</v>
      </c>
      <c r="E8" s="7"/>
      <c r="F8" s="7"/>
      <c r="G8" s="7"/>
      <c r="H8" s="7"/>
    </row>
    <row r="9" spans="1:8" x14ac:dyDescent="0.2">
      <c r="A9" s="2"/>
      <c r="B9" s="1" t="s">
        <v>115</v>
      </c>
      <c r="D9" s="210">
        <v>100</v>
      </c>
      <c r="E9" s="8"/>
      <c r="F9" s="8"/>
      <c r="G9" s="8"/>
      <c r="H9" s="8"/>
    </row>
    <row r="10" spans="1:8" x14ac:dyDescent="0.2">
      <c r="A10" s="2"/>
      <c r="B10" s="1" t="s">
        <v>114</v>
      </c>
      <c r="D10" s="211">
        <v>3</v>
      </c>
    </row>
    <row r="11" spans="1:8" x14ac:dyDescent="0.2">
      <c r="A11" s="2"/>
      <c r="B11" s="1" t="s">
        <v>47</v>
      </c>
      <c r="D11" s="212">
        <v>12</v>
      </c>
      <c r="E11" s="47"/>
      <c r="F11" s="47"/>
      <c r="G11" s="47"/>
      <c r="H11" s="47"/>
    </row>
    <row r="12" spans="1:8" x14ac:dyDescent="0.2">
      <c r="D12" s="212"/>
      <c r="E12" s="47"/>
      <c r="F12" s="47"/>
      <c r="G12" s="47"/>
      <c r="H12" s="47"/>
    </row>
    <row r="13" spans="1:8" x14ac:dyDescent="0.2">
      <c r="B13" s="1" t="s">
        <v>112</v>
      </c>
      <c r="D13" s="213">
        <v>0</v>
      </c>
      <c r="E13" s="42"/>
      <c r="F13" s="42"/>
      <c r="G13" s="42"/>
      <c r="H13" s="42"/>
    </row>
    <row r="14" spans="1:8" x14ac:dyDescent="0.2">
      <c r="B14" s="1" t="s">
        <v>111</v>
      </c>
      <c r="D14" s="213">
        <v>0</v>
      </c>
      <c r="E14" s="42"/>
      <c r="F14" s="42"/>
      <c r="G14" s="42"/>
      <c r="H14" s="42"/>
    </row>
    <row r="15" spans="1:8" x14ac:dyDescent="0.2">
      <c r="B15" s="1" t="s">
        <v>45</v>
      </c>
      <c r="D15" s="214">
        <v>0</v>
      </c>
      <c r="E15" s="48"/>
      <c r="F15" s="48"/>
      <c r="G15" s="48"/>
      <c r="H15" s="48"/>
    </row>
    <row r="16" spans="1:8" ht="13.5" thickBot="1" x14ac:dyDescent="0.25">
      <c r="D16" s="241"/>
    </row>
    <row r="17" spans="1:7" x14ac:dyDescent="0.2">
      <c r="D17" s="242">
        <f>-PV(D8/D11,D10*D11,D9,D14,D15)+D13</f>
        <v>3099.1235585324889</v>
      </c>
    </row>
    <row r="18" spans="1:7" x14ac:dyDescent="0.2">
      <c r="A18" s="2"/>
      <c r="D18" s="243"/>
      <c r="F18" s="15"/>
      <c r="G18" s="15"/>
    </row>
    <row r="19" spans="1:7" x14ac:dyDescent="0.2">
      <c r="A19" s="45" t="s">
        <v>137</v>
      </c>
    </row>
    <row r="20" spans="1:7" x14ac:dyDescent="0.2">
      <c r="B20" s="47" t="s">
        <v>136</v>
      </c>
      <c r="D20" s="243" t="s">
        <v>135</v>
      </c>
    </row>
    <row r="21" spans="1:7" x14ac:dyDescent="0.2">
      <c r="B21" s="52">
        <v>0.1</v>
      </c>
      <c r="D21" s="175">
        <f>D24+NPV(B21/D11,D25:D60)</f>
        <v>3099.1235585325039</v>
      </c>
      <c r="E21" s="6"/>
    </row>
    <row r="22" spans="1:7" x14ac:dyDescent="0.2">
      <c r="E22" s="6"/>
    </row>
    <row r="23" spans="1:7" x14ac:dyDescent="0.2">
      <c r="B23" s="51" t="s">
        <v>134</v>
      </c>
      <c r="C23" s="50" t="s">
        <v>133</v>
      </c>
      <c r="D23" s="244" t="s">
        <v>132</v>
      </c>
    </row>
    <row r="24" spans="1:7" x14ac:dyDescent="0.2">
      <c r="A24" s="47"/>
      <c r="B24" s="49">
        <v>0</v>
      </c>
      <c r="C24" s="5" t="s">
        <v>131</v>
      </c>
      <c r="D24" s="245">
        <v>0</v>
      </c>
    </row>
    <row r="25" spans="1:7" x14ac:dyDescent="0.2">
      <c r="A25" s="47"/>
      <c r="B25" s="49">
        <v>1</v>
      </c>
      <c r="C25" s="1" t="str">
        <f>"("&amp;B25&amp;" period from now)"</f>
        <v>(1 period from now)</v>
      </c>
      <c r="D25" s="245">
        <v>100</v>
      </c>
    </row>
    <row r="26" spans="1:7" x14ac:dyDescent="0.2">
      <c r="A26" s="47"/>
      <c r="B26" s="49">
        <v>2</v>
      </c>
      <c r="C26" s="1" t="str">
        <f t="shared" ref="C26:C60" si="0">"("&amp;B26&amp;" periods from now)"</f>
        <v>(2 periods from now)</v>
      </c>
      <c r="D26" s="245">
        <v>100</v>
      </c>
    </row>
    <row r="27" spans="1:7" x14ac:dyDescent="0.2">
      <c r="A27" s="47"/>
      <c r="B27" s="49">
        <v>3</v>
      </c>
      <c r="C27" s="1" t="str">
        <f t="shared" si="0"/>
        <v>(3 periods from now)</v>
      </c>
      <c r="D27" s="245">
        <v>100</v>
      </c>
    </row>
    <row r="28" spans="1:7" x14ac:dyDescent="0.2">
      <c r="A28" s="47"/>
      <c r="B28" s="49">
        <v>4</v>
      </c>
      <c r="C28" s="1" t="str">
        <f t="shared" si="0"/>
        <v>(4 periods from now)</v>
      </c>
      <c r="D28" s="245">
        <v>100</v>
      </c>
    </row>
    <row r="29" spans="1:7" x14ac:dyDescent="0.2">
      <c r="A29" s="47"/>
      <c r="B29" s="49">
        <v>5</v>
      </c>
      <c r="C29" s="1" t="str">
        <f t="shared" si="0"/>
        <v>(5 periods from now)</v>
      </c>
      <c r="D29" s="245">
        <v>100</v>
      </c>
    </row>
    <row r="30" spans="1:7" x14ac:dyDescent="0.2">
      <c r="A30" s="47"/>
      <c r="B30" s="49">
        <v>6</v>
      </c>
      <c r="C30" s="1" t="str">
        <f t="shared" si="0"/>
        <v>(6 periods from now)</v>
      </c>
      <c r="D30" s="245">
        <v>100</v>
      </c>
    </row>
    <row r="31" spans="1:7" x14ac:dyDescent="0.2">
      <c r="A31" s="47"/>
      <c r="B31" s="49">
        <v>7</v>
      </c>
      <c r="C31" s="1" t="str">
        <f t="shared" si="0"/>
        <v>(7 periods from now)</v>
      </c>
      <c r="D31" s="245">
        <v>100</v>
      </c>
    </row>
    <row r="32" spans="1:7" x14ac:dyDescent="0.2">
      <c r="A32" s="47"/>
      <c r="B32" s="49">
        <v>8</v>
      </c>
      <c r="C32" s="1" t="str">
        <f t="shared" si="0"/>
        <v>(8 periods from now)</v>
      </c>
      <c r="D32" s="245">
        <v>100</v>
      </c>
    </row>
    <row r="33" spans="1:4" x14ac:dyDescent="0.2">
      <c r="A33" s="47"/>
      <c r="B33" s="49">
        <v>9</v>
      </c>
      <c r="C33" s="1" t="str">
        <f t="shared" si="0"/>
        <v>(9 periods from now)</v>
      </c>
      <c r="D33" s="245">
        <v>100</v>
      </c>
    </row>
    <row r="34" spans="1:4" x14ac:dyDescent="0.2">
      <c r="A34" s="47"/>
      <c r="B34" s="49">
        <v>10</v>
      </c>
      <c r="C34" s="1" t="str">
        <f t="shared" si="0"/>
        <v>(10 periods from now)</v>
      </c>
      <c r="D34" s="245">
        <v>100</v>
      </c>
    </row>
    <row r="35" spans="1:4" x14ac:dyDescent="0.2">
      <c r="A35" s="47"/>
      <c r="B35" s="49">
        <v>11</v>
      </c>
      <c r="C35" s="1" t="str">
        <f t="shared" si="0"/>
        <v>(11 periods from now)</v>
      </c>
      <c r="D35" s="245">
        <v>100</v>
      </c>
    </row>
    <row r="36" spans="1:4" x14ac:dyDescent="0.2">
      <c r="A36" s="47"/>
      <c r="B36" s="49">
        <v>12</v>
      </c>
      <c r="C36" s="1" t="str">
        <f t="shared" si="0"/>
        <v>(12 periods from now)</v>
      </c>
      <c r="D36" s="245">
        <v>100</v>
      </c>
    </row>
    <row r="37" spans="1:4" x14ac:dyDescent="0.2">
      <c r="A37" s="47"/>
      <c r="B37" s="49">
        <v>13</v>
      </c>
      <c r="C37" s="1" t="str">
        <f t="shared" si="0"/>
        <v>(13 periods from now)</v>
      </c>
      <c r="D37" s="245">
        <v>100</v>
      </c>
    </row>
    <row r="38" spans="1:4" x14ac:dyDescent="0.2">
      <c r="A38" s="47"/>
      <c r="B38" s="49">
        <v>14</v>
      </c>
      <c r="C38" s="1" t="str">
        <f t="shared" si="0"/>
        <v>(14 periods from now)</v>
      </c>
      <c r="D38" s="245">
        <v>100</v>
      </c>
    </row>
    <row r="39" spans="1:4" x14ac:dyDescent="0.2">
      <c r="A39" s="47"/>
      <c r="B39" s="49">
        <v>15</v>
      </c>
      <c r="C39" s="1" t="str">
        <f t="shared" si="0"/>
        <v>(15 periods from now)</v>
      </c>
      <c r="D39" s="245">
        <v>100</v>
      </c>
    </row>
    <row r="40" spans="1:4" x14ac:dyDescent="0.2">
      <c r="A40" s="47"/>
      <c r="B40" s="49">
        <v>16</v>
      </c>
      <c r="C40" s="1" t="str">
        <f t="shared" si="0"/>
        <v>(16 periods from now)</v>
      </c>
      <c r="D40" s="245">
        <v>100</v>
      </c>
    </row>
    <row r="41" spans="1:4" x14ac:dyDescent="0.2">
      <c r="A41" s="47"/>
      <c r="B41" s="49">
        <v>17</v>
      </c>
      <c r="C41" s="1" t="str">
        <f t="shared" si="0"/>
        <v>(17 periods from now)</v>
      </c>
      <c r="D41" s="245">
        <v>100</v>
      </c>
    </row>
    <row r="42" spans="1:4" x14ac:dyDescent="0.2">
      <c r="A42" s="47"/>
      <c r="B42" s="49">
        <v>18</v>
      </c>
      <c r="C42" s="1" t="str">
        <f t="shared" si="0"/>
        <v>(18 periods from now)</v>
      </c>
      <c r="D42" s="245">
        <v>100</v>
      </c>
    </row>
    <row r="43" spans="1:4" x14ac:dyDescent="0.2">
      <c r="A43" s="47"/>
      <c r="B43" s="49">
        <v>19</v>
      </c>
      <c r="C43" s="1" t="str">
        <f t="shared" si="0"/>
        <v>(19 periods from now)</v>
      </c>
      <c r="D43" s="245">
        <v>100</v>
      </c>
    </row>
    <row r="44" spans="1:4" x14ac:dyDescent="0.2">
      <c r="A44" s="47"/>
      <c r="B44" s="49">
        <v>20</v>
      </c>
      <c r="C44" s="1" t="str">
        <f t="shared" si="0"/>
        <v>(20 periods from now)</v>
      </c>
      <c r="D44" s="245">
        <v>100</v>
      </c>
    </row>
    <row r="45" spans="1:4" x14ac:dyDescent="0.2">
      <c r="A45" s="47"/>
      <c r="B45" s="49">
        <v>21</v>
      </c>
      <c r="C45" s="1" t="str">
        <f t="shared" si="0"/>
        <v>(21 periods from now)</v>
      </c>
      <c r="D45" s="245">
        <v>100</v>
      </c>
    </row>
    <row r="46" spans="1:4" x14ac:dyDescent="0.2">
      <c r="A46" s="47"/>
      <c r="B46" s="49">
        <v>22</v>
      </c>
      <c r="C46" s="1" t="str">
        <f t="shared" si="0"/>
        <v>(22 periods from now)</v>
      </c>
      <c r="D46" s="245">
        <v>100</v>
      </c>
    </row>
    <row r="47" spans="1:4" x14ac:dyDescent="0.2">
      <c r="A47" s="47"/>
      <c r="B47" s="49">
        <v>23</v>
      </c>
      <c r="C47" s="1" t="str">
        <f t="shared" si="0"/>
        <v>(23 periods from now)</v>
      </c>
      <c r="D47" s="245">
        <v>100</v>
      </c>
    </row>
    <row r="48" spans="1:4" x14ac:dyDescent="0.2">
      <c r="A48" s="47"/>
      <c r="B48" s="49">
        <v>24</v>
      </c>
      <c r="C48" s="1" t="str">
        <f t="shared" si="0"/>
        <v>(24 periods from now)</v>
      </c>
      <c r="D48" s="245">
        <v>100</v>
      </c>
    </row>
    <row r="49" spans="1:4" x14ac:dyDescent="0.2">
      <c r="A49" s="47"/>
      <c r="B49" s="49">
        <v>25</v>
      </c>
      <c r="C49" s="1" t="str">
        <f t="shared" si="0"/>
        <v>(25 periods from now)</v>
      </c>
      <c r="D49" s="245">
        <v>100</v>
      </c>
    </row>
    <row r="50" spans="1:4" x14ac:dyDescent="0.2">
      <c r="A50" s="47"/>
      <c r="B50" s="49">
        <v>26</v>
      </c>
      <c r="C50" s="1" t="str">
        <f t="shared" si="0"/>
        <v>(26 periods from now)</v>
      </c>
      <c r="D50" s="245">
        <v>100</v>
      </c>
    </row>
    <row r="51" spans="1:4" x14ac:dyDescent="0.2">
      <c r="A51" s="47"/>
      <c r="B51" s="49">
        <v>27</v>
      </c>
      <c r="C51" s="1" t="str">
        <f t="shared" si="0"/>
        <v>(27 periods from now)</v>
      </c>
      <c r="D51" s="245">
        <v>100</v>
      </c>
    </row>
    <row r="52" spans="1:4" x14ac:dyDescent="0.2">
      <c r="A52" s="47"/>
      <c r="B52" s="49">
        <v>28</v>
      </c>
      <c r="C52" s="1" t="str">
        <f t="shared" si="0"/>
        <v>(28 periods from now)</v>
      </c>
      <c r="D52" s="245">
        <v>100</v>
      </c>
    </row>
    <row r="53" spans="1:4" x14ac:dyDescent="0.2">
      <c r="A53" s="47"/>
      <c r="B53" s="49">
        <v>29</v>
      </c>
      <c r="C53" s="1" t="str">
        <f t="shared" si="0"/>
        <v>(29 periods from now)</v>
      </c>
      <c r="D53" s="245">
        <v>100</v>
      </c>
    </row>
    <row r="54" spans="1:4" x14ac:dyDescent="0.2">
      <c r="A54" s="47"/>
      <c r="B54" s="49">
        <v>30</v>
      </c>
      <c r="C54" s="1" t="str">
        <f t="shared" si="0"/>
        <v>(30 periods from now)</v>
      </c>
      <c r="D54" s="245">
        <v>100</v>
      </c>
    </row>
    <row r="55" spans="1:4" x14ac:dyDescent="0.2">
      <c r="A55" s="47"/>
      <c r="B55" s="49">
        <v>31</v>
      </c>
      <c r="C55" s="1" t="str">
        <f t="shared" si="0"/>
        <v>(31 periods from now)</v>
      </c>
      <c r="D55" s="245">
        <v>100</v>
      </c>
    </row>
    <row r="56" spans="1:4" x14ac:dyDescent="0.2">
      <c r="A56" s="47"/>
      <c r="B56" s="49">
        <v>32</v>
      </c>
      <c r="C56" s="1" t="str">
        <f t="shared" si="0"/>
        <v>(32 periods from now)</v>
      </c>
      <c r="D56" s="245">
        <v>100</v>
      </c>
    </row>
    <row r="57" spans="1:4" x14ac:dyDescent="0.2">
      <c r="A57" s="47"/>
      <c r="B57" s="49">
        <v>33</v>
      </c>
      <c r="C57" s="1" t="str">
        <f t="shared" si="0"/>
        <v>(33 periods from now)</v>
      </c>
      <c r="D57" s="245">
        <v>100</v>
      </c>
    </row>
    <row r="58" spans="1:4" x14ac:dyDescent="0.2">
      <c r="A58" s="47"/>
      <c r="B58" s="49">
        <v>34</v>
      </c>
      <c r="C58" s="1" t="str">
        <f t="shared" si="0"/>
        <v>(34 periods from now)</v>
      </c>
      <c r="D58" s="245">
        <v>100</v>
      </c>
    </row>
    <row r="59" spans="1:4" x14ac:dyDescent="0.2">
      <c r="A59" s="47"/>
      <c r="B59" s="49">
        <v>35</v>
      </c>
      <c r="C59" s="1" t="str">
        <f t="shared" si="0"/>
        <v>(35 periods from now)</v>
      </c>
      <c r="D59" s="245">
        <v>100</v>
      </c>
    </row>
    <row r="60" spans="1:4" x14ac:dyDescent="0.2">
      <c r="A60" s="47"/>
      <c r="B60" s="49">
        <v>36</v>
      </c>
      <c r="C60" s="1" t="str">
        <f t="shared" si="0"/>
        <v>(36 periods from now)</v>
      </c>
      <c r="D60" s="245">
        <v>100</v>
      </c>
    </row>
  </sheetData>
  <pageMargins left="0.75" right="0.75" top="1" bottom="1" header="0.5" footer="0.5"/>
  <pageSetup scale="77" orientation="portrait"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X32"/>
  <sheetViews>
    <sheetView zoomScale="145" zoomScaleNormal="145" workbookViewId="0">
      <selection activeCell="I3" sqref="I3"/>
    </sheetView>
  </sheetViews>
  <sheetFormatPr defaultColWidth="10.7109375" defaultRowHeight="12.75" outlineLevelRow="1" outlineLevelCol="1" x14ac:dyDescent="0.2"/>
  <cols>
    <col min="1" max="1" width="8.85546875" style="5" customWidth="1"/>
    <col min="2" max="2" width="20.140625" style="5" customWidth="1"/>
    <col min="3" max="3" width="11.5703125" style="5" customWidth="1"/>
    <col min="4" max="8" width="10.85546875" style="5" customWidth="1"/>
    <col min="9" max="9" width="8.28515625" style="5" customWidth="1"/>
    <col min="10" max="10" width="20.140625" style="5" customWidth="1" outlineLevel="1"/>
    <col min="11" max="11" width="11.5703125" style="5" customWidth="1" outlineLevel="1"/>
    <col min="12" max="16" width="10.85546875" style="5" customWidth="1" outlineLevel="1"/>
    <col min="17" max="17" width="10.7109375" style="5" customWidth="1" outlineLevel="1"/>
    <col min="18" max="18" width="8.140625" style="5" customWidth="1" outlineLevel="1"/>
    <col min="19" max="19" width="20.5703125" style="5" customWidth="1" outlineLevel="1"/>
    <col min="20" max="24" width="10.85546875" style="5" customWidth="1" outlineLevel="1"/>
    <col min="25" max="16384" width="10.7109375" style="5"/>
  </cols>
  <sheetData>
    <row r="1" spans="1:23" s="144" customFormat="1" ht="18" x14ac:dyDescent="0.25">
      <c r="A1" s="309" t="s">
        <v>249</v>
      </c>
    </row>
    <row r="2" spans="1:23" s="326" customFormat="1" hidden="1" outlineLevel="1" x14ac:dyDescent="0.2">
      <c r="A2" s="326" t="s">
        <v>317</v>
      </c>
      <c r="B2" s="327">
        <v>9.4212962962962957E-3</v>
      </c>
    </row>
    <row r="3" spans="1:23" s="144" customFormat="1" collapsed="1" x14ac:dyDescent="0.2">
      <c r="A3" s="287" t="str">
        <f>IF(A2="","",IF(Disable_Video_Hyperlinks,A2,HYPERLINK(Video_website&amp;A2,A2)))</f>
        <v>UNC_DAYT_EXCEL_4.2.6_LECTURE_RATE_IRR_NPER.mp4</v>
      </c>
    </row>
    <row r="4" spans="1:23" x14ac:dyDescent="0.2">
      <c r="A4" s="307">
        <f>IF(B2="","",B2)</f>
        <v>9.4212962962962957E-3</v>
      </c>
    </row>
    <row r="6" spans="1:23" x14ac:dyDescent="0.2">
      <c r="C6" s="30" t="s">
        <v>118</v>
      </c>
      <c r="D6" s="30" t="s">
        <v>127</v>
      </c>
      <c r="E6" s="30" t="s">
        <v>126</v>
      </c>
      <c r="F6" s="30" t="s">
        <v>125</v>
      </c>
      <c r="G6" s="30" t="s">
        <v>124</v>
      </c>
      <c r="K6" s="30" t="s">
        <v>118</v>
      </c>
      <c r="L6" s="30" t="s">
        <v>127</v>
      </c>
      <c r="M6" s="30" t="s">
        <v>126</v>
      </c>
      <c r="N6" s="30" t="s">
        <v>125</v>
      </c>
      <c r="O6" s="30" t="s">
        <v>124</v>
      </c>
      <c r="S6" s="30" t="s">
        <v>118</v>
      </c>
      <c r="T6" s="30" t="s">
        <v>127</v>
      </c>
      <c r="U6" s="30" t="s">
        <v>126</v>
      </c>
      <c r="V6" s="30" t="s">
        <v>125</v>
      </c>
      <c r="W6" s="30" t="s">
        <v>124</v>
      </c>
    </row>
    <row r="7" spans="1:23" s="145" customFormat="1" ht="25.5" x14ac:dyDescent="0.2">
      <c r="A7" s="143"/>
      <c r="B7" s="144"/>
      <c r="C7" s="36" t="s">
        <v>116</v>
      </c>
      <c r="D7" s="36" t="s">
        <v>123</v>
      </c>
      <c r="E7" s="36" t="s">
        <v>122</v>
      </c>
      <c r="F7" s="36" t="s">
        <v>121</v>
      </c>
      <c r="G7" s="36" t="s">
        <v>120</v>
      </c>
      <c r="I7" s="143"/>
      <c r="J7" s="144"/>
      <c r="K7" s="36" t="s">
        <v>116</v>
      </c>
      <c r="L7" s="36" t="s">
        <v>123</v>
      </c>
      <c r="M7" s="36" t="s">
        <v>122</v>
      </c>
      <c r="N7" s="36" t="s">
        <v>121</v>
      </c>
      <c r="O7" s="36" t="s">
        <v>120</v>
      </c>
      <c r="Q7" s="143"/>
      <c r="R7" s="144"/>
      <c r="S7" s="36" t="s">
        <v>116</v>
      </c>
      <c r="T7" s="36" t="s">
        <v>123</v>
      </c>
      <c r="U7" s="36" t="s">
        <v>122</v>
      </c>
      <c r="V7" s="36" t="s">
        <v>121</v>
      </c>
      <c r="W7" s="36" t="s">
        <v>120</v>
      </c>
    </row>
    <row r="8" spans="1:23" x14ac:dyDescent="0.2">
      <c r="A8" s="5" t="s">
        <v>39</v>
      </c>
      <c r="C8" s="172">
        <f t="shared" ref="C8:F8" si="0">RATE(C10*C11,C9,C13,C14-C17,C15)*C11</f>
        <v>0.100000000000115</v>
      </c>
      <c r="D8" s="172">
        <f t="shared" si="0"/>
        <v>0.10000000000361471</v>
      </c>
      <c r="E8" s="172">
        <f t="shared" si="0"/>
        <v>0.10000000000002851</v>
      </c>
      <c r="F8" s="172" t="e">
        <f t="shared" si="0"/>
        <v>#NUM!</v>
      </c>
      <c r="G8" s="172">
        <f>RATE(G10*G11,G9,G13,G14-G17,G15)*G11</f>
        <v>0.10000000000025644</v>
      </c>
      <c r="I8" s="5" t="s">
        <v>39</v>
      </c>
      <c r="K8" s="172">
        <f>RATE(K10*K11,K9,K13,K14+K17,K15)*K11</f>
        <v>0.10000000000010134</v>
      </c>
      <c r="L8" s="172">
        <f t="shared" ref="L8:O8" si="1">RATE(L10*L11,L9,L13,L14+L17,L15)*L11</f>
        <v>0.10000000000361396</v>
      </c>
      <c r="M8" s="172">
        <f t="shared" si="1"/>
        <v>0.10000000000003254</v>
      </c>
      <c r="N8" s="172" t="e">
        <f t="shared" si="1"/>
        <v>#NUM!</v>
      </c>
      <c r="O8" s="172">
        <f t="shared" si="1"/>
        <v>0.10000000000025347</v>
      </c>
      <c r="Q8" s="5" t="s">
        <v>39</v>
      </c>
      <c r="S8" s="172">
        <f>RATE(S10*S11,S9,S13,S14+S17,S15)*S11</f>
        <v>0.10000000000020694</v>
      </c>
      <c r="T8" s="172">
        <f t="shared" ref="T8" si="2">RATE(T10*T11,T9,T13,T14+T17,T15)*T11</f>
        <v>0.10000000000749627</v>
      </c>
      <c r="U8" s="172">
        <f t="shared" ref="U8" si="3">RATE(U10*U11,U9,U13,U14+U17,U15)*U11</f>
        <v>0.10000000000006803</v>
      </c>
      <c r="V8" s="172" t="e">
        <f t="shared" ref="V8" si="4">RATE(V10*V11,V9,V13,V14+V17,V15)*V11</f>
        <v>#NUM!</v>
      </c>
      <c r="W8" s="172">
        <f t="shared" ref="W8" si="5">RATE(W10*W11,W9,W13,W14+W17,W15)*W11</f>
        <v>0.10000000000056072</v>
      </c>
    </row>
    <row r="9" spans="1:23" x14ac:dyDescent="0.2">
      <c r="A9" s="5" t="s">
        <v>115</v>
      </c>
      <c r="C9" s="210">
        <v>100</v>
      </c>
      <c r="D9" s="210">
        <v>0</v>
      </c>
      <c r="E9" s="210">
        <v>50</v>
      </c>
      <c r="F9" s="210">
        <v>0</v>
      </c>
      <c r="G9" s="210">
        <v>25</v>
      </c>
      <c r="I9" s="5" t="s">
        <v>115</v>
      </c>
      <c r="K9" s="210">
        <v>100</v>
      </c>
      <c r="L9" s="210">
        <v>0</v>
      </c>
      <c r="M9" s="210">
        <v>50</v>
      </c>
      <c r="N9" s="210">
        <v>0</v>
      </c>
      <c r="O9" s="210">
        <v>25</v>
      </c>
      <c r="Q9" s="5" t="s">
        <v>115</v>
      </c>
      <c r="S9" s="210">
        <v>-100</v>
      </c>
      <c r="T9" s="210">
        <v>0</v>
      </c>
      <c r="U9" s="210">
        <v>-50</v>
      </c>
      <c r="V9" s="210">
        <v>0</v>
      </c>
      <c r="W9" s="210">
        <v>-25</v>
      </c>
    </row>
    <row r="10" spans="1:23" x14ac:dyDescent="0.2">
      <c r="A10" s="5" t="s">
        <v>114</v>
      </c>
      <c r="C10" s="211">
        <v>3</v>
      </c>
      <c r="D10" s="211">
        <v>3</v>
      </c>
      <c r="E10" s="211">
        <v>3</v>
      </c>
      <c r="F10" s="211">
        <v>3</v>
      </c>
      <c r="G10" s="211">
        <v>3</v>
      </c>
      <c r="I10" s="5" t="s">
        <v>114</v>
      </c>
      <c r="K10" s="211">
        <v>3</v>
      </c>
      <c r="L10" s="211">
        <v>3</v>
      </c>
      <c r="M10" s="211">
        <v>3</v>
      </c>
      <c r="N10" s="211">
        <v>3</v>
      </c>
      <c r="O10" s="211">
        <v>3</v>
      </c>
      <c r="Q10" s="5" t="s">
        <v>114</v>
      </c>
      <c r="S10" s="211">
        <v>3</v>
      </c>
      <c r="T10" s="211">
        <v>3</v>
      </c>
      <c r="U10" s="211">
        <v>3</v>
      </c>
      <c r="V10" s="211">
        <v>3</v>
      </c>
      <c r="W10" s="211">
        <v>3</v>
      </c>
    </row>
    <row r="11" spans="1:23" x14ac:dyDescent="0.2">
      <c r="A11" s="5" t="s">
        <v>113</v>
      </c>
      <c r="C11" s="212">
        <v>12</v>
      </c>
      <c r="D11" s="212">
        <v>12</v>
      </c>
      <c r="E11" s="212">
        <v>12</v>
      </c>
      <c r="F11" s="212">
        <v>12</v>
      </c>
      <c r="G11" s="212">
        <v>12</v>
      </c>
      <c r="I11" s="5" t="s">
        <v>113</v>
      </c>
      <c r="K11" s="212">
        <v>12</v>
      </c>
      <c r="L11" s="212">
        <v>12</v>
      </c>
      <c r="M11" s="212">
        <v>12</v>
      </c>
      <c r="N11" s="212">
        <v>12</v>
      </c>
      <c r="O11" s="212">
        <v>12</v>
      </c>
      <c r="Q11" s="5" t="s">
        <v>113</v>
      </c>
      <c r="S11" s="212">
        <v>12</v>
      </c>
      <c r="T11" s="212">
        <v>12</v>
      </c>
      <c r="U11" s="212">
        <v>12</v>
      </c>
      <c r="V11" s="212">
        <v>12</v>
      </c>
      <c r="W11" s="212">
        <v>12</v>
      </c>
    </row>
    <row r="12" spans="1:23" x14ac:dyDescent="0.2">
      <c r="C12" s="26"/>
      <c r="D12" s="26"/>
      <c r="E12" s="26"/>
      <c r="F12" s="26"/>
      <c r="G12" s="26"/>
      <c r="K12" s="26"/>
      <c r="L12" s="26"/>
      <c r="M12" s="26"/>
      <c r="N12" s="26"/>
      <c r="O12" s="26"/>
      <c r="S12" s="180"/>
      <c r="T12" s="180"/>
      <c r="U12" s="180"/>
      <c r="V12" s="180"/>
      <c r="W12" s="180"/>
    </row>
    <row r="13" spans="1:23" x14ac:dyDescent="0.2">
      <c r="A13" s="5" t="s">
        <v>112</v>
      </c>
      <c r="C13" s="213">
        <v>0</v>
      </c>
      <c r="D13" s="213">
        <v>3000</v>
      </c>
      <c r="E13" s="213">
        <v>1500</v>
      </c>
      <c r="F13" s="213">
        <v>0</v>
      </c>
      <c r="G13" s="213">
        <v>1500</v>
      </c>
      <c r="I13" s="5" t="s">
        <v>112</v>
      </c>
      <c r="K13" s="213">
        <v>0</v>
      </c>
      <c r="L13" s="213">
        <v>3000</v>
      </c>
      <c r="M13" s="213">
        <v>1500</v>
      </c>
      <c r="N13" s="213">
        <v>0</v>
      </c>
      <c r="O13" s="213">
        <v>1500</v>
      </c>
      <c r="Q13" s="5" t="s">
        <v>112</v>
      </c>
      <c r="S13" s="213">
        <v>0</v>
      </c>
      <c r="T13" s="213">
        <v>-3000</v>
      </c>
      <c r="U13" s="213">
        <v>-1500</v>
      </c>
      <c r="V13" s="213">
        <v>0</v>
      </c>
      <c r="W13" s="213">
        <v>-1500</v>
      </c>
    </row>
    <row r="14" spans="1:23" x14ac:dyDescent="0.2">
      <c r="A14" s="5" t="s">
        <v>111</v>
      </c>
      <c r="C14" s="213">
        <v>0</v>
      </c>
      <c r="D14" s="213">
        <v>0</v>
      </c>
      <c r="E14" s="213">
        <v>0</v>
      </c>
      <c r="F14" s="213">
        <v>4000</v>
      </c>
      <c r="G14" s="213">
        <v>1000</v>
      </c>
      <c r="I14" s="5" t="s">
        <v>111</v>
      </c>
      <c r="K14" s="213">
        <v>0</v>
      </c>
      <c r="L14" s="213">
        <v>0</v>
      </c>
      <c r="M14" s="213">
        <v>0</v>
      </c>
      <c r="N14" s="213">
        <v>4000</v>
      </c>
      <c r="O14" s="213">
        <v>1000</v>
      </c>
      <c r="Q14" s="5" t="s">
        <v>111</v>
      </c>
      <c r="S14" s="213">
        <v>0</v>
      </c>
      <c r="T14" s="213">
        <v>0</v>
      </c>
      <c r="U14" s="213">
        <v>0</v>
      </c>
      <c r="V14" s="213">
        <v>-4000</v>
      </c>
      <c r="W14" s="213">
        <v>-1000</v>
      </c>
    </row>
    <row r="15" spans="1:23" x14ac:dyDescent="0.2">
      <c r="A15" s="5" t="s">
        <v>45</v>
      </c>
      <c r="C15" s="214">
        <v>0</v>
      </c>
      <c r="D15" s="214">
        <v>0</v>
      </c>
      <c r="E15" s="214">
        <v>0</v>
      </c>
      <c r="F15" s="214">
        <v>0</v>
      </c>
      <c r="G15" s="214">
        <v>0</v>
      </c>
      <c r="I15" s="5" t="s">
        <v>45</v>
      </c>
      <c r="K15" s="214">
        <v>0</v>
      </c>
      <c r="L15" s="214">
        <v>0</v>
      </c>
      <c r="M15" s="214">
        <v>0</v>
      </c>
      <c r="N15" s="214">
        <v>0</v>
      </c>
      <c r="O15" s="214">
        <v>0</v>
      </c>
      <c r="Q15" s="5" t="s">
        <v>45</v>
      </c>
      <c r="S15" s="214">
        <v>0</v>
      </c>
      <c r="T15" s="214">
        <v>0</v>
      </c>
      <c r="U15" s="214">
        <v>0</v>
      </c>
      <c r="V15" s="214">
        <v>0</v>
      </c>
      <c r="W15" s="214">
        <v>0</v>
      </c>
    </row>
    <row r="16" spans="1:23" ht="13.5" thickBot="1" x14ac:dyDescent="0.25">
      <c r="C16" s="146"/>
      <c r="D16" s="146"/>
      <c r="E16" s="146"/>
      <c r="F16" s="146"/>
      <c r="G16" s="146"/>
      <c r="K16" s="146"/>
      <c r="L16" s="146"/>
      <c r="M16" s="146"/>
      <c r="N16" s="146"/>
      <c r="O16" s="146"/>
      <c r="S16" s="232"/>
      <c r="T16" s="232"/>
      <c r="U16" s="232"/>
      <c r="V16" s="232"/>
      <c r="W16" s="232"/>
    </row>
    <row r="17" spans="1:23" x14ac:dyDescent="0.2">
      <c r="A17" s="5" t="s">
        <v>247</v>
      </c>
      <c r="C17" s="230">
        <v>4178.1821090259218</v>
      </c>
      <c r="D17" s="230">
        <v>4044.5455272564805</v>
      </c>
      <c r="E17" s="230">
        <v>4111.3638181412007</v>
      </c>
      <c r="F17" s="230">
        <v>4000</v>
      </c>
      <c r="G17" s="230">
        <v>4066.8182908847207</v>
      </c>
      <c r="I17" s="5" t="s">
        <v>247</v>
      </c>
      <c r="K17" s="230">
        <v>-4178.18210902592</v>
      </c>
      <c r="L17" s="230">
        <v>-4044.54552725648</v>
      </c>
      <c r="M17" s="230">
        <v>-4111.3638181411998</v>
      </c>
      <c r="N17" s="230">
        <v>-4000</v>
      </c>
      <c r="O17" s="230">
        <v>-4066.8182908847202</v>
      </c>
      <c r="Q17" s="5" t="s">
        <v>247</v>
      </c>
      <c r="S17" s="230">
        <v>4178.18210902592</v>
      </c>
      <c r="T17" s="230">
        <v>4044.54552725648</v>
      </c>
      <c r="U17" s="230">
        <v>4111.3638181411998</v>
      </c>
      <c r="V17" s="230">
        <v>4000</v>
      </c>
      <c r="W17" s="230">
        <v>4066.8182908847202</v>
      </c>
    </row>
    <row r="18" spans="1:23" x14ac:dyDescent="0.2">
      <c r="C18" s="146"/>
      <c r="E18" s="29"/>
      <c r="F18" s="29"/>
      <c r="K18" s="146"/>
      <c r="M18" s="29"/>
      <c r="N18" s="29"/>
      <c r="S18" s="232"/>
      <c r="T18" s="231"/>
      <c r="U18" s="233"/>
      <c r="V18" s="233"/>
      <c r="W18" s="231"/>
    </row>
    <row r="19" spans="1:23" x14ac:dyDescent="0.2">
      <c r="A19"/>
      <c r="B19"/>
      <c r="C19"/>
      <c r="D19"/>
      <c r="E19"/>
      <c r="F19"/>
      <c r="I19"/>
      <c r="J19"/>
      <c r="K19"/>
      <c r="L19"/>
      <c r="M19"/>
      <c r="N19"/>
      <c r="Q19"/>
      <c r="R19"/>
      <c r="S19" s="234"/>
      <c r="T19" s="234"/>
      <c r="U19" s="234"/>
      <c r="V19" s="234"/>
      <c r="W19" s="231"/>
    </row>
    <row r="20" spans="1:23" x14ac:dyDescent="0.2">
      <c r="A20"/>
      <c r="B20"/>
      <c r="C20"/>
      <c r="D20"/>
      <c r="E20"/>
      <c r="F20"/>
      <c r="I20"/>
      <c r="J20"/>
      <c r="K20"/>
      <c r="L20"/>
      <c r="M20"/>
      <c r="N20"/>
      <c r="Q20"/>
      <c r="R20"/>
      <c r="S20" s="234"/>
      <c r="T20" s="234"/>
      <c r="U20" s="234"/>
      <c r="V20" s="234"/>
      <c r="W20" s="231"/>
    </row>
    <row r="21" spans="1:23" x14ac:dyDescent="0.2">
      <c r="C21" s="30" t="s">
        <v>118</v>
      </c>
      <c r="D21" s="30" t="s">
        <v>127</v>
      </c>
      <c r="E21" s="30" t="s">
        <v>126</v>
      </c>
      <c r="F21" s="30" t="s">
        <v>125</v>
      </c>
      <c r="G21" s="30" t="s">
        <v>124</v>
      </c>
      <c r="K21" s="30" t="s">
        <v>118</v>
      </c>
      <c r="L21" s="30" t="s">
        <v>127</v>
      </c>
      <c r="M21" s="30" t="s">
        <v>126</v>
      </c>
      <c r="N21" s="30" t="s">
        <v>125</v>
      </c>
      <c r="O21" s="30" t="s">
        <v>124</v>
      </c>
      <c r="S21" s="235" t="s">
        <v>118</v>
      </c>
      <c r="T21" s="235" t="s">
        <v>127</v>
      </c>
      <c r="U21" s="235" t="s">
        <v>126</v>
      </c>
      <c r="V21" s="235" t="s">
        <v>125</v>
      </c>
      <c r="W21" s="235" t="s">
        <v>124</v>
      </c>
    </row>
    <row r="22" spans="1:23" ht="25.5" x14ac:dyDescent="0.2">
      <c r="A22" s="143"/>
      <c r="B22" s="144"/>
      <c r="C22" s="36" t="s">
        <v>116</v>
      </c>
      <c r="D22" s="36" t="s">
        <v>123</v>
      </c>
      <c r="E22" s="36" t="s">
        <v>122</v>
      </c>
      <c r="F22" s="36" t="s">
        <v>121</v>
      </c>
      <c r="G22" s="36" t="s">
        <v>120</v>
      </c>
      <c r="I22" s="143"/>
      <c r="J22" s="144"/>
      <c r="K22" s="36" t="s">
        <v>116</v>
      </c>
      <c r="L22" s="36" t="s">
        <v>123</v>
      </c>
      <c r="M22" s="36" t="s">
        <v>122</v>
      </c>
      <c r="N22" s="36" t="s">
        <v>121</v>
      </c>
      <c r="O22" s="36" t="s">
        <v>120</v>
      </c>
      <c r="Q22" s="143"/>
      <c r="R22" s="144"/>
      <c r="S22" s="236" t="s">
        <v>116</v>
      </c>
      <c r="T22" s="236" t="s">
        <v>123</v>
      </c>
      <c r="U22" s="236" t="s">
        <v>122</v>
      </c>
      <c r="V22" s="236" t="s">
        <v>121</v>
      </c>
      <c r="W22" s="236" t="s">
        <v>120</v>
      </c>
    </row>
    <row r="23" spans="1:23" x14ac:dyDescent="0.2">
      <c r="A23" s="5" t="s">
        <v>39</v>
      </c>
      <c r="C23" s="172">
        <f t="shared" ref="C23" si="6">RATE(C25*C26,C24,C28-C32,C29,C30)*C26</f>
        <v>0.10000000000046383</v>
      </c>
      <c r="D23" s="172" t="e">
        <f t="shared" ref="D23" si="7">RATE(D25*D26,D24,D28-D32,D29,D30)*D26</f>
        <v>#NUM!</v>
      </c>
      <c r="E23" s="172">
        <f t="shared" ref="E23" si="8">RATE(E25*E26,E24,E28-E32,E29,E30)*E26</f>
        <v>0.10000000000045964</v>
      </c>
      <c r="F23" s="172">
        <f t="shared" ref="F23" si="9">RATE(F25*F26,F24,F28-F32,F29,F30)*F26</f>
        <v>0.10000000000749781</v>
      </c>
      <c r="G23" s="172">
        <f t="shared" ref="G23" si="10">RATE(G25*G26,G24,G28-G32,G29,G30)*G26</f>
        <v>0.10000000000000185</v>
      </c>
      <c r="I23" s="5" t="s">
        <v>39</v>
      </c>
      <c r="K23" s="172">
        <f>RATE(K25*K26,K24,K28+K32,K29,K30)*K26</f>
        <v>0.10000000000046383</v>
      </c>
      <c r="L23" s="172" t="e">
        <f t="shared" ref="L23:O23" si="11">RATE(L25*L26,L24,L28+L32,L29,L30)*L26</f>
        <v>#NUM!</v>
      </c>
      <c r="M23" s="172">
        <f t="shared" si="11"/>
        <v>0.1000000000004679</v>
      </c>
      <c r="N23" s="172">
        <f t="shared" si="11"/>
        <v>0.10000000000749598</v>
      </c>
      <c r="O23" s="172">
        <f t="shared" si="11"/>
        <v>0.10000000000000185</v>
      </c>
      <c r="Q23" s="5" t="s">
        <v>39</v>
      </c>
      <c r="S23" s="172">
        <f>RATE(S25*S26,S24,S28+S32,S29,S30)*S26</f>
        <v>0.10000000000019593</v>
      </c>
      <c r="T23" s="172" t="e">
        <f t="shared" ref="T23" si="12">RATE(T25*T26,T24,T28+T32,T29,T30)*T26</f>
        <v>#NUM!</v>
      </c>
      <c r="U23" s="172">
        <f t="shared" ref="U23" si="13">RATE(U25*U26,U24,U28+U32,U29,U30)*U26</f>
        <v>0.10000000000020032</v>
      </c>
      <c r="V23" s="172">
        <f t="shared" ref="V23" si="14">RATE(V25*V26,V24,V28+V32,V29,V30)*V26</f>
        <v>0.10000000000361511</v>
      </c>
      <c r="W23" s="172">
        <f t="shared" ref="W23" si="15">RATE(W25*W26,W24,W28+W32,W29,W30)*W26</f>
        <v>9.9999999999998701E-2</v>
      </c>
    </row>
    <row r="24" spans="1:23" x14ac:dyDescent="0.2">
      <c r="A24" s="5" t="s">
        <v>115</v>
      </c>
      <c r="C24" s="210">
        <v>100</v>
      </c>
      <c r="D24" s="210">
        <v>0</v>
      </c>
      <c r="E24" s="210">
        <v>50</v>
      </c>
      <c r="F24" s="210">
        <v>0</v>
      </c>
      <c r="G24" s="210">
        <v>25</v>
      </c>
      <c r="I24" s="5" t="s">
        <v>115</v>
      </c>
      <c r="K24" s="210">
        <v>100</v>
      </c>
      <c r="L24" s="210">
        <v>0</v>
      </c>
      <c r="M24" s="210">
        <v>50</v>
      </c>
      <c r="N24" s="210">
        <v>0</v>
      </c>
      <c r="O24" s="210">
        <v>25</v>
      </c>
      <c r="Q24" s="5" t="s">
        <v>115</v>
      </c>
      <c r="S24" s="210">
        <v>-100</v>
      </c>
      <c r="T24" s="210">
        <v>0</v>
      </c>
      <c r="U24" s="210">
        <v>-50</v>
      </c>
      <c r="V24" s="210">
        <v>0</v>
      </c>
      <c r="W24" s="210">
        <v>-25</v>
      </c>
    </row>
    <row r="25" spans="1:23" x14ac:dyDescent="0.2">
      <c r="A25" s="5" t="s">
        <v>114</v>
      </c>
      <c r="C25" s="211">
        <v>3</v>
      </c>
      <c r="D25" s="211">
        <v>3</v>
      </c>
      <c r="E25" s="211">
        <v>3</v>
      </c>
      <c r="F25" s="211">
        <v>3</v>
      </c>
      <c r="G25" s="211">
        <v>3</v>
      </c>
      <c r="I25" s="5" t="s">
        <v>114</v>
      </c>
      <c r="K25" s="211">
        <v>3</v>
      </c>
      <c r="L25" s="211">
        <v>3</v>
      </c>
      <c r="M25" s="211">
        <v>3</v>
      </c>
      <c r="N25" s="211">
        <v>3</v>
      </c>
      <c r="O25" s="211">
        <v>3</v>
      </c>
      <c r="Q25" s="5" t="s">
        <v>114</v>
      </c>
      <c r="S25" s="211">
        <v>3</v>
      </c>
      <c r="T25" s="211">
        <v>3</v>
      </c>
      <c r="U25" s="211">
        <v>3</v>
      </c>
      <c r="V25" s="211">
        <v>3</v>
      </c>
      <c r="W25" s="211">
        <v>3</v>
      </c>
    </row>
    <row r="26" spans="1:23" x14ac:dyDescent="0.2">
      <c r="A26" s="5" t="s">
        <v>113</v>
      </c>
      <c r="C26" s="212">
        <v>12</v>
      </c>
      <c r="D26" s="212">
        <v>12</v>
      </c>
      <c r="E26" s="212">
        <v>12</v>
      </c>
      <c r="F26" s="212">
        <v>12</v>
      </c>
      <c r="G26" s="212">
        <v>12</v>
      </c>
      <c r="I26" s="5" t="s">
        <v>113</v>
      </c>
      <c r="K26" s="212">
        <v>12</v>
      </c>
      <c r="L26" s="212">
        <v>12</v>
      </c>
      <c r="M26" s="212">
        <v>12</v>
      </c>
      <c r="N26" s="212">
        <v>12</v>
      </c>
      <c r="O26" s="212">
        <v>12</v>
      </c>
      <c r="Q26" s="5" t="s">
        <v>113</v>
      </c>
      <c r="S26" s="212">
        <v>12</v>
      </c>
      <c r="T26" s="212">
        <v>12</v>
      </c>
      <c r="U26" s="212">
        <v>12</v>
      </c>
      <c r="V26" s="212">
        <v>12</v>
      </c>
      <c r="W26" s="212">
        <v>12</v>
      </c>
    </row>
    <row r="27" spans="1:23" x14ac:dyDescent="0.2">
      <c r="C27" s="26"/>
      <c r="D27" s="26"/>
      <c r="E27" s="26"/>
      <c r="F27" s="26"/>
      <c r="G27" s="26"/>
      <c r="K27" s="26"/>
      <c r="L27" s="26"/>
      <c r="M27" s="26"/>
      <c r="N27" s="26"/>
      <c r="O27" s="26"/>
      <c r="S27" s="180"/>
      <c r="T27" s="180"/>
      <c r="U27" s="180"/>
      <c r="V27" s="180"/>
      <c r="W27" s="180"/>
    </row>
    <row r="28" spans="1:23" x14ac:dyDescent="0.2">
      <c r="A28" s="5" t="s">
        <v>112</v>
      </c>
      <c r="C28" s="213">
        <v>0</v>
      </c>
      <c r="D28" s="213">
        <v>3000</v>
      </c>
      <c r="E28" s="213">
        <v>1500</v>
      </c>
      <c r="F28" s="213">
        <v>0</v>
      </c>
      <c r="G28" s="213">
        <v>1500</v>
      </c>
      <c r="I28" s="5" t="s">
        <v>112</v>
      </c>
      <c r="K28" s="213">
        <v>0</v>
      </c>
      <c r="L28" s="213">
        <v>3000</v>
      </c>
      <c r="M28" s="213">
        <v>1500</v>
      </c>
      <c r="N28" s="213">
        <v>0</v>
      </c>
      <c r="O28" s="213">
        <v>1500</v>
      </c>
      <c r="Q28" s="5" t="s">
        <v>112</v>
      </c>
      <c r="S28" s="213">
        <v>0</v>
      </c>
      <c r="T28" s="213">
        <v>-3000</v>
      </c>
      <c r="U28" s="213">
        <v>-1500</v>
      </c>
      <c r="V28" s="213">
        <v>0</v>
      </c>
      <c r="W28" s="213">
        <v>-1500</v>
      </c>
    </row>
    <row r="29" spans="1:23" x14ac:dyDescent="0.2">
      <c r="A29" s="5" t="s">
        <v>111</v>
      </c>
      <c r="C29" s="213">
        <v>0</v>
      </c>
      <c r="D29" s="213">
        <v>0</v>
      </c>
      <c r="E29" s="213">
        <v>0</v>
      </c>
      <c r="F29" s="213">
        <v>4000</v>
      </c>
      <c r="G29" s="213">
        <v>1000</v>
      </c>
      <c r="I29" s="5" t="s">
        <v>111</v>
      </c>
      <c r="K29" s="213">
        <v>0</v>
      </c>
      <c r="L29" s="213">
        <v>0</v>
      </c>
      <c r="M29" s="213">
        <v>0</v>
      </c>
      <c r="N29" s="213">
        <v>4000</v>
      </c>
      <c r="O29" s="213">
        <v>1000</v>
      </c>
      <c r="Q29" s="5" t="s">
        <v>111</v>
      </c>
      <c r="S29" s="213">
        <v>0</v>
      </c>
      <c r="T29" s="213">
        <v>0</v>
      </c>
      <c r="U29" s="213">
        <v>0</v>
      </c>
      <c r="V29" s="213">
        <v>-4000</v>
      </c>
      <c r="W29" s="213">
        <v>-1000</v>
      </c>
    </row>
    <row r="30" spans="1:23" x14ac:dyDescent="0.2">
      <c r="A30" s="5" t="s">
        <v>45</v>
      </c>
      <c r="C30" s="214">
        <v>0</v>
      </c>
      <c r="D30" s="214">
        <v>0</v>
      </c>
      <c r="E30" s="214">
        <v>0</v>
      </c>
      <c r="F30" s="214">
        <v>0</v>
      </c>
      <c r="G30" s="214">
        <v>0</v>
      </c>
      <c r="I30" s="5" t="s">
        <v>45</v>
      </c>
      <c r="K30" s="214">
        <v>0</v>
      </c>
      <c r="L30" s="214">
        <v>0</v>
      </c>
      <c r="M30" s="214">
        <v>0</v>
      </c>
      <c r="N30" s="214">
        <v>0</v>
      </c>
      <c r="O30" s="214">
        <v>0</v>
      </c>
      <c r="Q30" s="5" t="s">
        <v>45</v>
      </c>
      <c r="S30" s="214">
        <v>0</v>
      </c>
      <c r="T30" s="214">
        <v>0</v>
      </c>
      <c r="U30" s="214">
        <v>0</v>
      </c>
      <c r="V30" s="214">
        <v>0</v>
      </c>
      <c r="W30" s="214">
        <v>0</v>
      </c>
    </row>
    <row r="31" spans="1:23" ht="13.5" thickBot="1" x14ac:dyDescent="0.25">
      <c r="C31" s="146"/>
      <c r="D31" s="146"/>
      <c r="E31" s="146"/>
      <c r="F31" s="146"/>
      <c r="G31" s="146"/>
      <c r="K31" s="146"/>
      <c r="L31" s="146"/>
      <c r="M31" s="146"/>
      <c r="N31" s="146"/>
      <c r="O31" s="146"/>
      <c r="S31" s="232"/>
      <c r="T31" s="232"/>
      <c r="U31" s="232"/>
      <c r="V31" s="232"/>
      <c r="W31" s="232"/>
    </row>
    <row r="32" spans="1:23" x14ac:dyDescent="0.2">
      <c r="A32" s="5" t="s">
        <v>248</v>
      </c>
      <c r="C32" s="230">
        <v>3099.1235585324898</v>
      </c>
      <c r="D32" s="230">
        <v>3000</v>
      </c>
      <c r="E32" s="230">
        <v>3049.5617792662442</v>
      </c>
      <c r="F32" s="230">
        <v>2966.958813822504</v>
      </c>
      <c r="G32" s="230">
        <v>3016.52059308875</v>
      </c>
      <c r="I32" s="5" t="s">
        <v>248</v>
      </c>
      <c r="K32" s="230">
        <v>-3099.1235585324898</v>
      </c>
      <c r="L32" s="230">
        <v>-3000</v>
      </c>
      <c r="M32" s="230">
        <v>-3049.5617792662401</v>
      </c>
      <c r="N32" s="230">
        <v>-2966.9588138224999</v>
      </c>
      <c r="O32" s="230">
        <v>-3016.52059308875</v>
      </c>
      <c r="Q32" s="5" t="s">
        <v>248</v>
      </c>
      <c r="S32" s="230">
        <v>3099.1235585324898</v>
      </c>
      <c r="T32" s="230">
        <v>3000</v>
      </c>
      <c r="U32" s="230">
        <v>3049.5617792662401</v>
      </c>
      <c r="V32" s="230">
        <v>2966.9588138224999</v>
      </c>
      <c r="W32" s="230">
        <v>3016.52059308875</v>
      </c>
    </row>
  </sheetData>
  <conditionalFormatting sqref="B2">
    <cfRule type="expression" dxfId="31" priority="1">
      <formula>NOT(_xlfn.ISFORMULA(B2))</formula>
    </cfRule>
  </conditionalFormatting>
  <pageMargins left="0.75" right="0.75" top="1" bottom="1" header="0.5" footer="0.5"/>
  <pageSetup scale="77"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3"/>
  <sheetViews>
    <sheetView zoomScale="130" zoomScaleNormal="130" workbookViewId="0">
      <selection activeCell="A2" sqref="A2"/>
    </sheetView>
  </sheetViews>
  <sheetFormatPr defaultRowHeight="12.75" x14ac:dyDescent="0.2"/>
  <cols>
    <col min="1" max="1" width="12.42578125" style="1" customWidth="1"/>
    <col min="2" max="6" width="9.140625" style="1"/>
    <col min="7" max="7" width="10.7109375" style="1" bestFit="1" customWidth="1"/>
    <col min="8" max="9" width="9.140625" style="1"/>
    <col min="10" max="10" width="7.85546875" style="1" bestFit="1" customWidth="1"/>
    <col min="11" max="11" width="10.7109375" style="1" bestFit="1" customWidth="1"/>
    <col min="12" max="12" width="9.140625" style="1"/>
    <col min="13" max="13" width="12.28515625" style="1" customWidth="1"/>
    <col min="14" max="14" width="10.7109375" style="1" bestFit="1" customWidth="1"/>
    <col min="15" max="16384" width="9.140625" style="1"/>
  </cols>
  <sheetData>
    <row r="1" spans="1:5" ht="18" x14ac:dyDescent="0.25">
      <c r="A1" s="4" t="s">
        <v>28</v>
      </c>
    </row>
    <row r="2" spans="1:5" s="226" customFormat="1" hidden="1" x14ac:dyDescent="0.2">
      <c r="B2" s="325"/>
    </row>
    <row r="3" spans="1:5" x14ac:dyDescent="0.2">
      <c r="A3" s="303" t="str">
        <f>IF(A2="","",IF(Disable_Video_Hyperlinks,A2,HYPERLINK(Video_website&amp;A2,A2)))</f>
        <v/>
      </c>
    </row>
    <row r="4" spans="1:5" x14ac:dyDescent="0.2">
      <c r="A4" s="307" t="str">
        <f>IF(B2="","",B2)</f>
        <v/>
      </c>
    </row>
    <row r="6" spans="1:5" x14ac:dyDescent="0.2">
      <c r="A6" s="2" t="s">
        <v>27</v>
      </c>
    </row>
    <row r="7" spans="1:5" x14ac:dyDescent="0.2">
      <c r="A7" s="5" t="s">
        <v>12</v>
      </c>
      <c r="B7" s="191">
        <v>10000</v>
      </c>
    </row>
    <row r="8" spans="1:5" x14ac:dyDescent="0.2">
      <c r="A8" s="5" t="s">
        <v>17</v>
      </c>
      <c r="B8" s="192">
        <v>0.04</v>
      </c>
    </row>
    <row r="9" spans="1:5" x14ac:dyDescent="0.2">
      <c r="A9" s="5" t="s">
        <v>228</v>
      </c>
      <c r="B9" s="251">
        <v>2</v>
      </c>
    </row>
    <row r="11" spans="1:5" x14ac:dyDescent="0.2">
      <c r="A11" s="5" t="s">
        <v>26</v>
      </c>
      <c r="E11" s="11">
        <f>B7*B8</f>
        <v>400</v>
      </c>
    </row>
    <row r="12" spans="1:5" x14ac:dyDescent="0.2">
      <c r="A12" s="5" t="s">
        <v>25</v>
      </c>
      <c r="E12" s="11">
        <f>B7*B8</f>
        <v>400</v>
      </c>
    </row>
    <row r="13" spans="1:5" ht="13.5" thickBot="1" x14ac:dyDescent="0.25">
      <c r="A13" s="5" t="s">
        <v>24</v>
      </c>
      <c r="E13" s="10">
        <f>SUM(E11:E12)</f>
        <v>800</v>
      </c>
    </row>
    <row r="16" spans="1:5" x14ac:dyDescent="0.2">
      <c r="A16" s="2" t="s">
        <v>18</v>
      </c>
    </row>
    <row r="17" spans="1:14" x14ac:dyDescent="0.2">
      <c r="A17" s="5" t="s">
        <v>12</v>
      </c>
      <c r="C17" s="191">
        <v>10000</v>
      </c>
    </row>
    <row r="18" spans="1:14" x14ac:dyDescent="0.2">
      <c r="A18" s="5" t="s">
        <v>17</v>
      </c>
      <c r="C18" s="192">
        <v>0.04</v>
      </c>
      <c r="D18" s="5" t="s">
        <v>23</v>
      </c>
    </row>
    <row r="19" spans="1:14" x14ac:dyDescent="0.2">
      <c r="A19" s="5" t="s">
        <v>15</v>
      </c>
      <c r="B19" s="7"/>
      <c r="C19" s="251">
        <v>1</v>
      </c>
      <c r="D19" s="5" t="s">
        <v>22</v>
      </c>
    </row>
    <row r="20" spans="1:14" x14ac:dyDescent="0.2">
      <c r="A20" s="5" t="s">
        <v>228</v>
      </c>
      <c r="B20" s="7"/>
      <c r="C20" s="251">
        <v>2</v>
      </c>
      <c r="D20" s="5"/>
    </row>
    <row r="22" spans="1:14" x14ac:dyDescent="0.2">
      <c r="A22" s="5" t="s">
        <v>21</v>
      </c>
      <c r="I22" s="8">
        <f>C17*C18</f>
        <v>400</v>
      </c>
    </row>
    <row r="23" spans="1:14" x14ac:dyDescent="0.2">
      <c r="A23" s="5" t="s">
        <v>20</v>
      </c>
      <c r="I23" s="8">
        <f>(C17+I22)*C18/C19</f>
        <v>416</v>
      </c>
    </row>
    <row r="24" spans="1:14" ht="13.5" thickBot="1" x14ac:dyDescent="0.25">
      <c r="A24" s="5" t="s">
        <v>19</v>
      </c>
      <c r="I24" s="9">
        <f>SUM(I22:I23)</f>
        <v>816</v>
      </c>
    </row>
    <row r="27" spans="1:14" x14ac:dyDescent="0.2">
      <c r="A27" s="2" t="s">
        <v>18</v>
      </c>
    </row>
    <row r="28" spans="1:14" x14ac:dyDescent="0.2">
      <c r="A28" s="5" t="s">
        <v>12</v>
      </c>
      <c r="C28" s="191">
        <v>10000</v>
      </c>
    </row>
    <row r="29" spans="1:14" x14ac:dyDescent="0.2">
      <c r="A29" s="5" t="s">
        <v>17</v>
      </c>
      <c r="C29" s="192">
        <v>0.04</v>
      </c>
      <c r="D29" s="5" t="s">
        <v>16</v>
      </c>
      <c r="G29" s="6"/>
    </row>
    <row r="30" spans="1:14" x14ac:dyDescent="0.2">
      <c r="A30" s="5" t="s">
        <v>15</v>
      </c>
      <c r="B30" s="7"/>
      <c r="C30" s="251">
        <v>4</v>
      </c>
      <c r="D30" s="5" t="s">
        <v>14</v>
      </c>
    </row>
    <row r="31" spans="1:14" x14ac:dyDescent="0.2">
      <c r="A31" s="5" t="s">
        <v>228</v>
      </c>
      <c r="B31" s="7"/>
      <c r="C31" s="251">
        <v>2</v>
      </c>
      <c r="D31" s="5"/>
      <c r="G31" s="6"/>
      <c r="J31" s="15"/>
      <c r="K31" s="30" t="s">
        <v>230</v>
      </c>
      <c r="L31" s="15"/>
      <c r="M31" s="30" t="s">
        <v>229</v>
      </c>
      <c r="N31" s="30" t="s">
        <v>231</v>
      </c>
    </row>
    <row r="32" spans="1:14" x14ac:dyDescent="0.2">
      <c r="A32" s="5"/>
      <c r="B32" s="7"/>
      <c r="C32" s="5"/>
      <c r="J32" s="30" t="s">
        <v>13</v>
      </c>
      <c r="K32" s="30" t="s">
        <v>12</v>
      </c>
      <c r="L32" s="30" t="s">
        <v>11</v>
      </c>
      <c r="M32" s="30" t="s">
        <v>11</v>
      </c>
      <c r="N32" s="30" t="s">
        <v>12</v>
      </c>
    </row>
    <row r="33" spans="1:14" ht="14.25" x14ac:dyDescent="0.2">
      <c r="A33" s="5" t="s">
        <v>10</v>
      </c>
      <c r="J33" s="1">
        <v>1</v>
      </c>
      <c r="K33" s="175">
        <f>C28</f>
        <v>10000</v>
      </c>
      <c r="L33" s="6">
        <f t="shared" ref="L33:L40" si="0">K33*$C$29/$C$30</f>
        <v>100</v>
      </c>
      <c r="M33" s="6">
        <f>L33</f>
        <v>100</v>
      </c>
      <c r="N33" s="6">
        <f>K33+L33</f>
        <v>10100</v>
      </c>
    </row>
    <row r="34" spans="1:14" ht="14.25" x14ac:dyDescent="0.2">
      <c r="A34" s="5" t="s">
        <v>9</v>
      </c>
      <c r="J34" s="1">
        <v>2</v>
      </c>
      <c r="K34" s="6">
        <f t="shared" ref="K34:K40" si="1">K33+L33</f>
        <v>10100</v>
      </c>
      <c r="L34" s="6">
        <f t="shared" si="0"/>
        <v>101</v>
      </c>
      <c r="M34" s="6">
        <f t="shared" ref="M34:M40" si="2">M33+L34</f>
        <v>201</v>
      </c>
      <c r="N34" s="6">
        <f t="shared" ref="N34:N40" si="3">K34+L34</f>
        <v>10201</v>
      </c>
    </row>
    <row r="35" spans="1:14" ht="14.25" x14ac:dyDescent="0.2">
      <c r="A35" s="5" t="s">
        <v>8</v>
      </c>
      <c r="J35" s="1">
        <v>3</v>
      </c>
      <c r="K35" s="6">
        <f t="shared" si="1"/>
        <v>10201</v>
      </c>
      <c r="L35" s="6">
        <f t="shared" si="0"/>
        <v>102.01</v>
      </c>
      <c r="M35" s="6">
        <f t="shared" si="2"/>
        <v>303.01</v>
      </c>
      <c r="N35" s="6">
        <f t="shared" si="3"/>
        <v>10303.01</v>
      </c>
    </row>
    <row r="36" spans="1:14" ht="14.25" x14ac:dyDescent="0.2">
      <c r="A36" s="5" t="s">
        <v>7</v>
      </c>
      <c r="J36" s="1">
        <v>4</v>
      </c>
      <c r="K36" s="6">
        <f t="shared" si="1"/>
        <v>10303.01</v>
      </c>
      <c r="L36" s="6">
        <f t="shared" si="0"/>
        <v>103.0301</v>
      </c>
      <c r="M36" s="6">
        <f t="shared" si="2"/>
        <v>406.0401</v>
      </c>
      <c r="N36" s="6">
        <f t="shared" si="3"/>
        <v>10406.0401</v>
      </c>
    </row>
    <row r="37" spans="1:14" x14ac:dyDescent="0.2">
      <c r="A37" s="5" t="s">
        <v>6</v>
      </c>
      <c r="J37" s="1">
        <v>5</v>
      </c>
      <c r="K37" s="6">
        <f t="shared" si="1"/>
        <v>10406.0401</v>
      </c>
      <c r="L37" s="6">
        <f t="shared" si="0"/>
        <v>104.060401</v>
      </c>
      <c r="M37" s="6">
        <f t="shared" si="2"/>
        <v>510.10050100000001</v>
      </c>
      <c r="N37" s="6">
        <f t="shared" si="3"/>
        <v>10510.100501000001</v>
      </c>
    </row>
    <row r="38" spans="1:14" x14ac:dyDescent="0.2">
      <c r="J38" s="1">
        <v>6</v>
      </c>
      <c r="K38" s="6">
        <f t="shared" si="1"/>
        <v>10510.100501000001</v>
      </c>
      <c r="L38" s="6">
        <f t="shared" si="0"/>
        <v>105.10100501000001</v>
      </c>
      <c r="M38" s="6">
        <f t="shared" si="2"/>
        <v>615.20150601</v>
      </c>
      <c r="N38" s="6">
        <f t="shared" si="3"/>
        <v>10615.20150601</v>
      </c>
    </row>
    <row r="39" spans="1:14" x14ac:dyDescent="0.2">
      <c r="A39" s="5"/>
      <c r="J39" s="1">
        <v>7</v>
      </c>
      <c r="K39" s="6">
        <f t="shared" si="1"/>
        <v>10615.20150601</v>
      </c>
      <c r="L39" s="6">
        <f t="shared" si="0"/>
        <v>106.1520150601</v>
      </c>
      <c r="M39" s="6">
        <f t="shared" si="2"/>
        <v>721.35352107009999</v>
      </c>
      <c r="N39" s="6">
        <f t="shared" si="3"/>
        <v>10721.353521070101</v>
      </c>
    </row>
    <row r="40" spans="1:14" x14ac:dyDescent="0.2">
      <c r="A40" s="5"/>
      <c r="J40" s="1">
        <v>8</v>
      </c>
      <c r="K40" s="6">
        <f t="shared" si="1"/>
        <v>10721.353521070101</v>
      </c>
      <c r="L40" s="6">
        <f t="shared" si="0"/>
        <v>107.21353521070101</v>
      </c>
      <c r="M40" s="6">
        <f t="shared" si="2"/>
        <v>828.56705628080101</v>
      </c>
      <c r="N40" s="6">
        <f t="shared" si="3"/>
        <v>10828.567056280803</v>
      </c>
    </row>
    <row r="41" spans="1:14" x14ac:dyDescent="0.2">
      <c r="A41" s="5"/>
      <c r="K41"/>
      <c r="L41"/>
    </row>
    <row r="42" spans="1:14" x14ac:dyDescent="0.2">
      <c r="A42" s="5"/>
    </row>
    <row r="43" spans="1:14" x14ac:dyDescent="0.2">
      <c r="A43" s="5"/>
    </row>
  </sheetData>
  <pageMargins left="0.7" right="0.7" top="0.75" bottom="0.75" header="0.3" footer="0.3"/>
  <pageSetup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F58"/>
  <sheetViews>
    <sheetView zoomScale="160" zoomScaleNormal="160" workbookViewId="0">
      <pane ySplit="19" topLeftCell="A20" activePane="bottomLeft" state="frozen"/>
      <selection activeCell="A2" sqref="A2:XFD2"/>
      <selection pane="bottomLeft" activeCell="A2" sqref="A2"/>
    </sheetView>
  </sheetViews>
  <sheetFormatPr defaultRowHeight="12.75" x14ac:dyDescent="0.2"/>
  <cols>
    <col min="1" max="1" width="7.5703125" style="1" customWidth="1"/>
    <col min="2" max="2" width="16.28515625" style="1" customWidth="1"/>
    <col min="3" max="16384" width="9.140625" style="1"/>
  </cols>
  <sheetData>
    <row r="1" spans="1:4" s="44" customFormat="1" ht="18" x14ac:dyDescent="0.25">
      <c r="A1" s="309" t="s">
        <v>152</v>
      </c>
    </row>
    <row r="2" spans="1:4" s="326" customFormat="1" hidden="1" x14ac:dyDescent="0.2">
      <c r="B2" s="330"/>
    </row>
    <row r="3" spans="1:4" s="44" customFormat="1" x14ac:dyDescent="0.2">
      <c r="A3" s="287" t="str">
        <f>IF(A2="","",IF(Disable_Video_Hyperlinks,A2,HYPERLINK(Video_website&amp;A2,A2)))</f>
        <v/>
      </c>
      <c r="C3" s="45"/>
      <c r="D3" s="45"/>
    </row>
    <row r="4" spans="1:4" x14ac:dyDescent="0.2">
      <c r="A4" s="307" t="str">
        <f>IF(B2="","",B2)</f>
        <v/>
      </c>
      <c r="C4" s="30"/>
      <c r="D4" s="30"/>
    </row>
    <row r="5" spans="1:4" x14ac:dyDescent="0.2">
      <c r="C5" s="45" t="s">
        <v>199</v>
      </c>
      <c r="D5" s="45" t="s">
        <v>227</v>
      </c>
    </row>
    <row r="6" spans="1:4" x14ac:dyDescent="0.2">
      <c r="A6" s="1" t="s">
        <v>151</v>
      </c>
      <c r="C6" s="189">
        <v>14999</v>
      </c>
      <c r="D6" s="189">
        <v>14999</v>
      </c>
    </row>
    <row r="7" spans="1:4" x14ac:dyDescent="0.2">
      <c r="A7" s="1" t="s">
        <v>150</v>
      </c>
      <c r="C7" s="246">
        <v>1000</v>
      </c>
      <c r="D7" s="246">
        <v>1000</v>
      </c>
    </row>
    <row r="8" spans="1:4" x14ac:dyDescent="0.2">
      <c r="A8" s="1" t="s">
        <v>149</v>
      </c>
      <c r="C8" s="247">
        <v>3000</v>
      </c>
      <c r="D8" s="247">
        <v>3000</v>
      </c>
    </row>
    <row r="9" spans="1:4" x14ac:dyDescent="0.2">
      <c r="A9" s="1" t="s">
        <v>148</v>
      </c>
      <c r="C9" s="171">
        <f>C6-(C7+C8)</f>
        <v>10999</v>
      </c>
      <c r="D9" s="171">
        <f>D6-(D7+D8)</f>
        <v>10999</v>
      </c>
    </row>
    <row r="10" spans="1:4" x14ac:dyDescent="0.2">
      <c r="A10" s="1" t="s">
        <v>147</v>
      </c>
      <c r="C10" s="248">
        <v>0.09</v>
      </c>
      <c r="D10" s="172">
        <f>RATE(D11*D12,-D15,D9)*D12</f>
        <v>9.0000000000346761E-2</v>
      </c>
    </row>
    <row r="11" spans="1:4" x14ac:dyDescent="0.2">
      <c r="A11" s="1" t="s">
        <v>146</v>
      </c>
      <c r="C11" s="190">
        <v>3</v>
      </c>
      <c r="D11" s="190">
        <v>3</v>
      </c>
    </row>
    <row r="12" spans="1:4" x14ac:dyDescent="0.2">
      <c r="A12" s="1" t="s">
        <v>47</v>
      </c>
      <c r="C12" s="190">
        <v>12</v>
      </c>
      <c r="D12" s="190">
        <v>12</v>
      </c>
    </row>
    <row r="13" spans="1:4" x14ac:dyDescent="0.2">
      <c r="A13" s="1" t="s">
        <v>145</v>
      </c>
      <c r="C13" s="190">
        <v>0</v>
      </c>
      <c r="D13" s="190">
        <v>0</v>
      </c>
    </row>
    <row r="14" spans="1:4" x14ac:dyDescent="0.2">
      <c r="C14" s="173"/>
      <c r="D14" s="173"/>
    </row>
    <row r="15" spans="1:4" x14ac:dyDescent="0.2">
      <c r="A15" s="1" t="s">
        <v>144</v>
      </c>
      <c r="C15" s="174">
        <f>-PMT(C10/C12,C11*C12,C9,C13)</f>
        <v>349.7652595266876</v>
      </c>
      <c r="D15" s="249">
        <v>349.76525952668425</v>
      </c>
    </row>
    <row r="16" spans="1:4" x14ac:dyDescent="0.2">
      <c r="C16" s="6"/>
    </row>
    <row r="17" spans="1:6" x14ac:dyDescent="0.2">
      <c r="D17" s="1" t="s">
        <v>143</v>
      </c>
      <c r="E17" s="1" t="s">
        <v>142</v>
      </c>
      <c r="F17" s="1" t="s">
        <v>141</v>
      </c>
    </row>
    <row r="18" spans="1:6" x14ac:dyDescent="0.2">
      <c r="A18" s="32" t="s">
        <v>140</v>
      </c>
      <c r="C18" s="47" t="s">
        <v>139</v>
      </c>
      <c r="D18" s="53">
        <f>IRR(B20:B56)</f>
        <v>7.5000000000002842E-3</v>
      </c>
      <c r="E18" s="226">
        <v>12</v>
      </c>
      <c r="F18" s="150">
        <f>D18*E18</f>
        <v>9.0000000000003411E-2</v>
      </c>
    </row>
    <row r="19" spans="1:6" x14ac:dyDescent="0.2">
      <c r="A19" s="51" t="s">
        <v>134</v>
      </c>
      <c r="B19" s="51" t="s">
        <v>132</v>
      </c>
    </row>
    <row r="20" spans="1:6" x14ac:dyDescent="0.2">
      <c r="A20" s="1">
        <v>0</v>
      </c>
      <c r="B20" s="54">
        <f>C9</f>
        <v>10999</v>
      </c>
    </row>
    <row r="21" spans="1:6" x14ac:dyDescent="0.2">
      <c r="A21" s="1">
        <v>1</v>
      </c>
      <c r="B21" s="6">
        <f t="shared" ref="B21:B56" si="0">-$C$15</f>
        <v>-349.7652595266876</v>
      </c>
    </row>
    <row r="22" spans="1:6" x14ac:dyDescent="0.2">
      <c r="A22" s="1">
        <v>2</v>
      </c>
      <c r="B22" s="6">
        <f t="shared" si="0"/>
        <v>-349.7652595266876</v>
      </c>
    </row>
    <row r="23" spans="1:6" x14ac:dyDescent="0.2">
      <c r="A23" s="1">
        <v>3</v>
      </c>
      <c r="B23" s="6">
        <f t="shared" si="0"/>
        <v>-349.7652595266876</v>
      </c>
    </row>
    <row r="24" spans="1:6" x14ac:dyDescent="0.2">
      <c r="A24" s="1">
        <v>4</v>
      </c>
      <c r="B24" s="6">
        <f t="shared" si="0"/>
        <v>-349.7652595266876</v>
      </c>
    </row>
    <row r="25" spans="1:6" x14ac:dyDescent="0.2">
      <c r="A25" s="1">
        <v>5</v>
      </c>
      <c r="B25" s="6">
        <f t="shared" si="0"/>
        <v>-349.7652595266876</v>
      </c>
    </row>
    <row r="26" spans="1:6" x14ac:dyDescent="0.2">
      <c r="A26" s="1">
        <v>6</v>
      </c>
      <c r="B26" s="6">
        <f t="shared" si="0"/>
        <v>-349.7652595266876</v>
      </c>
    </row>
    <row r="27" spans="1:6" x14ac:dyDescent="0.2">
      <c r="A27" s="1">
        <v>7</v>
      </c>
      <c r="B27" s="6">
        <f t="shared" si="0"/>
        <v>-349.7652595266876</v>
      </c>
    </row>
    <row r="28" spans="1:6" x14ac:dyDescent="0.2">
      <c r="A28" s="1">
        <v>8</v>
      </c>
      <c r="B28" s="6">
        <f t="shared" si="0"/>
        <v>-349.7652595266876</v>
      </c>
    </row>
    <row r="29" spans="1:6" x14ac:dyDescent="0.2">
      <c r="A29" s="1">
        <v>9</v>
      </c>
      <c r="B29" s="6">
        <f t="shared" si="0"/>
        <v>-349.7652595266876</v>
      </c>
    </row>
    <row r="30" spans="1:6" x14ac:dyDescent="0.2">
      <c r="A30" s="1">
        <v>10</v>
      </c>
      <c r="B30" s="6">
        <f t="shared" si="0"/>
        <v>-349.7652595266876</v>
      </c>
    </row>
    <row r="31" spans="1:6" x14ac:dyDescent="0.2">
      <c r="A31" s="1">
        <v>11</v>
      </c>
      <c r="B31" s="6">
        <f t="shared" si="0"/>
        <v>-349.7652595266876</v>
      </c>
    </row>
    <row r="32" spans="1:6" x14ac:dyDescent="0.2">
      <c r="A32" s="1">
        <v>12</v>
      </c>
      <c r="B32" s="6">
        <f t="shared" si="0"/>
        <v>-349.7652595266876</v>
      </c>
    </row>
    <row r="33" spans="1:2" x14ac:dyDescent="0.2">
      <c r="A33" s="1">
        <v>13</v>
      </c>
      <c r="B33" s="6">
        <f t="shared" si="0"/>
        <v>-349.7652595266876</v>
      </c>
    </row>
    <row r="34" spans="1:2" x14ac:dyDescent="0.2">
      <c r="A34" s="1">
        <v>14</v>
      </c>
      <c r="B34" s="6">
        <f t="shared" si="0"/>
        <v>-349.7652595266876</v>
      </c>
    </row>
    <row r="35" spans="1:2" x14ac:dyDescent="0.2">
      <c r="A35" s="1">
        <v>15</v>
      </c>
      <c r="B35" s="6">
        <f t="shared" si="0"/>
        <v>-349.7652595266876</v>
      </c>
    </row>
    <row r="36" spans="1:2" x14ac:dyDescent="0.2">
      <c r="A36" s="1">
        <v>16</v>
      </c>
      <c r="B36" s="6">
        <f t="shared" si="0"/>
        <v>-349.7652595266876</v>
      </c>
    </row>
    <row r="37" spans="1:2" x14ac:dyDescent="0.2">
      <c r="A37" s="1">
        <v>17</v>
      </c>
      <c r="B37" s="6">
        <f t="shared" si="0"/>
        <v>-349.7652595266876</v>
      </c>
    </row>
    <row r="38" spans="1:2" x14ac:dyDescent="0.2">
      <c r="A38" s="1">
        <v>18</v>
      </c>
      <c r="B38" s="6">
        <f t="shared" si="0"/>
        <v>-349.7652595266876</v>
      </c>
    </row>
    <row r="39" spans="1:2" x14ac:dyDescent="0.2">
      <c r="A39" s="1">
        <v>19</v>
      </c>
      <c r="B39" s="6">
        <f t="shared" si="0"/>
        <v>-349.7652595266876</v>
      </c>
    </row>
    <row r="40" spans="1:2" x14ac:dyDescent="0.2">
      <c r="A40" s="1">
        <v>20</v>
      </c>
      <c r="B40" s="6">
        <f t="shared" si="0"/>
        <v>-349.7652595266876</v>
      </c>
    </row>
    <row r="41" spans="1:2" x14ac:dyDescent="0.2">
      <c r="A41" s="1">
        <v>21</v>
      </c>
      <c r="B41" s="6">
        <f t="shared" si="0"/>
        <v>-349.7652595266876</v>
      </c>
    </row>
    <row r="42" spans="1:2" x14ac:dyDescent="0.2">
      <c r="A42" s="1">
        <v>22</v>
      </c>
      <c r="B42" s="6">
        <f t="shared" si="0"/>
        <v>-349.7652595266876</v>
      </c>
    </row>
    <row r="43" spans="1:2" x14ac:dyDescent="0.2">
      <c r="A43" s="1">
        <v>23</v>
      </c>
      <c r="B43" s="6">
        <f t="shared" si="0"/>
        <v>-349.7652595266876</v>
      </c>
    </row>
    <row r="44" spans="1:2" x14ac:dyDescent="0.2">
      <c r="A44" s="1">
        <v>24</v>
      </c>
      <c r="B44" s="6">
        <f t="shared" si="0"/>
        <v>-349.7652595266876</v>
      </c>
    </row>
    <row r="45" spans="1:2" x14ac:dyDescent="0.2">
      <c r="A45" s="1">
        <v>25</v>
      </c>
      <c r="B45" s="6">
        <f t="shared" si="0"/>
        <v>-349.7652595266876</v>
      </c>
    </row>
    <row r="46" spans="1:2" x14ac:dyDescent="0.2">
      <c r="A46" s="1">
        <v>26</v>
      </c>
      <c r="B46" s="6">
        <f t="shared" si="0"/>
        <v>-349.7652595266876</v>
      </c>
    </row>
    <row r="47" spans="1:2" x14ac:dyDescent="0.2">
      <c r="A47" s="1">
        <v>27</v>
      </c>
      <c r="B47" s="6">
        <f t="shared" si="0"/>
        <v>-349.7652595266876</v>
      </c>
    </row>
    <row r="48" spans="1:2" x14ac:dyDescent="0.2">
      <c r="A48" s="1">
        <v>28</v>
      </c>
      <c r="B48" s="6">
        <f t="shared" si="0"/>
        <v>-349.7652595266876</v>
      </c>
    </row>
    <row r="49" spans="1:2" x14ac:dyDescent="0.2">
      <c r="A49" s="1">
        <v>29</v>
      </c>
      <c r="B49" s="6">
        <f t="shared" si="0"/>
        <v>-349.7652595266876</v>
      </c>
    </row>
    <row r="50" spans="1:2" x14ac:dyDescent="0.2">
      <c r="A50" s="1">
        <v>30</v>
      </c>
      <c r="B50" s="6">
        <f t="shared" si="0"/>
        <v>-349.7652595266876</v>
      </c>
    </row>
    <row r="51" spans="1:2" x14ac:dyDescent="0.2">
      <c r="A51" s="1">
        <v>31</v>
      </c>
      <c r="B51" s="6">
        <f t="shared" si="0"/>
        <v>-349.7652595266876</v>
      </c>
    </row>
    <row r="52" spans="1:2" x14ac:dyDescent="0.2">
      <c r="A52" s="1">
        <v>32</v>
      </c>
      <c r="B52" s="6">
        <f t="shared" si="0"/>
        <v>-349.7652595266876</v>
      </c>
    </row>
    <row r="53" spans="1:2" x14ac:dyDescent="0.2">
      <c r="A53" s="1">
        <v>33</v>
      </c>
      <c r="B53" s="6">
        <f t="shared" si="0"/>
        <v>-349.7652595266876</v>
      </c>
    </row>
    <row r="54" spans="1:2" x14ac:dyDescent="0.2">
      <c r="A54" s="1">
        <v>34</v>
      </c>
      <c r="B54" s="6">
        <f t="shared" si="0"/>
        <v>-349.7652595266876</v>
      </c>
    </row>
    <row r="55" spans="1:2" x14ac:dyDescent="0.2">
      <c r="A55" s="1">
        <v>35</v>
      </c>
      <c r="B55" s="6">
        <f t="shared" si="0"/>
        <v>-349.7652595266876</v>
      </c>
    </row>
    <row r="56" spans="1:2" x14ac:dyDescent="0.2">
      <c r="A56" s="1">
        <v>36</v>
      </c>
      <c r="B56" s="6">
        <f t="shared" si="0"/>
        <v>-349.7652595266876</v>
      </c>
    </row>
    <row r="58" spans="1:2" x14ac:dyDescent="0.2">
      <c r="B58" s="53"/>
    </row>
  </sheetData>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3"/>
  <dimension ref="A1:V9"/>
  <sheetViews>
    <sheetView zoomScaleNormal="100" workbookViewId="0">
      <selection activeCell="D9" sqref="D9"/>
    </sheetView>
  </sheetViews>
  <sheetFormatPr defaultRowHeight="12.75" x14ac:dyDescent="0.2"/>
  <cols>
    <col min="1" max="1" width="29.42578125" style="5" customWidth="1"/>
    <col min="2" max="2" width="8.7109375" style="5" bestFit="1" customWidth="1"/>
    <col min="3" max="3" width="8.28515625" style="5" customWidth="1"/>
    <col min="4" max="4" width="8.7109375" style="5" bestFit="1" customWidth="1"/>
    <col min="5" max="5" width="10.85546875" style="5" bestFit="1" customWidth="1"/>
    <col min="6" max="6" width="11.85546875" style="5" bestFit="1" customWidth="1"/>
    <col min="7" max="7" width="12.85546875" style="5" bestFit="1" customWidth="1"/>
    <col min="8" max="8" width="10.85546875" style="5" bestFit="1" customWidth="1"/>
    <col min="9" max="20" width="9.140625" style="5"/>
    <col min="21" max="21" width="13.42578125" style="5" hidden="1" customWidth="1"/>
    <col min="22" max="22" width="14" style="5" hidden="1" customWidth="1"/>
    <col min="23" max="16384" width="9.140625" style="5"/>
  </cols>
  <sheetData>
    <row r="1" spans="1:22" ht="18" x14ac:dyDescent="0.25">
      <c r="A1" s="4" t="s">
        <v>250</v>
      </c>
    </row>
    <row r="3" spans="1:22" ht="15" x14ac:dyDescent="0.2">
      <c r="A3" s="19" t="s">
        <v>42</v>
      </c>
      <c r="B3" s="18"/>
      <c r="C3" s="18"/>
      <c r="D3" s="18"/>
      <c r="E3" s="18"/>
      <c r="F3" s="18"/>
      <c r="G3" s="18"/>
    </row>
    <row r="4" spans="1:22" s="29" customFormat="1" ht="51" x14ac:dyDescent="0.2">
      <c r="A4" s="17" t="s">
        <v>41</v>
      </c>
      <c r="B4" s="16" t="s">
        <v>40</v>
      </c>
      <c r="C4" s="16" t="s">
        <v>233</v>
      </c>
      <c r="D4" s="16" t="s">
        <v>232</v>
      </c>
      <c r="E4" s="16" t="s">
        <v>37</v>
      </c>
      <c r="F4" s="16" t="s">
        <v>234</v>
      </c>
      <c r="G4" s="16" t="s">
        <v>235</v>
      </c>
      <c r="H4" s="16" t="s">
        <v>130</v>
      </c>
      <c r="U4" s="29" t="s">
        <v>63</v>
      </c>
      <c r="V4" s="29" t="s">
        <v>61</v>
      </c>
    </row>
    <row r="5" spans="1:22" x14ac:dyDescent="0.2">
      <c r="A5" s="141" t="s">
        <v>34</v>
      </c>
      <c r="B5" s="205">
        <v>4</v>
      </c>
      <c r="C5" s="215">
        <v>0.08</v>
      </c>
      <c r="D5" s="216">
        <v>5</v>
      </c>
      <c r="E5" s="37">
        <f>PMT(C5/B5,D5*B5,F5,G5)</f>
        <v>-61156.718125290397</v>
      </c>
      <c r="F5" s="218">
        <v>1000000</v>
      </c>
      <c r="G5" s="218">
        <v>0</v>
      </c>
      <c r="H5" s="228">
        <f>E5*B5</f>
        <v>-244626.87250116159</v>
      </c>
      <c r="U5" s="11">
        <f>-PV(C5/B5,D5*B5,E5,G5)+F5</f>
        <v>0</v>
      </c>
      <c r="V5" s="11">
        <f>-FV(C5/B5,D5*B5,E5,F5)+G5</f>
        <v>0</v>
      </c>
    </row>
    <row r="6" spans="1:22" x14ac:dyDescent="0.2">
      <c r="A6" s="93" t="s">
        <v>33</v>
      </c>
      <c r="B6" s="205">
        <v>12</v>
      </c>
      <c r="C6" s="215">
        <v>3.5000000000000003E-2</v>
      </c>
      <c r="D6" s="216">
        <v>2</v>
      </c>
      <c r="E6" s="219">
        <v>0</v>
      </c>
      <c r="F6" s="219">
        <v>-900000</v>
      </c>
      <c r="G6" s="222">
        <f>FV(C6/B6,D6*B6,E6,F6)</f>
        <v>965159.02263042156</v>
      </c>
      <c r="H6" s="229"/>
      <c r="U6" s="11">
        <f t="shared" ref="U6:U9" si="0">-PV(C6/B6,D6*B6,E6,G6)+F6</f>
        <v>0</v>
      </c>
      <c r="V6" s="11">
        <f t="shared" ref="V6:V9" si="1">-FV(C6/B6,D6*B6,E6,F6)+G6</f>
        <v>0</v>
      </c>
    </row>
    <row r="7" spans="1:22" x14ac:dyDescent="0.2">
      <c r="A7" s="141" t="s">
        <v>32</v>
      </c>
      <c r="B7" s="205">
        <v>12</v>
      </c>
      <c r="C7" s="215">
        <v>0.04</v>
      </c>
      <c r="D7" s="216">
        <v>1.5</v>
      </c>
      <c r="E7" s="219">
        <v>-50000</v>
      </c>
      <c r="F7" s="223">
        <f>PV(C7/B7,D7*B7,E7,G7)</f>
        <v>-69736.095464562793</v>
      </c>
      <c r="G7" s="219">
        <v>1000000</v>
      </c>
      <c r="H7" s="229"/>
      <c r="U7" s="11">
        <f t="shared" si="0"/>
        <v>0</v>
      </c>
      <c r="V7" s="11">
        <f t="shared" si="1"/>
        <v>0</v>
      </c>
    </row>
    <row r="8" spans="1:22" x14ac:dyDescent="0.2">
      <c r="A8" s="141" t="s">
        <v>31</v>
      </c>
      <c r="B8" s="205">
        <v>2</v>
      </c>
      <c r="C8" s="40">
        <f>RATE(D8*B8,E8,F8,G8)*B8</f>
        <v>8.4789286424155119E-2</v>
      </c>
      <c r="D8" s="216">
        <v>4</v>
      </c>
      <c r="E8" s="219">
        <v>-150000</v>
      </c>
      <c r="F8" s="219">
        <v>1000000</v>
      </c>
      <c r="G8" s="219">
        <v>0</v>
      </c>
      <c r="H8" s="220">
        <f>E8*B8</f>
        <v>-300000</v>
      </c>
      <c r="U8" s="11">
        <f t="shared" si="0"/>
        <v>2.3050233721733093E-8</v>
      </c>
      <c r="V8" s="11">
        <f t="shared" si="1"/>
        <v>3.2130628824234009E-8</v>
      </c>
    </row>
    <row r="9" spans="1:22" x14ac:dyDescent="0.2">
      <c r="A9" s="141" t="s">
        <v>30</v>
      </c>
      <c r="B9" s="205">
        <v>4</v>
      </c>
      <c r="C9" s="215">
        <v>6.5000000000000002E-2</v>
      </c>
      <c r="D9" s="39">
        <f>NPER(C9/B9,E9,F9,G9)/B9</f>
        <v>2.9095193490160596</v>
      </c>
      <c r="E9" s="219">
        <v>-95000</v>
      </c>
      <c r="F9" s="220">
        <v>1000000</v>
      </c>
      <c r="G9" s="221">
        <v>0</v>
      </c>
      <c r="H9" s="220">
        <f>E9*B9</f>
        <v>-380000</v>
      </c>
      <c r="U9" s="11">
        <f t="shared" si="0"/>
        <v>0</v>
      </c>
      <c r="V9" s="11">
        <f t="shared" si="1"/>
        <v>4.6566128730773926E-10</v>
      </c>
    </row>
  </sheetData>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X32"/>
  <sheetViews>
    <sheetView zoomScale="145" zoomScaleNormal="145" workbookViewId="0">
      <selection activeCell="A2" sqref="A2"/>
    </sheetView>
  </sheetViews>
  <sheetFormatPr defaultColWidth="10.7109375" defaultRowHeight="12.75" outlineLevelCol="1" x14ac:dyDescent="0.2"/>
  <cols>
    <col min="1" max="1" width="4.28515625" style="5" customWidth="1"/>
    <col min="2" max="2" width="8.140625" style="5" customWidth="1"/>
    <col min="3" max="3" width="20.5703125" style="5" customWidth="1"/>
    <col min="4" max="8" width="10.85546875" style="5" customWidth="1"/>
    <col min="9" max="9" width="10.7109375" style="5"/>
    <col min="10" max="10" width="8.140625" style="5" customWidth="1" outlineLevel="1"/>
    <col min="11" max="11" width="20.5703125" style="5" customWidth="1" outlineLevel="1"/>
    <col min="12" max="16" width="10.85546875" style="5" customWidth="1" outlineLevel="1"/>
    <col min="17" max="17" width="10.7109375" style="5" customWidth="1" outlineLevel="1"/>
    <col min="18" max="18" width="8.140625" style="5" customWidth="1" outlineLevel="1"/>
    <col min="19" max="19" width="20.5703125" style="5" customWidth="1" outlineLevel="1"/>
    <col min="20" max="24" width="10.85546875" style="5" customWidth="1" outlineLevel="1"/>
    <col min="25" max="16384" width="10.7109375" style="5"/>
  </cols>
  <sheetData>
    <row r="1" spans="1:24" s="144" customFormat="1" ht="18" x14ac:dyDescent="0.25">
      <c r="A1" s="309" t="s">
        <v>250</v>
      </c>
    </row>
    <row r="2" spans="1:24" s="326" customFormat="1" hidden="1" x14ac:dyDescent="0.2">
      <c r="B2" s="330"/>
    </row>
    <row r="3" spans="1:24" s="144" customFormat="1" x14ac:dyDescent="0.2">
      <c r="A3" s="287" t="str">
        <f>IF(A2="","",IF(Disable_Video_Hyperlinks,A2,HYPERLINK(Video_website&amp;A2,A2)))</f>
        <v/>
      </c>
    </row>
    <row r="4" spans="1:24" x14ac:dyDescent="0.2">
      <c r="A4" s="307" t="str">
        <f>IF(B2="","",B2)</f>
        <v/>
      </c>
    </row>
    <row r="6" spans="1:24" x14ac:dyDescent="0.2">
      <c r="D6" s="30" t="s">
        <v>118</v>
      </c>
      <c r="E6" s="30" t="s">
        <v>127</v>
      </c>
      <c r="F6" s="30" t="s">
        <v>126</v>
      </c>
      <c r="G6" s="30" t="s">
        <v>125</v>
      </c>
      <c r="H6" s="30" t="s">
        <v>124</v>
      </c>
      <c r="L6" s="30" t="s">
        <v>118</v>
      </c>
      <c r="M6" s="30" t="s">
        <v>127</v>
      </c>
      <c r="N6" s="30" t="s">
        <v>126</v>
      </c>
      <c r="O6" s="30" t="s">
        <v>125</v>
      </c>
      <c r="P6" s="30" t="s">
        <v>124</v>
      </c>
      <c r="T6" s="30" t="s">
        <v>118</v>
      </c>
      <c r="U6" s="30" t="s">
        <v>127</v>
      </c>
      <c r="V6" s="30" t="s">
        <v>126</v>
      </c>
      <c r="W6" s="30" t="s">
        <v>125</v>
      </c>
      <c r="X6" s="30" t="s">
        <v>124</v>
      </c>
    </row>
    <row r="7" spans="1:24" s="145" customFormat="1" ht="25.5" x14ac:dyDescent="0.2">
      <c r="A7" s="45"/>
      <c r="B7" s="143"/>
      <c r="C7" s="144"/>
      <c r="D7" s="36" t="s">
        <v>116</v>
      </c>
      <c r="E7" s="36" t="s">
        <v>123</v>
      </c>
      <c r="F7" s="36" t="s">
        <v>122</v>
      </c>
      <c r="G7" s="36" t="s">
        <v>121</v>
      </c>
      <c r="H7" s="36" t="s">
        <v>120</v>
      </c>
      <c r="J7" s="143"/>
      <c r="K7" s="144"/>
      <c r="L7" s="36" t="s">
        <v>116</v>
      </c>
      <c r="M7" s="36" t="s">
        <v>123</v>
      </c>
      <c r="N7" s="36" t="s">
        <v>122</v>
      </c>
      <c r="O7" s="36" t="s">
        <v>121</v>
      </c>
      <c r="P7" s="36" t="s">
        <v>120</v>
      </c>
      <c r="R7" s="143"/>
      <c r="S7" s="144"/>
      <c r="T7" s="36" t="s">
        <v>116</v>
      </c>
      <c r="U7" s="36" t="s">
        <v>123</v>
      </c>
      <c r="V7" s="36" t="s">
        <v>122</v>
      </c>
      <c r="W7" s="36" t="s">
        <v>121</v>
      </c>
      <c r="X7" s="36" t="s">
        <v>120</v>
      </c>
    </row>
    <row r="8" spans="1:24" x14ac:dyDescent="0.2">
      <c r="B8" s="5" t="s">
        <v>39</v>
      </c>
      <c r="D8" s="239">
        <v>0.1</v>
      </c>
      <c r="E8" s="239">
        <v>0.1</v>
      </c>
      <c r="F8" s="239">
        <v>0.1</v>
      </c>
      <c r="G8" s="239">
        <v>0.1</v>
      </c>
      <c r="H8" s="239">
        <v>0.1</v>
      </c>
      <c r="I8" s="231"/>
      <c r="J8" s="231" t="s">
        <v>39</v>
      </c>
      <c r="K8" s="231"/>
      <c r="L8" s="239">
        <v>0.1</v>
      </c>
      <c r="M8" s="239">
        <v>0.1</v>
      </c>
      <c r="N8" s="239">
        <v>0.1</v>
      </c>
      <c r="O8" s="239">
        <v>0.1</v>
      </c>
      <c r="P8" s="239">
        <v>0.1</v>
      </c>
      <c r="R8" s="5" t="s">
        <v>39</v>
      </c>
      <c r="T8" s="239">
        <v>0.1</v>
      </c>
      <c r="U8" s="239">
        <v>0.1</v>
      </c>
      <c r="V8" s="239">
        <v>0.1</v>
      </c>
      <c r="W8" s="239">
        <v>0.1</v>
      </c>
      <c r="X8" s="239">
        <v>0.1</v>
      </c>
    </row>
    <row r="9" spans="1:24" x14ac:dyDescent="0.2">
      <c r="B9" s="5" t="s">
        <v>115</v>
      </c>
      <c r="D9" s="210">
        <v>100</v>
      </c>
      <c r="E9" s="210">
        <v>0</v>
      </c>
      <c r="F9" s="210">
        <v>50</v>
      </c>
      <c r="G9" s="210">
        <v>0</v>
      </c>
      <c r="H9" s="210">
        <v>25</v>
      </c>
      <c r="I9" s="231"/>
      <c r="J9" s="231" t="s">
        <v>115</v>
      </c>
      <c r="K9" s="231"/>
      <c r="L9" s="210">
        <v>100</v>
      </c>
      <c r="M9" s="210">
        <v>0</v>
      </c>
      <c r="N9" s="210">
        <v>50</v>
      </c>
      <c r="O9" s="210">
        <v>0</v>
      </c>
      <c r="P9" s="210">
        <v>25</v>
      </c>
      <c r="R9" s="5" t="s">
        <v>115</v>
      </c>
      <c r="T9" s="210">
        <v>-100</v>
      </c>
      <c r="U9" s="210">
        <v>0</v>
      </c>
      <c r="V9" s="210">
        <v>-50</v>
      </c>
      <c r="W9" s="210">
        <v>0</v>
      </c>
      <c r="X9" s="210">
        <v>-25</v>
      </c>
    </row>
    <row r="10" spans="1:24" x14ac:dyDescent="0.2">
      <c r="B10" s="5" t="s">
        <v>114</v>
      </c>
      <c r="D10" s="183">
        <f>NPER(D8/D11,D9,D13,D14-D17,D15)/D11</f>
        <v>2.999999999999996</v>
      </c>
      <c r="E10" s="183">
        <f t="shared" ref="E10:H10" si="0">NPER(E8/E11,E9,E13,E14-E17,E15)/E11</f>
        <v>2.999999999999996</v>
      </c>
      <c r="F10" s="183">
        <f t="shared" si="0"/>
        <v>2.999999999999996</v>
      </c>
      <c r="G10" s="183" t="e">
        <f t="shared" si="0"/>
        <v>#NUM!</v>
      </c>
      <c r="H10" s="183">
        <f t="shared" si="0"/>
        <v>2.999999999999996</v>
      </c>
      <c r="I10" s="231"/>
      <c r="J10" s="231" t="s">
        <v>114</v>
      </c>
      <c r="K10" s="231"/>
      <c r="L10" s="183">
        <f>NPER(L8/L11,L9,L13,L14+L17,L15)/L11</f>
        <v>2.999999999999996</v>
      </c>
      <c r="M10" s="183">
        <f t="shared" ref="M10:P10" si="1">NPER(M8/M11,M9,M13,M14+M17,M15)/M11</f>
        <v>2.999999999999996</v>
      </c>
      <c r="N10" s="183">
        <f t="shared" si="1"/>
        <v>2.9999999999999942</v>
      </c>
      <c r="O10" s="183" t="e">
        <f t="shared" si="1"/>
        <v>#NUM!</v>
      </c>
      <c r="P10" s="183">
        <f t="shared" si="1"/>
        <v>2.999999999999996</v>
      </c>
      <c r="R10" s="5" t="s">
        <v>114</v>
      </c>
      <c r="T10" s="183">
        <f>NPER(T8/T11,T9,T13,T14+T17,T15)/T11</f>
        <v>2.999999999999996</v>
      </c>
      <c r="U10" s="183">
        <f t="shared" ref="U10" si="2">NPER(U8/U11,U9,U13,U14+U17,U15)/U11</f>
        <v>2.999999999999996</v>
      </c>
      <c r="V10" s="183">
        <f t="shared" ref="V10" si="3">NPER(V8/V11,V9,V13,V14+V17,V15)/V11</f>
        <v>2.999999999999996</v>
      </c>
      <c r="W10" s="183" t="e">
        <f t="shared" ref="W10" si="4">NPER(W8/W11,W9,W13,W14+W17,W15)/W11</f>
        <v>#NUM!</v>
      </c>
      <c r="X10" s="183">
        <f t="shared" ref="X10" si="5">NPER(X8/X11,X9,X13,X14+X17,X15)/X11</f>
        <v>2.999999999999996</v>
      </c>
    </row>
    <row r="11" spans="1:24" x14ac:dyDescent="0.2">
      <c r="B11" s="5" t="s">
        <v>113</v>
      </c>
      <c r="D11" s="212">
        <v>12</v>
      </c>
      <c r="E11" s="212">
        <v>12</v>
      </c>
      <c r="F11" s="212">
        <v>12</v>
      </c>
      <c r="G11" s="212">
        <v>12</v>
      </c>
      <c r="H11" s="212">
        <v>12</v>
      </c>
      <c r="I11" s="231"/>
      <c r="J11" s="231" t="s">
        <v>113</v>
      </c>
      <c r="K11" s="231"/>
      <c r="L11" s="212">
        <v>12</v>
      </c>
      <c r="M11" s="212">
        <v>12</v>
      </c>
      <c r="N11" s="212">
        <v>12</v>
      </c>
      <c r="O11" s="212">
        <v>12</v>
      </c>
      <c r="P11" s="212">
        <v>12</v>
      </c>
      <c r="R11" s="5" t="s">
        <v>113</v>
      </c>
      <c r="T11" s="212">
        <v>12</v>
      </c>
      <c r="U11" s="212">
        <v>12</v>
      </c>
      <c r="V11" s="212">
        <v>12</v>
      </c>
      <c r="W11" s="212">
        <v>12</v>
      </c>
      <c r="X11" s="212">
        <v>12</v>
      </c>
    </row>
    <row r="12" spans="1:24" x14ac:dyDescent="0.2">
      <c r="D12" s="212"/>
      <c r="E12" s="212"/>
      <c r="F12" s="212"/>
      <c r="G12" s="212"/>
      <c r="H12" s="212"/>
      <c r="I12" s="231"/>
      <c r="J12" s="231"/>
      <c r="K12" s="231"/>
      <c r="L12" s="180"/>
      <c r="M12" s="180"/>
      <c r="N12" s="180"/>
      <c r="O12" s="180"/>
      <c r="P12" s="180"/>
      <c r="T12" s="212"/>
      <c r="U12" s="212"/>
      <c r="V12" s="212"/>
      <c r="W12" s="212"/>
      <c r="X12" s="212"/>
    </row>
    <row r="13" spans="1:24" x14ac:dyDescent="0.2">
      <c r="B13" s="5" t="s">
        <v>112</v>
      </c>
      <c r="D13" s="213">
        <v>0</v>
      </c>
      <c r="E13" s="213">
        <v>3000</v>
      </c>
      <c r="F13" s="213">
        <v>1500</v>
      </c>
      <c r="G13" s="213">
        <v>0</v>
      </c>
      <c r="H13" s="213">
        <v>1500</v>
      </c>
      <c r="I13" s="231"/>
      <c r="J13" s="231" t="s">
        <v>112</v>
      </c>
      <c r="K13" s="231"/>
      <c r="L13" s="213">
        <v>0</v>
      </c>
      <c r="M13" s="213">
        <v>3000</v>
      </c>
      <c r="N13" s="213">
        <v>1500</v>
      </c>
      <c r="O13" s="213">
        <v>0</v>
      </c>
      <c r="P13" s="213">
        <v>1500</v>
      </c>
      <c r="R13" s="5" t="s">
        <v>112</v>
      </c>
      <c r="T13" s="213">
        <v>0</v>
      </c>
      <c r="U13" s="213">
        <v>-3000</v>
      </c>
      <c r="V13" s="213">
        <v>-1500</v>
      </c>
      <c r="W13" s="213">
        <v>0</v>
      </c>
      <c r="X13" s="213">
        <v>-1500</v>
      </c>
    </row>
    <row r="14" spans="1:24" x14ac:dyDescent="0.2">
      <c r="B14" s="5" t="s">
        <v>111</v>
      </c>
      <c r="D14" s="213">
        <v>0</v>
      </c>
      <c r="E14" s="213">
        <v>0</v>
      </c>
      <c r="F14" s="213">
        <v>0</v>
      </c>
      <c r="G14" s="213">
        <v>4000</v>
      </c>
      <c r="H14" s="213">
        <v>1000</v>
      </c>
      <c r="I14" s="231"/>
      <c r="J14" s="231" t="s">
        <v>111</v>
      </c>
      <c r="K14" s="231"/>
      <c r="L14" s="213">
        <v>0</v>
      </c>
      <c r="M14" s="213">
        <v>0</v>
      </c>
      <c r="N14" s="213">
        <v>0</v>
      </c>
      <c r="O14" s="213">
        <v>4000</v>
      </c>
      <c r="P14" s="213">
        <v>1000</v>
      </c>
      <c r="R14" s="5" t="s">
        <v>111</v>
      </c>
      <c r="T14" s="213">
        <v>0</v>
      </c>
      <c r="U14" s="213">
        <v>0</v>
      </c>
      <c r="V14" s="213">
        <v>0</v>
      </c>
      <c r="W14" s="213">
        <v>-4000</v>
      </c>
      <c r="X14" s="213">
        <v>-1000</v>
      </c>
    </row>
    <row r="15" spans="1:24" x14ac:dyDescent="0.2">
      <c r="B15" s="5" t="s">
        <v>45</v>
      </c>
      <c r="D15" s="214">
        <v>0</v>
      </c>
      <c r="E15" s="214">
        <v>0</v>
      </c>
      <c r="F15" s="214">
        <v>0</v>
      </c>
      <c r="G15" s="214">
        <v>0</v>
      </c>
      <c r="H15" s="214">
        <v>0</v>
      </c>
      <c r="I15" s="231"/>
      <c r="J15" s="231" t="s">
        <v>45</v>
      </c>
      <c r="K15" s="231"/>
      <c r="L15" s="214">
        <v>0</v>
      </c>
      <c r="M15" s="214">
        <v>0</v>
      </c>
      <c r="N15" s="214">
        <v>0</v>
      </c>
      <c r="O15" s="214">
        <v>0</v>
      </c>
      <c r="P15" s="214">
        <v>0</v>
      </c>
      <c r="R15" s="5" t="s">
        <v>45</v>
      </c>
      <c r="T15" s="214">
        <v>0</v>
      </c>
      <c r="U15" s="214">
        <v>0</v>
      </c>
      <c r="V15" s="214">
        <v>0</v>
      </c>
      <c r="W15" s="214">
        <v>0</v>
      </c>
      <c r="X15" s="214">
        <v>0</v>
      </c>
    </row>
    <row r="16" spans="1:24" ht="13.5" thickBot="1" x14ac:dyDescent="0.25">
      <c r="D16" s="232"/>
      <c r="E16" s="232"/>
      <c r="F16" s="232"/>
      <c r="G16" s="232"/>
      <c r="H16" s="232"/>
      <c r="I16" s="231"/>
      <c r="J16" s="231"/>
      <c r="K16" s="231"/>
      <c r="L16" s="232"/>
      <c r="M16" s="232"/>
      <c r="N16" s="232"/>
      <c r="O16" s="232"/>
      <c r="P16" s="232"/>
      <c r="T16" s="213"/>
      <c r="U16" s="213"/>
      <c r="V16" s="213"/>
      <c r="W16" s="213"/>
      <c r="X16" s="213"/>
    </row>
    <row r="17" spans="1:24" x14ac:dyDescent="0.2">
      <c r="B17" s="5" t="s">
        <v>247</v>
      </c>
      <c r="D17" s="230">
        <v>4178.1821090259218</v>
      </c>
      <c r="E17" s="230">
        <v>4044.5455272564805</v>
      </c>
      <c r="F17" s="230">
        <v>4111.3638181412007</v>
      </c>
      <c r="G17" s="230">
        <v>4000</v>
      </c>
      <c r="H17" s="230">
        <v>4066.8182908847207</v>
      </c>
      <c r="I17" s="231"/>
      <c r="J17" s="231" t="s">
        <v>247</v>
      </c>
      <c r="K17" s="231"/>
      <c r="L17" s="230">
        <v>-4178.18210902592</v>
      </c>
      <c r="M17" s="230">
        <v>-4044.54552725648</v>
      </c>
      <c r="N17" s="230">
        <v>-4111.3638181411998</v>
      </c>
      <c r="O17" s="230">
        <v>-4000</v>
      </c>
      <c r="P17" s="230">
        <v>-4066.8182908847202</v>
      </c>
      <c r="R17" s="5" t="s">
        <v>247</v>
      </c>
      <c r="T17" s="230">
        <v>4178.1821090259218</v>
      </c>
      <c r="U17" s="230">
        <v>4044.5455272564805</v>
      </c>
      <c r="V17" s="230">
        <v>4111.3638181412007</v>
      </c>
      <c r="W17" s="230">
        <v>4000</v>
      </c>
      <c r="X17" s="230">
        <v>4066.8182908847207</v>
      </c>
    </row>
    <row r="18" spans="1:24" x14ac:dyDescent="0.2">
      <c r="D18" s="232"/>
      <c r="E18" s="231"/>
      <c r="F18" s="233"/>
      <c r="G18" s="233"/>
      <c r="H18" s="231"/>
      <c r="I18" s="231"/>
      <c r="J18" s="231"/>
      <c r="K18" s="231"/>
      <c r="L18" s="232"/>
      <c r="M18" s="231"/>
      <c r="N18" s="233"/>
      <c r="O18" s="233"/>
      <c r="P18" s="231"/>
      <c r="T18" s="232"/>
      <c r="U18" s="231"/>
      <c r="V18" s="233"/>
      <c r="W18" s="233"/>
      <c r="X18" s="231"/>
    </row>
    <row r="19" spans="1:24" x14ac:dyDescent="0.2">
      <c r="A19"/>
      <c r="B19"/>
      <c r="C19"/>
      <c r="D19" s="234"/>
      <c r="E19" s="234"/>
      <c r="F19" s="234"/>
      <c r="G19" s="234"/>
      <c r="H19" s="231"/>
      <c r="I19" s="231"/>
      <c r="J19" s="234"/>
      <c r="K19" s="234"/>
      <c r="L19" s="234"/>
      <c r="M19" s="234"/>
      <c r="N19" s="234"/>
      <c r="O19" s="234"/>
      <c r="P19" s="231"/>
      <c r="R19"/>
      <c r="S19"/>
      <c r="T19" s="234"/>
      <c r="U19" s="234"/>
      <c r="V19" s="234"/>
      <c r="W19" s="234"/>
      <c r="X19" s="231"/>
    </row>
    <row r="20" spans="1:24" x14ac:dyDescent="0.2">
      <c r="A20"/>
      <c r="B20"/>
      <c r="C20"/>
      <c r="D20" s="234"/>
      <c r="E20" s="234"/>
      <c r="F20" s="234"/>
      <c r="G20" s="234"/>
      <c r="H20" s="231"/>
      <c r="I20" s="231"/>
      <c r="J20" s="234"/>
      <c r="K20" s="234"/>
      <c r="L20" s="234"/>
      <c r="M20" s="234"/>
      <c r="N20" s="234"/>
      <c r="O20" s="234"/>
      <c r="P20" s="231"/>
      <c r="R20"/>
      <c r="S20"/>
      <c r="T20" s="234"/>
      <c r="U20" s="234"/>
      <c r="V20" s="234"/>
      <c r="W20" s="234"/>
      <c r="X20" s="231"/>
    </row>
    <row r="21" spans="1:24" x14ac:dyDescent="0.2">
      <c r="A21"/>
      <c r="D21" s="235" t="s">
        <v>118</v>
      </c>
      <c r="E21" s="235" t="s">
        <v>127</v>
      </c>
      <c r="F21" s="235" t="s">
        <v>126</v>
      </c>
      <c r="G21" s="235" t="s">
        <v>125</v>
      </c>
      <c r="H21" s="235" t="s">
        <v>124</v>
      </c>
      <c r="I21" s="231"/>
      <c r="J21" s="231"/>
      <c r="K21" s="231"/>
      <c r="L21" s="235" t="s">
        <v>118</v>
      </c>
      <c r="M21" s="235" t="s">
        <v>127</v>
      </c>
      <c r="N21" s="235" t="s">
        <v>126</v>
      </c>
      <c r="O21" s="235" t="s">
        <v>125</v>
      </c>
      <c r="P21" s="235" t="s">
        <v>124</v>
      </c>
      <c r="T21" s="235" t="s">
        <v>118</v>
      </c>
      <c r="U21" s="235" t="s">
        <v>127</v>
      </c>
      <c r="V21" s="235" t="s">
        <v>126</v>
      </c>
      <c r="W21" s="235" t="s">
        <v>125</v>
      </c>
      <c r="X21" s="235" t="s">
        <v>124</v>
      </c>
    </row>
    <row r="22" spans="1:24" ht="25.5" x14ac:dyDescent="0.2">
      <c r="A22"/>
      <c r="B22" s="143"/>
      <c r="C22" s="144"/>
      <c r="D22" s="236" t="s">
        <v>116</v>
      </c>
      <c r="E22" s="236" t="s">
        <v>123</v>
      </c>
      <c r="F22" s="236" t="s">
        <v>122</v>
      </c>
      <c r="G22" s="236" t="s">
        <v>121</v>
      </c>
      <c r="H22" s="236" t="s">
        <v>120</v>
      </c>
      <c r="I22" s="231"/>
      <c r="J22" s="237"/>
      <c r="K22" s="238"/>
      <c r="L22" s="236" t="s">
        <v>116</v>
      </c>
      <c r="M22" s="236" t="s">
        <v>123</v>
      </c>
      <c r="N22" s="236" t="s">
        <v>122</v>
      </c>
      <c r="O22" s="236" t="s">
        <v>121</v>
      </c>
      <c r="P22" s="236" t="s">
        <v>120</v>
      </c>
      <c r="R22" s="143"/>
      <c r="S22" s="144"/>
      <c r="T22" s="236" t="s">
        <v>116</v>
      </c>
      <c r="U22" s="236" t="s">
        <v>123</v>
      </c>
      <c r="V22" s="236" t="s">
        <v>122</v>
      </c>
      <c r="W22" s="236" t="s">
        <v>121</v>
      </c>
      <c r="X22" s="236" t="s">
        <v>120</v>
      </c>
    </row>
    <row r="23" spans="1:24" x14ac:dyDescent="0.2">
      <c r="A23"/>
      <c r="B23" s="5" t="s">
        <v>39</v>
      </c>
      <c r="D23" s="239">
        <v>0.1</v>
      </c>
      <c r="E23" s="239">
        <v>0.1</v>
      </c>
      <c r="F23" s="239">
        <v>0.1</v>
      </c>
      <c r="G23" s="239">
        <v>0.1</v>
      </c>
      <c r="H23" s="239">
        <v>0.1</v>
      </c>
      <c r="I23" s="231"/>
      <c r="J23" s="231" t="s">
        <v>39</v>
      </c>
      <c r="K23" s="231"/>
      <c r="L23" s="239">
        <v>0.1</v>
      </c>
      <c r="M23" s="239">
        <v>0.1</v>
      </c>
      <c r="N23" s="239">
        <v>0.1</v>
      </c>
      <c r="O23" s="239">
        <v>0.1</v>
      </c>
      <c r="P23" s="239">
        <v>0.1</v>
      </c>
      <c r="R23" s="5" t="s">
        <v>39</v>
      </c>
      <c r="T23" s="239">
        <v>0.1</v>
      </c>
      <c r="U23" s="239">
        <v>0.1</v>
      </c>
      <c r="V23" s="239">
        <v>0.1</v>
      </c>
      <c r="W23" s="239">
        <v>0.1</v>
      </c>
      <c r="X23" s="239">
        <v>0.1</v>
      </c>
    </row>
    <row r="24" spans="1:24" x14ac:dyDescent="0.2">
      <c r="A24"/>
      <c r="B24" s="5" t="s">
        <v>115</v>
      </c>
      <c r="D24" s="210">
        <v>100</v>
      </c>
      <c r="E24" s="210">
        <v>0</v>
      </c>
      <c r="F24" s="210">
        <v>50</v>
      </c>
      <c r="G24" s="210">
        <v>0</v>
      </c>
      <c r="H24" s="210">
        <v>25</v>
      </c>
      <c r="I24" s="231"/>
      <c r="J24" s="231" t="s">
        <v>115</v>
      </c>
      <c r="K24" s="231"/>
      <c r="L24" s="210">
        <v>100</v>
      </c>
      <c r="M24" s="210">
        <v>0</v>
      </c>
      <c r="N24" s="210">
        <v>50</v>
      </c>
      <c r="O24" s="210">
        <v>0</v>
      </c>
      <c r="P24" s="210">
        <v>25</v>
      </c>
      <c r="R24" s="5" t="s">
        <v>115</v>
      </c>
      <c r="T24" s="210">
        <v>-100</v>
      </c>
      <c r="U24" s="210">
        <v>0</v>
      </c>
      <c r="V24" s="210">
        <v>-50</v>
      </c>
      <c r="W24" s="210">
        <v>0</v>
      </c>
      <c r="X24" s="210">
        <v>-25</v>
      </c>
    </row>
    <row r="25" spans="1:24" x14ac:dyDescent="0.2">
      <c r="A25"/>
      <c r="B25" s="5" t="s">
        <v>114</v>
      </c>
      <c r="D25" s="183">
        <f t="shared" ref="D25:G25" si="6">NPER(D23/D26,D24,D28-D32,D29,D30)/D26</f>
        <v>2.999999999999996</v>
      </c>
      <c r="E25" s="183" t="e">
        <f t="shared" si="6"/>
        <v>#NUM!</v>
      </c>
      <c r="F25" s="183">
        <f t="shared" si="6"/>
        <v>2.999999999999996</v>
      </c>
      <c r="G25" s="183">
        <f t="shared" si="6"/>
        <v>2.999999999999996</v>
      </c>
      <c r="H25" s="183">
        <f>NPER(H23/H26,H24,H28-H32,H29,H30)/H26</f>
        <v>2.9999999999999942</v>
      </c>
      <c r="I25" s="231"/>
      <c r="J25" s="231" t="s">
        <v>114</v>
      </c>
      <c r="K25" s="231"/>
      <c r="L25" s="183">
        <f>NPER(L23/L26,L24,L28+L32,L29,L30)/L26</f>
        <v>2.9999999999999978</v>
      </c>
      <c r="M25" s="183" t="e">
        <f t="shared" ref="M25:P25" si="7">NPER(M23/M26,M24,M28+M32,M29,M30)/M26</f>
        <v>#NUM!</v>
      </c>
      <c r="N25" s="183">
        <f t="shared" si="7"/>
        <v>2.9999999999999862</v>
      </c>
      <c r="O25" s="183">
        <f t="shared" si="7"/>
        <v>3.0000000000000107</v>
      </c>
      <c r="P25" s="183">
        <f t="shared" si="7"/>
        <v>3.0000000000000075</v>
      </c>
      <c r="R25" s="5" t="s">
        <v>114</v>
      </c>
      <c r="T25" s="183">
        <f t="shared" ref="T25:X25" si="8">NPER(T23/T26,T24,T28+T32,T29,T30)/T26</f>
        <v>2.999999999999996</v>
      </c>
      <c r="U25" s="183" t="e">
        <f t="shared" si="8"/>
        <v>#NUM!</v>
      </c>
      <c r="V25" s="183">
        <f t="shared" si="8"/>
        <v>2.999999999999996</v>
      </c>
      <c r="W25" s="183">
        <f t="shared" si="8"/>
        <v>2.999999999999996</v>
      </c>
      <c r="X25" s="183">
        <f t="shared" si="8"/>
        <v>2.9999999999999942</v>
      </c>
    </row>
    <row r="26" spans="1:24" x14ac:dyDescent="0.2">
      <c r="A26"/>
      <c r="B26" s="5" t="s">
        <v>113</v>
      </c>
      <c r="D26" s="212">
        <v>12</v>
      </c>
      <c r="E26" s="212">
        <v>12</v>
      </c>
      <c r="F26" s="212">
        <v>12</v>
      </c>
      <c r="G26" s="212">
        <v>12</v>
      </c>
      <c r="H26" s="212">
        <v>12</v>
      </c>
      <c r="I26" s="231"/>
      <c r="J26" s="231" t="s">
        <v>113</v>
      </c>
      <c r="K26" s="231"/>
      <c r="L26" s="212">
        <v>12</v>
      </c>
      <c r="M26" s="212">
        <v>12</v>
      </c>
      <c r="N26" s="212">
        <v>12</v>
      </c>
      <c r="O26" s="212">
        <v>12</v>
      </c>
      <c r="P26" s="212">
        <v>12</v>
      </c>
      <c r="R26" s="5" t="s">
        <v>113</v>
      </c>
      <c r="T26" s="212">
        <v>12</v>
      </c>
      <c r="U26" s="212">
        <v>12</v>
      </c>
      <c r="V26" s="212">
        <v>12</v>
      </c>
      <c r="W26" s="212">
        <v>12</v>
      </c>
      <c r="X26" s="212">
        <v>12</v>
      </c>
    </row>
    <row r="27" spans="1:24" x14ac:dyDescent="0.2">
      <c r="A27"/>
      <c r="D27" s="212"/>
      <c r="E27" s="212"/>
      <c r="F27" s="212"/>
      <c r="G27" s="212"/>
      <c r="H27" s="212"/>
      <c r="I27" s="231"/>
      <c r="J27" s="231"/>
      <c r="K27" s="231"/>
      <c r="L27" s="180"/>
      <c r="M27" s="180"/>
      <c r="N27" s="180"/>
      <c r="O27" s="180"/>
      <c r="P27" s="180"/>
      <c r="T27" s="212"/>
      <c r="U27" s="212"/>
      <c r="V27" s="212"/>
      <c r="W27" s="212"/>
      <c r="X27" s="212"/>
    </row>
    <row r="28" spans="1:24" x14ac:dyDescent="0.2">
      <c r="A28"/>
      <c r="B28" s="5" t="s">
        <v>112</v>
      </c>
      <c r="D28" s="213">
        <v>0</v>
      </c>
      <c r="E28" s="213">
        <v>3000</v>
      </c>
      <c r="F28" s="213">
        <v>1500</v>
      </c>
      <c r="G28" s="213">
        <v>0</v>
      </c>
      <c r="H28" s="213">
        <v>1500</v>
      </c>
      <c r="I28" s="231"/>
      <c r="J28" s="231" t="s">
        <v>112</v>
      </c>
      <c r="K28" s="231"/>
      <c r="L28" s="213">
        <v>0</v>
      </c>
      <c r="M28" s="213">
        <v>3000</v>
      </c>
      <c r="N28" s="213">
        <v>1500</v>
      </c>
      <c r="O28" s="213">
        <v>0</v>
      </c>
      <c r="P28" s="213">
        <v>1500</v>
      </c>
      <c r="R28" s="5" t="s">
        <v>112</v>
      </c>
      <c r="T28" s="213">
        <v>0</v>
      </c>
      <c r="U28" s="213">
        <v>-3000</v>
      </c>
      <c r="V28" s="213">
        <v>-1500</v>
      </c>
      <c r="W28" s="213">
        <v>0</v>
      </c>
      <c r="X28" s="213">
        <v>-1500</v>
      </c>
    </row>
    <row r="29" spans="1:24" x14ac:dyDescent="0.2">
      <c r="B29" s="5" t="s">
        <v>111</v>
      </c>
      <c r="D29" s="213">
        <v>0</v>
      </c>
      <c r="E29" s="213">
        <v>0</v>
      </c>
      <c r="F29" s="213">
        <v>0</v>
      </c>
      <c r="G29" s="213">
        <v>4000</v>
      </c>
      <c r="H29" s="213">
        <v>1000</v>
      </c>
      <c r="I29" s="231"/>
      <c r="J29" s="231" t="s">
        <v>111</v>
      </c>
      <c r="K29" s="231"/>
      <c r="L29" s="213">
        <v>0</v>
      </c>
      <c r="M29" s="213">
        <v>0</v>
      </c>
      <c r="N29" s="213">
        <v>0</v>
      </c>
      <c r="O29" s="213">
        <v>4000</v>
      </c>
      <c r="P29" s="213">
        <v>1000</v>
      </c>
      <c r="R29" s="5" t="s">
        <v>111</v>
      </c>
      <c r="T29" s="213">
        <v>0</v>
      </c>
      <c r="U29" s="213">
        <v>0</v>
      </c>
      <c r="V29" s="213">
        <v>0</v>
      </c>
      <c r="W29" s="213">
        <v>-4000</v>
      </c>
      <c r="X29" s="213">
        <v>-1000</v>
      </c>
    </row>
    <row r="30" spans="1:24" x14ac:dyDescent="0.2">
      <c r="B30" s="5" t="s">
        <v>45</v>
      </c>
      <c r="D30" s="214">
        <v>0</v>
      </c>
      <c r="E30" s="214">
        <v>0</v>
      </c>
      <c r="F30" s="214">
        <v>0</v>
      </c>
      <c r="G30" s="214">
        <v>0</v>
      </c>
      <c r="H30" s="214">
        <v>0</v>
      </c>
      <c r="I30" s="231"/>
      <c r="J30" s="231" t="s">
        <v>45</v>
      </c>
      <c r="K30" s="231"/>
      <c r="L30" s="214">
        <v>0</v>
      </c>
      <c r="M30" s="214">
        <v>0</v>
      </c>
      <c r="N30" s="214">
        <v>0</v>
      </c>
      <c r="O30" s="214">
        <v>0</v>
      </c>
      <c r="P30" s="214">
        <v>0</v>
      </c>
      <c r="R30" s="5" t="s">
        <v>45</v>
      </c>
      <c r="T30" s="214">
        <v>0</v>
      </c>
      <c r="U30" s="214">
        <v>0</v>
      </c>
      <c r="V30" s="214">
        <v>0</v>
      </c>
      <c r="W30" s="214">
        <v>0</v>
      </c>
      <c r="X30" s="214">
        <v>0</v>
      </c>
    </row>
    <row r="31" spans="1:24" ht="13.5" thickBot="1" x14ac:dyDescent="0.25">
      <c r="D31" s="213"/>
      <c r="E31" s="213"/>
      <c r="F31" s="213"/>
      <c r="G31" s="213"/>
      <c r="H31" s="213"/>
      <c r="I31" s="231"/>
      <c r="J31" s="231"/>
      <c r="K31" s="231"/>
      <c r="L31" s="232"/>
      <c r="M31" s="232"/>
      <c r="N31" s="232"/>
      <c r="O31" s="232"/>
      <c r="P31" s="232"/>
      <c r="T31" s="213"/>
      <c r="U31" s="213"/>
      <c r="V31" s="213"/>
      <c r="W31" s="213"/>
      <c r="X31" s="213"/>
    </row>
    <row r="32" spans="1:24" x14ac:dyDescent="0.2">
      <c r="B32" s="5" t="s">
        <v>248</v>
      </c>
      <c r="D32" s="230">
        <v>3099.1235585324889</v>
      </c>
      <c r="E32" s="230">
        <v>3000</v>
      </c>
      <c r="F32" s="230">
        <v>3049.5617792662442</v>
      </c>
      <c r="G32" s="230">
        <v>2966.958813822504</v>
      </c>
      <c r="H32" s="230">
        <v>3016.5205930887482</v>
      </c>
      <c r="I32" s="231"/>
      <c r="J32" s="231" t="s">
        <v>248</v>
      </c>
      <c r="K32" s="231"/>
      <c r="L32" s="230">
        <v>-3099.1235585324898</v>
      </c>
      <c r="M32" s="230">
        <v>-3000</v>
      </c>
      <c r="N32" s="230">
        <v>-3049.5617792662401</v>
      </c>
      <c r="O32" s="230">
        <v>-2966.9588138224999</v>
      </c>
      <c r="P32" s="230">
        <v>-3016.52059308875</v>
      </c>
      <c r="R32" s="5" t="s">
        <v>248</v>
      </c>
      <c r="T32" s="230">
        <v>3099.1235585324889</v>
      </c>
      <c r="U32" s="230">
        <v>3000</v>
      </c>
      <c r="V32" s="230">
        <v>3049.5617792662442</v>
      </c>
      <c r="W32" s="230">
        <v>2966.958813822504</v>
      </c>
      <c r="X32" s="230">
        <v>3016.5205930887482</v>
      </c>
    </row>
  </sheetData>
  <pageMargins left="0.75" right="0.75" top="1" bottom="1" header="0.5" footer="0.5"/>
  <pageSetup scale="77" orientation="portrait"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G12"/>
  <sheetViews>
    <sheetView zoomScale="145" zoomScaleNormal="145" workbookViewId="0">
      <selection activeCell="A2" sqref="A2"/>
    </sheetView>
  </sheetViews>
  <sheetFormatPr defaultRowHeight="12.75" x14ac:dyDescent="0.2"/>
  <cols>
    <col min="1" max="1" width="33.140625" style="5" bestFit="1" customWidth="1"/>
    <col min="2" max="2" width="8.7109375" style="5" bestFit="1" customWidth="1"/>
    <col min="3" max="3" width="8.28515625" style="5" customWidth="1"/>
    <col min="4" max="4" width="8.7109375" style="5" bestFit="1" customWidth="1"/>
    <col min="5" max="5" width="10.85546875" style="5" bestFit="1" customWidth="1"/>
    <col min="6" max="7" width="11.85546875" style="5" bestFit="1" customWidth="1"/>
    <col min="8" max="16384" width="9.140625" style="5"/>
  </cols>
  <sheetData>
    <row r="1" spans="1:7" s="144" customFormat="1" ht="18" x14ac:dyDescent="0.25">
      <c r="A1" s="309" t="s">
        <v>43</v>
      </c>
    </row>
    <row r="2" spans="1:7" s="326" customFormat="1" hidden="1" x14ac:dyDescent="0.2">
      <c r="B2" s="330"/>
    </row>
    <row r="3" spans="1:7" s="144" customFormat="1" x14ac:dyDescent="0.2">
      <c r="A3" s="287" t="str">
        <f>IF(A2="","",IF(Disable_Video_Hyperlinks,A2,HYPERLINK(Video_website&amp;A2,A2)))</f>
        <v/>
      </c>
    </row>
    <row r="4" spans="1:7" x14ac:dyDescent="0.2">
      <c r="A4" s="307" t="str">
        <f>IF(B2="","",B2)</f>
        <v/>
      </c>
    </row>
    <row r="6" spans="1:7" ht="15" x14ac:dyDescent="0.2">
      <c r="A6" s="19" t="s">
        <v>42</v>
      </c>
      <c r="B6" s="18"/>
      <c r="C6" s="18"/>
      <c r="D6" s="18"/>
      <c r="E6" s="18"/>
      <c r="F6" s="18"/>
      <c r="G6" s="18"/>
    </row>
    <row r="7" spans="1:7" s="29" customFormat="1" ht="51" x14ac:dyDescent="0.2">
      <c r="A7" s="17" t="s">
        <v>41</v>
      </c>
      <c r="B7" s="16" t="s">
        <v>40</v>
      </c>
      <c r="C7" s="16" t="s">
        <v>233</v>
      </c>
      <c r="D7" s="16" t="s">
        <v>232</v>
      </c>
      <c r="E7" s="16" t="s">
        <v>37</v>
      </c>
      <c r="F7" s="16" t="s">
        <v>234</v>
      </c>
      <c r="G7" s="16" t="s">
        <v>235</v>
      </c>
    </row>
    <row r="8" spans="1:7" x14ac:dyDescent="0.2">
      <c r="A8" s="141" t="s">
        <v>34</v>
      </c>
      <c r="B8" s="205">
        <v>4</v>
      </c>
      <c r="C8" s="215">
        <v>0.08</v>
      </c>
      <c r="D8" s="216">
        <v>5</v>
      </c>
      <c r="E8" s="12" t="s">
        <v>29</v>
      </c>
      <c r="F8" s="218">
        <v>1000000</v>
      </c>
      <c r="G8" s="218">
        <v>0</v>
      </c>
    </row>
    <row r="9" spans="1:7" x14ac:dyDescent="0.2">
      <c r="A9" s="93" t="s">
        <v>33</v>
      </c>
      <c r="B9" s="205">
        <v>12</v>
      </c>
      <c r="C9" s="215">
        <v>3.5000000000000003E-2</v>
      </c>
      <c r="D9" s="216">
        <v>2</v>
      </c>
      <c r="E9" s="217">
        <v>0</v>
      </c>
      <c r="F9" s="219">
        <v>-900000</v>
      </c>
      <c r="G9" s="12" t="s">
        <v>29</v>
      </c>
    </row>
    <row r="10" spans="1:7" x14ac:dyDescent="0.2">
      <c r="A10" s="141" t="s">
        <v>32</v>
      </c>
      <c r="B10" s="205">
        <v>12</v>
      </c>
      <c r="C10" s="215">
        <v>0.04</v>
      </c>
      <c r="D10" s="216">
        <v>1.5</v>
      </c>
      <c r="E10" s="219">
        <v>-50000</v>
      </c>
      <c r="F10" s="12" t="s">
        <v>29</v>
      </c>
      <c r="G10" s="219">
        <v>1000000</v>
      </c>
    </row>
    <row r="11" spans="1:7" x14ac:dyDescent="0.2">
      <c r="A11" s="141" t="s">
        <v>31</v>
      </c>
      <c r="B11" s="205">
        <v>2</v>
      </c>
      <c r="C11" s="12" t="s">
        <v>29</v>
      </c>
      <c r="D11" s="216">
        <v>4</v>
      </c>
      <c r="E11" s="219">
        <v>-150000</v>
      </c>
      <c r="F11" s="219">
        <v>1000000</v>
      </c>
      <c r="G11" s="219">
        <v>0</v>
      </c>
    </row>
    <row r="12" spans="1:7" x14ac:dyDescent="0.2">
      <c r="A12" s="141" t="s">
        <v>30</v>
      </c>
      <c r="B12" s="205">
        <v>4</v>
      </c>
      <c r="C12" s="215">
        <v>6.5000000000000002E-2</v>
      </c>
      <c r="D12" s="12" t="s">
        <v>29</v>
      </c>
      <c r="E12" s="219">
        <v>-95000</v>
      </c>
      <c r="F12" s="220">
        <v>1000000</v>
      </c>
      <c r="G12" s="221">
        <v>0</v>
      </c>
    </row>
  </sheetData>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H27"/>
  <sheetViews>
    <sheetView zoomScale="145" zoomScaleNormal="145" workbookViewId="0">
      <selection activeCell="A2" sqref="A2"/>
    </sheetView>
  </sheetViews>
  <sheetFormatPr defaultRowHeight="12.75" x14ac:dyDescent="0.2"/>
  <cols>
    <col min="1" max="1" width="33.140625" style="1" bestFit="1" customWidth="1"/>
    <col min="2" max="2" width="8.7109375" style="1" bestFit="1" customWidth="1"/>
    <col min="3" max="3" width="8.28515625" style="1" customWidth="1"/>
    <col min="4" max="4" width="8.7109375" style="1" bestFit="1" customWidth="1"/>
    <col min="5" max="5" width="10.85546875" style="1" bestFit="1" customWidth="1"/>
    <col min="6" max="6" width="11.85546875" style="1" bestFit="1" customWidth="1"/>
    <col min="7" max="7" width="12.85546875" style="1" bestFit="1" customWidth="1"/>
    <col min="8" max="8" width="10.28515625" style="1" bestFit="1" customWidth="1"/>
    <col min="9" max="16384" width="9.140625" style="1"/>
  </cols>
  <sheetData>
    <row r="1" spans="1:8" s="44" customFormat="1" ht="18" x14ac:dyDescent="0.25">
      <c r="A1" s="309" t="s">
        <v>106</v>
      </c>
    </row>
    <row r="2" spans="1:8" s="326" customFormat="1" hidden="1" x14ac:dyDescent="0.2">
      <c r="B2" s="330"/>
    </row>
    <row r="3" spans="1:8" s="44" customFormat="1" x14ac:dyDescent="0.2">
      <c r="A3" s="287" t="str">
        <f>IF(A2="","",IF(Disable_Video_Hyperlinks,A2,HYPERLINK(Video_website&amp;A2,A2)))</f>
        <v/>
      </c>
    </row>
    <row r="4" spans="1:8" x14ac:dyDescent="0.2">
      <c r="A4" s="307" t="str">
        <f>IF(B2="","",B2)</f>
        <v/>
      </c>
    </row>
    <row r="6" spans="1:8" ht="15" x14ac:dyDescent="0.2">
      <c r="A6" s="19" t="s">
        <v>42</v>
      </c>
      <c r="B6" s="18"/>
      <c r="C6" s="18"/>
      <c r="D6" s="18"/>
      <c r="E6" s="18"/>
      <c r="F6" s="18"/>
      <c r="G6" s="18"/>
      <c r="H6" s="18"/>
    </row>
    <row r="7" spans="1:8" s="15" customFormat="1" ht="51" x14ac:dyDescent="0.2">
      <c r="A7" s="17" t="s">
        <v>41</v>
      </c>
      <c r="B7" s="16" t="s">
        <v>40</v>
      </c>
      <c r="C7" s="16" t="s">
        <v>233</v>
      </c>
      <c r="D7" s="16" t="s">
        <v>232</v>
      </c>
      <c r="E7" s="16" t="s">
        <v>37</v>
      </c>
      <c r="F7" s="16" t="s">
        <v>234</v>
      </c>
      <c r="G7" s="16" t="s">
        <v>235</v>
      </c>
      <c r="H7" s="16" t="s">
        <v>130</v>
      </c>
    </row>
    <row r="8" spans="1:8" x14ac:dyDescent="0.2">
      <c r="A8" s="14" t="s">
        <v>34</v>
      </c>
      <c r="B8" s="205">
        <v>4</v>
      </c>
      <c r="C8" s="215">
        <v>0.08</v>
      </c>
      <c r="D8" s="216">
        <v>5</v>
      </c>
      <c r="E8" s="37">
        <f>PMT(C8/B8,D8*B8,F8,G8)</f>
        <v>-61156.718125290397</v>
      </c>
      <c r="F8" s="218">
        <v>1000000</v>
      </c>
      <c r="G8" s="218">
        <v>0</v>
      </c>
      <c r="H8" s="228">
        <f>E8*B8</f>
        <v>-244626.87250116159</v>
      </c>
    </row>
    <row r="9" spans="1:8" x14ac:dyDescent="0.2">
      <c r="A9" s="13" t="s">
        <v>33</v>
      </c>
      <c r="B9" s="205">
        <v>12</v>
      </c>
      <c r="C9" s="215">
        <v>3.5000000000000003E-2</v>
      </c>
      <c r="D9" s="216">
        <v>2</v>
      </c>
      <c r="E9" s="219">
        <v>0</v>
      </c>
      <c r="F9" s="219">
        <v>-900000</v>
      </c>
      <c r="G9" s="222">
        <f>FV(C9/B9,D9*B9,E9,F9)</f>
        <v>965159.02263042156</v>
      </c>
      <c r="H9" s="229"/>
    </row>
    <row r="10" spans="1:8" x14ac:dyDescent="0.2">
      <c r="A10" s="14" t="s">
        <v>32</v>
      </c>
      <c r="B10" s="205">
        <v>12</v>
      </c>
      <c r="C10" s="215">
        <v>0.04</v>
      </c>
      <c r="D10" s="216">
        <v>1.5</v>
      </c>
      <c r="E10" s="219">
        <v>-50000</v>
      </c>
      <c r="F10" s="223">
        <f>PV(C10/B10,D10*B10,E10,G10)</f>
        <v>-69736.095464562793</v>
      </c>
      <c r="G10" s="219">
        <v>1000000</v>
      </c>
      <c r="H10" s="229"/>
    </row>
    <row r="11" spans="1:8" x14ac:dyDescent="0.2">
      <c r="A11" s="14" t="s">
        <v>31</v>
      </c>
      <c r="B11" s="205">
        <v>2</v>
      </c>
      <c r="C11" s="40">
        <f>RATE(D11*B11,E11,F11,G11)*B11</f>
        <v>8.4789286424155119E-2</v>
      </c>
      <c r="D11" s="216">
        <v>4</v>
      </c>
      <c r="E11" s="219">
        <v>-150000</v>
      </c>
      <c r="F11" s="219">
        <v>1000000</v>
      </c>
      <c r="G11" s="219">
        <v>0</v>
      </c>
      <c r="H11" s="220">
        <f>E11*B11</f>
        <v>-300000</v>
      </c>
    </row>
    <row r="12" spans="1:8" x14ac:dyDescent="0.2">
      <c r="A12" s="14" t="s">
        <v>30</v>
      </c>
      <c r="B12" s="205">
        <v>4</v>
      </c>
      <c r="C12" s="215">
        <v>6.5000000000000002E-2</v>
      </c>
      <c r="D12" s="39">
        <f>NPER(C12/B12,E12,F12,G12)/B12</f>
        <v>2.9095193490160596</v>
      </c>
      <c r="E12" s="219">
        <v>-95000</v>
      </c>
      <c r="F12" s="220">
        <v>1000000</v>
      </c>
      <c r="G12" s="221">
        <v>0</v>
      </c>
      <c r="H12" s="220">
        <f>E12*B12</f>
        <v>-380000</v>
      </c>
    </row>
    <row r="15" spans="1:8" x14ac:dyDescent="0.2">
      <c r="A15" s="2" t="s">
        <v>105</v>
      </c>
    </row>
    <row r="16" spans="1:8" x14ac:dyDescent="0.2">
      <c r="A16" s="38" t="s">
        <v>104</v>
      </c>
    </row>
    <row r="17" spans="1:1" x14ac:dyDescent="0.2">
      <c r="A17" s="38"/>
    </row>
    <row r="18" spans="1:1" x14ac:dyDescent="0.2">
      <c r="A18" s="38" t="s">
        <v>103</v>
      </c>
    </row>
    <row r="19" spans="1:1" x14ac:dyDescent="0.2">
      <c r="A19" s="38"/>
    </row>
    <row r="20" spans="1:1" x14ac:dyDescent="0.2">
      <c r="A20" s="38" t="s">
        <v>102</v>
      </c>
    </row>
    <row r="21" spans="1:1" x14ac:dyDescent="0.2">
      <c r="A21" s="38"/>
    </row>
    <row r="22" spans="1:1" x14ac:dyDescent="0.2">
      <c r="A22" s="38" t="s">
        <v>101</v>
      </c>
    </row>
    <row r="23" spans="1:1" x14ac:dyDescent="0.2">
      <c r="A23" s="38"/>
    </row>
    <row r="24" spans="1:1" x14ac:dyDescent="0.2">
      <c r="A24" s="38" t="s">
        <v>100</v>
      </c>
    </row>
    <row r="27" spans="1:1" x14ac:dyDescent="0.2">
      <c r="A27" s="1" t="s">
        <v>305</v>
      </c>
    </row>
  </sheetData>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5B54E-8C54-4625-8D7E-B732C74499EB}">
  <sheetPr codeName="Sheet28"/>
  <dimension ref="A1:F30"/>
  <sheetViews>
    <sheetView zoomScale="145" zoomScaleNormal="145" workbookViewId="0">
      <selection activeCell="F4" sqref="F4"/>
    </sheetView>
  </sheetViews>
  <sheetFormatPr defaultRowHeight="12.75" x14ac:dyDescent="0.2"/>
  <cols>
    <col min="1" max="1" width="21.140625" style="1" customWidth="1"/>
    <col min="2" max="2" width="9.85546875" style="1" customWidth="1"/>
    <col min="3" max="16384" width="9.140625" style="1"/>
  </cols>
  <sheetData>
    <row r="1" spans="1:6" s="44" customFormat="1" ht="18" x14ac:dyDescent="0.25">
      <c r="A1" s="309" t="s">
        <v>292</v>
      </c>
    </row>
    <row r="2" spans="1:6" s="326" customFormat="1" hidden="1" x14ac:dyDescent="0.2">
      <c r="A2" s="326" t="s">
        <v>318</v>
      </c>
      <c r="B2" s="327">
        <v>4.8611111111111112E-3</v>
      </c>
    </row>
    <row r="3" spans="1:6" s="44" customFormat="1" x14ac:dyDescent="0.2">
      <c r="A3" s="287" t="str">
        <f>IF(A2="","",IF(Disable_Video_Hyperlinks,A2,HYPERLINK(Video_website&amp;A2,A2)))</f>
        <v>UNC_DAYT_EXCEL_3.6.5_LECTURE_GOAL_SEEK.mp4</v>
      </c>
    </row>
    <row r="4" spans="1:6" x14ac:dyDescent="0.2">
      <c r="A4" s="307">
        <f>IF(B2="","",B2)</f>
        <v>4.8611111111111112E-3</v>
      </c>
    </row>
    <row r="6" spans="1:6" x14ac:dyDescent="0.2">
      <c r="A6" s="1" t="s">
        <v>265</v>
      </c>
    </row>
    <row r="7" spans="1:6" x14ac:dyDescent="0.2">
      <c r="A7" s="1" t="s">
        <v>266</v>
      </c>
    </row>
    <row r="10" spans="1:6" x14ac:dyDescent="0.2">
      <c r="A10" s="1" t="s">
        <v>151</v>
      </c>
      <c r="B10" s="27">
        <v>14999</v>
      </c>
      <c r="C10" s="1" t="s">
        <v>267</v>
      </c>
      <c r="D10" s="252"/>
      <c r="E10" s="252"/>
      <c r="F10" s="252"/>
    </row>
    <row r="11" spans="1:6" x14ac:dyDescent="0.2">
      <c r="A11" s="1" t="s">
        <v>150</v>
      </c>
      <c r="B11" s="253">
        <v>1000</v>
      </c>
      <c r="C11" s="1" t="s">
        <v>267</v>
      </c>
      <c r="D11" s="252"/>
      <c r="E11" s="252"/>
      <c r="F11" s="252"/>
    </row>
    <row r="12" spans="1:6" x14ac:dyDescent="0.2">
      <c r="A12" s="1" t="s">
        <v>149</v>
      </c>
      <c r="B12" s="254">
        <v>3000</v>
      </c>
      <c r="C12" s="1" t="s">
        <v>267</v>
      </c>
      <c r="D12" s="252"/>
      <c r="E12" s="252"/>
      <c r="F12" s="252"/>
    </row>
    <row r="13" spans="1:6" x14ac:dyDescent="0.2">
      <c r="A13" s="1" t="s">
        <v>148</v>
      </c>
      <c r="B13" s="255">
        <f>B10-(B11+B12)</f>
        <v>10999</v>
      </c>
      <c r="C13" s="1" t="s">
        <v>297</v>
      </c>
      <c r="D13" s="252"/>
      <c r="E13" s="252"/>
      <c r="F13" s="252"/>
    </row>
    <row r="14" spans="1:6" x14ac:dyDescent="0.2">
      <c r="A14" s="1" t="s">
        <v>147</v>
      </c>
      <c r="B14" s="28">
        <v>0.09</v>
      </c>
      <c r="D14" s="252"/>
      <c r="E14" s="252"/>
      <c r="F14" s="252"/>
    </row>
    <row r="15" spans="1:6" x14ac:dyDescent="0.2">
      <c r="A15" s="1" t="s">
        <v>146</v>
      </c>
      <c r="B15" s="24">
        <v>3</v>
      </c>
      <c r="C15" s="1" t="s">
        <v>267</v>
      </c>
      <c r="D15" s="252"/>
      <c r="E15" s="252"/>
      <c r="F15" s="252"/>
    </row>
    <row r="16" spans="1:6" x14ac:dyDescent="0.2">
      <c r="A16" s="1" t="s">
        <v>47</v>
      </c>
      <c r="B16" s="24">
        <v>12</v>
      </c>
      <c r="D16" s="252"/>
      <c r="E16" s="252"/>
      <c r="F16" s="252"/>
    </row>
    <row r="17" spans="1:6" x14ac:dyDescent="0.2">
      <c r="A17" s="1" t="s">
        <v>145</v>
      </c>
      <c r="B17" s="24">
        <v>0</v>
      </c>
      <c r="D17" s="252"/>
      <c r="E17" s="252"/>
      <c r="F17" s="252"/>
    </row>
    <row r="18" spans="1:6" x14ac:dyDescent="0.2">
      <c r="D18" s="252"/>
      <c r="E18" s="252"/>
      <c r="F18" s="252"/>
    </row>
    <row r="19" spans="1:6" x14ac:dyDescent="0.2">
      <c r="A19" s="1" t="s">
        <v>144</v>
      </c>
      <c r="B19" s="6">
        <f>-PMT(B14/B16,B15*B16,B13,B17)</f>
        <v>349.7652595266876</v>
      </c>
      <c r="C19" s="1" t="s">
        <v>268</v>
      </c>
      <c r="D19" s="252"/>
      <c r="E19" s="252"/>
      <c r="F19" s="252"/>
    </row>
    <row r="20" spans="1:6" x14ac:dyDescent="0.2">
      <c r="B20" s="6"/>
      <c r="D20" s="252"/>
      <c r="E20" s="252"/>
      <c r="F20" s="252"/>
    </row>
    <row r="24" spans="1:6" x14ac:dyDescent="0.2">
      <c r="D24" s="1" t="s">
        <v>269</v>
      </c>
    </row>
    <row r="26" spans="1:6" x14ac:dyDescent="0.2">
      <c r="D26" s="1" t="s">
        <v>270</v>
      </c>
    </row>
    <row r="28" spans="1:6" x14ac:dyDescent="0.2">
      <c r="D28" s="1" t="s">
        <v>271</v>
      </c>
    </row>
    <row r="29" spans="1:6" x14ac:dyDescent="0.2">
      <c r="D29" s="1" t="s">
        <v>272</v>
      </c>
    </row>
    <row r="30" spans="1:6" x14ac:dyDescent="0.2">
      <c r="D30" s="1" t="s">
        <v>273</v>
      </c>
    </row>
  </sheetData>
  <conditionalFormatting sqref="B2">
    <cfRule type="expression" dxfId="30" priority="1">
      <formula>NOT(_xlfn.ISFORMULA(B2))</formula>
    </cfRule>
  </conditionalFormatting>
  <pageMargins left="0.75" right="0.75" top="1" bottom="1" header="0.5" footer="0.5"/>
  <pageSetup orientation="portrait" r:id="rId1"/>
  <headerFooter alignWithMargins="0"/>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81783-5E3B-4B60-8734-C28E504067A4}">
  <sheetPr codeName="Sheet31"/>
  <dimension ref="A1:B3"/>
  <sheetViews>
    <sheetView zoomScale="160" zoomScaleNormal="160" workbookViewId="0"/>
  </sheetViews>
  <sheetFormatPr defaultRowHeight="12.75" x14ac:dyDescent="0.2"/>
  <sheetData>
    <row r="1" spans="1:2" ht="23.25" x14ac:dyDescent="0.35">
      <c r="A1" s="328" t="s">
        <v>323</v>
      </c>
    </row>
    <row r="2" spans="1:2" s="308" customFormat="1" hidden="1" x14ac:dyDescent="0.2">
      <c r="A2" s="326" t="s">
        <v>324</v>
      </c>
      <c r="B2" s="327">
        <v>6.4814814814814813E-3</v>
      </c>
    </row>
    <row r="3" spans="1:2" x14ac:dyDescent="0.2">
      <c r="A3" s="287" t="str">
        <f>IF(A2="","",IF(Disable_Video_Hyperlinks,A2,HYPERLINK(Video_website&amp;A2,A2)))</f>
        <v>UNC_DAYT_EXCEL_4.2.7_LECTURE_AMORTIZATION_SCHEDULE.mp4</v>
      </c>
      <c r="B3" s="44"/>
    </row>
  </sheetData>
  <conditionalFormatting sqref="B2">
    <cfRule type="expression" dxfId="29" priority="1">
      <formula>NOT(_xlfn.ISFORMULA(B2))</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0"/>
  <dimension ref="A1:G35"/>
  <sheetViews>
    <sheetView zoomScale="145" zoomScaleNormal="145" workbookViewId="0">
      <selection activeCell="A2" sqref="A2"/>
    </sheetView>
  </sheetViews>
  <sheetFormatPr defaultRowHeight="12.75" x14ac:dyDescent="0.2"/>
  <cols>
    <col min="1" max="1" width="23.7109375" style="93" customWidth="1"/>
    <col min="2" max="2" width="13.5703125" style="93" bestFit="1" customWidth="1"/>
    <col min="3" max="3" width="15.28515625" style="93" bestFit="1" customWidth="1"/>
    <col min="4" max="4" width="16.28515625" style="93" bestFit="1" customWidth="1"/>
    <col min="5" max="5" width="14.140625" style="5" bestFit="1" customWidth="1"/>
    <col min="6" max="6" width="11.85546875" style="5" bestFit="1" customWidth="1"/>
    <col min="7" max="7" width="12.85546875" style="5" bestFit="1" customWidth="1"/>
    <col min="8" max="16384" width="9.140625" style="5"/>
  </cols>
  <sheetData>
    <row r="1" spans="1:7" s="144" customFormat="1" ht="15.75" x14ac:dyDescent="0.25">
      <c r="A1" s="311" t="s">
        <v>293</v>
      </c>
      <c r="B1" s="311"/>
      <c r="C1" s="311"/>
      <c r="D1" s="311"/>
    </row>
    <row r="2" spans="1:7" s="329" customFormat="1" hidden="1" x14ac:dyDescent="0.2">
      <c r="A2" s="326"/>
      <c r="B2" s="327"/>
    </row>
    <row r="3" spans="1:7" s="312" customFormat="1" x14ac:dyDescent="0.2">
      <c r="A3" s="287" t="str">
        <f>IF(A2="","",IF(Disable_Video_Hyperlinks,A2,HYPERLINK(Video_website&amp;A2,A2)))</f>
        <v/>
      </c>
      <c r="B3" s="44"/>
    </row>
    <row r="4" spans="1:7" customFormat="1" x14ac:dyDescent="0.2">
      <c r="A4" s="307" t="str">
        <f>IF(B2="","",B2)</f>
        <v/>
      </c>
    </row>
    <row r="5" spans="1:7" customFormat="1" x14ac:dyDescent="0.2"/>
    <row r="6" spans="1:7" x14ac:dyDescent="0.2">
      <c r="A6" s="141" t="s">
        <v>178</v>
      </c>
      <c r="B6" s="288">
        <v>1000000</v>
      </c>
    </row>
    <row r="7" spans="1:7" x14ac:dyDescent="0.2">
      <c r="A7" s="141" t="s">
        <v>39</v>
      </c>
      <c r="B7" s="289">
        <v>0.08</v>
      </c>
      <c r="F7" s="162"/>
      <c r="G7" s="162"/>
    </row>
    <row r="8" spans="1:7" x14ac:dyDescent="0.2">
      <c r="A8" s="141" t="s">
        <v>177</v>
      </c>
      <c r="B8" s="290">
        <v>5</v>
      </c>
      <c r="F8" s="162"/>
      <c r="G8" s="162"/>
    </row>
    <row r="9" spans="1:7" x14ac:dyDescent="0.2">
      <c r="A9" s="141" t="s">
        <v>176</v>
      </c>
      <c r="B9" s="290">
        <v>4</v>
      </c>
      <c r="F9" s="162"/>
      <c r="G9" s="162"/>
    </row>
    <row r="10" spans="1:7" x14ac:dyDescent="0.2">
      <c r="A10" s="141" t="s">
        <v>175</v>
      </c>
      <c r="B10" s="291">
        <v>0</v>
      </c>
      <c r="F10" s="162"/>
      <c r="G10" s="162"/>
    </row>
    <row r="11" spans="1:7" x14ac:dyDescent="0.2">
      <c r="A11" s="292"/>
      <c r="B11" s="293"/>
      <c r="C11" s="292"/>
      <c r="D11" s="292"/>
      <c r="F11" s="162"/>
      <c r="G11" s="162"/>
    </row>
    <row r="12" spans="1:7" x14ac:dyDescent="0.2">
      <c r="A12" s="141" t="s">
        <v>174</v>
      </c>
      <c r="B12" s="294">
        <f>PMT(B7/B9,B9*B8,B6)</f>
        <v>-61156.718125290397</v>
      </c>
      <c r="F12" s="162"/>
      <c r="G12" s="162"/>
    </row>
    <row r="13" spans="1:7" x14ac:dyDescent="0.2">
      <c r="A13" s="292"/>
      <c r="B13" s="292"/>
      <c r="C13" s="292"/>
      <c r="D13" s="292"/>
    </row>
    <row r="14" spans="1:7" ht="25.5" x14ac:dyDescent="0.2">
      <c r="A14" s="295" t="s">
        <v>134</v>
      </c>
      <c r="B14" s="141" t="s">
        <v>173</v>
      </c>
      <c r="C14" s="141" t="s">
        <v>172</v>
      </c>
      <c r="D14" s="141" t="s">
        <v>171</v>
      </c>
    </row>
    <row r="15" spans="1:7" x14ac:dyDescent="0.2">
      <c r="A15" s="93">
        <v>1</v>
      </c>
      <c r="B15" s="132">
        <f>B6</f>
        <v>1000000</v>
      </c>
      <c r="C15" s="296">
        <f t="shared" ref="C15:C34" si="0">IPMT(B$7/B$9,A15,B$8*B$9,B$6,B$10,0)</f>
        <v>-20000</v>
      </c>
      <c r="D15" s="296">
        <f t="shared" ref="D15:D34" si="1">PPMT(B$7/B$9,A15,B$8*B$9,B$6,B$10,0)</f>
        <v>-41156.71812529039</v>
      </c>
    </row>
    <row r="16" spans="1:7" x14ac:dyDescent="0.2">
      <c r="A16" s="93">
        <v>2</v>
      </c>
      <c r="B16" s="297">
        <f t="shared" ref="B16:B35" si="2">B15+D15</f>
        <v>958843.28187470965</v>
      </c>
      <c r="C16" s="298">
        <f t="shared" si="0"/>
        <v>-19176.865637494193</v>
      </c>
      <c r="D16" s="298">
        <f t="shared" si="1"/>
        <v>-41979.852487796205</v>
      </c>
    </row>
    <row r="17" spans="1:5" x14ac:dyDescent="0.2">
      <c r="A17" s="93">
        <v>3</v>
      </c>
      <c r="B17" s="297">
        <f t="shared" si="2"/>
        <v>916863.42938691343</v>
      </c>
      <c r="C17" s="298">
        <f t="shared" si="0"/>
        <v>-18337.268587738272</v>
      </c>
      <c r="D17" s="298">
        <f t="shared" si="1"/>
        <v>-42819.449537552122</v>
      </c>
    </row>
    <row r="18" spans="1:5" x14ac:dyDescent="0.2">
      <c r="A18" s="93">
        <v>4</v>
      </c>
      <c r="B18" s="297">
        <f t="shared" si="2"/>
        <v>874043.97984936135</v>
      </c>
      <c r="C18" s="298">
        <f t="shared" si="0"/>
        <v>-17480.879596987226</v>
      </c>
      <c r="D18" s="298">
        <f t="shared" si="1"/>
        <v>-43675.838528303168</v>
      </c>
      <c r="E18" s="77"/>
    </row>
    <row r="19" spans="1:5" x14ac:dyDescent="0.2">
      <c r="A19" s="93">
        <v>5</v>
      </c>
      <c r="B19" s="297">
        <f t="shared" si="2"/>
        <v>830368.14132105815</v>
      </c>
      <c r="C19" s="298">
        <f t="shared" si="0"/>
        <v>-16607.362826421166</v>
      </c>
      <c r="D19" s="298">
        <f t="shared" si="1"/>
        <v>-44549.355298869239</v>
      </c>
    </row>
    <row r="20" spans="1:5" x14ac:dyDescent="0.2">
      <c r="A20" s="93">
        <v>6</v>
      </c>
      <c r="B20" s="297">
        <f t="shared" si="2"/>
        <v>785818.78602218896</v>
      </c>
      <c r="C20" s="298">
        <f t="shared" si="0"/>
        <v>-15716.375720443782</v>
      </c>
      <c r="D20" s="298">
        <f t="shared" si="1"/>
        <v>-45440.342404846619</v>
      </c>
    </row>
    <row r="21" spans="1:5" x14ac:dyDescent="0.2">
      <c r="A21" s="93">
        <v>7</v>
      </c>
      <c r="B21" s="297">
        <f t="shared" si="2"/>
        <v>740378.44361734239</v>
      </c>
      <c r="C21" s="298">
        <f t="shared" si="0"/>
        <v>-14807.568872346848</v>
      </c>
      <c r="D21" s="298">
        <f t="shared" si="1"/>
        <v>-46349.149252943549</v>
      </c>
    </row>
    <row r="22" spans="1:5" x14ac:dyDescent="0.2">
      <c r="A22" s="93">
        <v>8</v>
      </c>
      <c r="B22" s="297">
        <f t="shared" si="2"/>
        <v>694029.29436439881</v>
      </c>
      <c r="C22" s="298">
        <f t="shared" si="0"/>
        <v>-13880.585887287978</v>
      </c>
      <c r="D22" s="298">
        <f t="shared" si="1"/>
        <v>-47276.132238002421</v>
      </c>
      <c r="E22" s="77"/>
    </row>
    <row r="23" spans="1:5" x14ac:dyDescent="0.2">
      <c r="A23" s="93">
        <v>9</v>
      </c>
      <c r="B23" s="297">
        <f t="shared" si="2"/>
        <v>646753.16212639643</v>
      </c>
      <c r="C23" s="298">
        <f t="shared" si="0"/>
        <v>-12935.063242527931</v>
      </c>
      <c r="D23" s="298">
        <f t="shared" si="1"/>
        <v>-48221.654882762457</v>
      </c>
    </row>
    <row r="24" spans="1:5" x14ac:dyDescent="0.2">
      <c r="A24" s="93">
        <v>10</v>
      </c>
      <c r="B24" s="297">
        <f t="shared" si="2"/>
        <v>598531.50724363397</v>
      </c>
      <c r="C24" s="298">
        <f t="shared" si="0"/>
        <v>-11970.630144872679</v>
      </c>
      <c r="D24" s="298">
        <f t="shared" si="1"/>
        <v>-49186.087980417724</v>
      </c>
    </row>
    <row r="25" spans="1:5" x14ac:dyDescent="0.2">
      <c r="A25" s="93">
        <v>11</v>
      </c>
      <c r="B25" s="297">
        <f t="shared" si="2"/>
        <v>549345.4192632162</v>
      </c>
      <c r="C25" s="298">
        <f t="shared" si="0"/>
        <v>-10986.908385264327</v>
      </c>
      <c r="D25" s="298">
        <f t="shared" si="1"/>
        <v>-50169.809740026074</v>
      </c>
    </row>
    <row r="26" spans="1:5" x14ac:dyDescent="0.2">
      <c r="A26" s="93">
        <v>12</v>
      </c>
      <c r="B26" s="297">
        <f t="shared" si="2"/>
        <v>499175.60952319013</v>
      </c>
      <c r="C26" s="298">
        <f t="shared" si="0"/>
        <v>-9983.5121904638054</v>
      </c>
      <c r="D26" s="298">
        <f t="shared" si="1"/>
        <v>-51173.20593482659</v>
      </c>
      <c r="E26" s="77"/>
    </row>
    <row r="27" spans="1:5" x14ac:dyDescent="0.2">
      <c r="A27" s="93">
        <v>13</v>
      </c>
      <c r="B27" s="297">
        <f t="shared" si="2"/>
        <v>448002.40358836355</v>
      </c>
      <c r="C27" s="298">
        <f t="shared" si="0"/>
        <v>-8960.0480717672726</v>
      </c>
      <c r="D27" s="298">
        <f t="shared" si="1"/>
        <v>-52196.670053523121</v>
      </c>
    </row>
    <row r="28" spans="1:5" x14ac:dyDescent="0.2">
      <c r="A28" s="93">
        <v>14</v>
      </c>
      <c r="B28" s="297">
        <f t="shared" si="2"/>
        <v>395805.7335348404</v>
      </c>
      <c r="C28" s="298">
        <f t="shared" si="0"/>
        <v>-7916.114670696812</v>
      </c>
      <c r="D28" s="298">
        <f t="shared" si="1"/>
        <v>-53240.603454593591</v>
      </c>
    </row>
    <row r="29" spans="1:5" x14ac:dyDescent="0.2">
      <c r="A29" s="93">
        <v>15</v>
      </c>
      <c r="B29" s="297">
        <f t="shared" si="2"/>
        <v>342565.13008024683</v>
      </c>
      <c r="C29" s="298">
        <f t="shared" si="0"/>
        <v>-6851.3026016049389</v>
      </c>
      <c r="D29" s="298">
        <f t="shared" si="1"/>
        <v>-54305.415523685457</v>
      </c>
    </row>
    <row r="30" spans="1:5" x14ac:dyDescent="0.2">
      <c r="A30" s="93">
        <v>16</v>
      </c>
      <c r="B30" s="297">
        <f t="shared" si="2"/>
        <v>288259.71455656138</v>
      </c>
      <c r="C30" s="298">
        <f t="shared" si="0"/>
        <v>-5765.194291131229</v>
      </c>
      <c r="D30" s="298">
        <f t="shared" si="1"/>
        <v>-55391.523834159168</v>
      </c>
      <c r="E30" s="77"/>
    </row>
    <row r="31" spans="1:5" x14ac:dyDescent="0.2">
      <c r="A31" s="93">
        <v>17</v>
      </c>
      <c r="B31" s="297">
        <f t="shared" si="2"/>
        <v>232868.19072240221</v>
      </c>
      <c r="C31" s="298">
        <f t="shared" si="0"/>
        <v>-4657.3638144480465</v>
      </c>
      <c r="D31" s="298">
        <f t="shared" si="1"/>
        <v>-56499.354310842355</v>
      </c>
    </row>
    <row r="32" spans="1:5" x14ac:dyDescent="0.2">
      <c r="A32" s="93">
        <v>18</v>
      </c>
      <c r="B32" s="297">
        <f t="shared" si="2"/>
        <v>176368.83641155987</v>
      </c>
      <c r="C32" s="298">
        <f t="shared" si="0"/>
        <v>-3527.3767282311996</v>
      </c>
      <c r="D32" s="298">
        <f t="shared" si="1"/>
        <v>-57629.341397059201</v>
      </c>
    </row>
    <row r="33" spans="1:5" x14ac:dyDescent="0.2">
      <c r="A33" s="93">
        <v>19</v>
      </c>
      <c r="B33" s="297">
        <f t="shared" si="2"/>
        <v>118739.49501450066</v>
      </c>
      <c r="C33" s="298">
        <f t="shared" si="0"/>
        <v>-2374.7899002900153</v>
      </c>
      <c r="D33" s="298">
        <f t="shared" si="1"/>
        <v>-58781.928225000382</v>
      </c>
    </row>
    <row r="34" spans="1:5" x14ac:dyDescent="0.2">
      <c r="A34" s="93">
        <v>20</v>
      </c>
      <c r="B34" s="297">
        <f t="shared" si="2"/>
        <v>59957.566789500277</v>
      </c>
      <c r="C34" s="298">
        <f t="shared" si="0"/>
        <v>-1199.1513357900078</v>
      </c>
      <c r="D34" s="298">
        <f t="shared" si="1"/>
        <v>-59957.566789500386</v>
      </c>
      <c r="E34" s="77"/>
    </row>
    <row r="35" spans="1:5" ht="26.25" customHeight="1" x14ac:dyDescent="0.2">
      <c r="A35" s="141" t="s">
        <v>170</v>
      </c>
      <c r="B35" s="299">
        <f t="shared" si="2"/>
        <v>-1.0913936421275139E-10</v>
      </c>
    </row>
  </sheetData>
  <conditionalFormatting sqref="B2">
    <cfRule type="expression" dxfId="28" priority="1">
      <formula>NOT(_xlfn.ISFORMULA(B2))</formula>
    </cfRule>
  </conditionalFormatting>
  <pageMargins left="0.75" right="0.75" top="1" bottom="1" header="0.5" footer="0.5"/>
  <pageSetup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8"/>
  <dimension ref="A1:Z55"/>
  <sheetViews>
    <sheetView zoomScale="145" zoomScaleNormal="145" workbookViewId="0">
      <pane xSplit="1" ySplit="18" topLeftCell="B19" activePane="bottomRight" state="frozen"/>
      <selection activeCell="B2" sqref="B2"/>
      <selection pane="topRight" activeCell="B2" sqref="B2"/>
      <selection pane="bottomLeft" activeCell="B2" sqref="B2"/>
      <selection pane="bottomRight" activeCell="A2" sqref="A2"/>
    </sheetView>
  </sheetViews>
  <sheetFormatPr defaultColWidth="10.7109375" defaultRowHeight="12.75" x14ac:dyDescent="0.2"/>
  <cols>
    <col min="1" max="1" width="18.140625" style="1" bestFit="1" customWidth="1"/>
    <col min="2" max="6" width="10.7109375" style="1"/>
    <col min="7" max="7" width="87.5703125" style="1" customWidth="1"/>
    <col min="8" max="25" width="10.7109375" style="1"/>
    <col min="26" max="26" width="9.140625" style="1" customWidth="1"/>
    <col min="27" max="16384" width="10.7109375" style="1"/>
  </cols>
  <sheetData>
    <row r="1" spans="1:26" s="44" customFormat="1" ht="18" x14ac:dyDescent="0.25">
      <c r="A1" s="309" t="s">
        <v>296</v>
      </c>
      <c r="B1" s="310"/>
      <c r="C1" s="310"/>
      <c r="D1" s="310"/>
      <c r="E1" s="310"/>
      <c r="F1" s="310"/>
      <c r="G1" s="310"/>
    </row>
    <row r="2" spans="1:26" s="326" customFormat="1" ht="12.75" hidden="1" customHeight="1" x14ac:dyDescent="0.2">
      <c r="B2" s="327"/>
    </row>
    <row r="3" spans="1:26" s="44" customFormat="1" x14ac:dyDescent="0.2">
      <c r="A3" s="287" t="str">
        <f>IF(A2="","",IF(Disable_Video_Hyperlinks,A2,HYPERLINK(Video_website&amp;A2,A2)))</f>
        <v/>
      </c>
    </row>
    <row r="4" spans="1:26" x14ac:dyDescent="0.2">
      <c r="A4" s="307" t="str">
        <f>IF(B2="","",B2)</f>
        <v/>
      </c>
    </row>
    <row r="6" spans="1:26" x14ac:dyDescent="0.2">
      <c r="B6" s="30"/>
      <c r="C6" s="30" t="s">
        <v>53</v>
      </c>
      <c r="G6" s="369" t="s">
        <v>294</v>
      </c>
      <c r="Z6" s="44"/>
    </row>
    <row r="7" spans="1:26" x14ac:dyDescent="0.2">
      <c r="A7" s="2" t="s">
        <v>52</v>
      </c>
      <c r="B7" s="29"/>
      <c r="C7" s="29" t="s">
        <v>50</v>
      </c>
      <c r="D7" s="30"/>
      <c r="G7" s="370"/>
    </row>
    <row r="8" spans="1:26" x14ac:dyDescent="0.2">
      <c r="A8" s="1" t="s">
        <v>39</v>
      </c>
      <c r="B8" s="28"/>
      <c r="C8" s="192">
        <v>0.1</v>
      </c>
      <c r="D8" s="24"/>
      <c r="G8" s="370"/>
    </row>
    <row r="9" spans="1:26" x14ac:dyDescent="0.2">
      <c r="A9" s="1" t="s">
        <v>49</v>
      </c>
      <c r="B9" s="27"/>
      <c r="C9" s="191">
        <v>3600</v>
      </c>
      <c r="D9" s="24"/>
      <c r="G9" s="370"/>
    </row>
    <row r="10" spans="1:26" x14ac:dyDescent="0.2">
      <c r="A10" s="1" t="s">
        <v>48</v>
      </c>
      <c r="B10" s="24"/>
      <c r="C10" s="251">
        <v>3</v>
      </c>
      <c r="D10" s="24"/>
      <c r="G10" s="370"/>
    </row>
    <row r="11" spans="1:26" x14ac:dyDescent="0.2">
      <c r="A11" s="1" t="s">
        <v>47</v>
      </c>
      <c r="B11" s="26"/>
      <c r="C11" s="302">
        <v>12</v>
      </c>
      <c r="D11" s="24"/>
      <c r="G11" s="370"/>
    </row>
    <row r="12" spans="1:26" x14ac:dyDescent="0.2">
      <c r="B12" s="26"/>
      <c r="C12" s="26"/>
      <c r="D12" s="24"/>
      <c r="G12" s="370"/>
    </row>
    <row r="13" spans="1:26" x14ac:dyDescent="0.2">
      <c r="A13" s="1" t="s">
        <v>46</v>
      </c>
      <c r="B13" s="25"/>
      <c r="C13" s="195">
        <v>0</v>
      </c>
      <c r="D13" s="24"/>
      <c r="G13" s="370"/>
    </row>
    <row r="14" spans="1:26" x14ac:dyDescent="0.2">
      <c r="A14" s="5" t="s">
        <v>98</v>
      </c>
      <c r="B14" s="23"/>
      <c r="C14" s="302">
        <v>0</v>
      </c>
      <c r="D14" s="24"/>
      <c r="G14" s="370"/>
    </row>
    <row r="15" spans="1:26" ht="13.5" thickBot="1" x14ac:dyDescent="0.25">
      <c r="B15" s="15"/>
      <c r="C15" s="15"/>
      <c r="G15" s="370"/>
    </row>
    <row r="16" spans="1:26" x14ac:dyDescent="0.2">
      <c r="A16" s="5" t="s">
        <v>44</v>
      </c>
      <c r="B16" s="21"/>
      <c r="C16" s="20">
        <v>116.16187389781543</v>
      </c>
      <c r="G16" s="370"/>
    </row>
    <row r="17" spans="1:7" x14ac:dyDescent="0.2">
      <c r="B17" s="6"/>
      <c r="C17" s="6"/>
      <c r="D17" s="6"/>
      <c r="G17" s="370"/>
    </row>
    <row r="18" spans="1:7" s="35" customFormat="1" ht="25.5" x14ac:dyDescent="0.2">
      <c r="A18" s="36" t="s">
        <v>97</v>
      </c>
      <c r="B18" s="36" t="s">
        <v>295</v>
      </c>
      <c r="C18" s="36" t="s">
        <v>96</v>
      </c>
      <c r="D18" s="36" t="s">
        <v>95</v>
      </c>
      <c r="E18" s="36" t="s">
        <v>94</v>
      </c>
    </row>
    <row r="19" spans="1:7" x14ac:dyDescent="0.2">
      <c r="E19" s="6">
        <v>3600</v>
      </c>
    </row>
    <row r="20" spans="1:7" x14ac:dyDescent="0.2">
      <c r="A20" s="1">
        <v>1</v>
      </c>
      <c r="B20" s="6">
        <v>116.16187389781543</v>
      </c>
      <c r="C20" s="6">
        <v>30</v>
      </c>
      <c r="D20" s="6">
        <v>86.161873897815425</v>
      </c>
      <c r="E20" s="6">
        <v>3513.8381261021846</v>
      </c>
    </row>
    <row r="21" spans="1:7" x14ac:dyDescent="0.2">
      <c r="A21" s="1">
        <v>2</v>
      </c>
      <c r="B21" s="6">
        <v>116.16187389781543</v>
      </c>
      <c r="C21" s="6">
        <v>29.28198438418487</v>
      </c>
      <c r="D21" s="6">
        <v>86.879889513630559</v>
      </c>
      <c r="E21" s="6">
        <v>3426.958236588554</v>
      </c>
    </row>
    <row r="22" spans="1:7" x14ac:dyDescent="0.2">
      <c r="A22" s="1">
        <v>3</v>
      </c>
      <c r="B22" s="6">
        <v>116.16187389781543</v>
      </c>
      <c r="C22" s="6">
        <v>28.557985304904616</v>
      </c>
      <c r="D22" s="6">
        <v>87.603888592910806</v>
      </c>
      <c r="E22" s="6">
        <v>3339.3543479956434</v>
      </c>
    </row>
    <row r="23" spans="1:7" x14ac:dyDescent="0.2">
      <c r="A23" s="1">
        <v>4</v>
      </c>
      <c r="B23" s="6">
        <v>116.16187389781543</v>
      </c>
      <c r="C23" s="6">
        <v>27.827952899963694</v>
      </c>
      <c r="D23" s="6">
        <v>88.333920997851735</v>
      </c>
      <c r="E23" s="6">
        <v>3251.0204269977917</v>
      </c>
    </row>
    <row r="24" spans="1:7" x14ac:dyDescent="0.2">
      <c r="A24" s="1">
        <v>5</v>
      </c>
      <c r="B24" s="6">
        <v>116.16187389781543</v>
      </c>
      <c r="C24" s="6">
        <v>27.091836891648263</v>
      </c>
      <c r="D24" s="6">
        <v>89.070037006167155</v>
      </c>
      <c r="E24" s="6">
        <v>3161.9503899916244</v>
      </c>
    </row>
    <row r="25" spans="1:7" x14ac:dyDescent="0.2">
      <c r="A25" s="1">
        <v>6</v>
      </c>
      <c r="B25" s="6">
        <v>116.16187389781543</v>
      </c>
      <c r="C25" s="6">
        <v>26.349586583263537</v>
      </c>
      <c r="D25" s="6">
        <v>89.812287314551895</v>
      </c>
      <c r="E25" s="6">
        <v>3072.1381026770723</v>
      </c>
    </row>
    <row r="26" spans="1:7" x14ac:dyDescent="0.2">
      <c r="A26" s="1">
        <v>7</v>
      </c>
      <c r="B26" s="6">
        <v>116.16187389781543</v>
      </c>
      <c r="C26" s="6">
        <v>25.60115085564227</v>
      </c>
      <c r="D26" s="6">
        <v>90.560723042173151</v>
      </c>
      <c r="E26" s="6">
        <v>2981.577379634899</v>
      </c>
    </row>
    <row r="27" spans="1:7" x14ac:dyDescent="0.2">
      <c r="A27" s="1">
        <v>8</v>
      </c>
      <c r="B27" s="6">
        <v>116.16187389781543</v>
      </c>
      <c r="C27" s="6">
        <v>24.846478163624159</v>
      </c>
      <c r="D27" s="6">
        <v>91.31539573419127</v>
      </c>
      <c r="E27" s="6">
        <v>2890.2619839007075</v>
      </c>
    </row>
    <row r="28" spans="1:7" x14ac:dyDescent="0.2">
      <c r="A28" s="1">
        <v>9</v>
      </c>
      <c r="B28" s="6">
        <v>116.16187389781543</v>
      </c>
      <c r="C28" s="6">
        <v>24.085516532505896</v>
      </c>
      <c r="D28" s="6">
        <v>92.076357365309534</v>
      </c>
      <c r="E28" s="6">
        <v>2798.1856265353981</v>
      </c>
    </row>
    <row r="29" spans="1:7" x14ac:dyDescent="0.2">
      <c r="A29" s="1">
        <v>10</v>
      </c>
      <c r="B29" s="6">
        <v>116.16187389781543</v>
      </c>
      <c r="C29" s="6">
        <v>23.31821355446165</v>
      </c>
      <c r="D29" s="6">
        <v>92.843660343353775</v>
      </c>
      <c r="E29" s="6">
        <v>2705.3419661920443</v>
      </c>
    </row>
    <row r="30" spans="1:7" x14ac:dyDescent="0.2">
      <c r="A30" s="1">
        <v>11</v>
      </c>
      <c r="B30" s="6">
        <v>116.16187389781543</v>
      </c>
      <c r="C30" s="6">
        <v>22.544516384933701</v>
      </c>
      <c r="D30" s="6">
        <v>93.617357512881725</v>
      </c>
      <c r="E30" s="6">
        <v>2611.7246086791624</v>
      </c>
    </row>
    <row r="31" spans="1:7" x14ac:dyDescent="0.2">
      <c r="A31" s="1">
        <v>12</v>
      </c>
      <c r="B31" s="6">
        <v>116.16187389781543</v>
      </c>
      <c r="C31" s="6">
        <v>21.76437173899302</v>
      </c>
      <c r="D31" s="6">
        <v>94.397502158822405</v>
      </c>
      <c r="E31" s="6">
        <v>2517.3271065203398</v>
      </c>
    </row>
    <row r="32" spans="1:7" x14ac:dyDescent="0.2">
      <c r="A32" s="1">
        <v>13</v>
      </c>
      <c r="B32" s="6">
        <v>116.16187389781543</v>
      </c>
      <c r="C32" s="6">
        <v>20.9777258876695</v>
      </c>
      <c r="D32" s="6">
        <v>95.184148010145918</v>
      </c>
      <c r="E32" s="6">
        <v>2422.1429585101941</v>
      </c>
    </row>
    <row r="33" spans="1:5" x14ac:dyDescent="0.2">
      <c r="A33" s="1">
        <v>14</v>
      </c>
      <c r="B33" s="6">
        <v>116.16187389781543</v>
      </c>
      <c r="C33" s="6">
        <v>20.184524654251618</v>
      </c>
      <c r="D33" s="6">
        <v>95.977349243563808</v>
      </c>
      <c r="E33" s="6">
        <v>2326.1656092666303</v>
      </c>
    </row>
    <row r="34" spans="1:5" x14ac:dyDescent="0.2">
      <c r="A34" s="1">
        <v>15</v>
      </c>
      <c r="B34" s="6">
        <v>116.16187389781543</v>
      </c>
      <c r="C34" s="6">
        <v>19.384713410555253</v>
      </c>
      <c r="D34" s="6">
        <v>96.777160487260176</v>
      </c>
      <c r="E34" s="6">
        <v>2229.3884487793703</v>
      </c>
    </row>
    <row r="35" spans="1:5" x14ac:dyDescent="0.2">
      <c r="A35" s="1">
        <v>16</v>
      </c>
      <c r="B35" s="6">
        <v>116.16187389781543</v>
      </c>
      <c r="C35" s="6">
        <v>18.578237073161418</v>
      </c>
      <c r="D35" s="6">
        <v>97.583636824654008</v>
      </c>
      <c r="E35" s="6">
        <v>2131.8048119547161</v>
      </c>
    </row>
    <row r="36" spans="1:5" x14ac:dyDescent="0.2">
      <c r="A36" s="1">
        <v>17</v>
      </c>
      <c r="B36" s="6">
        <v>116.16187389781543</v>
      </c>
      <c r="C36" s="6">
        <v>17.765040099622635</v>
      </c>
      <c r="D36" s="6">
        <v>98.396833798192787</v>
      </c>
      <c r="E36" s="6">
        <v>2033.4079781565233</v>
      </c>
    </row>
    <row r="37" spans="1:5" x14ac:dyDescent="0.2">
      <c r="A37" s="1">
        <v>18</v>
      </c>
      <c r="B37" s="6">
        <v>116.16187389781543</v>
      </c>
      <c r="C37" s="6">
        <v>16.945066484637692</v>
      </c>
      <c r="D37" s="6">
        <v>99.216807413177733</v>
      </c>
      <c r="E37" s="6">
        <v>1934.1911707433455</v>
      </c>
    </row>
    <row r="38" spans="1:5" x14ac:dyDescent="0.2">
      <c r="A38" s="1">
        <v>19</v>
      </c>
      <c r="B38" s="6">
        <v>116.16187389781543</v>
      </c>
      <c r="C38" s="6">
        <v>16.118259756194547</v>
      </c>
      <c r="D38" s="6">
        <v>100.04361414162088</v>
      </c>
      <c r="E38" s="6">
        <v>1834.1475566017248</v>
      </c>
    </row>
    <row r="39" spans="1:5" x14ac:dyDescent="0.2">
      <c r="A39" s="1">
        <v>20</v>
      </c>
      <c r="B39" s="6">
        <v>116.16187389781543</v>
      </c>
      <c r="C39" s="6">
        <v>15.284562971681039</v>
      </c>
      <c r="D39" s="6">
        <v>100.87731092613438</v>
      </c>
      <c r="E39" s="6">
        <v>1733.2702456755903</v>
      </c>
    </row>
    <row r="40" spans="1:5" x14ac:dyDescent="0.2">
      <c r="A40" s="1">
        <v>21</v>
      </c>
      <c r="B40" s="6">
        <v>116.16187389781543</v>
      </c>
      <c r="C40" s="6">
        <v>14.443918713963253</v>
      </c>
      <c r="D40" s="6">
        <v>101.71795518385217</v>
      </c>
      <c r="E40" s="6">
        <v>1631.5522904917382</v>
      </c>
    </row>
    <row r="41" spans="1:5" x14ac:dyDescent="0.2">
      <c r="A41" s="1">
        <v>22</v>
      </c>
      <c r="B41" s="6">
        <v>116.16187389781543</v>
      </c>
      <c r="C41" s="6">
        <v>13.596269087431152</v>
      </c>
      <c r="D41" s="6">
        <v>102.56560481038427</v>
      </c>
      <c r="E41" s="6">
        <v>1528.9866856813539</v>
      </c>
    </row>
    <row r="42" spans="1:5" x14ac:dyDescent="0.2">
      <c r="A42" s="1">
        <v>23</v>
      </c>
      <c r="B42" s="6">
        <v>116.16187389781543</v>
      </c>
      <c r="C42" s="6">
        <v>12.741555714011282</v>
      </c>
      <c r="D42" s="6">
        <v>103.42031818380414</v>
      </c>
      <c r="E42" s="6">
        <v>1425.5663674975499</v>
      </c>
    </row>
    <row r="43" spans="1:5" x14ac:dyDescent="0.2">
      <c r="A43" s="1">
        <v>24</v>
      </c>
      <c r="B43" s="6">
        <v>116.16187389781543</v>
      </c>
      <c r="C43" s="6">
        <v>11.879719729146249</v>
      </c>
      <c r="D43" s="6">
        <v>104.28215416866918</v>
      </c>
      <c r="E43" s="6">
        <v>1321.2842133288807</v>
      </c>
    </row>
    <row r="44" spans="1:5" x14ac:dyDescent="0.2">
      <c r="A44" s="1">
        <v>25</v>
      </c>
      <c r="B44" s="6">
        <v>116.16187389781543</v>
      </c>
      <c r="C44" s="6">
        <v>11.010701777740673</v>
      </c>
      <c r="D44" s="6">
        <v>105.15117212007475</v>
      </c>
      <c r="E44" s="6">
        <v>1216.1330412088059</v>
      </c>
    </row>
    <row r="45" spans="1:5" x14ac:dyDescent="0.2">
      <c r="A45" s="1">
        <v>26</v>
      </c>
      <c r="B45" s="6">
        <v>116.16187389781543</v>
      </c>
      <c r="C45" s="6">
        <v>10.134442010073382</v>
      </c>
      <c r="D45" s="6">
        <v>106.02743188774204</v>
      </c>
      <c r="E45" s="6">
        <v>1110.1056093210639</v>
      </c>
    </row>
    <row r="46" spans="1:5" x14ac:dyDescent="0.2">
      <c r="A46" s="1">
        <v>27</v>
      </c>
      <c r="B46" s="6">
        <v>116.16187389781543</v>
      </c>
      <c r="C46" s="6">
        <v>9.2508800776755322</v>
      </c>
      <c r="D46" s="6">
        <v>106.91099382013989</v>
      </c>
      <c r="E46" s="6">
        <v>1003.194615500924</v>
      </c>
    </row>
    <row r="47" spans="1:5" x14ac:dyDescent="0.2">
      <c r="A47" s="1">
        <v>28</v>
      </c>
      <c r="B47" s="6">
        <v>116.16187389781543</v>
      </c>
      <c r="C47" s="6">
        <v>8.3599551291743666</v>
      </c>
      <c r="D47" s="6">
        <v>107.80191876864106</v>
      </c>
      <c r="E47" s="6">
        <v>895.39269673228296</v>
      </c>
    </row>
    <row r="48" spans="1:5" x14ac:dyDescent="0.2">
      <c r="A48" s="1">
        <v>29</v>
      </c>
      <c r="B48" s="6">
        <v>116.16187389781543</v>
      </c>
      <c r="C48" s="6">
        <v>7.4616058061023578</v>
      </c>
      <c r="D48" s="6">
        <v>108.70026809171307</v>
      </c>
      <c r="E48" s="6">
        <v>786.69242864056991</v>
      </c>
    </row>
    <row r="49" spans="1:5" x14ac:dyDescent="0.2">
      <c r="A49" s="1">
        <v>30</v>
      </c>
      <c r="B49" s="6">
        <v>116.16187389781543</v>
      </c>
      <c r="C49" s="6">
        <v>6.5557702386714158</v>
      </c>
      <c r="D49" s="6">
        <v>109.60610365914401</v>
      </c>
      <c r="E49" s="6">
        <v>677.08632498142595</v>
      </c>
    </row>
    <row r="50" spans="1:5" x14ac:dyDescent="0.2">
      <c r="A50" s="1">
        <v>31</v>
      </c>
      <c r="B50" s="6">
        <v>116.16187389781543</v>
      </c>
      <c r="C50" s="6">
        <v>5.6423860415118829</v>
      </c>
      <c r="D50" s="6">
        <v>110.51948785630354</v>
      </c>
      <c r="E50" s="6">
        <v>566.56683712512245</v>
      </c>
    </row>
    <row r="51" spans="1:5" x14ac:dyDescent="0.2">
      <c r="A51" s="1">
        <v>32</v>
      </c>
      <c r="B51" s="6">
        <v>116.16187389781543</v>
      </c>
      <c r="C51" s="6">
        <v>4.7213903093760203</v>
      </c>
      <c r="D51" s="6">
        <v>111.44048358843941</v>
      </c>
      <c r="E51" s="6">
        <v>455.12635353668304</v>
      </c>
    </row>
    <row r="52" spans="1:5" x14ac:dyDescent="0.2">
      <c r="A52" s="1">
        <v>33</v>
      </c>
      <c r="B52" s="6">
        <v>116.16187389781543</v>
      </c>
      <c r="C52" s="6">
        <v>3.7927196128056919</v>
      </c>
      <c r="D52" s="6">
        <v>112.36915428500973</v>
      </c>
      <c r="E52" s="6">
        <v>342.75719925167334</v>
      </c>
    </row>
    <row r="53" spans="1:5" x14ac:dyDescent="0.2">
      <c r="A53" s="1">
        <v>34</v>
      </c>
      <c r="B53" s="6">
        <v>116.16187389781543</v>
      </c>
      <c r="C53" s="6">
        <v>2.8563099937639445</v>
      </c>
      <c r="D53" s="6">
        <v>113.30556390405148</v>
      </c>
      <c r="E53" s="6">
        <v>229.45163534762185</v>
      </c>
    </row>
    <row r="54" spans="1:5" x14ac:dyDescent="0.2">
      <c r="A54" s="1">
        <v>35</v>
      </c>
      <c r="B54" s="6">
        <v>116.16187389781543</v>
      </c>
      <c r="C54" s="6">
        <v>1.9120969612301819</v>
      </c>
      <c r="D54" s="6">
        <v>114.24977693658525</v>
      </c>
      <c r="E54" s="6">
        <v>115.2018584110366</v>
      </c>
    </row>
    <row r="55" spans="1:5" x14ac:dyDescent="0.2">
      <c r="A55" s="1">
        <v>36</v>
      </c>
      <c r="B55" s="6">
        <v>116.16187389781543</v>
      </c>
      <c r="C55" s="6">
        <v>0.96001548675863824</v>
      </c>
      <c r="D55" s="6">
        <v>115.20185841105679</v>
      </c>
      <c r="E55" s="6">
        <v>-2.0193624550302047E-11</v>
      </c>
    </row>
  </sheetData>
  <mergeCells count="1">
    <mergeCell ref="G6:G17"/>
  </mergeCells>
  <conditionalFormatting sqref="B2">
    <cfRule type="expression" dxfId="27" priority="1">
      <formula>NOT(_xlfn.ISFORMULA(B2))</formula>
    </cfRule>
  </conditionalFormatting>
  <pageMargins left="0.75" right="0.75" top="1" bottom="1" header="0.5" footer="0.5"/>
  <pageSetup scale="77" orientation="portrait" r:id="rId1"/>
  <headerFooter alignWithMargins="0"/>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A1:G24"/>
  <sheetViews>
    <sheetView workbookViewId="0">
      <selection activeCell="A2" sqref="A2"/>
    </sheetView>
  </sheetViews>
  <sheetFormatPr defaultRowHeight="12.75" x14ac:dyDescent="0.2"/>
  <cols>
    <col min="1" max="1" width="25.7109375" style="5" bestFit="1" customWidth="1"/>
    <col min="2" max="2" width="10.28515625" style="5" customWidth="1"/>
    <col min="3" max="7" width="12.85546875" style="5" bestFit="1" customWidth="1"/>
    <col min="8" max="16384" width="9.140625" style="5"/>
  </cols>
  <sheetData>
    <row r="1" spans="1:7" ht="15.75" thickBot="1" x14ac:dyDescent="0.25">
      <c r="A1" s="373" t="s">
        <v>169</v>
      </c>
      <c r="B1" s="373"/>
      <c r="C1" s="373"/>
      <c r="D1" s="373"/>
      <c r="E1" s="373"/>
      <c r="F1" s="373"/>
      <c r="G1" s="373"/>
    </row>
    <row r="2" spans="1:7" x14ac:dyDescent="0.2">
      <c r="A2" s="151"/>
      <c r="B2" s="152"/>
      <c r="C2" s="152"/>
      <c r="D2" s="152"/>
      <c r="E2" s="152"/>
      <c r="F2" s="152"/>
      <c r="G2" s="153"/>
    </row>
    <row r="3" spans="1:7" x14ac:dyDescent="0.2">
      <c r="A3" s="154" t="s">
        <v>168</v>
      </c>
      <c r="B3" s="155"/>
      <c r="C3" s="155">
        <v>1</v>
      </c>
      <c r="D3" s="155">
        <v>2</v>
      </c>
      <c r="E3" s="155">
        <v>3</v>
      </c>
      <c r="F3" s="155">
        <v>4</v>
      </c>
      <c r="G3" s="156">
        <v>5</v>
      </c>
    </row>
    <row r="4" spans="1:7" x14ac:dyDescent="0.2">
      <c r="A4" s="98" t="s">
        <v>167</v>
      </c>
      <c r="B4" s="98"/>
      <c r="C4" s="112">
        <v>4450</v>
      </c>
      <c r="D4" s="112">
        <v>25000</v>
      </c>
      <c r="E4" s="112">
        <v>50000</v>
      </c>
      <c r="F4" s="112">
        <v>65000</v>
      </c>
      <c r="G4" s="112">
        <v>70000</v>
      </c>
    </row>
    <row r="5" spans="1:7" x14ac:dyDescent="0.2">
      <c r="A5" s="98" t="s">
        <v>166</v>
      </c>
      <c r="B5" s="98"/>
      <c r="C5" s="157">
        <v>225</v>
      </c>
      <c r="D5" s="157">
        <v>225</v>
      </c>
      <c r="E5" s="157">
        <v>225</v>
      </c>
      <c r="F5" s="157">
        <v>225</v>
      </c>
      <c r="G5" s="157">
        <v>225</v>
      </c>
    </row>
    <row r="6" spans="1:7" x14ac:dyDescent="0.2">
      <c r="A6" s="106"/>
      <c r="B6" s="106"/>
      <c r="C6" s="107"/>
      <c r="D6" s="106"/>
      <c r="E6" s="106"/>
      <c r="F6" s="106"/>
      <c r="G6" s="106"/>
    </row>
    <row r="7" spans="1:7" x14ac:dyDescent="0.2">
      <c r="A7" s="106" t="s">
        <v>165</v>
      </c>
      <c r="B7" s="106"/>
      <c r="C7" s="157">
        <f>C4*C5</f>
        <v>1001250</v>
      </c>
      <c r="D7" s="157">
        <f>D4*D5</f>
        <v>5625000</v>
      </c>
      <c r="E7" s="157">
        <f>E4*E5</f>
        <v>11250000</v>
      </c>
      <c r="F7" s="157">
        <f>F4*F5</f>
        <v>14625000</v>
      </c>
      <c r="G7" s="157">
        <f>G4*G5</f>
        <v>15750000</v>
      </c>
    </row>
    <row r="8" spans="1:7" x14ac:dyDescent="0.2">
      <c r="A8" s="158"/>
      <c r="B8" s="159" t="s">
        <v>164</v>
      </c>
      <c r="C8" s="158"/>
      <c r="D8" s="158"/>
      <c r="E8" s="158"/>
      <c r="F8" s="158"/>
      <c r="G8" s="158"/>
    </row>
    <row r="9" spans="1:7" x14ac:dyDescent="0.2">
      <c r="A9" s="106" t="s">
        <v>163</v>
      </c>
      <c r="B9" s="160">
        <v>-177.9</v>
      </c>
      <c r="C9" s="157">
        <f t="shared" ref="C9:G10" si="0">C$4*$B9</f>
        <v>-791655</v>
      </c>
      <c r="D9" s="157">
        <f t="shared" si="0"/>
        <v>-4447500</v>
      </c>
      <c r="E9" s="157">
        <f t="shared" si="0"/>
        <v>-8895000</v>
      </c>
      <c r="F9" s="157">
        <f t="shared" si="0"/>
        <v>-11563500</v>
      </c>
      <c r="G9" s="157">
        <f t="shared" si="0"/>
        <v>-12453000</v>
      </c>
    </row>
    <row r="10" spans="1:7" x14ac:dyDescent="0.2">
      <c r="A10" s="106" t="s">
        <v>162</v>
      </c>
      <c r="B10" s="161">
        <v>-10</v>
      </c>
      <c r="C10" s="157">
        <f t="shared" si="0"/>
        <v>-44500</v>
      </c>
      <c r="D10" s="157">
        <f t="shared" si="0"/>
        <v>-250000</v>
      </c>
      <c r="E10" s="157">
        <f t="shared" si="0"/>
        <v>-500000</v>
      </c>
      <c r="F10" s="157">
        <f t="shared" si="0"/>
        <v>-650000</v>
      </c>
      <c r="G10" s="157">
        <f t="shared" si="0"/>
        <v>-700000</v>
      </c>
    </row>
    <row r="11" spans="1:7" x14ac:dyDescent="0.2">
      <c r="A11" s="158"/>
      <c r="B11" s="158"/>
      <c r="C11" s="158"/>
      <c r="D11" s="158"/>
      <c r="E11" s="158"/>
      <c r="F11" s="158"/>
      <c r="G11" s="158"/>
    </row>
    <row r="12" spans="1:7" x14ac:dyDescent="0.2">
      <c r="A12" s="106" t="s">
        <v>161</v>
      </c>
      <c r="B12" s="106"/>
      <c r="C12" s="157">
        <f>SUM(C7,C9:C10)</f>
        <v>165095</v>
      </c>
      <c r="D12" s="157">
        <f>SUM(D7,D9:D10)</f>
        <v>927500</v>
      </c>
      <c r="E12" s="157">
        <f>SUM(E7,E9:E10)</f>
        <v>1855000</v>
      </c>
      <c r="F12" s="157">
        <f>SUM(F7,F9:F10)</f>
        <v>2411500</v>
      </c>
      <c r="G12" s="157">
        <f>SUM(G7,G9:G10)</f>
        <v>2597000</v>
      </c>
    </row>
    <row r="13" spans="1:7" x14ac:dyDescent="0.2">
      <c r="A13" s="106"/>
      <c r="B13" s="106"/>
      <c r="C13" s="106"/>
      <c r="D13" s="106"/>
      <c r="E13" s="106"/>
      <c r="F13" s="106"/>
      <c r="G13" s="106"/>
    </row>
    <row r="14" spans="1:7" x14ac:dyDescent="0.2">
      <c r="A14" s="106" t="s">
        <v>160</v>
      </c>
      <c r="B14" s="106"/>
      <c r="C14" s="162"/>
      <c r="D14" s="162"/>
      <c r="E14" s="162"/>
      <c r="F14" s="162"/>
      <c r="G14" s="162"/>
    </row>
    <row r="15" spans="1:7" x14ac:dyDescent="0.2">
      <c r="A15" s="106" t="s">
        <v>159</v>
      </c>
      <c r="B15" s="106"/>
      <c r="C15" s="163">
        <f>-SLN(Capital,Salvage,Life)</f>
        <v>-97500</v>
      </c>
      <c r="D15" s="163">
        <f>-SLN(Capital,Salvage,Life)</f>
        <v>-97500</v>
      </c>
      <c r="E15" s="163">
        <f>-SLN(Capital,Salvage,Life)</f>
        <v>-97500</v>
      </c>
      <c r="F15" s="163">
        <f>-SLN(Capital,Salvage,Life)</f>
        <v>-97500</v>
      </c>
      <c r="G15" s="163">
        <f>-SLN(Capital,Salvage,Life)</f>
        <v>-97500</v>
      </c>
    </row>
    <row r="16" spans="1:7" x14ac:dyDescent="0.2">
      <c r="A16" s="106" t="s">
        <v>158</v>
      </c>
      <c r="B16" s="106"/>
      <c r="C16" s="118">
        <f>C12+C14+C15</f>
        <v>67595</v>
      </c>
      <c r="D16" s="118">
        <f>D12+D14+D15</f>
        <v>830000</v>
      </c>
      <c r="E16" s="118">
        <f>E12+E14+E15</f>
        <v>1757500</v>
      </c>
      <c r="F16" s="118">
        <f>F12+F14+F15</f>
        <v>2314000</v>
      </c>
      <c r="G16" s="118">
        <f>G12+G14+G15</f>
        <v>2499500</v>
      </c>
    </row>
    <row r="17" spans="1:7" x14ac:dyDescent="0.2">
      <c r="A17" s="106"/>
      <c r="B17" s="106"/>
      <c r="C17" s="106"/>
      <c r="D17" s="106"/>
      <c r="E17" s="106"/>
      <c r="F17" s="106"/>
      <c r="G17" s="106"/>
    </row>
    <row r="18" spans="1:7" x14ac:dyDescent="0.2">
      <c r="A18" s="106" t="s">
        <v>157</v>
      </c>
      <c r="B18" s="106"/>
      <c r="C18" s="118">
        <f>-ROUND(Taxrate*C16,0)</f>
        <v>-23658</v>
      </c>
      <c r="D18" s="118">
        <f>-ROUND(Taxrate*D16,0)</f>
        <v>-290500</v>
      </c>
      <c r="E18" s="118">
        <f>-ROUND(Taxrate*E16,0)</f>
        <v>-615125</v>
      </c>
      <c r="F18" s="118">
        <f>-ROUND(Taxrate*F16,0)</f>
        <v>-809900</v>
      </c>
      <c r="G18" s="118">
        <f>-ROUND(Taxrate*G16,0)</f>
        <v>-874825</v>
      </c>
    </row>
    <row r="19" spans="1:7" x14ac:dyDescent="0.2">
      <c r="A19" s="106" t="s">
        <v>156</v>
      </c>
      <c r="B19" s="106"/>
      <c r="C19" s="118">
        <f>C18+C16</f>
        <v>43937</v>
      </c>
      <c r="D19" s="118">
        <f>D18+D16</f>
        <v>539500</v>
      </c>
      <c r="E19" s="118">
        <f>E18+E16</f>
        <v>1142375</v>
      </c>
      <c r="F19" s="118">
        <f>F18+F16</f>
        <v>1504100</v>
      </c>
      <c r="G19" s="118">
        <f>G18+G16</f>
        <v>1624675</v>
      </c>
    </row>
    <row r="20" spans="1:7" x14ac:dyDescent="0.2">
      <c r="A20" s="106"/>
      <c r="B20" s="106"/>
      <c r="C20" s="106"/>
      <c r="D20" s="106"/>
      <c r="E20" s="106"/>
      <c r="F20" s="106"/>
      <c r="G20" s="106"/>
    </row>
    <row r="21" spans="1:7" x14ac:dyDescent="0.2">
      <c r="A21" s="106" t="s">
        <v>155</v>
      </c>
      <c r="B21" s="106"/>
      <c r="C21" s="118">
        <f>-C15</f>
        <v>97500</v>
      </c>
      <c r="D21" s="118">
        <f>-D15</f>
        <v>97500</v>
      </c>
      <c r="E21" s="118">
        <f>-E15</f>
        <v>97500</v>
      </c>
      <c r="F21" s="118">
        <f>-F15</f>
        <v>97500</v>
      </c>
      <c r="G21" s="118">
        <f>-G15</f>
        <v>97500</v>
      </c>
    </row>
    <row r="22" spans="1:7" x14ac:dyDescent="0.2">
      <c r="A22" s="106" t="s">
        <v>154</v>
      </c>
      <c r="B22" s="106"/>
      <c r="C22" s="162"/>
      <c r="D22" s="162"/>
      <c r="E22" s="162"/>
      <c r="F22" s="162"/>
      <c r="G22" s="162"/>
    </row>
    <row r="23" spans="1:7" ht="13.5" thickBot="1" x14ac:dyDescent="0.25">
      <c r="A23" s="164"/>
      <c r="B23" s="165"/>
      <c r="C23" s="165"/>
      <c r="D23" s="165"/>
      <c r="E23" s="165"/>
      <c r="F23" s="165"/>
      <c r="G23" s="166"/>
    </row>
    <row r="24" spans="1:7" ht="13.5" thickBot="1" x14ac:dyDescent="0.25">
      <c r="A24" s="167" t="s">
        <v>153</v>
      </c>
      <c r="B24" s="168"/>
      <c r="C24" s="169">
        <f>SUM(C19,C21,C22)</f>
        <v>141437</v>
      </c>
      <c r="D24" s="169">
        <f>SUM(D19,D21,D22)</f>
        <v>637000</v>
      </c>
      <c r="E24" s="169">
        <f>SUM(E19,E21,E22)</f>
        <v>1239875</v>
      </c>
      <c r="F24" s="169">
        <f>SUM(F19,F21,F22)</f>
        <v>1601600</v>
      </c>
      <c r="G24" s="170">
        <f>SUM(G19,G21,G22)</f>
        <v>1722175</v>
      </c>
    </row>
  </sheetData>
  <mergeCells count="1">
    <mergeCell ref="A1:G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H19"/>
  <sheetViews>
    <sheetView zoomScale="160" zoomScaleNormal="160" workbookViewId="0">
      <selection activeCell="A4" sqref="A4"/>
    </sheetView>
  </sheetViews>
  <sheetFormatPr defaultColWidth="10.7109375" defaultRowHeight="12.75" x14ac:dyDescent="0.2"/>
  <cols>
    <col min="1" max="1" width="8" style="1" customWidth="1"/>
    <col min="2" max="2" width="8.140625" style="1" customWidth="1"/>
    <col min="3" max="3" width="18.28515625" style="1" customWidth="1"/>
    <col min="4" max="16384" width="10.7109375" style="1"/>
  </cols>
  <sheetData>
    <row r="1" spans="1:8" s="44" customFormat="1" ht="18" x14ac:dyDescent="0.25">
      <c r="A1" s="309" t="s">
        <v>56</v>
      </c>
      <c r="B1" s="310"/>
      <c r="C1" s="310"/>
      <c r="D1" s="310"/>
      <c r="E1" s="310"/>
      <c r="F1" s="310"/>
      <c r="G1" s="310"/>
      <c r="H1" s="310"/>
    </row>
    <row r="2" spans="1:8" s="326" customFormat="1" hidden="1" x14ac:dyDescent="0.2">
      <c r="A2" s="326" t="s">
        <v>312</v>
      </c>
      <c r="B2" s="335">
        <v>8.0324074074074082E-3</v>
      </c>
    </row>
    <row r="3" spans="1:8" s="44" customFormat="1" x14ac:dyDescent="0.2">
      <c r="A3" s="287" t="str">
        <f>IF(A2="","",IF(Disable_Video_Hyperlinks,A2,HYPERLINK(Video_website&amp;A2,A2)))</f>
        <v>UNC_DAYT_EXCEL_4.2.1_LECTURE_PMT.mp4</v>
      </c>
    </row>
    <row r="4" spans="1:8" x14ac:dyDescent="0.2">
      <c r="A4" s="307">
        <f>IF(B2="","",B2)</f>
        <v>8.0324074074074082E-3</v>
      </c>
      <c r="B4" s="46"/>
      <c r="C4" s="46"/>
      <c r="D4" s="46"/>
      <c r="E4" s="46"/>
      <c r="F4" s="46"/>
      <c r="G4" s="46"/>
      <c r="H4" s="46"/>
    </row>
    <row r="6" spans="1:8" ht="27.75" customHeight="1" x14ac:dyDescent="0.2">
      <c r="A6" s="367" t="s">
        <v>55</v>
      </c>
      <c r="B6" s="367"/>
      <c r="C6" s="367"/>
      <c r="D6" s="367"/>
      <c r="E6" s="367"/>
      <c r="F6" s="367"/>
      <c r="G6" s="367"/>
      <c r="H6" s="367"/>
    </row>
    <row r="8" spans="1:8" x14ac:dyDescent="0.2">
      <c r="D8" s="30" t="s">
        <v>54</v>
      </c>
      <c r="F8" s="30" t="s">
        <v>53</v>
      </c>
      <c r="H8" s="30" t="s">
        <v>53</v>
      </c>
    </row>
    <row r="9" spans="1:8" x14ac:dyDescent="0.2">
      <c r="A9" s="2" t="s">
        <v>224</v>
      </c>
      <c r="D9" s="29" t="s">
        <v>51</v>
      </c>
      <c r="E9" s="30"/>
      <c r="F9" s="29" t="s">
        <v>51</v>
      </c>
      <c r="G9" s="30"/>
      <c r="H9" s="29" t="s">
        <v>50</v>
      </c>
    </row>
    <row r="10" spans="1:8" x14ac:dyDescent="0.2">
      <c r="B10" s="1" t="s">
        <v>39</v>
      </c>
      <c r="D10" s="192">
        <v>0</v>
      </c>
      <c r="E10" s="28"/>
      <c r="F10" s="192">
        <v>0</v>
      </c>
      <c r="G10" s="24"/>
      <c r="H10" s="192">
        <v>0.1</v>
      </c>
    </row>
    <row r="11" spans="1:8" x14ac:dyDescent="0.2">
      <c r="B11" s="1" t="s">
        <v>49</v>
      </c>
      <c r="D11" s="191">
        <v>3600</v>
      </c>
      <c r="E11" s="27"/>
      <c r="F11" s="191">
        <v>3600</v>
      </c>
      <c r="G11" s="24"/>
      <c r="H11" s="191">
        <v>3600</v>
      </c>
    </row>
    <row r="12" spans="1:8" x14ac:dyDescent="0.2">
      <c r="B12" s="1" t="s">
        <v>48</v>
      </c>
      <c r="D12" s="193">
        <v>3</v>
      </c>
      <c r="E12" s="24"/>
      <c r="F12" s="193">
        <v>3</v>
      </c>
      <c r="G12" s="24"/>
      <c r="H12" s="193">
        <v>3</v>
      </c>
    </row>
    <row r="13" spans="1:8" x14ac:dyDescent="0.2">
      <c r="B13" s="1" t="s">
        <v>47</v>
      </c>
      <c r="D13" s="194">
        <v>12</v>
      </c>
      <c r="E13" s="26"/>
      <c r="F13" s="194">
        <v>12</v>
      </c>
      <c r="G13" s="24"/>
      <c r="H13" s="194">
        <v>12</v>
      </c>
    </row>
    <row r="14" spans="1:8" x14ac:dyDescent="0.2">
      <c r="D14" s="26"/>
      <c r="E14" s="26"/>
      <c r="F14" s="26"/>
      <c r="G14" s="24"/>
      <c r="H14" s="26"/>
    </row>
    <row r="15" spans="1:8" x14ac:dyDescent="0.2">
      <c r="B15" s="1" t="s">
        <v>46</v>
      </c>
      <c r="D15" s="195">
        <v>0</v>
      </c>
      <c r="E15" s="25"/>
      <c r="F15" s="195">
        <v>0</v>
      </c>
      <c r="G15" s="24"/>
      <c r="H15" s="195">
        <v>0</v>
      </c>
    </row>
    <row r="16" spans="1:8" x14ac:dyDescent="0.2">
      <c r="B16" s="1" t="s">
        <v>45</v>
      </c>
      <c r="D16" s="196">
        <v>0</v>
      </c>
      <c r="E16" s="23"/>
      <c r="F16" s="196">
        <v>0</v>
      </c>
      <c r="G16" s="24"/>
      <c r="H16" s="196">
        <v>0</v>
      </c>
    </row>
    <row r="17" spans="2:8" ht="13.5" thickBot="1" x14ac:dyDescent="0.25">
      <c r="D17" s="15"/>
      <c r="E17" s="22"/>
      <c r="F17" s="15"/>
      <c r="H17" s="15"/>
    </row>
    <row r="18" spans="2:8" x14ac:dyDescent="0.2">
      <c r="B18" s="5" t="s">
        <v>44</v>
      </c>
      <c r="D18" s="20">
        <f>D11/(D12*D13)</f>
        <v>100</v>
      </c>
      <c r="E18" s="21"/>
      <c r="F18" s="20">
        <f>-PMT(F10/F13,F12*F13,F11,F15,F16)</f>
        <v>100</v>
      </c>
      <c r="H18" s="20">
        <f>-PMT(H10/H13,H12*H13,H11,H15,H16)</f>
        <v>116.16187389781494</v>
      </c>
    </row>
    <row r="19" spans="2:8" x14ac:dyDescent="0.2">
      <c r="D19" s="6"/>
      <c r="E19" s="6"/>
    </row>
  </sheetData>
  <mergeCells count="1">
    <mergeCell ref="A6:H6"/>
  </mergeCells>
  <conditionalFormatting sqref="B2">
    <cfRule type="expression" dxfId="36" priority="1">
      <formula>NOT(_xlfn.ISFORMULA(B2))</formula>
    </cfRule>
  </conditionalFormatting>
  <pageMargins left="0.75" right="0.75" top="1" bottom="1" header="0.5" footer="0.5"/>
  <pageSetup scale="77"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dimension ref="A1:B7"/>
  <sheetViews>
    <sheetView workbookViewId="0">
      <selection activeCell="A2" sqref="A2"/>
    </sheetView>
  </sheetViews>
  <sheetFormatPr defaultRowHeight="12.75" x14ac:dyDescent="0.2"/>
  <cols>
    <col min="1" max="1" width="19" style="1" bestFit="1" customWidth="1"/>
    <col min="2" max="2" width="11.28515625" style="1" bestFit="1" customWidth="1"/>
    <col min="3" max="16384" width="9.140625" style="1"/>
  </cols>
  <sheetData>
    <row r="1" spans="1:2" ht="15.75" x14ac:dyDescent="0.25">
      <c r="A1" s="374" t="s">
        <v>182</v>
      </c>
      <c r="B1" s="374"/>
    </row>
    <row r="2" spans="1:2" x14ac:dyDescent="0.2">
      <c r="A2" s="5"/>
      <c r="B2" s="29"/>
    </row>
    <row r="3" spans="1:2" x14ac:dyDescent="0.2">
      <c r="A3" s="5" t="s">
        <v>181</v>
      </c>
      <c r="B3" s="56">
        <v>1000000</v>
      </c>
    </row>
    <row r="4" spans="1:2" x14ac:dyDescent="0.2">
      <c r="A4" s="5" t="s">
        <v>180</v>
      </c>
      <c r="B4" s="56">
        <v>25000</v>
      </c>
    </row>
    <row r="5" spans="1:2" x14ac:dyDescent="0.2">
      <c r="A5" s="5" t="s">
        <v>179</v>
      </c>
      <c r="B5" s="55">
        <v>10</v>
      </c>
    </row>
    <row r="6" spans="1:2" x14ac:dyDescent="0.2">
      <c r="B6" s="33"/>
    </row>
    <row r="7" spans="1:2" x14ac:dyDescent="0.2">
      <c r="B7" s="33"/>
    </row>
  </sheetData>
  <mergeCells count="1">
    <mergeCell ref="A1:B1"/>
  </mergeCells>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I46"/>
  <sheetViews>
    <sheetView zoomScaleNormal="100" workbookViewId="0">
      <selection activeCell="A2" sqref="A2"/>
    </sheetView>
  </sheetViews>
  <sheetFormatPr defaultRowHeight="12.75" x14ac:dyDescent="0.2"/>
  <cols>
    <col min="1" max="1" width="26" style="5" bestFit="1" customWidth="1"/>
    <col min="2" max="2" width="11.5703125" style="5" bestFit="1" customWidth="1"/>
    <col min="3" max="3" width="12" style="5" bestFit="1" customWidth="1"/>
    <col min="4" max="4" width="14.42578125" style="5" bestFit="1" customWidth="1"/>
    <col min="5" max="5" width="13" style="5" bestFit="1" customWidth="1"/>
    <col min="6" max="7" width="13.5703125" style="5" bestFit="1" customWidth="1"/>
    <col min="8" max="16384" width="9.140625" style="5"/>
  </cols>
  <sheetData>
    <row r="1" spans="1:7" ht="18" x14ac:dyDescent="0.25">
      <c r="A1" s="4" t="str">
        <f>A11</f>
        <v>Project 5-Year Income after Taxes - Original Case</v>
      </c>
    </row>
    <row r="2" spans="1:7" ht="13.5" thickBot="1" x14ac:dyDescent="0.25"/>
    <row r="3" spans="1:7" ht="25.5" x14ac:dyDescent="0.2">
      <c r="A3" s="73" t="s">
        <v>41</v>
      </c>
      <c r="B3" s="72" t="s">
        <v>202</v>
      </c>
      <c r="C3" s="72" t="s">
        <v>201</v>
      </c>
      <c r="D3" s="72" t="s">
        <v>200</v>
      </c>
      <c r="E3" s="71" t="s">
        <v>63</v>
      </c>
      <c r="F3" s="71" t="s">
        <v>61</v>
      </c>
      <c r="G3" s="70" t="s">
        <v>199</v>
      </c>
    </row>
    <row r="4" spans="1:7" ht="13.5" thickBot="1" x14ac:dyDescent="0.25">
      <c r="A4" s="83" t="s">
        <v>34</v>
      </c>
      <c r="B4" s="84">
        <v>0.08</v>
      </c>
      <c r="C4" s="85">
        <v>5</v>
      </c>
      <c r="D4" s="85">
        <v>4</v>
      </c>
      <c r="E4" s="86">
        <v>1000000</v>
      </c>
      <c r="F4" s="87">
        <v>0</v>
      </c>
      <c r="G4" s="69">
        <f>PMT(B4/D4,C4*D4,E4,F4)</f>
        <v>-61156.718125290397</v>
      </c>
    </row>
    <row r="5" spans="1:7" ht="13.5" thickBot="1" x14ac:dyDescent="0.25">
      <c r="A5" s="375"/>
      <c r="B5" s="375"/>
      <c r="C5" s="88"/>
      <c r="D5" s="375"/>
      <c r="E5" s="375"/>
      <c r="F5" s="375"/>
      <c r="G5" s="375"/>
    </row>
    <row r="6" spans="1:7" x14ac:dyDescent="0.2">
      <c r="A6" s="68" t="s">
        <v>198</v>
      </c>
      <c r="B6" s="67"/>
      <c r="C6" s="67" t="s">
        <v>197</v>
      </c>
      <c r="D6" s="67" t="s">
        <v>196</v>
      </c>
      <c r="E6" s="66" t="s">
        <v>179</v>
      </c>
      <c r="F6" s="88"/>
      <c r="G6" s="88"/>
    </row>
    <row r="7" spans="1:7" ht="13.5" thickBot="1" x14ac:dyDescent="0.25">
      <c r="A7" s="89" t="s">
        <v>195</v>
      </c>
      <c r="B7" s="90"/>
      <c r="C7" s="91">
        <v>1000000</v>
      </c>
      <c r="D7" s="91">
        <v>25000</v>
      </c>
      <c r="E7" s="92">
        <v>10</v>
      </c>
      <c r="F7" s="88"/>
      <c r="G7" s="88"/>
    </row>
    <row r="8" spans="1:7" ht="13.5" thickBot="1" x14ac:dyDescent="0.25">
      <c r="A8" s="93"/>
      <c r="B8" s="88"/>
      <c r="C8" s="88"/>
      <c r="D8" s="88"/>
      <c r="E8" s="88"/>
      <c r="F8" s="88"/>
      <c r="G8" s="88"/>
    </row>
    <row r="9" spans="1:7" ht="13.5" thickBot="1" x14ac:dyDescent="0.25">
      <c r="A9" s="65" t="s">
        <v>194</v>
      </c>
      <c r="B9" s="94">
        <v>0.25</v>
      </c>
      <c r="C9" s="95"/>
      <c r="D9" s="64" t="s">
        <v>193</v>
      </c>
      <c r="E9" s="96">
        <v>0.35</v>
      </c>
      <c r="F9" s="88"/>
      <c r="G9" s="88"/>
    </row>
    <row r="10" spans="1:7" ht="13.5" thickBot="1" x14ac:dyDescent="0.25">
      <c r="A10" s="93"/>
      <c r="B10" s="93"/>
      <c r="C10" s="93"/>
      <c r="D10" s="93"/>
      <c r="E10" s="93"/>
      <c r="F10" s="93"/>
      <c r="G10" s="93"/>
    </row>
    <row r="11" spans="1:7" ht="15" x14ac:dyDescent="0.2">
      <c r="A11" s="376" t="s">
        <v>192</v>
      </c>
      <c r="B11" s="377"/>
      <c r="C11" s="377"/>
      <c r="D11" s="377"/>
      <c r="E11" s="377"/>
      <c r="F11" s="377"/>
      <c r="G11" s="378"/>
    </row>
    <row r="12" spans="1:7" x14ac:dyDescent="0.2">
      <c r="A12" s="63" t="s">
        <v>191</v>
      </c>
      <c r="B12" s="62">
        <v>0</v>
      </c>
      <c r="C12" s="62">
        <v>1</v>
      </c>
      <c r="D12" s="62">
        <v>2</v>
      </c>
      <c r="E12" s="62">
        <v>3</v>
      </c>
      <c r="F12" s="62">
        <v>4</v>
      </c>
      <c r="G12" s="61">
        <v>5</v>
      </c>
    </row>
    <row r="13" spans="1:7" x14ac:dyDescent="0.2">
      <c r="A13" s="97" t="s">
        <v>167</v>
      </c>
      <c r="B13" s="98"/>
      <c r="C13" s="99">
        <v>4450</v>
      </c>
      <c r="D13" s="99">
        <v>25000</v>
      </c>
      <c r="E13" s="99">
        <v>50000</v>
      </c>
      <c r="F13" s="99">
        <v>65000</v>
      </c>
      <c r="G13" s="100">
        <v>70000</v>
      </c>
    </row>
    <row r="14" spans="1:7" x14ac:dyDescent="0.2">
      <c r="A14" s="97" t="s">
        <v>166</v>
      </c>
      <c r="B14" s="98"/>
      <c r="C14" s="101">
        <v>225</v>
      </c>
      <c r="D14" s="101">
        <v>225</v>
      </c>
      <c r="E14" s="101">
        <v>225</v>
      </c>
      <c r="F14" s="101">
        <v>225</v>
      </c>
      <c r="G14" s="102">
        <v>225</v>
      </c>
    </row>
    <row r="15" spans="1:7" x14ac:dyDescent="0.2">
      <c r="A15" s="97" t="s">
        <v>190</v>
      </c>
      <c r="B15" s="98"/>
      <c r="C15" s="103">
        <v>177.9</v>
      </c>
      <c r="D15" s="103">
        <v>177.9</v>
      </c>
      <c r="E15" s="103">
        <v>177.9</v>
      </c>
      <c r="F15" s="103">
        <v>177.9</v>
      </c>
      <c r="G15" s="104">
        <v>177.9</v>
      </c>
    </row>
    <row r="16" spans="1:7" x14ac:dyDescent="0.2">
      <c r="A16" s="97" t="s">
        <v>189</v>
      </c>
      <c r="B16" s="98"/>
      <c r="C16" s="101">
        <v>10</v>
      </c>
      <c r="D16" s="101">
        <v>10</v>
      </c>
      <c r="E16" s="101">
        <v>10</v>
      </c>
      <c r="F16" s="101">
        <v>10</v>
      </c>
      <c r="G16" s="102">
        <v>10</v>
      </c>
    </row>
    <row r="17" spans="1:8" x14ac:dyDescent="0.2">
      <c r="A17" s="105"/>
      <c r="B17" s="106"/>
      <c r="C17" s="107"/>
      <c r="D17" s="106"/>
      <c r="E17" s="106"/>
      <c r="F17" s="106"/>
      <c r="G17" s="108"/>
    </row>
    <row r="18" spans="1:8" x14ac:dyDescent="0.2">
      <c r="A18" s="105" t="s">
        <v>165</v>
      </c>
      <c r="B18" s="106"/>
      <c r="C18" s="109">
        <f>C$13*C14</f>
        <v>1001250</v>
      </c>
      <c r="D18" s="109">
        <f>D13*D14</f>
        <v>5625000</v>
      </c>
      <c r="E18" s="109">
        <f>E13*E14</f>
        <v>11250000</v>
      </c>
      <c r="F18" s="109">
        <f>F13*F14</f>
        <v>14625000</v>
      </c>
      <c r="G18" s="110">
        <f>G13*G14</f>
        <v>15750000</v>
      </c>
    </row>
    <row r="19" spans="1:8" x14ac:dyDescent="0.2">
      <c r="A19" s="105" t="s">
        <v>163</v>
      </c>
      <c r="B19" s="111"/>
      <c r="C19" s="109">
        <f>-C15*C13</f>
        <v>-791655</v>
      </c>
      <c r="D19" s="109">
        <f>-D15*D13</f>
        <v>-4447500</v>
      </c>
      <c r="E19" s="109">
        <f>-E15*E13</f>
        <v>-8895000</v>
      </c>
      <c r="F19" s="109">
        <f>-F15*F13</f>
        <v>-11563500</v>
      </c>
      <c r="G19" s="110">
        <f>-G15*G13</f>
        <v>-12453000</v>
      </c>
    </row>
    <row r="20" spans="1:8" x14ac:dyDescent="0.2">
      <c r="A20" s="105" t="s">
        <v>162</v>
      </c>
      <c r="B20" s="112"/>
      <c r="C20" s="109">
        <f>-C13*C16</f>
        <v>-44500</v>
      </c>
      <c r="D20" s="109">
        <f>-D13*D16</f>
        <v>-250000</v>
      </c>
      <c r="E20" s="109">
        <f>-E13*E16</f>
        <v>-500000</v>
      </c>
      <c r="F20" s="109">
        <f>-F13*F16</f>
        <v>-650000</v>
      </c>
      <c r="G20" s="110">
        <f>-G13*G16</f>
        <v>-700000</v>
      </c>
    </row>
    <row r="21" spans="1:8" x14ac:dyDescent="0.2">
      <c r="A21" s="113"/>
      <c r="B21" s="88"/>
      <c r="C21" s="88"/>
      <c r="D21" s="88"/>
      <c r="E21" s="88"/>
      <c r="F21" s="88"/>
      <c r="G21" s="114"/>
    </row>
    <row r="22" spans="1:8" x14ac:dyDescent="0.2">
      <c r="A22" s="105" t="s">
        <v>161</v>
      </c>
      <c r="B22" s="106"/>
      <c r="C22" s="109">
        <f>SUM(C18:C20)</f>
        <v>165095</v>
      </c>
      <c r="D22" s="109">
        <f>SUM(D18:D20)</f>
        <v>927500</v>
      </c>
      <c r="E22" s="109">
        <f>SUM(E18:E20)</f>
        <v>1855000</v>
      </c>
      <c r="F22" s="109">
        <f>SUM(F18:F20)</f>
        <v>2411500</v>
      </c>
      <c r="G22" s="110">
        <f>SUM(G18:G20)</f>
        <v>2597000</v>
      </c>
    </row>
    <row r="23" spans="1:8" x14ac:dyDescent="0.2">
      <c r="A23" s="105"/>
      <c r="B23" s="106"/>
      <c r="C23" s="106"/>
      <c r="D23" s="106"/>
      <c r="E23" s="106"/>
      <c r="F23" s="106"/>
      <c r="G23" s="108"/>
    </row>
    <row r="24" spans="1:8" x14ac:dyDescent="0.2">
      <c r="A24" s="115" t="s">
        <v>160</v>
      </c>
      <c r="B24" s="106"/>
      <c r="C24" s="109"/>
      <c r="D24" s="109"/>
      <c r="E24" s="109"/>
      <c r="F24" s="109"/>
      <c r="G24" s="110"/>
      <c r="H24" s="116"/>
    </row>
    <row r="25" spans="1:8" x14ac:dyDescent="0.2">
      <c r="A25" s="115" t="s">
        <v>159</v>
      </c>
      <c r="B25" s="106"/>
      <c r="C25" s="109">
        <f>-SLN($C7,$D7,$E7)</f>
        <v>-97500</v>
      </c>
      <c r="D25" s="109">
        <f>-SLN($C7,$D7,$E7)</f>
        <v>-97500</v>
      </c>
      <c r="E25" s="109">
        <f>-SLN($C7,$D7,$E7)</f>
        <v>-97500</v>
      </c>
      <c r="F25" s="109">
        <f>-SLN($C7,$D7,$E7)</f>
        <v>-97500</v>
      </c>
      <c r="G25" s="110">
        <f>-SLN($C7,$D7,$E7)</f>
        <v>-97500</v>
      </c>
      <c r="H25" s="117"/>
    </row>
    <row r="26" spans="1:8" x14ac:dyDescent="0.2">
      <c r="A26" s="115" t="s">
        <v>158</v>
      </c>
      <c r="B26" s="106"/>
      <c r="C26" s="118">
        <f>SUM(C22,C24:C25)</f>
        <v>67595</v>
      </c>
      <c r="D26" s="118">
        <f>SUM(D22,D24:D25)</f>
        <v>830000</v>
      </c>
      <c r="E26" s="118">
        <f>SUM(E22,E24:E25)</f>
        <v>1757500</v>
      </c>
      <c r="F26" s="118">
        <f>SUM(F22,F24:F25)</f>
        <v>2314000</v>
      </c>
      <c r="G26" s="119">
        <f>SUM(G22,G24:G25)</f>
        <v>2499500</v>
      </c>
    </row>
    <row r="27" spans="1:8" x14ac:dyDescent="0.2">
      <c r="A27" s="105"/>
      <c r="B27" s="106"/>
      <c r="C27" s="106"/>
      <c r="D27" s="106"/>
      <c r="E27" s="106"/>
      <c r="F27" s="106"/>
      <c r="G27" s="108"/>
    </row>
    <row r="28" spans="1:8" x14ac:dyDescent="0.2">
      <c r="A28" s="105" t="s">
        <v>188</v>
      </c>
      <c r="B28" s="106"/>
      <c r="C28" s="120">
        <f>-$E9*C26</f>
        <v>-23658.25</v>
      </c>
      <c r="D28" s="120">
        <f>-$E9*D26</f>
        <v>-290500</v>
      </c>
      <c r="E28" s="120">
        <f>-$E9*E26</f>
        <v>-615125</v>
      </c>
      <c r="F28" s="120">
        <f>-$E9*F26</f>
        <v>-809900</v>
      </c>
      <c r="G28" s="120">
        <f>-$E9*G26</f>
        <v>-874825</v>
      </c>
    </row>
    <row r="29" spans="1:8" ht="13.5" thickBot="1" x14ac:dyDescent="0.25">
      <c r="A29" s="121" t="s">
        <v>187</v>
      </c>
      <c r="B29" s="122">
        <f>-E4</f>
        <v>-1000000</v>
      </c>
      <c r="C29" s="123">
        <f>C28+C26</f>
        <v>43936.75</v>
      </c>
      <c r="D29" s="123">
        <f>D28+D26</f>
        <v>539500</v>
      </c>
      <c r="E29" s="123">
        <f>E28+E26</f>
        <v>1142375</v>
      </c>
      <c r="F29" s="123">
        <f>F28+F26</f>
        <v>1504100</v>
      </c>
      <c r="G29" s="124">
        <f>G28+G26</f>
        <v>1624675</v>
      </c>
    </row>
    <row r="30" spans="1:8" ht="13.5" thickBot="1" x14ac:dyDescent="0.25">
      <c r="A30" s="93"/>
      <c r="B30" s="93"/>
      <c r="C30" s="93"/>
      <c r="D30" s="93"/>
      <c r="E30" s="93"/>
      <c r="F30" s="93"/>
      <c r="G30" s="93"/>
    </row>
    <row r="31" spans="1:8" x14ac:dyDescent="0.2">
      <c r="A31" s="379" t="s">
        <v>186</v>
      </c>
      <c r="B31" s="380"/>
      <c r="C31" s="60" t="s">
        <v>135</v>
      </c>
      <c r="D31" s="93"/>
      <c r="E31" s="93"/>
      <c r="F31" s="93"/>
      <c r="G31" s="93"/>
    </row>
    <row r="32" spans="1:8" x14ac:dyDescent="0.2">
      <c r="A32" s="125"/>
      <c r="B32" s="126">
        <f>B33-0.01</f>
        <v>0.20999999999999996</v>
      </c>
      <c r="C32" s="110">
        <f t="shared" ref="C32:C40" si="0">B$29+NPV(B32,C$29:G$29)</f>
        <v>1377694.3229783881</v>
      </c>
      <c r="D32" s="93"/>
      <c r="E32" s="93"/>
      <c r="F32" s="93"/>
      <c r="G32" s="93"/>
    </row>
    <row r="33" spans="1:9" x14ac:dyDescent="0.2">
      <c r="A33" s="125"/>
      <c r="B33" s="126">
        <f>B34-0.01</f>
        <v>0.21999999999999997</v>
      </c>
      <c r="C33" s="110">
        <f t="shared" si="0"/>
        <v>1307675.1798997493</v>
      </c>
      <c r="D33" s="93"/>
      <c r="E33" s="93"/>
      <c r="F33" s="93"/>
      <c r="G33" s="93"/>
    </row>
    <row r="34" spans="1:9" x14ac:dyDescent="0.2">
      <c r="A34" s="125"/>
      <c r="B34" s="126">
        <f>B35-0.01</f>
        <v>0.22999999999999998</v>
      </c>
      <c r="C34" s="110">
        <f t="shared" si="0"/>
        <v>1240438.8519564532</v>
      </c>
      <c r="D34" s="93"/>
      <c r="E34" s="93"/>
      <c r="F34" s="93"/>
      <c r="G34" s="93"/>
    </row>
    <row r="35" spans="1:9" x14ac:dyDescent="0.2">
      <c r="A35" s="125"/>
      <c r="B35" s="126">
        <f>B36-0.01</f>
        <v>0.24</v>
      </c>
      <c r="C35" s="110">
        <f t="shared" si="0"/>
        <v>1175849.2921661823</v>
      </c>
      <c r="D35" s="93"/>
      <c r="E35" s="93"/>
      <c r="F35" s="93"/>
      <c r="G35" s="93"/>
    </row>
    <row r="36" spans="1:9" x14ac:dyDescent="0.2">
      <c r="A36" s="127"/>
      <c r="B36" s="128">
        <f>B9</f>
        <v>0.25</v>
      </c>
      <c r="C36" s="110">
        <f t="shared" si="0"/>
        <v>1113778.264</v>
      </c>
      <c r="D36" s="93"/>
      <c r="E36" s="93"/>
      <c r="F36" s="93"/>
      <c r="G36" s="93"/>
    </row>
    <row r="37" spans="1:9" x14ac:dyDescent="0.2">
      <c r="A37" s="125"/>
      <c r="B37" s="126">
        <f>B36+0.01</f>
        <v>0.26</v>
      </c>
      <c r="C37" s="110">
        <f t="shared" si="0"/>
        <v>1054104.8296382991</v>
      </c>
      <c r="D37" s="93"/>
      <c r="E37" s="93"/>
      <c r="F37" s="93"/>
      <c r="G37" s="93"/>
    </row>
    <row r="38" spans="1:9" x14ac:dyDescent="0.2">
      <c r="A38" s="125"/>
      <c r="B38" s="126">
        <f>B37+0.01</f>
        <v>0.27</v>
      </c>
      <c r="C38" s="110">
        <f t="shared" si="0"/>
        <v>996714.8757519694</v>
      </c>
      <c r="D38" s="93"/>
      <c r="E38" s="93"/>
      <c r="F38" s="93"/>
      <c r="G38" s="93"/>
    </row>
    <row r="39" spans="1:9" x14ac:dyDescent="0.2">
      <c r="A39" s="125"/>
      <c r="B39" s="126">
        <f>B38+0.01</f>
        <v>0.28000000000000003</v>
      </c>
      <c r="C39" s="110">
        <f t="shared" si="0"/>
        <v>941500.67377313972</v>
      </c>
      <c r="D39" s="93"/>
      <c r="E39" s="93"/>
      <c r="F39" s="93"/>
      <c r="G39" s="93"/>
    </row>
    <row r="40" spans="1:9" x14ac:dyDescent="0.2">
      <c r="A40" s="125"/>
      <c r="B40" s="126">
        <f>B39+0.01</f>
        <v>0.29000000000000004</v>
      </c>
      <c r="C40" s="110">
        <f t="shared" si="0"/>
        <v>888360.47188779362</v>
      </c>
      <c r="D40" s="93"/>
      <c r="E40" s="93"/>
      <c r="F40" s="93"/>
      <c r="G40" s="93"/>
    </row>
    <row r="41" spans="1:9" ht="13.5" thickBot="1" x14ac:dyDescent="0.25">
      <c r="A41" s="59" t="s">
        <v>139</v>
      </c>
      <c r="B41" s="129">
        <f>IRR(B29:G29)</f>
        <v>0.55086062035224681</v>
      </c>
      <c r="C41" s="130">
        <v>0</v>
      </c>
      <c r="D41" s="93"/>
      <c r="E41" s="93"/>
      <c r="F41" s="93"/>
      <c r="G41" s="93"/>
    </row>
    <row r="42" spans="1:9" x14ac:dyDescent="0.2">
      <c r="A42" s="93"/>
      <c r="B42" s="93"/>
      <c r="C42" s="93"/>
      <c r="D42" s="93"/>
      <c r="E42" s="93"/>
      <c r="F42" s="93"/>
      <c r="G42" s="93"/>
    </row>
    <row r="43" spans="1:9" x14ac:dyDescent="0.2">
      <c r="A43" s="58" t="s">
        <v>185</v>
      </c>
      <c r="B43" s="131">
        <f>SUM(C29:G29)/C7</f>
        <v>4.8545867500000002</v>
      </c>
      <c r="C43" s="131"/>
      <c r="D43" s="93"/>
      <c r="E43" s="93"/>
      <c r="F43" s="93"/>
      <c r="G43" s="93"/>
    </row>
    <row r="44" spans="1:9" x14ac:dyDescent="0.2">
      <c r="A44" s="58" t="s">
        <v>184</v>
      </c>
      <c r="B44" s="57">
        <f>MATCH(TRUE,B46:G46,0) - 1</f>
        <v>3</v>
      </c>
      <c r="C44" s="131"/>
      <c r="D44" s="93"/>
      <c r="E44" s="93"/>
      <c r="F44" s="93"/>
      <c r="G44" s="93"/>
    </row>
    <row r="45" spans="1:9" x14ac:dyDescent="0.2">
      <c r="A45" s="93"/>
      <c r="B45" s="93"/>
      <c r="C45" s="93"/>
      <c r="D45" s="93"/>
      <c r="E45" s="93"/>
      <c r="F45" s="93"/>
      <c r="G45" s="93"/>
    </row>
    <row r="46" spans="1:9" x14ac:dyDescent="0.2">
      <c r="A46" s="131" t="s">
        <v>183</v>
      </c>
      <c r="B46" s="132" t="b">
        <f>SUM($B29:B29)&gt;0</f>
        <v>0</v>
      </c>
      <c r="C46" s="132" t="b">
        <f>SUM($B29:C29)&gt;0</f>
        <v>0</v>
      </c>
      <c r="D46" s="132" t="b">
        <f>SUM($B29:D29)&gt;0</f>
        <v>0</v>
      </c>
      <c r="E46" s="132" t="b">
        <f>SUM($B29:E29)&gt;0</f>
        <v>1</v>
      </c>
      <c r="F46" s="132" t="b">
        <f>SUM($B29:F29)&gt;0</f>
        <v>1</v>
      </c>
      <c r="G46" s="132" t="b">
        <f>SUM($B29:G29)&gt;0</f>
        <v>1</v>
      </c>
      <c r="H46" s="133"/>
      <c r="I46" s="133"/>
    </row>
  </sheetData>
  <mergeCells count="4">
    <mergeCell ref="A5:B5"/>
    <mergeCell ref="D5:G5"/>
    <mergeCell ref="A11:G11"/>
    <mergeCell ref="A31:B31"/>
  </mergeCells>
  <pageMargins left="0.75" right="0.75" top="1" bottom="1" header="0.5" footer="0.5"/>
  <pageSetup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J102"/>
  <sheetViews>
    <sheetView workbookViewId="0">
      <selection activeCell="A2" sqref="A2"/>
    </sheetView>
  </sheetViews>
  <sheetFormatPr defaultRowHeight="12.75" x14ac:dyDescent="0.2"/>
  <cols>
    <col min="1" max="1" width="26" style="5" bestFit="1" customWidth="1"/>
    <col min="2" max="2" width="11.42578125" style="5" bestFit="1" customWidth="1"/>
    <col min="3" max="3" width="12" style="5" bestFit="1" customWidth="1"/>
    <col min="4" max="4" width="14.42578125" style="5" bestFit="1" customWidth="1"/>
    <col min="5" max="5" width="12.85546875" style="5" bestFit="1" customWidth="1"/>
    <col min="6" max="7" width="13" style="5" bestFit="1" customWidth="1"/>
    <col min="8" max="16384" width="9.140625" style="5"/>
  </cols>
  <sheetData>
    <row r="1" spans="1:10" ht="18" x14ac:dyDescent="0.25">
      <c r="A1" s="4" t="str">
        <f>A11</f>
        <v>Project 5-Year Income after Taxes - Low Capital Case</v>
      </c>
    </row>
    <row r="2" spans="1:10" ht="13.5" thickBot="1" x14ac:dyDescent="0.25"/>
    <row r="3" spans="1:10" ht="25.5" x14ac:dyDescent="0.2">
      <c r="A3" s="73" t="s">
        <v>41</v>
      </c>
      <c r="B3" s="72" t="s">
        <v>202</v>
      </c>
      <c r="C3" s="72" t="s">
        <v>201</v>
      </c>
      <c r="D3" s="72" t="s">
        <v>205</v>
      </c>
      <c r="E3" s="71" t="s">
        <v>63</v>
      </c>
      <c r="F3" s="71" t="s">
        <v>61</v>
      </c>
      <c r="G3" s="70" t="s">
        <v>199</v>
      </c>
    </row>
    <row r="4" spans="1:10" ht="13.5" thickBot="1" x14ac:dyDescent="0.25">
      <c r="A4" s="83" t="s">
        <v>34</v>
      </c>
      <c r="B4" s="84"/>
      <c r="C4" s="85"/>
      <c r="D4" s="85"/>
      <c r="E4" s="86"/>
      <c r="F4" s="87"/>
      <c r="G4" s="69"/>
    </row>
    <row r="5" spans="1:10" ht="13.5" thickBot="1" x14ac:dyDescent="0.25">
      <c r="A5" s="375"/>
      <c r="B5" s="375"/>
      <c r="C5" s="88"/>
      <c r="D5" s="375"/>
      <c r="E5" s="375"/>
      <c r="F5" s="375"/>
      <c r="G5" s="375"/>
      <c r="H5" s="93"/>
      <c r="I5" s="93"/>
      <c r="J5" s="93"/>
    </row>
    <row r="6" spans="1:10" x14ac:dyDescent="0.2">
      <c r="A6" s="68" t="s">
        <v>198</v>
      </c>
      <c r="B6" s="67"/>
      <c r="C6" s="67" t="s">
        <v>197</v>
      </c>
      <c r="D6" s="67" t="s">
        <v>196</v>
      </c>
      <c r="E6" s="66" t="s">
        <v>179</v>
      </c>
      <c r="F6" s="88"/>
      <c r="G6" s="88"/>
      <c r="H6" s="93"/>
      <c r="I6" s="93"/>
      <c r="J6" s="93"/>
    </row>
    <row r="7" spans="1:10" ht="13.5" thickBot="1" x14ac:dyDescent="0.25">
      <c r="A7" s="89" t="s">
        <v>195</v>
      </c>
      <c r="B7" s="90"/>
      <c r="C7" s="91">
        <v>250000</v>
      </c>
      <c r="D7" s="91">
        <v>5000</v>
      </c>
      <c r="E7" s="92">
        <v>10</v>
      </c>
      <c r="F7" s="88"/>
      <c r="G7" s="88"/>
      <c r="H7" s="93"/>
      <c r="I7" s="93"/>
      <c r="J7" s="93"/>
    </row>
    <row r="8" spans="1:10" ht="13.5" thickBot="1" x14ac:dyDescent="0.25">
      <c r="A8" s="93"/>
      <c r="B8" s="88"/>
      <c r="C8" s="88"/>
      <c r="D8" s="88"/>
      <c r="E8" s="88"/>
      <c r="F8" s="88"/>
      <c r="G8" s="88"/>
      <c r="H8" s="93"/>
      <c r="I8" s="93"/>
      <c r="J8" s="93"/>
    </row>
    <row r="9" spans="1:10" ht="13.5" thickBot="1" x14ac:dyDescent="0.25">
      <c r="A9" s="65" t="s">
        <v>194</v>
      </c>
      <c r="B9" s="94">
        <v>0.25</v>
      </c>
      <c r="C9" s="95"/>
      <c r="D9" s="64" t="s">
        <v>193</v>
      </c>
      <c r="E9" s="96">
        <v>0.35</v>
      </c>
      <c r="F9" s="88"/>
      <c r="G9" s="88"/>
      <c r="H9" s="93"/>
      <c r="I9" s="93"/>
      <c r="J9" s="93"/>
    </row>
    <row r="10" spans="1:10" ht="13.5" thickBot="1" x14ac:dyDescent="0.25">
      <c r="A10" s="93"/>
      <c r="B10" s="93"/>
      <c r="C10" s="93"/>
      <c r="D10" s="93"/>
      <c r="E10" s="93"/>
      <c r="F10" s="93"/>
      <c r="G10" s="93"/>
      <c r="H10" s="93"/>
      <c r="I10" s="93"/>
      <c r="J10" s="93"/>
    </row>
    <row r="11" spans="1:10" ht="15" x14ac:dyDescent="0.2">
      <c r="A11" s="376" t="s">
        <v>204</v>
      </c>
      <c r="B11" s="377"/>
      <c r="C11" s="377"/>
      <c r="D11" s="377"/>
      <c r="E11" s="377"/>
      <c r="F11" s="377"/>
      <c r="G11" s="378"/>
      <c r="H11" s="93"/>
      <c r="I11" s="93"/>
      <c r="J11" s="93"/>
    </row>
    <row r="12" spans="1:10" x14ac:dyDescent="0.2">
      <c r="A12" s="63" t="s">
        <v>191</v>
      </c>
      <c r="B12" s="62">
        <v>0</v>
      </c>
      <c r="C12" s="62">
        <v>1</v>
      </c>
      <c r="D12" s="62">
        <v>2</v>
      </c>
      <c r="E12" s="62">
        <v>3</v>
      </c>
      <c r="F12" s="62">
        <v>4</v>
      </c>
      <c r="G12" s="61">
        <v>5</v>
      </c>
      <c r="H12" s="93"/>
      <c r="I12" s="93"/>
      <c r="J12" s="93"/>
    </row>
    <row r="13" spans="1:10" x14ac:dyDescent="0.2">
      <c r="A13" s="97" t="s">
        <v>167</v>
      </c>
      <c r="B13" s="98"/>
      <c r="C13" s="99">
        <v>4450</v>
      </c>
      <c r="D13" s="99">
        <v>25000</v>
      </c>
      <c r="E13" s="99">
        <v>50000</v>
      </c>
      <c r="F13" s="99">
        <v>65000</v>
      </c>
      <c r="G13" s="100">
        <v>70000</v>
      </c>
      <c r="H13" s="93"/>
      <c r="I13" s="93"/>
      <c r="J13" s="93"/>
    </row>
    <row r="14" spans="1:10" x14ac:dyDescent="0.2">
      <c r="A14" s="97" t="s">
        <v>166</v>
      </c>
      <c r="B14" s="98"/>
      <c r="C14" s="101">
        <v>225</v>
      </c>
      <c r="D14" s="101">
        <v>225</v>
      </c>
      <c r="E14" s="101">
        <v>225</v>
      </c>
      <c r="F14" s="101">
        <v>225</v>
      </c>
      <c r="G14" s="102">
        <v>225</v>
      </c>
      <c r="H14" s="93"/>
      <c r="I14" s="93"/>
      <c r="J14" s="93"/>
    </row>
    <row r="15" spans="1:10" x14ac:dyDescent="0.2">
      <c r="A15" s="97" t="s">
        <v>190</v>
      </c>
      <c r="B15" s="98"/>
      <c r="C15" s="103">
        <v>197.9</v>
      </c>
      <c r="D15" s="103">
        <v>197.9</v>
      </c>
      <c r="E15" s="103">
        <v>197.9</v>
      </c>
      <c r="F15" s="103">
        <v>197.9</v>
      </c>
      <c r="G15" s="104">
        <v>197.9</v>
      </c>
      <c r="H15" s="93"/>
      <c r="I15" s="93"/>
      <c r="J15" s="93"/>
    </row>
    <row r="16" spans="1:10" x14ac:dyDescent="0.2">
      <c r="A16" s="97" t="s">
        <v>189</v>
      </c>
      <c r="B16" s="98"/>
      <c r="C16" s="101">
        <v>10</v>
      </c>
      <c r="D16" s="101">
        <v>10</v>
      </c>
      <c r="E16" s="101">
        <v>10</v>
      </c>
      <c r="F16" s="101">
        <v>10</v>
      </c>
      <c r="G16" s="102">
        <v>10</v>
      </c>
      <c r="H16" s="93"/>
      <c r="I16" s="93"/>
      <c r="J16" s="93"/>
    </row>
    <row r="17" spans="1:10" x14ac:dyDescent="0.2">
      <c r="A17" s="105"/>
      <c r="B17" s="106"/>
      <c r="C17" s="107"/>
      <c r="D17" s="106"/>
      <c r="E17" s="106"/>
      <c r="F17" s="106"/>
      <c r="G17" s="108"/>
      <c r="H17" s="93"/>
      <c r="I17" s="93"/>
      <c r="J17" s="93"/>
    </row>
    <row r="18" spans="1:10" x14ac:dyDescent="0.2">
      <c r="A18" s="105" t="s">
        <v>165</v>
      </c>
      <c r="B18" s="106"/>
      <c r="C18" s="109">
        <f>C$13*C14</f>
        <v>1001250</v>
      </c>
      <c r="D18" s="109">
        <f>D13*D14</f>
        <v>5625000</v>
      </c>
      <c r="E18" s="109">
        <f>E13*E14</f>
        <v>11250000</v>
      </c>
      <c r="F18" s="109">
        <f>F13*F14</f>
        <v>14625000</v>
      </c>
      <c r="G18" s="110">
        <f>G13*G14</f>
        <v>15750000</v>
      </c>
      <c r="H18" s="93"/>
      <c r="I18" s="93"/>
      <c r="J18" s="93"/>
    </row>
    <row r="19" spans="1:10" x14ac:dyDescent="0.2">
      <c r="A19" s="105" t="s">
        <v>163</v>
      </c>
      <c r="B19" s="111"/>
      <c r="C19" s="109">
        <f>-C15*C13</f>
        <v>-880655</v>
      </c>
      <c r="D19" s="109">
        <f>-D15*D13</f>
        <v>-4947500</v>
      </c>
      <c r="E19" s="109">
        <f>-E15*E13</f>
        <v>-9895000</v>
      </c>
      <c r="F19" s="109">
        <f>-F15*F13</f>
        <v>-12863500</v>
      </c>
      <c r="G19" s="110">
        <f>-G15*G13</f>
        <v>-13853000</v>
      </c>
      <c r="H19" s="93"/>
      <c r="I19" s="93"/>
      <c r="J19" s="93"/>
    </row>
    <row r="20" spans="1:10" x14ac:dyDescent="0.2">
      <c r="A20" s="105" t="s">
        <v>162</v>
      </c>
      <c r="B20" s="112"/>
      <c r="C20" s="109">
        <f>-C13*C16</f>
        <v>-44500</v>
      </c>
      <c r="D20" s="109">
        <f>-D13*D16</f>
        <v>-250000</v>
      </c>
      <c r="E20" s="109">
        <f>-E13*E16</f>
        <v>-500000</v>
      </c>
      <c r="F20" s="109">
        <f>-F13*F16</f>
        <v>-650000</v>
      </c>
      <c r="G20" s="110">
        <f>-G13*G16</f>
        <v>-700000</v>
      </c>
      <c r="H20" s="93"/>
      <c r="I20" s="93"/>
      <c r="J20" s="93"/>
    </row>
    <row r="21" spans="1:10" x14ac:dyDescent="0.2">
      <c r="A21" s="113"/>
      <c r="B21" s="88"/>
      <c r="C21" s="88"/>
      <c r="D21" s="88"/>
      <c r="E21" s="88"/>
      <c r="F21" s="88"/>
      <c r="G21" s="114"/>
      <c r="H21" s="93"/>
      <c r="I21" s="93"/>
      <c r="J21" s="93"/>
    </row>
    <row r="22" spans="1:10" x14ac:dyDescent="0.2">
      <c r="A22" s="105" t="s">
        <v>161</v>
      </c>
      <c r="B22" s="106"/>
      <c r="C22" s="109">
        <f>SUM(C18:C20)</f>
        <v>76095</v>
      </c>
      <c r="D22" s="109">
        <f>SUM(D18:D20)</f>
        <v>427500</v>
      </c>
      <c r="E22" s="109">
        <f>SUM(E18:E20)</f>
        <v>855000</v>
      </c>
      <c r="F22" s="109">
        <f>SUM(F18:F20)</f>
        <v>1111500</v>
      </c>
      <c r="G22" s="110">
        <f>SUM(G18:G20)</f>
        <v>1197000</v>
      </c>
      <c r="H22" s="93"/>
      <c r="I22" s="93"/>
      <c r="J22" s="93"/>
    </row>
    <row r="23" spans="1:10" x14ac:dyDescent="0.2">
      <c r="A23" s="105"/>
      <c r="B23" s="106"/>
      <c r="C23" s="106"/>
      <c r="D23" s="106"/>
      <c r="E23" s="106"/>
      <c r="F23" s="106"/>
      <c r="G23" s="108"/>
      <c r="H23" s="93"/>
      <c r="I23" s="93"/>
      <c r="J23" s="93"/>
    </row>
    <row r="24" spans="1:10" x14ac:dyDescent="0.2">
      <c r="A24" s="115" t="s">
        <v>160</v>
      </c>
      <c r="B24" s="106"/>
      <c r="C24" s="134"/>
      <c r="D24" s="134"/>
      <c r="E24" s="134"/>
      <c r="F24" s="134"/>
      <c r="G24" s="135"/>
      <c r="H24" s="116"/>
      <c r="I24" s="93"/>
      <c r="J24" s="93"/>
    </row>
    <row r="25" spans="1:10" x14ac:dyDescent="0.2">
      <c r="A25" s="115" t="s">
        <v>159</v>
      </c>
      <c r="B25" s="106"/>
      <c r="C25" s="136">
        <f>-SLN($C7,$D7,$E7)</f>
        <v>-24500</v>
      </c>
      <c r="D25" s="136">
        <f>-SLN($C7,$D7,$E7)</f>
        <v>-24500</v>
      </c>
      <c r="E25" s="136">
        <f>-SLN($C7,$D7,$E7)</f>
        <v>-24500</v>
      </c>
      <c r="F25" s="136">
        <f>-SLN($C7,$D7,$E7)</f>
        <v>-24500</v>
      </c>
      <c r="G25" s="137">
        <f>-SLN($C7,$D7,$E7)</f>
        <v>-24500</v>
      </c>
      <c r="H25" s="117"/>
      <c r="I25" s="93"/>
      <c r="J25" s="93"/>
    </row>
    <row r="26" spans="1:10" x14ac:dyDescent="0.2">
      <c r="A26" s="115" t="s">
        <v>158</v>
      </c>
      <c r="B26" s="106"/>
      <c r="C26" s="118">
        <f>SUM(C22,C24:C25)</f>
        <v>51595</v>
      </c>
      <c r="D26" s="118">
        <f>SUM(D22,D24:D25)</f>
        <v>403000</v>
      </c>
      <c r="E26" s="118">
        <f>SUM(E22,E24:E25)</f>
        <v>830500</v>
      </c>
      <c r="F26" s="118">
        <f>SUM(F22,F24:F25)</f>
        <v>1087000</v>
      </c>
      <c r="G26" s="119">
        <f>SUM(G22,G24:G25)</f>
        <v>1172500</v>
      </c>
      <c r="H26" s="93"/>
      <c r="I26" s="138"/>
      <c r="J26" s="93"/>
    </row>
    <row r="27" spans="1:10" x14ac:dyDescent="0.2">
      <c r="A27" s="105"/>
      <c r="B27" s="106"/>
      <c r="C27" s="106"/>
      <c r="D27" s="106"/>
      <c r="E27" s="106"/>
      <c r="F27" s="106"/>
      <c r="G27" s="108"/>
      <c r="H27" s="93"/>
      <c r="I27" s="138"/>
      <c r="J27" s="93"/>
    </row>
    <row r="28" spans="1:10" x14ac:dyDescent="0.2">
      <c r="A28" s="105" t="s">
        <v>188</v>
      </c>
      <c r="B28" s="106"/>
      <c r="C28" s="120">
        <f>-$E9*C26</f>
        <v>-18058.25</v>
      </c>
      <c r="D28" s="120">
        <f>-$E9*D26</f>
        <v>-141050</v>
      </c>
      <c r="E28" s="120">
        <f>-$E9*E26</f>
        <v>-290675</v>
      </c>
      <c r="F28" s="120">
        <f>-$E9*F26</f>
        <v>-380450</v>
      </c>
      <c r="G28" s="139">
        <f>-$E9*G26</f>
        <v>-410375</v>
      </c>
      <c r="H28" s="93"/>
      <c r="I28" s="93"/>
      <c r="J28" s="93"/>
    </row>
    <row r="29" spans="1:10" ht="13.5" thickBot="1" x14ac:dyDescent="0.25">
      <c r="A29" s="121" t="s">
        <v>203</v>
      </c>
      <c r="B29" s="122">
        <v>-250000</v>
      </c>
      <c r="C29" s="123">
        <f>C28+C26</f>
        <v>33536.75</v>
      </c>
      <c r="D29" s="123">
        <f>D28+D26</f>
        <v>261950</v>
      </c>
      <c r="E29" s="123">
        <f>E28+E26</f>
        <v>539825</v>
      </c>
      <c r="F29" s="123">
        <f>F28+F26</f>
        <v>706550</v>
      </c>
      <c r="G29" s="124">
        <f>G28+G26</f>
        <v>762125</v>
      </c>
      <c r="H29" s="93"/>
      <c r="I29" s="93"/>
      <c r="J29" s="93"/>
    </row>
    <row r="30" spans="1:10" ht="13.5" thickBot="1" x14ac:dyDescent="0.25">
      <c r="A30" s="93"/>
      <c r="B30" s="93"/>
      <c r="C30" s="93"/>
      <c r="D30" s="93"/>
      <c r="E30" s="93"/>
      <c r="F30" s="93"/>
      <c r="G30" s="93"/>
      <c r="H30" s="93"/>
      <c r="I30" s="93"/>
      <c r="J30" s="93"/>
    </row>
    <row r="31" spans="1:10" x14ac:dyDescent="0.2">
      <c r="A31" s="379" t="s">
        <v>186</v>
      </c>
      <c r="B31" s="380"/>
      <c r="C31" s="60" t="s">
        <v>135</v>
      </c>
      <c r="D31" s="93"/>
      <c r="E31" s="93"/>
      <c r="F31" s="93"/>
      <c r="G31" s="93"/>
      <c r="H31" s="93"/>
      <c r="I31" s="93"/>
      <c r="J31" s="93"/>
    </row>
    <row r="32" spans="1:10" x14ac:dyDescent="0.2">
      <c r="A32" s="125"/>
      <c r="B32" s="126">
        <f>B33-0.01</f>
        <v>0.20999999999999996</v>
      </c>
      <c r="C32" s="110">
        <f t="shared" ref="C32:C40" si="0">B$29+NPV(B32,C$29:G$29)</f>
        <v>884791.80518187932</v>
      </c>
      <c r="D32" s="93"/>
      <c r="E32" s="93"/>
      <c r="F32" s="93"/>
      <c r="G32" s="93"/>
      <c r="H32" s="93"/>
      <c r="I32" s="93"/>
      <c r="J32" s="93"/>
    </row>
    <row r="33" spans="1:10" x14ac:dyDescent="0.2">
      <c r="A33" s="125"/>
      <c r="B33" s="126">
        <f>B34-0.01</f>
        <v>0.21999999999999997</v>
      </c>
      <c r="C33" s="110">
        <f t="shared" si="0"/>
        <v>851690.5470769254</v>
      </c>
      <c r="D33" s="93"/>
      <c r="E33" s="93"/>
      <c r="F33" s="93"/>
      <c r="G33" s="93"/>
      <c r="H33" s="93"/>
      <c r="I33" s="93"/>
      <c r="J33" s="93"/>
    </row>
    <row r="34" spans="1:10" x14ac:dyDescent="0.2">
      <c r="A34" s="125"/>
      <c r="B34" s="126">
        <f>B35-0.01</f>
        <v>0.22999999999999998</v>
      </c>
      <c r="C34" s="110">
        <f t="shared" si="0"/>
        <v>819900.86743440037</v>
      </c>
      <c r="D34" s="93"/>
      <c r="E34" s="93"/>
      <c r="F34" s="93"/>
      <c r="G34" s="93"/>
      <c r="H34" s="93"/>
      <c r="I34" s="93"/>
      <c r="J34" s="93"/>
    </row>
    <row r="35" spans="1:10" x14ac:dyDescent="0.2">
      <c r="A35" s="125"/>
      <c r="B35" s="126">
        <f>B36-0.01</f>
        <v>0.24</v>
      </c>
      <c r="C35" s="110">
        <f t="shared" si="0"/>
        <v>789358.73713714909</v>
      </c>
      <c r="D35" s="93"/>
      <c r="E35" s="93"/>
      <c r="F35" s="93"/>
      <c r="G35" s="93"/>
      <c r="H35" s="93"/>
      <c r="I35" s="93"/>
      <c r="J35" s="93"/>
    </row>
    <row r="36" spans="1:10" x14ac:dyDescent="0.2">
      <c r="A36" s="127"/>
      <c r="B36" s="128">
        <f>B9</f>
        <v>0.25</v>
      </c>
      <c r="C36" s="110">
        <f t="shared" si="0"/>
        <v>760003.8</v>
      </c>
      <c r="D36" s="93"/>
      <c r="E36" s="93"/>
      <c r="F36" s="93"/>
      <c r="G36" s="93"/>
      <c r="H36" s="93"/>
      <c r="I36" s="93"/>
      <c r="J36" s="93"/>
    </row>
    <row r="37" spans="1:10" x14ac:dyDescent="0.2">
      <c r="A37" s="125"/>
      <c r="B37" s="126">
        <f>B36+0.01</f>
        <v>0.26</v>
      </c>
      <c r="C37" s="110">
        <f t="shared" si="0"/>
        <v>731779.13224103989</v>
      </c>
      <c r="D37" s="93"/>
      <c r="E37" s="93"/>
      <c r="F37" s="93"/>
      <c r="G37" s="93"/>
      <c r="H37" s="93"/>
      <c r="I37" s="93"/>
      <c r="J37" s="93"/>
    </row>
    <row r="38" spans="1:10" x14ac:dyDescent="0.2">
      <c r="A38" s="125"/>
      <c r="B38" s="126">
        <f>B37+0.01</f>
        <v>0.27</v>
      </c>
      <c r="C38" s="110">
        <f t="shared" si="0"/>
        <v>704631.01958425529</v>
      </c>
      <c r="D38" s="93"/>
      <c r="E38" s="93"/>
      <c r="F38" s="93"/>
      <c r="G38" s="93"/>
      <c r="H38" s="93"/>
      <c r="I38" s="93"/>
      <c r="J38" s="93"/>
    </row>
    <row r="39" spans="1:10" x14ac:dyDescent="0.2">
      <c r="A39" s="125"/>
      <c r="B39" s="126">
        <f>B38+0.01</f>
        <v>0.28000000000000003</v>
      </c>
      <c r="C39" s="110">
        <f t="shared" si="0"/>
        <v>678508.75056758523</v>
      </c>
      <c r="D39" s="93"/>
      <c r="E39" s="93"/>
      <c r="F39" s="93"/>
      <c r="G39" s="93"/>
      <c r="H39" s="93"/>
      <c r="I39" s="93"/>
      <c r="J39" s="93"/>
    </row>
    <row r="40" spans="1:10" x14ac:dyDescent="0.2">
      <c r="A40" s="125"/>
      <c r="B40" s="126">
        <f>B39+0.01</f>
        <v>0.29000000000000004</v>
      </c>
      <c r="C40" s="110">
        <f t="shared" si="0"/>
        <v>653364.42475627735</v>
      </c>
      <c r="D40" s="93"/>
      <c r="E40" s="93"/>
      <c r="F40" s="93"/>
      <c r="G40" s="93"/>
      <c r="H40" s="93"/>
      <c r="I40" s="93"/>
      <c r="J40" s="93"/>
    </row>
    <row r="41" spans="1:10" ht="13.5" thickBot="1" x14ac:dyDescent="0.25">
      <c r="A41" s="59" t="s">
        <v>139</v>
      </c>
      <c r="B41" s="129">
        <f>IRR(B29:G29)</f>
        <v>0.90976751044659654</v>
      </c>
      <c r="C41" s="130">
        <v>0</v>
      </c>
      <c r="D41" s="93"/>
      <c r="E41" s="93"/>
      <c r="F41" s="93"/>
      <c r="G41" s="93"/>
      <c r="H41" s="93"/>
      <c r="I41" s="93"/>
      <c r="J41" s="93"/>
    </row>
    <row r="42" spans="1:10" x14ac:dyDescent="0.2">
      <c r="A42" s="93"/>
      <c r="B42" s="93"/>
      <c r="C42" s="93"/>
      <c r="D42" s="93"/>
      <c r="E42" s="93"/>
      <c r="F42" s="93"/>
      <c r="G42" s="93"/>
      <c r="H42" s="93"/>
      <c r="I42" s="93"/>
      <c r="J42" s="93"/>
    </row>
    <row r="43" spans="1:10" x14ac:dyDescent="0.2">
      <c r="A43" s="58" t="s">
        <v>185</v>
      </c>
      <c r="B43" s="131">
        <f>SUM(C29:G29)/C7</f>
        <v>9.2159469999999999</v>
      </c>
      <c r="C43" s="131"/>
      <c r="D43" s="93"/>
      <c r="E43" s="93"/>
      <c r="F43" s="93"/>
      <c r="G43" s="93"/>
      <c r="H43" s="93"/>
      <c r="I43" s="93"/>
      <c r="J43" s="93"/>
    </row>
    <row r="44" spans="1:10" x14ac:dyDescent="0.2">
      <c r="A44" s="58" t="s">
        <v>184</v>
      </c>
      <c r="B44" s="74">
        <f>MATCH(TRUE,B46:I46,0) - 1</f>
        <v>2</v>
      </c>
      <c r="C44" s="131"/>
      <c r="D44" s="93"/>
      <c r="E44" s="93"/>
      <c r="F44" s="93"/>
      <c r="G44" s="93"/>
      <c r="H44" s="93"/>
      <c r="I44" s="93"/>
      <c r="J44" s="93"/>
    </row>
    <row r="45" spans="1:10" x14ac:dyDescent="0.2">
      <c r="A45" s="93"/>
      <c r="B45" s="93"/>
      <c r="C45" s="93"/>
      <c r="D45" s="93"/>
      <c r="E45" s="93"/>
      <c r="F45" s="93"/>
      <c r="G45" s="93"/>
      <c r="H45" s="93"/>
      <c r="I45" s="93"/>
      <c r="J45" s="93"/>
    </row>
    <row r="46" spans="1:10" x14ac:dyDescent="0.2">
      <c r="A46" s="131" t="s">
        <v>183</v>
      </c>
      <c r="B46" s="132" t="b">
        <f>SUM($B29:B29)&gt;0</f>
        <v>0</v>
      </c>
      <c r="C46" s="132" t="b">
        <f>SUM($B29:C29)&gt;0</f>
        <v>0</v>
      </c>
      <c r="D46" s="132" t="b">
        <f>SUM($B29:D29)&gt;0</f>
        <v>1</v>
      </c>
      <c r="E46" s="132" t="b">
        <f>SUM($B29:E29)&gt;0</f>
        <v>1</v>
      </c>
      <c r="F46" s="132" t="b">
        <f>SUM($B29:F29)&gt;0</f>
        <v>1</v>
      </c>
      <c r="G46" s="132" t="b">
        <f>SUM($B29:G29)&gt;0</f>
        <v>1</v>
      </c>
      <c r="H46" s="132"/>
      <c r="I46" s="132"/>
      <c r="J46" s="93"/>
    </row>
    <row r="47" spans="1:10" x14ac:dyDescent="0.2">
      <c r="A47" s="93"/>
      <c r="B47" s="93"/>
      <c r="C47" s="93"/>
      <c r="D47" s="93"/>
      <c r="E47" s="93"/>
      <c r="F47" s="93"/>
      <c r="G47" s="93"/>
      <c r="H47" s="93"/>
      <c r="I47" s="93"/>
      <c r="J47" s="93"/>
    </row>
    <row r="48" spans="1:10" x14ac:dyDescent="0.2">
      <c r="A48" s="93"/>
      <c r="B48" s="93"/>
      <c r="C48" s="93"/>
      <c r="D48" s="93"/>
      <c r="E48" s="93"/>
      <c r="F48" s="93"/>
      <c r="G48" s="93"/>
      <c r="H48" s="93"/>
      <c r="I48" s="93"/>
      <c r="J48" s="93"/>
    </row>
    <row r="49" spans="1:10" x14ac:dyDescent="0.2">
      <c r="A49" s="93"/>
      <c r="B49" s="93"/>
      <c r="C49" s="93"/>
      <c r="D49" s="93"/>
      <c r="E49" s="93"/>
      <c r="F49" s="93"/>
      <c r="G49" s="93"/>
      <c r="H49" s="93"/>
      <c r="I49" s="93"/>
      <c r="J49" s="93"/>
    </row>
    <row r="50" spans="1:10" x14ac:dyDescent="0.2">
      <c r="A50" s="93"/>
      <c r="B50" s="93"/>
      <c r="C50" s="93"/>
      <c r="D50" s="93"/>
      <c r="E50" s="93"/>
      <c r="F50" s="93"/>
      <c r="G50" s="93"/>
      <c r="H50" s="93"/>
      <c r="I50" s="93"/>
      <c r="J50" s="93"/>
    </row>
    <row r="51" spans="1:10" x14ac:dyDescent="0.2">
      <c r="A51" s="93"/>
      <c r="B51" s="93"/>
      <c r="C51" s="93"/>
      <c r="D51" s="93"/>
      <c r="E51" s="93"/>
      <c r="F51" s="93"/>
      <c r="G51" s="93"/>
      <c r="H51" s="93"/>
      <c r="I51" s="93"/>
      <c r="J51" s="93"/>
    </row>
    <row r="52" spans="1:10" x14ac:dyDescent="0.2">
      <c r="A52" s="93"/>
      <c r="B52" s="93"/>
      <c r="C52" s="93"/>
      <c r="D52" s="93"/>
      <c r="E52" s="93"/>
      <c r="F52" s="93"/>
      <c r="G52" s="93"/>
      <c r="H52" s="93"/>
      <c r="I52" s="93"/>
      <c r="J52" s="93"/>
    </row>
    <row r="53" spans="1:10" x14ac:dyDescent="0.2">
      <c r="A53" s="93"/>
      <c r="B53" s="93"/>
      <c r="C53" s="93"/>
      <c r="D53" s="93"/>
      <c r="E53" s="93"/>
      <c r="F53" s="93"/>
      <c r="G53" s="93"/>
      <c r="H53" s="93"/>
      <c r="I53" s="93"/>
      <c r="J53" s="93"/>
    </row>
    <row r="54" spans="1:10" x14ac:dyDescent="0.2">
      <c r="A54" s="93"/>
      <c r="B54" s="93"/>
      <c r="C54" s="93"/>
      <c r="D54" s="93"/>
      <c r="E54" s="93"/>
      <c r="F54" s="93"/>
      <c r="G54" s="93"/>
      <c r="H54" s="93"/>
      <c r="I54" s="93"/>
      <c r="J54" s="93"/>
    </row>
    <row r="55" spans="1:10" x14ac:dyDescent="0.2">
      <c r="A55" s="93"/>
      <c r="B55" s="93"/>
      <c r="C55" s="93"/>
      <c r="D55" s="93"/>
      <c r="E55" s="93"/>
      <c r="F55" s="93"/>
      <c r="G55" s="93"/>
      <c r="H55" s="93"/>
      <c r="I55" s="93"/>
      <c r="J55" s="93"/>
    </row>
    <row r="56" spans="1:10" x14ac:dyDescent="0.2">
      <c r="A56" s="93"/>
      <c r="B56" s="93"/>
      <c r="C56" s="93"/>
      <c r="D56" s="93"/>
      <c r="E56" s="93"/>
      <c r="F56" s="93"/>
      <c r="G56" s="93"/>
      <c r="H56" s="93"/>
      <c r="I56" s="93"/>
      <c r="J56" s="93"/>
    </row>
    <row r="57" spans="1:10" x14ac:dyDescent="0.2">
      <c r="A57" s="93"/>
      <c r="B57" s="93"/>
      <c r="C57" s="93"/>
      <c r="D57" s="93"/>
      <c r="E57" s="93"/>
      <c r="F57" s="93"/>
      <c r="G57" s="93"/>
      <c r="H57" s="93"/>
      <c r="I57" s="93"/>
      <c r="J57" s="93"/>
    </row>
    <row r="58" spans="1:10" x14ac:dyDescent="0.2">
      <c r="A58" s="93"/>
      <c r="B58" s="93"/>
      <c r="C58" s="93"/>
      <c r="D58" s="93"/>
      <c r="E58" s="93"/>
      <c r="F58" s="93"/>
      <c r="G58" s="93"/>
      <c r="H58" s="93"/>
      <c r="I58" s="93"/>
      <c r="J58" s="93"/>
    </row>
    <row r="59" spans="1:10" x14ac:dyDescent="0.2">
      <c r="A59" s="93"/>
      <c r="B59" s="93"/>
      <c r="C59" s="93"/>
      <c r="D59" s="93"/>
      <c r="E59" s="93"/>
      <c r="F59" s="93"/>
      <c r="G59" s="93"/>
      <c r="H59" s="93"/>
      <c r="I59" s="93"/>
      <c r="J59" s="93"/>
    </row>
    <row r="60" spans="1:10" x14ac:dyDescent="0.2">
      <c r="A60" s="93"/>
      <c r="B60" s="93"/>
      <c r="C60" s="93"/>
      <c r="D60" s="93"/>
      <c r="E60" s="93"/>
      <c r="F60" s="93"/>
      <c r="G60" s="93"/>
      <c r="H60" s="93"/>
      <c r="I60" s="93"/>
      <c r="J60" s="93"/>
    </row>
    <row r="61" spans="1:10" x14ac:dyDescent="0.2">
      <c r="A61" s="93"/>
      <c r="B61" s="93"/>
      <c r="C61" s="93"/>
      <c r="D61" s="93"/>
      <c r="E61" s="93"/>
      <c r="F61" s="93"/>
      <c r="G61" s="93"/>
      <c r="H61" s="93"/>
      <c r="I61" s="93"/>
      <c r="J61" s="93"/>
    </row>
    <row r="62" spans="1:10" x14ac:dyDescent="0.2">
      <c r="A62" s="93"/>
      <c r="B62" s="93"/>
      <c r="C62" s="93"/>
      <c r="D62" s="93"/>
      <c r="E62" s="93"/>
      <c r="F62" s="93"/>
      <c r="G62" s="93"/>
      <c r="H62" s="93"/>
      <c r="I62" s="93"/>
      <c r="J62" s="93"/>
    </row>
    <row r="63" spans="1:10" x14ac:dyDescent="0.2">
      <c r="A63" s="93"/>
      <c r="B63" s="93"/>
      <c r="C63" s="93"/>
      <c r="D63" s="93"/>
      <c r="E63" s="93"/>
      <c r="F63" s="93"/>
      <c r="G63" s="93"/>
      <c r="H63" s="93"/>
      <c r="I63" s="93"/>
      <c r="J63" s="93"/>
    </row>
    <row r="64" spans="1:10" x14ac:dyDescent="0.2">
      <c r="A64" s="93"/>
      <c r="B64" s="93"/>
      <c r="C64" s="93"/>
      <c r="D64" s="93"/>
      <c r="E64" s="93"/>
      <c r="F64" s="93"/>
      <c r="G64" s="93"/>
      <c r="H64" s="93"/>
      <c r="I64" s="93"/>
      <c r="J64" s="93"/>
    </row>
    <row r="65" spans="1:10" x14ac:dyDescent="0.2">
      <c r="A65" s="93"/>
      <c r="B65" s="93"/>
      <c r="C65" s="93"/>
      <c r="D65" s="93"/>
      <c r="E65" s="93"/>
      <c r="F65" s="93"/>
      <c r="G65" s="93"/>
      <c r="H65" s="93"/>
      <c r="I65" s="93"/>
      <c r="J65" s="93"/>
    </row>
    <row r="66" spans="1:10" x14ac:dyDescent="0.2">
      <c r="A66" s="93"/>
      <c r="B66" s="93"/>
      <c r="C66" s="93"/>
      <c r="D66" s="93"/>
      <c r="E66" s="93"/>
      <c r="F66" s="93"/>
      <c r="G66" s="93"/>
      <c r="H66" s="93"/>
      <c r="I66" s="93"/>
      <c r="J66" s="93"/>
    </row>
    <row r="67" spans="1:10" x14ac:dyDescent="0.2">
      <c r="A67" s="93"/>
      <c r="B67" s="93"/>
      <c r="C67" s="93"/>
      <c r="D67" s="93"/>
      <c r="E67" s="93"/>
      <c r="F67" s="93"/>
      <c r="G67" s="93"/>
      <c r="H67" s="93"/>
      <c r="I67" s="93"/>
      <c r="J67" s="93"/>
    </row>
    <row r="68" spans="1:10" x14ac:dyDescent="0.2">
      <c r="A68" s="93"/>
      <c r="B68" s="93"/>
      <c r="C68" s="93"/>
      <c r="D68" s="93"/>
      <c r="E68" s="93"/>
      <c r="F68" s="93"/>
      <c r="G68" s="93"/>
      <c r="H68" s="93"/>
      <c r="I68" s="93"/>
      <c r="J68" s="93"/>
    </row>
    <row r="69" spans="1:10" x14ac:dyDescent="0.2">
      <c r="A69" s="93"/>
      <c r="B69" s="93"/>
      <c r="C69" s="93"/>
      <c r="D69" s="93"/>
      <c r="E69" s="93"/>
      <c r="F69" s="93"/>
      <c r="G69" s="93"/>
      <c r="H69" s="93"/>
      <c r="I69" s="93"/>
      <c r="J69" s="93"/>
    </row>
    <row r="70" spans="1:10" x14ac:dyDescent="0.2">
      <c r="A70" s="93"/>
      <c r="B70" s="93"/>
      <c r="C70" s="93"/>
      <c r="D70" s="93"/>
      <c r="E70" s="93"/>
      <c r="F70" s="93"/>
      <c r="G70" s="93"/>
      <c r="H70" s="93"/>
      <c r="I70" s="93"/>
      <c r="J70" s="93"/>
    </row>
    <row r="71" spans="1:10" x14ac:dyDescent="0.2">
      <c r="A71" s="93"/>
      <c r="B71" s="93"/>
      <c r="C71" s="93"/>
      <c r="D71" s="93"/>
      <c r="E71" s="93"/>
      <c r="F71" s="93"/>
      <c r="G71" s="93"/>
      <c r="H71" s="93"/>
      <c r="I71" s="93"/>
      <c r="J71" s="93"/>
    </row>
    <row r="72" spans="1:10" x14ac:dyDescent="0.2">
      <c r="A72" s="93"/>
      <c r="B72" s="93"/>
      <c r="C72" s="93"/>
      <c r="D72" s="93"/>
      <c r="E72" s="93"/>
      <c r="F72" s="93"/>
      <c r="G72" s="93"/>
      <c r="H72" s="93"/>
      <c r="I72" s="93"/>
      <c r="J72" s="93"/>
    </row>
    <row r="73" spans="1:10" x14ac:dyDescent="0.2">
      <c r="A73" s="93"/>
      <c r="B73" s="93"/>
      <c r="C73" s="93"/>
      <c r="D73" s="93"/>
      <c r="E73" s="93"/>
      <c r="F73" s="93"/>
      <c r="G73" s="93"/>
      <c r="H73" s="93"/>
      <c r="I73" s="93"/>
      <c r="J73" s="93"/>
    </row>
    <row r="74" spans="1:10" x14ac:dyDescent="0.2">
      <c r="A74" s="93"/>
      <c r="B74" s="93"/>
      <c r="C74" s="93"/>
      <c r="D74" s="93"/>
      <c r="E74" s="93"/>
      <c r="F74" s="93"/>
      <c r="G74" s="93"/>
      <c r="H74" s="93"/>
      <c r="I74" s="93"/>
      <c r="J74" s="93"/>
    </row>
    <row r="75" spans="1:10" x14ac:dyDescent="0.2">
      <c r="A75" s="93"/>
      <c r="B75" s="93"/>
      <c r="C75" s="93"/>
      <c r="D75" s="93"/>
      <c r="E75" s="93"/>
      <c r="F75" s="93"/>
      <c r="G75" s="93"/>
      <c r="H75" s="93"/>
      <c r="I75" s="93"/>
      <c r="J75" s="93"/>
    </row>
    <row r="76" spans="1:10" x14ac:dyDescent="0.2">
      <c r="A76" s="93"/>
      <c r="B76" s="93"/>
      <c r="C76" s="93"/>
      <c r="D76" s="93"/>
      <c r="E76" s="93"/>
      <c r="F76" s="93"/>
      <c r="G76" s="93"/>
      <c r="H76" s="93"/>
      <c r="I76" s="93"/>
      <c r="J76" s="93"/>
    </row>
    <row r="77" spans="1:10" x14ac:dyDescent="0.2">
      <c r="A77" s="93"/>
      <c r="B77" s="93"/>
      <c r="C77" s="93"/>
      <c r="D77" s="93"/>
      <c r="E77" s="93"/>
      <c r="F77" s="93"/>
      <c r="G77" s="93"/>
      <c r="H77" s="93"/>
      <c r="I77" s="93"/>
      <c r="J77" s="93"/>
    </row>
    <row r="78" spans="1:10" x14ac:dyDescent="0.2">
      <c r="A78" s="93"/>
      <c r="B78" s="93"/>
      <c r="C78" s="93"/>
      <c r="D78" s="93"/>
      <c r="E78" s="93"/>
      <c r="F78" s="93"/>
      <c r="G78" s="93"/>
      <c r="H78" s="93"/>
      <c r="I78" s="93"/>
      <c r="J78" s="93"/>
    </row>
    <row r="79" spans="1:10" x14ac:dyDescent="0.2">
      <c r="A79" s="93"/>
      <c r="B79" s="93"/>
      <c r="C79" s="93"/>
      <c r="D79" s="93"/>
      <c r="E79" s="93"/>
      <c r="F79" s="93"/>
      <c r="G79" s="93"/>
      <c r="H79" s="93"/>
      <c r="I79" s="93"/>
      <c r="J79" s="93"/>
    </row>
    <row r="80" spans="1:10" x14ac:dyDescent="0.2">
      <c r="A80" s="93"/>
      <c r="B80" s="93"/>
      <c r="C80" s="93"/>
      <c r="D80" s="93"/>
      <c r="E80" s="93"/>
      <c r="F80" s="93"/>
      <c r="G80" s="93"/>
      <c r="H80" s="93"/>
      <c r="I80" s="93"/>
      <c r="J80" s="93"/>
    </row>
    <row r="81" spans="1:10" x14ac:dyDescent="0.2">
      <c r="A81" s="93"/>
      <c r="B81" s="93"/>
      <c r="C81" s="93"/>
      <c r="D81" s="93"/>
      <c r="E81" s="93"/>
      <c r="F81" s="93"/>
      <c r="G81" s="93"/>
      <c r="H81" s="93"/>
      <c r="I81" s="93"/>
      <c r="J81" s="93"/>
    </row>
    <row r="82" spans="1:10" x14ac:dyDescent="0.2">
      <c r="A82" s="93"/>
      <c r="B82" s="93"/>
      <c r="C82" s="93"/>
      <c r="D82" s="93"/>
      <c r="E82" s="93"/>
      <c r="F82" s="93"/>
      <c r="G82" s="93"/>
      <c r="H82" s="93"/>
      <c r="I82" s="93"/>
      <c r="J82" s="93"/>
    </row>
    <row r="83" spans="1:10" x14ac:dyDescent="0.2">
      <c r="A83" s="93"/>
      <c r="B83" s="93"/>
      <c r="C83" s="93"/>
      <c r="D83" s="93"/>
      <c r="E83" s="93"/>
      <c r="F83" s="93"/>
      <c r="G83" s="93"/>
      <c r="H83" s="93"/>
      <c r="I83" s="93"/>
      <c r="J83" s="93"/>
    </row>
    <row r="84" spans="1:10" x14ac:dyDescent="0.2">
      <c r="A84" s="93"/>
      <c r="B84" s="93"/>
      <c r="C84" s="93"/>
      <c r="D84" s="93"/>
      <c r="E84" s="93"/>
      <c r="F84" s="93"/>
      <c r="G84" s="93"/>
      <c r="H84" s="93"/>
      <c r="I84" s="93"/>
      <c r="J84" s="93"/>
    </row>
    <row r="85" spans="1:10" x14ac:dyDescent="0.2">
      <c r="A85" s="93"/>
      <c r="B85" s="93"/>
      <c r="C85" s="93"/>
      <c r="D85" s="93"/>
      <c r="E85" s="93"/>
      <c r="F85" s="93"/>
      <c r="G85" s="93"/>
      <c r="H85" s="93"/>
      <c r="I85" s="93"/>
      <c r="J85" s="93"/>
    </row>
    <row r="86" spans="1:10" x14ac:dyDescent="0.2">
      <c r="A86" s="93"/>
      <c r="B86" s="93"/>
      <c r="C86" s="93"/>
      <c r="D86" s="93"/>
      <c r="E86" s="93"/>
      <c r="F86" s="93"/>
      <c r="G86" s="93"/>
      <c r="H86" s="93"/>
      <c r="I86" s="93"/>
      <c r="J86" s="93"/>
    </row>
    <row r="87" spans="1:10" x14ac:dyDescent="0.2">
      <c r="A87" s="93"/>
      <c r="B87" s="93"/>
      <c r="C87" s="93"/>
      <c r="D87" s="93"/>
      <c r="E87" s="93"/>
      <c r="F87" s="93"/>
      <c r="G87" s="93"/>
      <c r="H87" s="93"/>
      <c r="I87" s="93"/>
      <c r="J87" s="93"/>
    </row>
    <row r="88" spans="1:10" x14ac:dyDescent="0.2">
      <c r="A88" s="93"/>
      <c r="B88" s="93"/>
      <c r="C88" s="93"/>
      <c r="D88" s="93"/>
      <c r="E88" s="93"/>
      <c r="F88" s="93"/>
      <c r="G88" s="93"/>
      <c r="H88" s="93"/>
      <c r="I88" s="93"/>
      <c r="J88" s="93"/>
    </row>
    <row r="89" spans="1:10" x14ac:dyDescent="0.2">
      <c r="A89" s="93"/>
      <c r="B89" s="93"/>
      <c r="C89" s="93"/>
      <c r="D89" s="93"/>
      <c r="E89" s="93"/>
      <c r="F89" s="93"/>
      <c r="G89" s="93"/>
      <c r="H89" s="93"/>
      <c r="I89" s="93"/>
      <c r="J89" s="93"/>
    </row>
    <row r="90" spans="1:10" x14ac:dyDescent="0.2">
      <c r="A90" s="93"/>
      <c r="B90" s="93"/>
      <c r="C90" s="93"/>
      <c r="D90" s="93"/>
      <c r="E90" s="93"/>
      <c r="F90" s="93"/>
      <c r="G90" s="93"/>
      <c r="H90" s="93"/>
      <c r="I90" s="93"/>
      <c r="J90" s="93"/>
    </row>
    <row r="91" spans="1:10" x14ac:dyDescent="0.2">
      <c r="A91" s="93"/>
      <c r="B91" s="93"/>
      <c r="C91" s="93"/>
      <c r="D91" s="93"/>
      <c r="E91" s="93"/>
      <c r="F91" s="93"/>
      <c r="G91" s="93"/>
      <c r="H91" s="93"/>
      <c r="I91" s="93"/>
      <c r="J91" s="93"/>
    </row>
    <row r="92" spans="1:10" x14ac:dyDescent="0.2">
      <c r="A92" s="93"/>
      <c r="B92" s="93"/>
      <c r="C92" s="93"/>
      <c r="D92" s="93"/>
      <c r="E92" s="93"/>
      <c r="F92" s="93"/>
      <c r="G92" s="93"/>
      <c r="H92" s="93"/>
      <c r="I92" s="93"/>
      <c r="J92" s="93"/>
    </row>
    <row r="93" spans="1:10" x14ac:dyDescent="0.2">
      <c r="A93" s="93"/>
      <c r="B93" s="93"/>
      <c r="C93" s="93"/>
      <c r="D93" s="93"/>
      <c r="E93" s="93"/>
      <c r="F93" s="93"/>
      <c r="G93" s="93"/>
      <c r="H93" s="93"/>
      <c r="I93" s="93"/>
      <c r="J93" s="93"/>
    </row>
    <row r="94" spans="1:10" x14ac:dyDescent="0.2">
      <c r="A94" s="93"/>
      <c r="B94" s="93"/>
      <c r="C94" s="93"/>
      <c r="D94" s="93"/>
      <c r="E94" s="93"/>
      <c r="F94" s="93"/>
      <c r="G94" s="93"/>
      <c r="H94" s="93"/>
      <c r="I94" s="93"/>
      <c r="J94" s="93"/>
    </row>
    <row r="95" spans="1:10" x14ac:dyDescent="0.2">
      <c r="A95" s="93"/>
      <c r="B95" s="93"/>
      <c r="C95" s="93"/>
      <c r="D95" s="93"/>
      <c r="E95" s="93"/>
      <c r="F95" s="93"/>
      <c r="G95" s="93"/>
      <c r="H95" s="93"/>
      <c r="I95" s="93"/>
      <c r="J95" s="93"/>
    </row>
    <row r="96" spans="1:10" x14ac:dyDescent="0.2">
      <c r="A96" s="93"/>
      <c r="B96" s="93"/>
      <c r="C96" s="93"/>
      <c r="D96" s="93"/>
      <c r="E96" s="93"/>
      <c r="F96" s="93"/>
      <c r="G96" s="93"/>
      <c r="H96" s="93"/>
      <c r="I96" s="93"/>
      <c r="J96" s="93"/>
    </row>
    <row r="97" spans="1:10" x14ac:dyDescent="0.2">
      <c r="A97" s="93"/>
      <c r="B97" s="93"/>
      <c r="C97" s="93"/>
      <c r="D97" s="93"/>
      <c r="E97" s="93"/>
      <c r="F97" s="93"/>
      <c r="G97" s="93"/>
      <c r="H97" s="93"/>
      <c r="I97" s="93"/>
      <c r="J97" s="93"/>
    </row>
    <row r="98" spans="1:10" x14ac:dyDescent="0.2">
      <c r="A98" s="93"/>
      <c r="B98" s="93"/>
      <c r="C98" s="93"/>
      <c r="D98" s="93"/>
      <c r="E98" s="93"/>
      <c r="F98" s="93"/>
      <c r="G98" s="93"/>
      <c r="H98" s="93"/>
      <c r="I98" s="93"/>
      <c r="J98" s="93"/>
    </row>
    <row r="99" spans="1:10" x14ac:dyDescent="0.2">
      <c r="A99" s="93"/>
      <c r="B99" s="93"/>
      <c r="C99" s="93"/>
      <c r="D99" s="93"/>
      <c r="E99" s="93"/>
      <c r="F99" s="93"/>
      <c r="G99" s="93"/>
      <c r="H99" s="93"/>
      <c r="I99" s="93"/>
      <c r="J99" s="93"/>
    </row>
    <row r="100" spans="1:10" x14ac:dyDescent="0.2">
      <c r="A100" s="93"/>
      <c r="B100" s="93"/>
      <c r="C100" s="93"/>
      <c r="D100" s="93"/>
      <c r="E100" s="93"/>
      <c r="F100" s="93"/>
      <c r="G100" s="93"/>
      <c r="H100" s="93"/>
      <c r="I100" s="93"/>
      <c r="J100" s="93"/>
    </row>
    <row r="101" spans="1:10" x14ac:dyDescent="0.2">
      <c r="A101" s="93"/>
      <c r="B101" s="93"/>
      <c r="C101" s="93"/>
      <c r="D101" s="93"/>
      <c r="E101" s="93"/>
      <c r="F101" s="93"/>
      <c r="G101" s="93"/>
      <c r="H101" s="93"/>
      <c r="I101" s="93"/>
      <c r="J101" s="93"/>
    </row>
    <row r="102" spans="1:10" x14ac:dyDescent="0.2">
      <c r="A102" s="93"/>
      <c r="B102" s="93"/>
      <c r="C102" s="93"/>
      <c r="D102" s="93"/>
      <c r="E102" s="93"/>
      <c r="F102" s="93"/>
      <c r="G102" s="93"/>
      <c r="H102" s="93"/>
      <c r="I102" s="93"/>
      <c r="J102" s="93"/>
    </row>
  </sheetData>
  <mergeCells count="4">
    <mergeCell ref="A5:B5"/>
    <mergeCell ref="D5:G5"/>
    <mergeCell ref="A11:G11"/>
    <mergeCell ref="A31:B31"/>
  </mergeCells>
  <pageMargins left="0.75" right="0.75" top="1" bottom="1" header="0.5" footer="0.5"/>
  <pageSetup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outlinePr summaryBelow="0" summaryRight="0"/>
  </sheetPr>
  <dimension ref="A1:HH67"/>
  <sheetViews>
    <sheetView showGridLines="0" topLeftCell="H10" zoomScale="145" zoomScaleNormal="145" workbookViewId="0">
      <selection activeCell="I21" sqref="I21"/>
    </sheetView>
  </sheetViews>
  <sheetFormatPr defaultRowHeight="12.75" outlineLevelRow="4" outlineLevelCol="1" x14ac:dyDescent="0.2"/>
  <cols>
    <col min="1" max="1" width="3" style="5" hidden="1" customWidth="1" outlineLevel="1" collapsed="1"/>
    <col min="2" max="7" width="3" style="5" hidden="1" customWidth="1" outlineLevel="1"/>
    <col min="8" max="8" width="3" style="5" customWidth="1" collapsed="1"/>
    <col min="9" max="9" width="88.5703125" style="366" customWidth="1"/>
    <col min="10" max="16384" width="9.140625" style="5"/>
  </cols>
  <sheetData>
    <row r="1" spans="1:216" ht="44.25" customHeight="1" x14ac:dyDescent="0.2">
      <c r="I1" s="79" t="s">
        <v>223</v>
      </c>
    </row>
    <row r="2" spans="1:216" ht="12.75" customHeight="1" x14ac:dyDescent="0.2">
      <c r="I2" s="78"/>
    </row>
    <row r="3" spans="1:216" ht="12.75" customHeight="1" x14ac:dyDescent="0.2">
      <c r="A3" s="356" t="str">
        <f>IF(A2="","",IF(Disable_Video_Hyperlinks,A2,HYPERLINK(Video_website&amp;A2,A2)))</f>
        <v/>
      </c>
      <c r="I3" s="78"/>
    </row>
    <row r="4" spans="1:216" ht="12.75" customHeight="1" x14ac:dyDescent="0.2">
      <c r="I4" s="78"/>
    </row>
    <row r="5" spans="1:216" s="357" customFormat="1" outlineLevel="1" x14ac:dyDescent="0.2">
      <c r="I5" s="349" t="s">
        <v>222</v>
      </c>
      <c r="J5" s="256"/>
      <c r="K5" s="256"/>
      <c r="L5" s="257"/>
      <c r="M5" s="257" t="str">
        <f t="shared" ref="M5:M67" si="0">IF(MIN(P5:HZ5)&lt;0,MIN(P5:HZ5),IF(MAX(P5:HZ5)&gt;0,MAX(P5:HZ5),""))</f>
        <v/>
      </c>
      <c r="N5" s="258">
        <f t="shared" ref="N5:N67" si="1">COUNTIF($P5:$HZ5,"&gt;0")+COUNTIF($P5:$HZ5,"&lt;0")</f>
        <v>0</v>
      </c>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6"/>
      <c r="BE5" s="256"/>
      <c r="BF5" s="256"/>
      <c r="BG5" s="256"/>
      <c r="BH5" s="256"/>
      <c r="BI5" s="256"/>
      <c r="BJ5" s="256"/>
      <c r="BK5" s="256"/>
      <c r="BL5" s="256"/>
      <c r="BM5" s="256"/>
      <c r="BN5" s="256"/>
      <c r="BO5" s="256"/>
      <c r="BP5" s="256"/>
      <c r="BQ5" s="256"/>
      <c r="BR5" s="256"/>
      <c r="BS5" s="256"/>
      <c r="BT5" s="256"/>
      <c r="BU5" s="256"/>
      <c r="BV5" s="256"/>
      <c r="BW5" s="256"/>
      <c r="BX5" s="256"/>
      <c r="BY5" s="256"/>
      <c r="BZ5" s="256"/>
      <c r="CA5" s="256"/>
      <c r="CB5" s="256"/>
      <c r="CC5" s="256"/>
      <c r="CD5" s="256"/>
      <c r="CE5" s="256"/>
      <c r="CF5" s="256"/>
      <c r="CG5" s="256"/>
      <c r="CH5" s="256"/>
      <c r="CI5" s="256"/>
      <c r="CJ5" s="256"/>
      <c r="CK5" s="256"/>
      <c r="CL5" s="256"/>
      <c r="CM5" s="256"/>
      <c r="CN5" s="256"/>
      <c r="CO5" s="256"/>
      <c r="CP5" s="256"/>
      <c r="CQ5" s="256"/>
      <c r="CR5" s="256"/>
      <c r="CS5" s="256"/>
      <c r="CT5" s="256"/>
      <c r="CU5" s="256"/>
      <c r="CV5" s="256"/>
      <c r="CW5" s="256"/>
      <c r="CX5" s="256"/>
      <c r="CY5" s="256"/>
      <c r="CZ5" s="256"/>
      <c r="DA5" s="256"/>
      <c r="DB5" s="256"/>
      <c r="DC5" s="256"/>
      <c r="DD5" s="256"/>
      <c r="DE5" s="256"/>
      <c r="DF5" s="256"/>
      <c r="DG5" s="256"/>
      <c r="DH5" s="256"/>
      <c r="DI5" s="256"/>
      <c r="DJ5" s="256"/>
      <c r="DK5" s="256"/>
      <c r="DL5" s="256"/>
      <c r="DM5" s="256"/>
      <c r="DN5" s="256"/>
      <c r="DO5" s="256"/>
      <c r="DP5" s="256"/>
      <c r="DQ5" s="256"/>
      <c r="DR5" s="256"/>
      <c r="DS5" s="256"/>
      <c r="DT5" s="256"/>
      <c r="DU5" s="256"/>
      <c r="DV5" s="256"/>
      <c r="DW5" s="256"/>
      <c r="DX5" s="256"/>
      <c r="DY5" s="256"/>
      <c r="DZ5" s="256"/>
      <c r="EA5" s="256"/>
      <c r="EB5" s="256"/>
      <c r="EC5" s="256"/>
      <c r="ED5" s="256"/>
      <c r="EE5" s="256"/>
      <c r="EF5" s="256"/>
      <c r="EG5" s="256"/>
      <c r="EH5" s="256"/>
      <c r="EI5" s="256"/>
      <c r="EJ5" s="256"/>
      <c r="EK5" s="256"/>
      <c r="EL5" s="256"/>
      <c r="EM5" s="256"/>
      <c r="EN5" s="256"/>
      <c r="EO5" s="256"/>
      <c r="EP5" s="256"/>
      <c r="EQ5" s="256"/>
      <c r="ER5" s="256"/>
      <c r="ES5" s="256"/>
      <c r="ET5" s="256"/>
      <c r="EU5" s="256"/>
      <c r="EV5" s="256"/>
      <c r="EW5" s="256"/>
      <c r="EX5" s="256"/>
      <c r="EY5" s="256"/>
      <c r="EZ5" s="256"/>
      <c r="FA5" s="256"/>
      <c r="FB5" s="256"/>
      <c r="FC5" s="256"/>
      <c r="FD5" s="256"/>
      <c r="FE5" s="256"/>
      <c r="FF5" s="256"/>
      <c r="FG5" s="256"/>
      <c r="FH5" s="256"/>
      <c r="FI5" s="256"/>
      <c r="FJ5" s="256"/>
      <c r="FK5" s="256"/>
      <c r="FL5" s="256"/>
      <c r="FM5" s="256"/>
      <c r="FN5" s="256"/>
      <c r="FO5" s="256"/>
      <c r="FP5" s="256"/>
      <c r="FQ5" s="256"/>
      <c r="FR5" s="256"/>
      <c r="FS5" s="256"/>
      <c r="FT5" s="256"/>
      <c r="FU5" s="256"/>
      <c r="FV5" s="256"/>
      <c r="FW5" s="256"/>
      <c r="FX5" s="256"/>
      <c r="FY5" s="256"/>
      <c r="FZ5" s="256"/>
      <c r="GA5" s="256"/>
      <c r="GB5" s="256"/>
      <c r="GC5" s="256"/>
      <c r="GD5" s="256"/>
      <c r="GE5" s="256"/>
      <c r="GF5" s="256"/>
      <c r="GG5" s="256"/>
      <c r="GH5" s="256"/>
      <c r="GI5" s="256"/>
      <c r="GJ5" s="256"/>
      <c r="GK5" s="256"/>
      <c r="GL5" s="256"/>
      <c r="GM5" s="256"/>
      <c r="GN5" s="256"/>
      <c r="GO5" s="256"/>
      <c r="GP5" s="256"/>
      <c r="GQ5" s="256"/>
      <c r="GR5" s="256"/>
      <c r="GS5" s="256"/>
      <c r="GT5" s="256"/>
      <c r="GU5" s="256"/>
      <c r="GV5" s="256"/>
      <c r="GW5" s="256"/>
      <c r="GX5" s="256"/>
      <c r="GY5" s="256"/>
      <c r="GZ5" s="256"/>
      <c r="HA5" s="256"/>
      <c r="HB5" s="256"/>
      <c r="HC5" s="256"/>
      <c r="HD5" s="256"/>
      <c r="HE5" s="256"/>
      <c r="HF5" s="256"/>
      <c r="HG5" s="256"/>
      <c r="HH5" s="259" t="s">
        <v>259</v>
      </c>
    </row>
    <row r="6" spans="1:216" s="359" customFormat="1" outlineLevel="2" x14ac:dyDescent="0.2">
      <c r="A6" s="358"/>
      <c r="B6" s="358"/>
      <c r="C6" s="358"/>
      <c r="D6" s="358"/>
      <c r="E6" s="358"/>
      <c r="F6" s="358"/>
      <c r="G6" s="358"/>
      <c r="H6" s="358"/>
      <c r="I6" s="352" t="s">
        <v>275</v>
      </c>
      <c r="J6" s="260"/>
      <c r="K6" s="260"/>
      <c r="L6" s="261"/>
      <c r="M6" s="261" t="str">
        <f t="shared" si="0"/>
        <v/>
      </c>
      <c r="N6" s="262">
        <f t="shared" si="1"/>
        <v>0</v>
      </c>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c r="BF6" s="260"/>
      <c r="BG6" s="260"/>
      <c r="BH6" s="260"/>
      <c r="BI6" s="260"/>
      <c r="BJ6" s="260"/>
      <c r="BK6" s="260"/>
      <c r="BL6" s="260"/>
      <c r="BM6" s="260"/>
      <c r="BN6" s="260"/>
      <c r="BO6" s="260"/>
      <c r="BP6" s="260"/>
      <c r="BQ6" s="260"/>
      <c r="BR6" s="260"/>
      <c r="BS6" s="260"/>
      <c r="BT6" s="260"/>
      <c r="BU6" s="260"/>
      <c r="BV6" s="260"/>
      <c r="BW6" s="260"/>
      <c r="BX6" s="260"/>
      <c r="BY6" s="260"/>
      <c r="BZ6" s="260"/>
      <c r="CA6" s="260"/>
      <c r="CB6" s="260"/>
      <c r="CC6" s="260"/>
      <c r="CD6" s="260"/>
      <c r="CE6" s="260"/>
      <c r="CF6" s="260"/>
      <c r="CG6" s="260"/>
      <c r="CH6" s="260"/>
      <c r="CI6" s="260"/>
      <c r="CJ6" s="260"/>
      <c r="CK6" s="260"/>
      <c r="CL6" s="260"/>
      <c r="CM6" s="260"/>
      <c r="CN6" s="260"/>
      <c r="CO6" s="260"/>
      <c r="CP6" s="260"/>
      <c r="CQ6" s="260"/>
      <c r="CR6" s="260"/>
      <c r="CS6" s="260"/>
      <c r="CT6" s="260"/>
      <c r="CU6" s="260"/>
      <c r="CV6" s="260"/>
      <c r="CW6" s="260"/>
      <c r="CX6" s="260"/>
      <c r="CY6" s="260"/>
      <c r="CZ6" s="260"/>
      <c r="DA6" s="260"/>
      <c r="DB6" s="260"/>
      <c r="DC6" s="260"/>
      <c r="DD6" s="260"/>
      <c r="DE6" s="260"/>
      <c r="DF6" s="260"/>
      <c r="DG6" s="260"/>
      <c r="DH6" s="260"/>
      <c r="DI6" s="260"/>
      <c r="DJ6" s="260"/>
      <c r="DK6" s="260"/>
      <c r="DL6" s="260"/>
      <c r="DM6" s="260"/>
      <c r="DN6" s="260"/>
      <c r="DO6" s="260"/>
      <c r="DP6" s="260"/>
      <c r="DQ6" s="260"/>
      <c r="DR6" s="260"/>
      <c r="DS6" s="260"/>
      <c r="DT6" s="260"/>
      <c r="DU6" s="260"/>
      <c r="DV6" s="260"/>
      <c r="DW6" s="260"/>
      <c r="DX6" s="260"/>
      <c r="DY6" s="260"/>
      <c r="DZ6" s="260"/>
      <c r="EA6" s="260"/>
      <c r="EB6" s="260"/>
      <c r="EC6" s="260"/>
      <c r="ED6" s="260"/>
      <c r="EE6" s="260"/>
      <c r="EF6" s="260"/>
      <c r="EG6" s="260"/>
      <c r="EH6" s="260"/>
      <c r="EI6" s="260"/>
      <c r="EJ6" s="260"/>
      <c r="EK6" s="260"/>
      <c r="EL6" s="260"/>
      <c r="EM6" s="260"/>
      <c r="EN6" s="260"/>
      <c r="EO6" s="260"/>
      <c r="EP6" s="260"/>
      <c r="EQ6" s="260"/>
      <c r="ER6" s="260"/>
      <c r="ES6" s="260"/>
      <c r="ET6" s="260"/>
      <c r="EU6" s="260"/>
      <c r="EV6" s="260"/>
      <c r="EW6" s="260"/>
      <c r="EX6" s="260"/>
      <c r="EY6" s="260"/>
      <c r="EZ6" s="260"/>
      <c r="FA6" s="260"/>
      <c r="FB6" s="260"/>
      <c r="FC6" s="260"/>
      <c r="FD6" s="260"/>
      <c r="FE6" s="260"/>
      <c r="FF6" s="260"/>
      <c r="FG6" s="260"/>
      <c r="FH6" s="260"/>
      <c r="FI6" s="260"/>
      <c r="FJ6" s="260"/>
      <c r="FK6" s="260"/>
      <c r="FL6" s="260"/>
      <c r="FM6" s="260"/>
      <c r="FN6" s="260"/>
      <c r="FO6" s="260"/>
      <c r="FP6" s="260"/>
      <c r="FQ6" s="260"/>
      <c r="FR6" s="260"/>
      <c r="FS6" s="260"/>
      <c r="FT6" s="260"/>
      <c r="FU6" s="260"/>
      <c r="FV6" s="260"/>
      <c r="FW6" s="260"/>
      <c r="FX6" s="260"/>
      <c r="FY6" s="260"/>
      <c r="FZ6" s="260"/>
      <c r="GA6" s="260"/>
      <c r="GB6" s="260"/>
      <c r="GC6" s="260"/>
      <c r="GD6" s="260"/>
      <c r="GE6" s="260"/>
      <c r="GF6" s="260"/>
      <c r="GG6" s="260"/>
      <c r="GH6" s="260"/>
      <c r="GI6" s="260"/>
      <c r="GJ6" s="260"/>
      <c r="GK6" s="260"/>
      <c r="GL6" s="260"/>
      <c r="GM6" s="260"/>
      <c r="GN6" s="260"/>
      <c r="GO6" s="260"/>
      <c r="GP6" s="260"/>
      <c r="GQ6" s="260"/>
      <c r="GR6" s="260"/>
      <c r="GS6" s="260"/>
      <c r="GT6" s="260"/>
      <c r="GU6" s="260"/>
      <c r="GV6" s="260"/>
      <c r="GW6" s="260"/>
      <c r="GX6" s="260"/>
      <c r="GY6" s="260"/>
      <c r="GZ6" s="260"/>
      <c r="HA6" s="260"/>
      <c r="HB6" s="260"/>
      <c r="HC6" s="260"/>
      <c r="HD6" s="260"/>
      <c r="HE6" s="260"/>
      <c r="HF6" s="260"/>
      <c r="HG6" s="260"/>
      <c r="HH6" s="263" t="s">
        <v>259</v>
      </c>
    </row>
    <row r="7" spans="1:216" s="264" customFormat="1" outlineLevel="3" x14ac:dyDescent="0.2">
      <c r="H7" s="265"/>
      <c r="I7" s="353" t="s">
        <v>345</v>
      </c>
      <c r="J7" s="266"/>
      <c r="K7" s="267">
        <v>-5</v>
      </c>
      <c r="L7" s="268"/>
      <c r="M7" s="268" t="str">
        <f t="shared" si="0"/>
        <v/>
      </c>
      <c r="N7" s="269">
        <f t="shared" si="1"/>
        <v>0</v>
      </c>
      <c r="O7" s="270"/>
      <c r="P7" s="270"/>
      <c r="Q7" s="270"/>
      <c r="R7" s="270"/>
      <c r="S7" s="270"/>
      <c r="T7" s="270"/>
      <c r="U7" s="270"/>
      <c r="V7" s="270"/>
      <c r="W7" s="270"/>
      <c r="X7" s="270"/>
      <c r="Y7" s="270"/>
      <c r="Z7" s="270"/>
      <c r="AA7" s="270"/>
      <c r="AB7" s="270"/>
      <c r="AC7" s="270"/>
      <c r="AD7" s="270"/>
      <c r="AE7" s="270"/>
      <c r="AF7" s="270"/>
      <c r="AG7" s="270"/>
      <c r="AH7" s="270"/>
      <c r="AI7" s="270"/>
      <c r="AJ7" s="270"/>
      <c r="AK7" s="270"/>
      <c r="AL7" s="270"/>
      <c r="AM7" s="270"/>
      <c r="AN7" s="270"/>
      <c r="AO7" s="270"/>
      <c r="AP7" s="270"/>
      <c r="AQ7" s="270"/>
      <c r="AR7" s="270"/>
      <c r="AS7" s="270"/>
      <c r="AT7" s="270"/>
      <c r="AU7" s="270"/>
      <c r="AV7" s="270"/>
      <c r="AW7" s="270"/>
      <c r="AX7" s="270"/>
      <c r="AY7" s="270"/>
      <c r="AZ7" s="270"/>
      <c r="BA7" s="270"/>
      <c r="BB7" s="270"/>
      <c r="BC7" s="270"/>
      <c r="BD7" s="270"/>
      <c r="BE7" s="270"/>
      <c r="BF7" s="270"/>
      <c r="BG7" s="270"/>
      <c r="BH7" s="270"/>
      <c r="BI7" s="270"/>
      <c r="BJ7" s="270"/>
      <c r="BK7" s="270"/>
      <c r="BL7" s="270"/>
      <c r="BM7" s="270"/>
      <c r="BN7" s="270"/>
      <c r="BO7" s="270"/>
      <c r="BP7" s="270"/>
      <c r="BQ7" s="270"/>
      <c r="BR7" s="270"/>
      <c r="BS7" s="270"/>
      <c r="BT7" s="270"/>
      <c r="BU7" s="270"/>
      <c r="BV7" s="270"/>
      <c r="BW7" s="270"/>
      <c r="BX7" s="270"/>
      <c r="BY7" s="270"/>
      <c r="BZ7" s="270"/>
      <c r="CA7" s="270"/>
      <c r="CB7" s="270"/>
      <c r="CC7" s="270"/>
      <c r="CD7" s="270"/>
      <c r="CE7" s="270"/>
      <c r="CF7" s="270"/>
      <c r="CG7" s="270"/>
      <c r="CH7" s="270"/>
      <c r="CI7" s="270"/>
      <c r="CJ7" s="270"/>
      <c r="CK7" s="270"/>
      <c r="CL7" s="270"/>
      <c r="CM7" s="270"/>
      <c r="CN7" s="270"/>
      <c r="CO7" s="270"/>
      <c r="CP7" s="270"/>
      <c r="CQ7" s="270"/>
      <c r="CR7" s="270"/>
      <c r="CS7" s="270"/>
      <c r="CT7" s="270"/>
      <c r="CU7" s="270"/>
      <c r="CV7" s="270"/>
      <c r="CW7" s="270"/>
      <c r="CX7" s="270"/>
      <c r="CY7" s="270"/>
      <c r="CZ7" s="270"/>
      <c r="DA7" s="270"/>
      <c r="DB7" s="270"/>
      <c r="DC7" s="270"/>
      <c r="DD7" s="270"/>
      <c r="DE7" s="270"/>
      <c r="DF7" s="270"/>
      <c r="DG7" s="270"/>
      <c r="DH7" s="270"/>
      <c r="DI7" s="270"/>
      <c r="DJ7" s="270"/>
      <c r="DK7" s="270"/>
      <c r="DL7" s="270"/>
      <c r="DM7" s="270"/>
      <c r="DN7" s="270"/>
      <c r="DO7" s="270"/>
      <c r="DP7" s="270"/>
      <c r="DQ7" s="270"/>
      <c r="DR7" s="270"/>
      <c r="DS7" s="270"/>
      <c r="DT7" s="270"/>
      <c r="DU7" s="270"/>
      <c r="DV7" s="270"/>
      <c r="DW7" s="270"/>
      <c r="DX7" s="270"/>
      <c r="DY7" s="270"/>
      <c r="DZ7" s="270"/>
      <c r="EA7" s="270"/>
      <c r="EB7" s="270"/>
      <c r="EC7" s="270"/>
      <c r="ED7" s="270"/>
      <c r="EE7" s="270"/>
      <c r="EF7" s="270"/>
      <c r="EG7" s="270"/>
      <c r="EH7" s="270"/>
      <c r="EI7" s="270"/>
      <c r="EJ7" s="270"/>
      <c r="EK7" s="270"/>
      <c r="EL7" s="270"/>
      <c r="EM7" s="270"/>
      <c r="EN7" s="270"/>
      <c r="EO7" s="270"/>
      <c r="EP7" s="270"/>
      <c r="EQ7" s="270"/>
      <c r="ER7" s="270"/>
      <c r="ES7" s="270"/>
      <c r="ET7" s="270"/>
      <c r="EU7" s="270"/>
      <c r="EV7" s="270"/>
      <c r="EW7" s="270"/>
      <c r="EX7" s="270"/>
      <c r="EY7" s="270"/>
      <c r="EZ7" s="270"/>
      <c r="FA7" s="270"/>
      <c r="FB7" s="270"/>
      <c r="FC7" s="270"/>
      <c r="FD7" s="270"/>
      <c r="FE7" s="270"/>
      <c r="FF7" s="270"/>
      <c r="FG7" s="270"/>
      <c r="FH7" s="270"/>
      <c r="FI7" s="270"/>
      <c r="FJ7" s="270"/>
      <c r="FK7" s="270"/>
      <c r="FL7" s="270"/>
      <c r="FM7" s="270"/>
      <c r="FN7" s="270"/>
      <c r="FO7" s="270"/>
      <c r="FP7" s="270"/>
      <c r="FQ7" s="270"/>
      <c r="FR7" s="270"/>
      <c r="FS7" s="270"/>
      <c r="FT7" s="270"/>
      <c r="FU7" s="270"/>
      <c r="FV7" s="270"/>
      <c r="FW7" s="270"/>
      <c r="FX7" s="270"/>
      <c r="FY7" s="270"/>
      <c r="FZ7" s="270"/>
      <c r="GA7" s="270"/>
      <c r="GB7" s="270"/>
      <c r="GC7" s="270"/>
      <c r="GD7" s="270"/>
      <c r="GE7" s="270"/>
      <c r="GF7" s="270"/>
      <c r="GG7" s="270"/>
      <c r="GH7" s="270"/>
      <c r="GI7" s="270"/>
      <c r="GJ7" s="270"/>
      <c r="GK7" s="270"/>
      <c r="GL7" s="270"/>
      <c r="GM7" s="270"/>
      <c r="GN7" s="270"/>
      <c r="GO7" s="270"/>
      <c r="GP7" s="270"/>
      <c r="GQ7" s="270"/>
      <c r="GR7" s="270"/>
      <c r="GS7" s="270"/>
      <c r="GT7" s="270"/>
      <c r="GU7" s="270"/>
      <c r="GV7" s="270"/>
      <c r="GW7" s="270"/>
      <c r="GX7" s="270"/>
      <c r="GY7" s="270"/>
      <c r="GZ7" s="270"/>
      <c r="HA7" s="270"/>
      <c r="HB7" s="270"/>
      <c r="HC7" s="270"/>
      <c r="HD7" s="270"/>
      <c r="HE7" s="270"/>
      <c r="HF7" s="270"/>
      <c r="HG7" s="270"/>
      <c r="HH7" s="270" t="s">
        <v>259</v>
      </c>
    </row>
    <row r="8" spans="1:216" s="264" customFormat="1" ht="25.5" outlineLevel="3" x14ac:dyDescent="0.2">
      <c r="H8" s="265"/>
      <c r="I8" s="353" t="s">
        <v>346</v>
      </c>
      <c r="J8" s="266"/>
      <c r="K8" s="267">
        <v>-3</v>
      </c>
      <c r="L8" s="268"/>
      <c r="M8" s="268" t="str">
        <f t="shared" si="0"/>
        <v/>
      </c>
      <c r="N8" s="269">
        <f t="shared" si="1"/>
        <v>0</v>
      </c>
      <c r="O8" s="270"/>
      <c r="P8" s="270"/>
      <c r="Q8" s="270"/>
      <c r="R8" s="270"/>
      <c r="S8" s="270"/>
      <c r="T8" s="270"/>
      <c r="U8" s="270"/>
      <c r="V8" s="270"/>
      <c r="W8" s="270"/>
      <c r="X8" s="270"/>
      <c r="Y8" s="270"/>
      <c r="Z8" s="270"/>
      <c r="AA8" s="270"/>
      <c r="AB8" s="270"/>
      <c r="AC8" s="270"/>
      <c r="AD8" s="270"/>
      <c r="AE8" s="270"/>
      <c r="AF8" s="270"/>
      <c r="AG8" s="270"/>
      <c r="AH8" s="270"/>
      <c r="AI8" s="270"/>
      <c r="AJ8" s="270"/>
      <c r="AK8" s="270"/>
      <c r="AL8" s="270"/>
      <c r="AM8" s="270"/>
      <c r="AN8" s="270"/>
      <c r="AO8" s="270"/>
      <c r="AP8" s="270"/>
      <c r="AQ8" s="270"/>
      <c r="AR8" s="270"/>
      <c r="AS8" s="270"/>
      <c r="AT8" s="270"/>
      <c r="AU8" s="270"/>
      <c r="AV8" s="270"/>
      <c r="AW8" s="270"/>
      <c r="AX8" s="270"/>
      <c r="AY8" s="270"/>
      <c r="AZ8" s="270"/>
      <c r="BA8" s="270"/>
      <c r="BB8" s="270"/>
      <c r="BC8" s="270"/>
      <c r="BD8" s="270"/>
      <c r="BE8" s="270"/>
      <c r="BF8" s="270"/>
      <c r="BG8" s="270"/>
      <c r="BH8" s="270"/>
      <c r="BI8" s="270"/>
      <c r="BJ8" s="270"/>
      <c r="BK8" s="270"/>
      <c r="BL8" s="270"/>
      <c r="BM8" s="270"/>
      <c r="BN8" s="270"/>
      <c r="BO8" s="270"/>
      <c r="BP8" s="270"/>
      <c r="BQ8" s="270"/>
      <c r="BR8" s="270"/>
      <c r="BS8" s="270"/>
      <c r="BT8" s="270"/>
      <c r="BU8" s="270"/>
      <c r="BV8" s="270"/>
      <c r="BW8" s="270"/>
      <c r="BX8" s="270"/>
      <c r="BY8" s="270"/>
      <c r="BZ8" s="270"/>
      <c r="CA8" s="270"/>
      <c r="CB8" s="270"/>
      <c r="CC8" s="270"/>
      <c r="CD8" s="270"/>
      <c r="CE8" s="270"/>
      <c r="CF8" s="270"/>
      <c r="CG8" s="270"/>
      <c r="CH8" s="270"/>
      <c r="CI8" s="270"/>
      <c r="CJ8" s="270"/>
      <c r="CK8" s="270"/>
      <c r="CL8" s="270"/>
      <c r="CM8" s="270"/>
      <c r="CN8" s="270"/>
      <c r="CO8" s="270"/>
      <c r="CP8" s="270"/>
      <c r="CQ8" s="270"/>
      <c r="CR8" s="270"/>
      <c r="CS8" s="270"/>
      <c r="CT8" s="270"/>
      <c r="CU8" s="270"/>
      <c r="CV8" s="270"/>
      <c r="CW8" s="270"/>
      <c r="CX8" s="270"/>
      <c r="CY8" s="270"/>
      <c r="CZ8" s="270"/>
      <c r="DA8" s="270"/>
      <c r="DB8" s="270"/>
      <c r="DC8" s="270"/>
      <c r="DD8" s="270"/>
      <c r="DE8" s="270"/>
      <c r="DF8" s="270"/>
      <c r="DG8" s="270"/>
      <c r="DH8" s="270"/>
      <c r="DI8" s="270"/>
      <c r="DJ8" s="270"/>
      <c r="DK8" s="270"/>
      <c r="DL8" s="270"/>
      <c r="DM8" s="270"/>
      <c r="DN8" s="270"/>
      <c r="DO8" s="270"/>
      <c r="DP8" s="270"/>
      <c r="DQ8" s="270"/>
      <c r="DR8" s="270"/>
      <c r="DS8" s="270"/>
      <c r="DT8" s="270"/>
      <c r="DU8" s="270"/>
      <c r="DV8" s="270"/>
      <c r="DW8" s="270"/>
      <c r="DX8" s="270"/>
      <c r="DY8" s="270"/>
      <c r="DZ8" s="270"/>
      <c r="EA8" s="270"/>
      <c r="EB8" s="270"/>
      <c r="EC8" s="270"/>
      <c r="ED8" s="270"/>
      <c r="EE8" s="270"/>
      <c r="EF8" s="270"/>
      <c r="EG8" s="270"/>
      <c r="EH8" s="270"/>
      <c r="EI8" s="270"/>
      <c r="EJ8" s="270"/>
      <c r="EK8" s="270"/>
      <c r="EL8" s="270"/>
      <c r="EM8" s="270"/>
      <c r="EN8" s="270"/>
      <c r="EO8" s="270"/>
      <c r="EP8" s="270"/>
      <c r="EQ8" s="270"/>
      <c r="ER8" s="270"/>
      <c r="ES8" s="270"/>
      <c r="ET8" s="270"/>
      <c r="EU8" s="270"/>
      <c r="EV8" s="270"/>
      <c r="EW8" s="270"/>
      <c r="EX8" s="270"/>
      <c r="EY8" s="270"/>
      <c r="EZ8" s="270"/>
      <c r="FA8" s="270"/>
      <c r="FB8" s="270"/>
      <c r="FC8" s="270"/>
      <c r="FD8" s="270"/>
      <c r="FE8" s="270"/>
      <c r="FF8" s="270"/>
      <c r="FG8" s="270"/>
      <c r="FH8" s="270"/>
      <c r="FI8" s="270"/>
      <c r="FJ8" s="270"/>
      <c r="FK8" s="270"/>
      <c r="FL8" s="270"/>
      <c r="FM8" s="270"/>
      <c r="FN8" s="270"/>
      <c r="FO8" s="270"/>
      <c r="FP8" s="270"/>
      <c r="FQ8" s="270"/>
      <c r="FR8" s="270"/>
      <c r="FS8" s="270"/>
      <c r="FT8" s="270"/>
      <c r="FU8" s="270"/>
      <c r="FV8" s="270"/>
      <c r="FW8" s="270"/>
      <c r="FX8" s="270"/>
      <c r="FY8" s="270"/>
      <c r="FZ8" s="270"/>
      <c r="GA8" s="270"/>
      <c r="GB8" s="270"/>
      <c r="GC8" s="270"/>
      <c r="GD8" s="270"/>
      <c r="GE8" s="270"/>
      <c r="GF8" s="270"/>
      <c r="GG8" s="270"/>
      <c r="GH8" s="270"/>
      <c r="GI8" s="270"/>
      <c r="GJ8" s="270"/>
      <c r="GK8" s="270"/>
      <c r="GL8" s="270"/>
      <c r="GM8" s="270"/>
      <c r="GN8" s="270"/>
      <c r="GO8" s="270"/>
      <c r="GP8" s="270"/>
      <c r="GQ8" s="270"/>
      <c r="GR8" s="270"/>
      <c r="GS8" s="270"/>
      <c r="GT8" s="270"/>
      <c r="GU8" s="270"/>
      <c r="GV8" s="270"/>
      <c r="GW8" s="270"/>
      <c r="GX8" s="270"/>
      <c r="GY8" s="270"/>
      <c r="GZ8" s="270"/>
      <c r="HA8" s="270"/>
      <c r="HB8" s="270"/>
      <c r="HC8" s="270"/>
      <c r="HD8" s="270"/>
      <c r="HE8" s="270"/>
      <c r="HF8" s="270"/>
      <c r="HG8" s="270"/>
      <c r="HH8" s="270" t="s">
        <v>259</v>
      </c>
    </row>
    <row r="9" spans="1:216" s="271" customFormat="1" ht="25.5" outlineLevel="3" x14ac:dyDescent="0.2">
      <c r="H9" s="272"/>
      <c r="I9" s="354" t="s">
        <v>347</v>
      </c>
      <c r="J9" s="266"/>
      <c r="K9" s="267"/>
      <c r="L9" s="268"/>
      <c r="M9" s="268" t="str">
        <f t="shared" si="0"/>
        <v/>
      </c>
      <c r="N9" s="269">
        <f t="shared" si="1"/>
        <v>0</v>
      </c>
      <c r="O9" s="270"/>
      <c r="P9" s="270"/>
      <c r="Q9" s="270"/>
      <c r="R9" s="270"/>
      <c r="S9" s="270"/>
      <c r="T9" s="270"/>
      <c r="U9" s="270"/>
      <c r="V9" s="270"/>
      <c r="W9" s="270"/>
      <c r="X9" s="270"/>
      <c r="Y9" s="270"/>
      <c r="Z9" s="270"/>
      <c r="AA9" s="270"/>
      <c r="AB9" s="270"/>
      <c r="AC9" s="270"/>
      <c r="AD9" s="270"/>
      <c r="AE9" s="270"/>
      <c r="AF9" s="270"/>
      <c r="AG9" s="270"/>
      <c r="AH9" s="270"/>
      <c r="AI9" s="270"/>
      <c r="AJ9" s="270"/>
      <c r="AK9" s="270"/>
      <c r="AL9" s="270"/>
      <c r="AM9" s="270"/>
      <c r="AN9" s="270"/>
      <c r="AO9" s="270"/>
      <c r="AP9" s="270"/>
      <c r="AQ9" s="270"/>
      <c r="AR9" s="270"/>
      <c r="AS9" s="270"/>
      <c r="AT9" s="270"/>
      <c r="AU9" s="270"/>
      <c r="AV9" s="270"/>
      <c r="AW9" s="270"/>
      <c r="AX9" s="270"/>
      <c r="AY9" s="270"/>
      <c r="AZ9" s="270"/>
      <c r="BA9" s="270"/>
      <c r="BB9" s="270"/>
      <c r="BC9" s="270"/>
      <c r="BD9" s="270"/>
      <c r="BE9" s="270"/>
      <c r="BF9" s="270"/>
      <c r="BG9" s="270"/>
      <c r="BH9" s="270"/>
      <c r="BI9" s="270"/>
      <c r="BJ9" s="270"/>
      <c r="BK9" s="270"/>
      <c r="BL9" s="270"/>
      <c r="BM9" s="270"/>
      <c r="BN9" s="270"/>
      <c r="BO9" s="270"/>
      <c r="BP9" s="270"/>
      <c r="BQ9" s="270"/>
      <c r="BR9" s="270"/>
      <c r="BS9" s="270"/>
      <c r="BT9" s="270"/>
      <c r="BU9" s="270"/>
      <c r="BV9" s="270"/>
      <c r="BW9" s="270"/>
      <c r="BX9" s="270"/>
      <c r="BY9" s="270"/>
      <c r="BZ9" s="270"/>
      <c r="CA9" s="270"/>
      <c r="CB9" s="270"/>
      <c r="CC9" s="270"/>
      <c r="CD9" s="270"/>
      <c r="CE9" s="270"/>
      <c r="CF9" s="270"/>
      <c r="CG9" s="270"/>
      <c r="CH9" s="270"/>
      <c r="CI9" s="270"/>
      <c r="CJ9" s="270"/>
      <c r="CK9" s="270"/>
      <c r="CL9" s="270"/>
      <c r="CM9" s="270"/>
      <c r="CN9" s="270"/>
      <c r="CO9" s="270"/>
      <c r="CP9" s="270"/>
      <c r="CQ9" s="270"/>
      <c r="CR9" s="270"/>
      <c r="CS9" s="270"/>
      <c r="CT9" s="270"/>
      <c r="CU9" s="270"/>
      <c r="CV9" s="270"/>
      <c r="CW9" s="270"/>
      <c r="CX9" s="270"/>
      <c r="CY9" s="270"/>
      <c r="CZ9" s="270"/>
      <c r="DA9" s="270"/>
      <c r="DB9" s="270"/>
      <c r="DC9" s="270"/>
      <c r="DD9" s="270"/>
      <c r="DE9" s="270"/>
      <c r="DF9" s="270"/>
      <c r="DG9" s="270"/>
      <c r="DH9" s="270"/>
      <c r="DI9" s="270"/>
      <c r="DJ9" s="270"/>
      <c r="DK9" s="270"/>
      <c r="DL9" s="270"/>
      <c r="DM9" s="270"/>
      <c r="DN9" s="270"/>
      <c r="DO9" s="270"/>
      <c r="DP9" s="270"/>
      <c r="DQ9" s="270"/>
      <c r="DR9" s="270"/>
      <c r="DS9" s="270"/>
      <c r="DT9" s="270"/>
      <c r="DU9" s="270"/>
      <c r="DV9" s="270"/>
      <c r="DW9" s="270"/>
      <c r="DX9" s="270"/>
      <c r="DY9" s="270"/>
      <c r="DZ9" s="270"/>
      <c r="EA9" s="270"/>
      <c r="EB9" s="270"/>
      <c r="EC9" s="270"/>
      <c r="ED9" s="270"/>
      <c r="EE9" s="270"/>
      <c r="EF9" s="270"/>
      <c r="EG9" s="270"/>
      <c r="EH9" s="270"/>
      <c r="EI9" s="270"/>
      <c r="EJ9" s="270"/>
      <c r="EK9" s="270"/>
      <c r="EL9" s="270"/>
      <c r="EM9" s="270"/>
      <c r="EN9" s="270"/>
      <c r="EO9" s="270"/>
      <c r="EP9" s="270"/>
      <c r="EQ9" s="270"/>
      <c r="ER9" s="270"/>
      <c r="ES9" s="270"/>
      <c r="ET9" s="270"/>
      <c r="EU9" s="270"/>
      <c r="EV9" s="270"/>
      <c r="EW9" s="270"/>
      <c r="EX9" s="270"/>
      <c r="EY9" s="270"/>
      <c r="EZ9" s="270"/>
      <c r="FA9" s="270"/>
      <c r="FB9" s="270"/>
      <c r="FC9" s="270"/>
      <c r="FD9" s="270"/>
      <c r="FE9" s="270"/>
      <c r="FF9" s="270"/>
      <c r="FG9" s="270"/>
      <c r="FH9" s="270"/>
      <c r="FI9" s="270"/>
      <c r="FJ9" s="270"/>
      <c r="FK9" s="270"/>
      <c r="FL9" s="270"/>
      <c r="FM9" s="270"/>
      <c r="FN9" s="270"/>
      <c r="FO9" s="270"/>
      <c r="FP9" s="270"/>
      <c r="FQ9" s="270"/>
      <c r="FR9" s="270"/>
      <c r="FS9" s="270"/>
      <c r="FT9" s="270"/>
      <c r="FU9" s="270"/>
      <c r="FV9" s="270"/>
      <c r="FW9" s="270"/>
      <c r="FX9" s="270"/>
      <c r="FY9" s="270"/>
      <c r="FZ9" s="270"/>
      <c r="GA9" s="270"/>
      <c r="GB9" s="270"/>
      <c r="GC9" s="270"/>
      <c r="GD9" s="270"/>
      <c r="GE9" s="270"/>
      <c r="GF9" s="270"/>
      <c r="GG9" s="270"/>
      <c r="GH9" s="270"/>
      <c r="GI9" s="270"/>
      <c r="GJ9" s="270"/>
      <c r="GK9" s="270"/>
      <c r="GL9" s="270"/>
      <c r="GM9" s="270"/>
      <c r="GN9" s="270"/>
      <c r="GO9" s="270"/>
      <c r="GP9" s="270"/>
      <c r="GQ9" s="270"/>
      <c r="GR9" s="270"/>
      <c r="GS9" s="270"/>
      <c r="GT9" s="270"/>
      <c r="GU9" s="270"/>
      <c r="GV9" s="270"/>
      <c r="GW9" s="270"/>
      <c r="GX9" s="270"/>
      <c r="GY9" s="270"/>
      <c r="GZ9" s="270"/>
      <c r="HA9" s="270"/>
      <c r="HB9" s="270"/>
      <c r="HC9" s="270"/>
      <c r="HD9" s="270"/>
      <c r="HE9" s="270"/>
      <c r="HF9" s="270"/>
      <c r="HG9" s="270"/>
      <c r="HH9" s="270" t="s">
        <v>259</v>
      </c>
    </row>
    <row r="10" spans="1:216" s="264" customFormat="1" ht="25.5" outlineLevel="3" x14ac:dyDescent="0.2">
      <c r="H10" s="360"/>
      <c r="I10" s="361" t="s">
        <v>348</v>
      </c>
      <c r="J10" s="266"/>
      <c r="K10" s="267">
        <v>-3</v>
      </c>
      <c r="L10" s="268"/>
      <c r="M10" s="268" t="str">
        <f t="shared" si="0"/>
        <v/>
      </c>
      <c r="N10" s="269">
        <f t="shared" si="1"/>
        <v>0</v>
      </c>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c r="BM10" s="270"/>
      <c r="BN10" s="270"/>
      <c r="BO10" s="270"/>
      <c r="BP10" s="270"/>
      <c r="BQ10" s="270"/>
      <c r="BR10" s="270"/>
      <c r="BS10" s="270"/>
      <c r="BT10" s="270"/>
      <c r="BU10" s="270"/>
      <c r="BV10" s="270"/>
      <c r="BW10" s="270"/>
      <c r="BX10" s="270"/>
      <c r="BY10" s="270"/>
      <c r="BZ10" s="270"/>
      <c r="CA10" s="270"/>
      <c r="CB10" s="270"/>
      <c r="CC10" s="270"/>
      <c r="CD10" s="270"/>
      <c r="CE10" s="270"/>
      <c r="CF10" s="270"/>
      <c r="CG10" s="270"/>
      <c r="CH10" s="270"/>
      <c r="CI10" s="270"/>
      <c r="CJ10" s="270"/>
      <c r="CK10" s="270"/>
      <c r="CL10" s="270"/>
      <c r="CM10" s="270"/>
      <c r="CN10" s="270"/>
      <c r="CO10" s="270"/>
      <c r="CP10" s="270"/>
      <c r="CQ10" s="270"/>
      <c r="CR10" s="270"/>
      <c r="CS10" s="270"/>
      <c r="CT10" s="270"/>
      <c r="CU10" s="270"/>
      <c r="CV10" s="270"/>
      <c r="CW10" s="270"/>
      <c r="CX10" s="270"/>
      <c r="CY10" s="270"/>
      <c r="CZ10" s="270"/>
      <c r="DA10" s="270"/>
      <c r="DB10" s="270"/>
      <c r="DC10" s="270"/>
      <c r="DD10" s="270"/>
      <c r="DE10" s="270"/>
      <c r="DF10" s="270"/>
      <c r="DG10" s="270"/>
      <c r="DH10" s="270"/>
      <c r="DI10" s="270"/>
      <c r="DJ10" s="270"/>
      <c r="DK10" s="270"/>
      <c r="DL10" s="270"/>
      <c r="DM10" s="270"/>
      <c r="DN10" s="270"/>
      <c r="DO10" s="270"/>
      <c r="DP10" s="270"/>
      <c r="DQ10" s="270"/>
      <c r="DR10" s="270"/>
      <c r="DS10" s="270"/>
      <c r="DT10" s="270"/>
      <c r="DU10" s="270"/>
      <c r="DV10" s="270"/>
      <c r="DW10" s="270"/>
      <c r="DX10" s="270"/>
      <c r="DY10" s="270"/>
      <c r="DZ10" s="270"/>
      <c r="EA10" s="270"/>
      <c r="EB10" s="270"/>
      <c r="EC10" s="270"/>
      <c r="ED10" s="270"/>
      <c r="EE10" s="270"/>
      <c r="EF10" s="270"/>
      <c r="EG10" s="270"/>
      <c r="EH10" s="270"/>
      <c r="EI10" s="270"/>
      <c r="EJ10" s="270"/>
      <c r="EK10" s="270"/>
      <c r="EL10" s="270"/>
      <c r="EM10" s="270"/>
      <c r="EN10" s="270"/>
      <c r="EO10" s="270"/>
      <c r="EP10" s="270"/>
      <c r="EQ10" s="270"/>
      <c r="ER10" s="270"/>
      <c r="ES10" s="270"/>
      <c r="ET10" s="270"/>
      <c r="EU10" s="270"/>
      <c r="EV10" s="270"/>
      <c r="EW10" s="270"/>
      <c r="EX10" s="270"/>
      <c r="EY10" s="270"/>
      <c r="EZ10" s="270"/>
      <c r="FA10" s="270"/>
      <c r="FB10" s="270"/>
      <c r="FC10" s="270"/>
      <c r="FD10" s="270"/>
      <c r="FE10" s="270"/>
      <c r="FF10" s="270"/>
      <c r="FG10" s="270"/>
      <c r="FH10" s="270"/>
      <c r="FI10" s="270"/>
      <c r="FJ10" s="270"/>
      <c r="FK10" s="270"/>
      <c r="FL10" s="270"/>
      <c r="FM10" s="270"/>
      <c r="FN10" s="270"/>
      <c r="FO10" s="270"/>
      <c r="FP10" s="270"/>
      <c r="FQ10" s="270"/>
      <c r="FR10" s="270"/>
      <c r="FS10" s="270"/>
      <c r="FT10" s="270"/>
      <c r="FU10" s="270"/>
      <c r="FV10" s="270"/>
      <c r="FW10" s="270"/>
      <c r="FX10" s="270"/>
      <c r="FY10" s="270"/>
      <c r="FZ10" s="270"/>
      <c r="GA10" s="270"/>
      <c r="GB10" s="270"/>
      <c r="GC10" s="270"/>
      <c r="GD10" s="270"/>
      <c r="GE10" s="270"/>
      <c r="GF10" s="270"/>
      <c r="GG10" s="270"/>
      <c r="GH10" s="270"/>
      <c r="GI10" s="270"/>
      <c r="GJ10" s="270"/>
      <c r="GK10" s="270"/>
      <c r="GL10" s="270"/>
      <c r="GM10" s="270"/>
      <c r="GN10" s="270"/>
      <c r="GO10" s="270"/>
      <c r="GP10" s="270"/>
      <c r="GQ10" s="270"/>
      <c r="GR10" s="270"/>
      <c r="GS10" s="270"/>
      <c r="GT10" s="270"/>
      <c r="GU10" s="270"/>
      <c r="GV10" s="270"/>
      <c r="GW10" s="270"/>
      <c r="GX10" s="270"/>
      <c r="GY10" s="270"/>
      <c r="GZ10" s="270"/>
      <c r="HA10" s="270"/>
      <c r="HB10" s="270"/>
      <c r="HC10" s="270"/>
      <c r="HD10" s="270"/>
      <c r="HE10" s="270"/>
      <c r="HF10" s="270"/>
      <c r="HG10" s="270"/>
      <c r="HH10" s="270" t="s">
        <v>259</v>
      </c>
    </row>
    <row r="11" spans="1:216" s="271" customFormat="1" ht="25.5" outlineLevel="3" x14ac:dyDescent="0.2">
      <c r="H11" s="272"/>
      <c r="I11" s="354" t="s">
        <v>349</v>
      </c>
      <c r="J11" s="266"/>
      <c r="K11" s="267">
        <v>0</v>
      </c>
      <c r="L11" s="268"/>
      <c r="M11" s="268" t="str">
        <f t="shared" si="0"/>
        <v/>
      </c>
      <c r="N11" s="269">
        <f t="shared" si="1"/>
        <v>0</v>
      </c>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270"/>
      <c r="BE11" s="270"/>
      <c r="BF11" s="270"/>
      <c r="BG11" s="270"/>
      <c r="BH11" s="270"/>
      <c r="BI11" s="270"/>
      <c r="BJ11" s="270"/>
      <c r="BK11" s="270"/>
      <c r="BL11" s="270"/>
      <c r="BM11" s="270"/>
      <c r="BN11" s="270"/>
      <c r="BO11" s="270"/>
      <c r="BP11" s="270"/>
      <c r="BQ11" s="270"/>
      <c r="BR11" s="270"/>
      <c r="BS11" s="270"/>
      <c r="BT11" s="270"/>
      <c r="BU11" s="270"/>
      <c r="BV11" s="270"/>
      <c r="BW11" s="270"/>
      <c r="BX11" s="270"/>
      <c r="BY11" s="270"/>
      <c r="BZ11" s="270"/>
      <c r="CA11" s="270"/>
      <c r="CB11" s="270"/>
      <c r="CC11" s="270"/>
      <c r="CD11" s="270"/>
      <c r="CE11" s="270"/>
      <c r="CF11" s="270"/>
      <c r="CG11" s="270"/>
      <c r="CH11" s="270"/>
      <c r="CI11" s="270"/>
      <c r="CJ11" s="270"/>
      <c r="CK11" s="270"/>
      <c r="CL11" s="270"/>
      <c r="CM11" s="270"/>
      <c r="CN11" s="270"/>
      <c r="CO11" s="270"/>
      <c r="CP11" s="270"/>
      <c r="CQ11" s="270"/>
      <c r="CR11" s="270"/>
      <c r="CS11" s="270"/>
      <c r="CT11" s="270"/>
      <c r="CU11" s="270"/>
      <c r="CV11" s="270"/>
      <c r="CW11" s="270"/>
      <c r="CX11" s="270"/>
      <c r="CY11" s="270"/>
      <c r="CZ11" s="270"/>
      <c r="DA11" s="270"/>
      <c r="DB11" s="270"/>
      <c r="DC11" s="270"/>
      <c r="DD11" s="270"/>
      <c r="DE11" s="270"/>
      <c r="DF11" s="270"/>
      <c r="DG11" s="270"/>
      <c r="DH11" s="270"/>
      <c r="DI11" s="270"/>
      <c r="DJ11" s="270"/>
      <c r="DK11" s="270"/>
      <c r="DL11" s="270"/>
      <c r="DM11" s="270"/>
      <c r="DN11" s="270"/>
      <c r="DO11" s="270"/>
      <c r="DP11" s="270"/>
      <c r="DQ11" s="270"/>
      <c r="DR11" s="270"/>
      <c r="DS11" s="270"/>
      <c r="DT11" s="270"/>
      <c r="DU11" s="270"/>
      <c r="DV11" s="270"/>
      <c r="DW11" s="270"/>
      <c r="DX11" s="270"/>
      <c r="DY11" s="270"/>
      <c r="DZ11" s="270"/>
      <c r="EA11" s="270"/>
      <c r="EB11" s="270"/>
      <c r="EC11" s="270"/>
      <c r="ED11" s="270"/>
      <c r="EE11" s="270"/>
      <c r="EF11" s="270"/>
      <c r="EG11" s="270"/>
      <c r="EH11" s="270"/>
      <c r="EI11" s="270"/>
      <c r="EJ11" s="270"/>
      <c r="EK11" s="270"/>
      <c r="EL11" s="270"/>
      <c r="EM11" s="270"/>
      <c r="EN11" s="270"/>
      <c r="EO11" s="270"/>
      <c r="EP11" s="270"/>
      <c r="EQ11" s="270"/>
      <c r="ER11" s="270"/>
      <c r="ES11" s="270"/>
      <c r="ET11" s="270"/>
      <c r="EU11" s="270"/>
      <c r="EV11" s="270"/>
      <c r="EW11" s="270"/>
      <c r="EX11" s="270"/>
      <c r="EY11" s="270"/>
      <c r="EZ11" s="270"/>
      <c r="FA11" s="270"/>
      <c r="FB11" s="270"/>
      <c r="FC11" s="270"/>
      <c r="FD11" s="270"/>
      <c r="FE11" s="270"/>
      <c r="FF11" s="270"/>
      <c r="FG11" s="270"/>
      <c r="FH11" s="270"/>
      <c r="FI11" s="270"/>
      <c r="FJ11" s="270"/>
      <c r="FK11" s="270"/>
      <c r="FL11" s="270"/>
      <c r="FM11" s="270"/>
      <c r="FN11" s="270"/>
      <c r="FO11" s="270"/>
      <c r="FP11" s="270"/>
      <c r="FQ11" s="270"/>
      <c r="FR11" s="270"/>
      <c r="FS11" s="270"/>
      <c r="FT11" s="270"/>
      <c r="FU11" s="270"/>
      <c r="FV11" s="270"/>
      <c r="FW11" s="270"/>
      <c r="FX11" s="270"/>
      <c r="FY11" s="270"/>
      <c r="FZ11" s="270"/>
      <c r="GA11" s="270"/>
      <c r="GB11" s="270"/>
      <c r="GC11" s="270"/>
      <c r="GD11" s="270"/>
      <c r="GE11" s="270"/>
      <c r="GF11" s="270"/>
      <c r="GG11" s="270"/>
      <c r="GH11" s="270"/>
      <c r="GI11" s="270"/>
      <c r="GJ11" s="270"/>
      <c r="GK11" s="270"/>
      <c r="GL11" s="270"/>
      <c r="GM11" s="270"/>
      <c r="GN11" s="270"/>
      <c r="GO11" s="270"/>
      <c r="GP11" s="270"/>
      <c r="GQ11" s="270"/>
      <c r="GR11" s="270"/>
      <c r="GS11" s="270"/>
      <c r="GT11" s="270"/>
      <c r="GU11" s="270"/>
      <c r="GV11" s="270"/>
      <c r="GW11" s="270"/>
      <c r="GX11" s="270"/>
      <c r="GY11" s="270"/>
      <c r="GZ11" s="270"/>
      <c r="HA11" s="270"/>
      <c r="HB11" s="270"/>
      <c r="HC11" s="270"/>
      <c r="HD11" s="270"/>
      <c r="HE11" s="270"/>
      <c r="HF11" s="270"/>
      <c r="HG11" s="270"/>
      <c r="HH11" s="270" t="s">
        <v>259</v>
      </c>
    </row>
    <row r="12" spans="1:216" s="264" customFormat="1" ht="25.5" outlineLevel="3" x14ac:dyDescent="0.2">
      <c r="H12" s="360"/>
      <c r="I12" s="361" t="s">
        <v>350</v>
      </c>
      <c r="J12" s="266"/>
      <c r="K12" s="267">
        <v>-3</v>
      </c>
      <c r="L12" s="268"/>
      <c r="M12" s="268" t="str">
        <f t="shared" si="0"/>
        <v/>
      </c>
      <c r="N12" s="269">
        <f t="shared" si="1"/>
        <v>0</v>
      </c>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B12" s="270"/>
      <c r="BC12" s="270"/>
      <c r="BD12" s="270"/>
      <c r="BE12" s="270"/>
      <c r="BF12" s="270"/>
      <c r="BG12" s="270"/>
      <c r="BH12" s="270"/>
      <c r="BI12" s="270"/>
      <c r="BJ12" s="270"/>
      <c r="BK12" s="270"/>
      <c r="BL12" s="270"/>
      <c r="BM12" s="270"/>
      <c r="BN12" s="270"/>
      <c r="BO12" s="270"/>
      <c r="BP12" s="270"/>
      <c r="BQ12" s="270"/>
      <c r="BR12" s="270"/>
      <c r="BS12" s="270"/>
      <c r="BT12" s="270"/>
      <c r="BU12" s="270"/>
      <c r="BV12" s="270"/>
      <c r="BW12" s="270"/>
      <c r="BX12" s="270"/>
      <c r="BY12" s="270"/>
      <c r="BZ12" s="270"/>
      <c r="CA12" s="270"/>
      <c r="CB12" s="270"/>
      <c r="CC12" s="270"/>
      <c r="CD12" s="270"/>
      <c r="CE12" s="270"/>
      <c r="CF12" s="270"/>
      <c r="CG12" s="270"/>
      <c r="CH12" s="270"/>
      <c r="CI12" s="270"/>
      <c r="CJ12" s="270"/>
      <c r="CK12" s="270"/>
      <c r="CL12" s="270"/>
      <c r="CM12" s="270"/>
      <c r="CN12" s="270"/>
      <c r="CO12" s="270"/>
      <c r="CP12" s="270"/>
      <c r="CQ12" s="270"/>
      <c r="CR12" s="270"/>
      <c r="CS12" s="270"/>
      <c r="CT12" s="270"/>
      <c r="CU12" s="270"/>
      <c r="CV12" s="270"/>
      <c r="CW12" s="270"/>
      <c r="CX12" s="270"/>
      <c r="CY12" s="270"/>
      <c r="CZ12" s="270"/>
      <c r="DA12" s="270"/>
      <c r="DB12" s="270"/>
      <c r="DC12" s="270"/>
      <c r="DD12" s="270"/>
      <c r="DE12" s="270"/>
      <c r="DF12" s="270"/>
      <c r="DG12" s="270"/>
      <c r="DH12" s="270"/>
      <c r="DI12" s="270"/>
      <c r="DJ12" s="270"/>
      <c r="DK12" s="270"/>
      <c r="DL12" s="270"/>
      <c r="DM12" s="270"/>
      <c r="DN12" s="270"/>
      <c r="DO12" s="270"/>
      <c r="DP12" s="270"/>
      <c r="DQ12" s="270"/>
      <c r="DR12" s="270"/>
      <c r="DS12" s="270"/>
      <c r="DT12" s="270"/>
      <c r="DU12" s="270"/>
      <c r="DV12" s="270"/>
      <c r="DW12" s="270"/>
      <c r="DX12" s="270"/>
      <c r="DY12" s="270"/>
      <c r="DZ12" s="270"/>
      <c r="EA12" s="270"/>
      <c r="EB12" s="270"/>
      <c r="EC12" s="270"/>
      <c r="ED12" s="270"/>
      <c r="EE12" s="270"/>
      <c r="EF12" s="270"/>
      <c r="EG12" s="270"/>
      <c r="EH12" s="270"/>
      <c r="EI12" s="270"/>
      <c r="EJ12" s="270"/>
      <c r="EK12" s="270"/>
      <c r="EL12" s="270"/>
      <c r="EM12" s="270"/>
      <c r="EN12" s="270"/>
      <c r="EO12" s="270"/>
      <c r="EP12" s="270"/>
      <c r="EQ12" s="270"/>
      <c r="ER12" s="270"/>
      <c r="ES12" s="270"/>
      <c r="ET12" s="270"/>
      <c r="EU12" s="270"/>
      <c r="EV12" s="270"/>
      <c r="EW12" s="270"/>
      <c r="EX12" s="270"/>
      <c r="EY12" s="270"/>
      <c r="EZ12" s="270"/>
      <c r="FA12" s="270"/>
      <c r="FB12" s="270"/>
      <c r="FC12" s="270"/>
      <c r="FD12" s="270"/>
      <c r="FE12" s="270"/>
      <c r="FF12" s="270"/>
      <c r="FG12" s="270"/>
      <c r="FH12" s="270"/>
      <c r="FI12" s="270"/>
      <c r="FJ12" s="270"/>
      <c r="FK12" s="270"/>
      <c r="FL12" s="270"/>
      <c r="FM12" s="270"/>
      <c r="FN12" s="270"/>
      <c r="FO12" s="270"/>
      <c r="FP12" s="270"/>
      <c r="FQ12" s="270"/>
      <c r="FR12" s="270"/>
      <c r="FS12" s="270"/>
      <c r="FT12" s="270"/>
      <c r="FU12" s="270"/>
      <c r="FV12" s="270"/>
      <c r="FW12" s="270"/>
      <c r="FX12" s="270"/>
      <c r="FY12" s="270"/>
      <c r="FZ12" s="270"/>
      <c r="GA12" s="270"/>
      <c r="GB12" s="270"/>
      <c r="GC12" s="270"/>
      <c r="GD12" s="270"/>
      <c r="GE12" s="270"/>
      <c r="GF12" s="270"/>
      <c r="GG12" s="270"/>
      <c r="GH12" s="270"/>
      <c r="GI12" s="270"/>
      <c r="GJ12" s="270"/>
      <c r="GK12" s="270"/>
      <c r="GL12" s="270"/>
      <c r="GM12" s="270"/>
      <c r="GN12" s="270"/>
      <c r="GO12" s="270"/>
      <c r="GP12" s="270"/>
      <c r="GQ12" s="270"/>
      <c r="GR12" s="270"/>
      <c r="GS12" s="270"/>
      <c r="GT12" s="270"/>
      <c r="GU12" s="270"/>
      <c r="GV12" s="270"/>
      <c r="GW12" s="270"/>
      <c r="GX12" s="270"/>
      <c r="GY12" s="270"/>
      <c r="GZ12" s="270"/>
      <c r="HA12" s="270"/>
      <c r="HB12" s="270"/>
      <c r="HC12" s="270"/>
      <c r="HD12" s="270"/>
      <c r="HE12" s="270"/>
      <c r="HF12" s="270"/>
      <c r="HG12" s="270"/>
      <c r="HH12" s="270" t="s">
        <v>259</v>
      </c>
    </row>
    <row r="13" spans="1:216" s="271" customFormat="1" ht="25.5" outlineLevel="3" x14ac:dyDescent="0.2">
      <c r="H13" s="272"/>
      <c r="I13" s="354" t="s">
        <v>351</v>
      </c>
      <c r="J13" s="266"/>
      <c r="K13" s="267">
        <v>0</v>
      </c>
      <c r="L13" s="268"/>
      <c r="M13" s="268" t="str">
        <f t="shared" si="0"/>
        <v/>
      </c>
      <c r="N13" s="269">
        <f t="shared" si="1"/>
        <v>0</v>
      </c>
      <c r="O13" s="270"/>
      <c r="P13" s="270"/>
      <c r="Q13" s="270"/>
      <c r="R13" s="270"/>
      <c r="S13" s="270"/>
      <c r="T13" s="270"/>
      <c r="U13" s="270"/>
      <c r="V13" s="270"/>
      <c r="W13" s="270"/>
      <c r="X13" s="270"/>
      <c r="Y13" s="270"/>
      <c r="Z13" s="270"/>
      <c r="AA13" s="270"/>
      <c r="AB13" s="270"/>
      <c r="AC13" s="270"/>
      <c r="AD13" s="270"/>
      <c r="AE13" s="270"/>
      <c r="AF13" s="270"/>
      <c r="AG13" s="270"/>
      <c r="AH13" s="270"/>
      <c r="AI13" s="270"/>
      <c r="AJ13" s="270"/>
      <c r="AK13" s="270"/>
      <c r="AL13" s="270"/>
      <c r="AM13" s="270"/>
      <c r="AN13" s="270"/>
      <c r="AO13" s="270"/>
      <c r="AP13" s="270"/>
      <c r="AQ13" s="270"/>
      <c r="AR13" s="270"/>
      <c r="AS13" s="270"/>
      <c r="AT13" s="270"/>
      <c r="AU13" s="270"/>
      <c r="AV13" s="270"/>
      <c r="AW13" s="270"/>
      <c r="AX13" s="270"/>
      <c r="AY13" s="270"/>
      <c r="AZ13" s="270"/>
      <c r="BA13" s="270"/>
      <c r="BB13" s="270"/>
      <c r="BC13" s="270"/>
      <c r="BD13" s="270"/>
      <c r="BE13" s="270"/>
      <c r="BF13" s="270"/>
      <c r="BG13" s="270"/>
      <c r="BH13" s="270"/>
      <c r="BI13" s="270"/>
      <c r="BJ13" s="270"/>
      <c r="BK13" s="270"/>
      <c r="BL13" s="270"/>
      <c r="BM13" s="270"/>
      <c r="BN13" s="270"/>
      <c r="BO13" s="270"/>
      <c r="BP13" s="270"/>
      <c r="BQ13" s="270"/>
      <c r="BR13" s="270"/>
      <c r="BS13" s="270"/>
      <c r="BT13" s="270"/>
      <c r="BU13" s="270"/>
      <c r="BV13" s="270"/>
      <c r="BW13" s="270"/>
      <c r="BX13" s="270"/>
      <c r="BY13" s="270"/>
      <c r="BZ13" s="270"/>
      <c r="CA13" s="270"/>
      <c r="CB13" s="270"/>
      <c r="CC13" s="270"/>
      <c r="CD13" s="270"/>
      <c r="CE13" s="270"/>
      <c r="CF13" s="270"/>
      <c r="CG13" s="270"/>
      <c r="CH13" s="270"/>
      <c r="CI13" s="270"/>
      <c r="CJ13" s="270"/>
      <c r="CK13" s="270"/>
      <c r="CL13" s="270"/>
      <c r="CM13" s="270"/>
      <c r="CN13" s="270"/>
      <c r="CO13" s="270"/>
      <c r="CP13" s="270"/>
      <c r="CQ13" s="270"/>
      <c r="CR13" s="270"/>
      <c r="CS13" s="270"/>
      <c r="CT13" s="270"/>
      <c r="CU13" s="270"/>
      <c r="CV13" s="270"/>
      <c r="CW13" s="270"/>
      <c r="CX13" s="270"/>
      <c r="CY13" s="270"/>
      <c r="CZ13" s="270"/>
      <c r="DA13" s="270"/>
      <c r="DB13" s="270"/>
      <c r="DC13" s="270"/>
      <c r="DD13" s="270"/>
      <c r="DE13" s="270"/>
      <c r="DF13" s="270"/>
      <c r="DG13" s="270"/>
      <c r="DH13" s="270"/>
      <c r="DI13" s="270"/>
      <c r="DJ13" s="270"/>
      <c r="DK13" s="270"/>
      <c r="DL13" s="270"/>
      <c r="DM13" s="270"/>
      <c r="DN13" s="270"/>
      <c r="DO13" s="270"/>
      <c r="DP13" s="270"/>
      <c r="DQ13" s="270"/>
      <c r="DR13" s="270"/>
      <c r="DS13" s="270"/>
      <c r="DT13" s="270"/>
      <c r="DU13" s="270"/>
      <c r="DV13" s="270"/>
      <c r="DW13" s="270"/>
      <c r="DX13" s="270"/>
      <c r="DY13" s="270"/>
      <c r="DZ13" s="270"/>
      <c r="EA13" s="270"/>
      <c r="EB13" s="270"/>
      <c r="EC13" s="270"/>
      <c r="ED13" s="270"/>
      <c r="EE13" s="270"/>
      <c r="EF13" s="270"/>
      <c r="EG13" s="270"/>
      <c r="EH13" s="270"/>
      <c r="EI13" s="270"/>
      <c r="EJ13" s="270"/>
      <c r="EK13" s="270"/>
      <c r="EL13" s="270"/>
      <c r="EM13" s="270"/>
      <c r="EN13" s="270"/>
      <c r="EO13" s="270"/>
      <c r="EP13" s="270"/>
      <c r="EQ13" s="270"/>
      <c r="ER13" s="270"/>
      <c r="ES13" s="270"/>
      <c r="ET13" s="270"/>
      <c r="EU13" s="270"/>
      <c r="EV13" s="270"/>
      <c r="EW13" s="270"/>
      <c r="EX13" s="270"/>
      <c r="EY13" s="270"/>
      <c r="EZ13" s="270"/>
      <c r="FA13" s="270"/>
      <c r="FB13" s="270"/>
      <c r="FC13" s="270"/>
      <c r="FD13" s="270"/>
      <c r="FE13" s="270"/>
      <c r="FF13" s="270"/>
      <c r="FG13" s="270"/>
      <c r="FH13" s="270"/>
      <c r="FI13" s="270"/>
      <c r="FJ13" s="270"/>
      <c r="FK13" s="270"/>
      <c r="FL13" s="270"/>
      <c r="FM13" s="270"/>
      <c r="FN13" s="270"/>
      <c r="FO13" s="270"/>
      <c r="FP13" s="270"/>
      <c r="FQ13" s="270"/>
      <c r="FR13" s="270"/>
      <c r="FS13" s="270"/>
      <c r="FT13" s="270"/>
      <c r="FU13" s="270"/>
      <c r="FV13" s="270"/>
      <c r="FW13" s="270"/>
      <c r="FX13" s="270"/>
      <c r="FY13" s="270"/>
      <c r="FZ13" s="270"/>
      <c r="GA13" s="270"/>
      <c r="GB13" s="270"/>
      <c r="GC13" s="270"/>
      <c r="GD13" s="270"/>
      <c r="GE13" s="270"/>
      <c r="GF13" s="270"/>
      <c r="GG13" s="270"/>
      <c r="GH13" s="270"/>
      <c r="GI13" s="270"/>
      <c r="GJ13" s="270"/>
      <c r="GK13" s="270"/>
      <c r="GL13" s="270"/>
      <c r="GM13" s="270"/>
      <c r="GN13" s="270"/>
      <c r="GO13" s="270"/>
      <c r="GP13" s="270"/>
      <c r="GQ13" s="270"/>
      <c r="GR13" s="270"/>
      <c r="GS13" s="270"/>
      <c r="GT13" s="270"/>
      <c r="GU13" s="270"/>
      <c r="GV13" s="270"/>
      <c r="GW13" s="270"/>
      <c r="GX13" s="270"/>
      <c r="GY13" s="270"/>
      <c r="GZ13" s="270"/>
      <c r="HA13" s="270"/>
      <c r="HB13" s="270"/>
      <c r="HC13" s="270"/>
      <c r="HD13" s="270"/>
      <c r="HE13" s="270"/>
      <c r="HF13" s="270"/>
      <c r="HG13" s="270"/>
      <c r="HH13" s="270" t="s">
        <v>259</v>
      </c>
    </row>
    <row r="14" spans="1:216" s="271" customFormat="1" ht="38.25" outlineLevel="3" x14ac:dyDescent="0.2">
      <c r="H14" s="265"/>
      <c r="I14" s="353" t="s">
        <v>352</v>
      </c>
      <c r="J14" s="266"/>
      <c r="K14" s="267">
        <v>-1</v>
      </c>
      <c r="L14" s="268"/>
      <c r="M14" s="268" t="str">
        <f t="shared" si="0"/>
        <v/>
      </c>
      <c r="N14" s="269">
        <f t="shared" si="1"/>
        <v>0</v>
      </c>
      <c r="O14" s="270"/>
      <c r="P14" s="270"/>
      <c r="Q14" s="270"/>
      <c r="R14" s="270"/>
      <c r="S14" s="270"/>
      <c r="T14" s="270"/>
      <c r="U14" s="270"/>
      <c r="V14" s="270"/>
      <c r="W14" s="270"/>
      <c r="X14" s="270"/>
      <c r="Y14" s="270"/>
      <c r="Z14" s="270"/>
      <c r="AA14" s="270"/>
      <c r="AB14" s="270"/>
      <c r="AC14" s="270"/>
      <c r="AD14" s="270"/>
      <c r="AE14" s="270"/>
      <c r="AF14" s="270"/>
      <c r="AG14" s="270"/>
      <c r="AH14" s="270"/>
      <c r="AI14" s="270"/>
      <c r="AJ14" s="270"/>
      <c r="AK14" s="270"/>
      <c r="AL14" s="270"/>
      <c r="AM14" s="270"/>
      <c r="AN14" s="270"/>
      <c r="AO14" s="270"/>
      <c r="AP14" s="270"/>
      <c r="AQ14" s="270"/>
      <c r="AR14" s="270"/>
      <c r="AS14" s="270"/>
      <c r="AT14" s="270"/>
      <c r="AU14" s="270"/>
      <c r="AV14" s="270"/>
      <c r="AW14" s="270"/>
      <c r="AX14" s="270"/>
      <c r="AY14" s="270"/>
      <c r="AZ14" s="270"/>
      <c r="BA14" s="270"/>
      <c r="BB14" s="270"/>
      <c r="BC14" s="270"/>
      <c r="BD14" s="270"/>
      <c r="BE14" s="270"/>
      <c r="BF14" s="270"/>
      <c r="BG14" s="270"/>
      <c r="BH14" s="270"/>
      <c r="BI14" s="270"/>
      <c r="BJ14" s="270"/>
      <c r="BK14" s="270"/>
      <c r="BL14" s="270"/>
      <c r="BM14" s="270"/>
      <c r="BN14" s="270"/>
      <c r="BO14" s="270"/>
      <c r="BP14" s="270"/>
      <c r="BQ14" s="270"/>
      <c r="BR14" s="270"/>
      <c r="BS14" s="270"/>
      <c r="BT14" s="270"/>
      <c r="BU14" s="270"/>
      <c r="BV14" s="270"/>
      <c r="BW14" s="270"/>
      <c r="BX14" s="270"/>
      <c r="BY14" s="270"/>
      <c r="BZ14" s="270"/>
      <c r="CA14" s="270"/>
      <c r="CB14" s="270"/>
      <c r="CC14" s="270"/>
      <c r="CD14" s="270"/>
      <c r="CE14" s="270"/>
      <c r="CF14" s="270"/>
      <c r="CG14" s="270"/>
      <c r="CH14" s="270"/>
      <c r="CI14" s="270"/>
      <c r="CJ14" s="270"/>
      <c r="CK14" s="270"/>
      <c r="CL14" s="270"/>
      <c r="CM14" s="270"/>
      <c r="CN14" s="270"/>
      <c r="CO14" s="270"/>
      <c r="CP14" s="270"/>
      <c r="CQ14" s="270"/>
      <c r="CR14" s="270"/>
      <c r="CS14" s="270"/>
      <c r="CT14" s="270"/>
      <c r="CU14" s="270"/>
      <c r="CV14" s="270"/>
      <c r="CW14" s="270"/>
      <c r="CX14" s="270"/>
      <c r="CY14" s="270"/>
      <c r="CZ14" s="270"/>
      <c r="DA14" s="270"/>
      <c r="DB14" s="270"/>
      <c r="DC14" s="270"/>
      <c r="DD14" s="270"/>
      <c r="DE14" s="270"/>
      <c r="DF14" s="270"/>
      <c r="DG14" s="270"/>
      <c r="DH14" s="270"/>
      <c r="DI14" s="270"/>
      <c r="DJ14" s="270"/>
      <c r="DK14" s="270"/>
      <c r="DL14" s="270"/>
      <c r="DM14" s="270"/>
      <c r="DN14" s="270"/>
      <c r="DO14" s="270"/>
      <c r="DP14" s="270"/>
      <c r="DQ14" s="270"/>
      <c r="DR14" s="270"/>
      <c r="DS14" s="270"/>
      <c r="DT14" s="270"/>
      <c r="DU14" s="270"/>
      <c r="DV14" s="270"/>
      <c r="DW14" s="270"/>
      <c r="DX14" s="270"/>
      <c r="DY14" s="270"/>
      <c r="DZ14" s="270"/>
      <c r="EA14" s="270"/>
      <c r="EB14" s="270"/>
      <c r="EC14" s="270"/>
      <c r="ED14" s="270"/>
      <c r="EE14" s="270"/>
      <c r="EF14" s="270"/>
      <c r="EG14" s="270"/>
      <c r="EH14" s="270"/>
      <c r="EI14" s="270"/>
      <c r="EJ14" s="270"/>
      <c r="EK14" s="270"/>
      <c r="EL14" s="270"/>
      <c r="EM14" s="270"/>
      <c r="EN14" s="270"/>
      <c r="EO14" s="270"/>
      <c r="EP14" s="270"/>
      <c r="EQ14" s="270"/>
      <c r="ER14" s="270"/>
      <c r="ES14" s="270"/>
      <c r="ET14" s="270"/>
      <c r="EU14" s="270"/>
      <c r="EV14" s="270"/>
      <c r="EW14" s="270"/>
      <c r="EX14" s="270"/>
      <c r="EY14" s="270"/>
      <c r="EZ14" s="270"/>
      <c r="FA14" s="270"/>
      <c r="FB14" s="270"/>
      <c r="FC14" s="270"/>
      <c r="FD14" s="270"/>
      <c r="FE14" s="270"/>
      <c r="FF14" s="270"/>
      <c r="FG14" s="270"/>
      <c r="FH14" s="270"/>
      <c r="FI14" s="270"/>
      <c r="FJ14" s="270"/>
      <c r="FK14" s="270"/>
      <c r="FL14" s="270"/>
      <c r="FM14" s="270"/>
      <c r="FN14" s="270"/>
      <c r="FO14" s="270"/>
      <c r="FP14" s="270"/>
      <c r="FQ14" s="270"/>
      <c r="FR14" s="270"/>
      <c r="FS14" s="270"/>
      <c r="FT14" s="270"/>
      <c r="FU14" s="270"/>
      <c r="FV14" s="270"/>
      <c r="FW14" s="270"/>
      <c r="FX14" s="270"/>
      <c r="FY14" s="270"/>
      <c r="FZ14" s="270"/>
      <c r="GA14" s="270"/>
      <c r="GB14" s="270"/>
      <c r="GC14" s="270"/>
      <c r="GD14" s="270"/>
      <c r="GE14" s="270"/>
      <c r="GF14" s="270"/>
      <c r="GG14" s="270"/>
      <c r="GH14" s="270"/>
      <c r="GI14" s="270"/>
      <c r="GJ14" s="270"/>
      <c r="GK14" s="270"/>
      <c r="GL14" s="270"/>
      <c r="GM14" s="270"/>
      <c r="GN14" s="270"/>
      <c r="GO14" s="270"/>
      <c r="GP14" s="270"/>
      <c r="GQ14" s="270"/>
      <c r="GR14" s="270"/>
      <c r="GS14" s="270"/>
      <c r="GT14" s="270"/>
      <c r="GU14" s="270"/>
      <c r="GV14" s="270"/>
      <c r="GW14" s="270"/>
      <c r="GX14" s="270"/>
      <c r="GY14" s="270"/>
      <c r="GZ14" s="270"/>
      <c r="HA14" s="270"/>
      <c r="HB14" s="270"/>
      <c r="HC14" s="270"/>
      <c r="HD14" s="270"/>
      <c r="HE14" s="270"/>
      <c r="HF14" s="270"/>
      <c r="HG14" s="270"/>
      <c r="HH14" s="270" t="s">
        <v>259</v>
      </c>
    </row>
    <row r="15" spans="1:216" s="365" customFormat="1" outlineLevel="3" x14ac:dyDescent="0.2">
      <c r="A15" s="362"/>
      <c r="B15" s="362"/>
      <c r="C15" s="362"/>
      <c r="D15" s="362"/>
      <c r="E15" s="362"/>
      <c r="F15" s="362"/>
      <c r="G15" s="362"/>
      <c r="H15" s="363"/>
      <c r="I15" s="364"/>
      <c r="J15" s="273"/>
      <c r="K15" s="274"/>
      <c r="L15" s="275"/>
      <c r="M15" s="275" t="str">
        <f t="shared" si="0"/>
        <v/>
      </c>
      <c r="N15" s="276">
        <f t="shared" si="1"/>
        <v>0</v>
      </c>
      <c r="O15" s="273"/>
      <c r="P15" s="273"/>
      <c r="Q15" s="273"/>
      <c r="R15" s="277"/>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7"/>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7"/>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7"/>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8" t="s">
        <v>259</v>
      </c>
    </row>
    <row r="16" spans="1:216" s="359" customFormat="1" outlineLevel="3" x14ac:dyDescent="0.2">
      <c r="A16" s="358"/>
      <c r="B16" s="358"/>
      <c r="C16" s="358"/>
      <c r="D16" s="358"/>
      <c r="E16" s="358"/>
      <c r="F16" s="358"/>
      <c r="G16" s="358"/>
      <c r="H16" s="358"/>
      <c r="I16" s="352"/>
      <c r="J16" s="260"/>
      <c r="K16" s="279"/>
      <c r="L16" s="261"/>
      <c r="M16" s="261" t="str">
        <f t="shared" si="0"/>
        <v/>
      </c>
      <c r="N16" s="262">
        <f t="shared" si="1"/>
        <v>0</v>
      </c>
      <c r="O16" s="260"/>
      <c r="P16" s="260"/>
      <c r="Q16" s="260"/>
      <c r="R16" s="260"/>
      <c r="S16" s="260"/>
      <c r="T16" s="260"/>
      <c r="U16" s="260"/>
      <c r="V16" s="260"/>
      <c r="W16" s="260"/>
      <c r="X16" s="260"/>
      <c r="Y16" s="260"/>
      <c r="Z16" s="260"/>
      <c r="AA16" s="260"/>
      <c r="AB16" s="260"/>
      <c r="AC16" s="260"/>
      <c r="AD16" s="260"/>
      <c r="AE16" s="260"/>
      <c r="AF16" s="260"/>
      <c r="AG16" s="260"/>
      <c r="AH16" s="260"/>
      <c r="AI16" s="260"/>
      <c r="AJ16" s="260"/>
      <c r="AK16" s="260"/>
      <c r="AL16" s="260"/>
      <c r="AM16" s="260"/>
      <c r="AN16" s="260"/>
      <c r="AO16" s="260"/>
      <c r="AP16" s="260"/>
      <c r="AQ16" s="260"/>
      <c r="AR16" s="260"/>
      <c r="AS16" s="260"/>
      <c r="AT16" s="260"/>
      <c r="AU16" s="260"/>
      <c r="AV16" s="260"/>
      <c r="AW16" s="260"/>
      <c r="AX16" s="260"/>
      <c r="AY16" s="260"/>
      <c r="AZ16" s="260"/>
      <c r="BA16" s="260"/>
      <c r="BB16" s="260"/>
      <c r="BC16" s="260"/>
      <c r="BD16" s="260"/>
      <c r="BE16" s="260"/>
      <c r="BF16" s="260"/>
      <c r="BG16" s="260"/>
      <c r="BH16" s="260"/>
      <c r="BI16" s="260"/>
      <c r="BJ16" s="260"/>
      <c r="BK16" s="260"/>
      <c r="BL16" s="260"/>
      <c r="BM16" s="260"/>
      <c r="BN16" s="260"/>
      <c r="BO16" s="260"/>
      <c r="BP16" s="260"/>
      <c r="BQ16" s="260"/>
      <c r="BR16" s="260"/>
      <c r="BS16" s="260"/>
      <c r="BT16" s="260"/>
      <c r="BU16" s="260"/>
      <c r="BV16" s="260"/>
      <c r="BW16" s="260"/>
      <c r="BX16" s="260"/>
      <c r="BY16" s="260"/>
      <c r="BZ16" s="260"/>
      <c r="CA16" s="260"/>
      <c r="CB16" s="260"/>
      <c r="CC16" s="260"/>
      <c r="CD16" s="260"/>
      <c r="CE16" s="260"/>
      <c r="CF16" s="260"/>
      <c r="CG16" s="260"/>
      <c r="CH16" s="260"/>
      <c r="CI16" s="260"/>
      <c r="CJ16" s="260"/>
      <c r="CK16" s="260"/>
      <c r="CL16" s="260"/>
      <c r="CM16" s="260"/>
      <c r="CN16" s="260"/>
      <c r="CO16" s="260"/>
      <c r="CP16" s="260"/>
      <c r="CQ16" s="260"/>
      <c r="CR16" s="260"/>
      <c r="CS16" s="260"/>
      <c r="CT16" s="260"/>
      <c r="CU16" s="260"/>
      <c r="CV16" s="260"/>
      <c r="CW16" s="260"/>
      <c r="CX16" s="260"/>
      <c r="CY16" s="260"/>
      <c r="CZ16" s="260"/>
      <c r="DA16" s="260"/>
      <c r="DB16" s="260"/>
      <c r="DC16" s="260"/>
      <c r="DD16" s="260"/>
      <c r="DE16" s="260"/>
      <c r="DF16" s="260"/>
      <c r="DG16" s="260"/>
      <c r="DH16" s="260"/>
      <c r="DI16" s="260"/>
      <c r="DJ16" s="260"/>
      <c r="DK16" s="260"/>
      <c r="DL16" s="260"/>
      <c r="DM16" s="260"/>
      <c r="DN16" s="260"/>
      <c r="DO16" s="260"/>
      <c r="DP16" s="260"/>
      <c r="DQ16" s="260"/>
      <c r="DR16" s="260"/>
      <c r="DS16" s="260"/>
      <c r="DT16" s="260"/>
      <c r="DU16" s="260"/>
      <c r="DV16" s="260"/>
      <c r="DW16" s="260"/>
      <c r="DX16" s="260"/>
      <c r="DY16" s="260"/>
      <c r="DZ16" s="260"/>
      <c r="EA16" s="260"/>
      <c r="EB16" s="260"/>
      <c r="EC16" s="260"/>
      <c r="ED16" s="260"/>
      <c r="EE16" s="260"/>
      <c r="EF16" s="260"/>
      <c r="EG16" s="260"/>
      <c r="EH16" s="260"/>
      <c r="EI16" s="260"/>
      <c r="EJ16" s="260"/>
      <c r="EK16" s="260"/>
      <c r="EL16" s="260"/>
      <c r="EM16" s="260"/>
      <c r="EN16" s="260"/>
      <c r="EO16" s="260"/>
      <c r="EP16" s="260"/>
      <c r="EQ16" s="260"/>
      <c r="ER16" s="260"/>
      <c r="ES16" s="260"/>
      <c r="ET16" s="260"/>
      <c r="EU16" s="260"/>
      <c r="EV16" s="260"/>
      <c r="EW16" s="260"/>
      <c r="EX16" s="260"/>
      <c r="EY16" s="260"/>
      <c r="EZ16" s="260"/>
      <c r="FA16" s="260"/>
      <c r="FB16" s="260"/>
      <c r="FC16" s="260"/>
      <c r="FD16" s="260"/>
      <c r="FE16" s="260"/>
      <c r="FF16" s="260"/>
      <c r="FG16" s="260"/>
      <c r="FH16" s="260"/>
      <c r="FI16" s="260"/>
      <c r="FJ16" s="260"/>
      <c r="FK16" s="260"/>
      <c r="FL16" s="260"/>
      <c r="FM16" s="260"/>
      <c r="FN16" s="260"/>
      <c r="FO16" s="260"/>
      <c r="FP16" s="260"/>
      <c r="FQ16" s="260"/>
      <c r="FR16" s="260"/>
      <c r="FS16" s="260"/>
      <c r="FT16" s="260"/>
      <c r="FU16" s="260"/>
      <c r="FV16" s="260"/>
      <c r="FW16" s="260"/>
      <c r="FX16" s="260"/>
      <c r="FY16" s="260"/>
      <c r="FZ16" s="260"/>
      <c r="GA16" s="260"/>
      <c r="GB16" s="260"/>
      <c r="GC16" s="260"/>
      <c r="GD16" s="260"/>
      <c r="GE16" s="260"/>
      <c r="GF16" s="260"/>
      <c r="GG16" s="260"/>
      <c r="GH16" s="260"/>
      <c r="GI16" s="260"/>
      <c r="GJ16" s="260"/>
      <c r="GK16" s="260"/>
      <c r="GL16" s="260"/>
      <c r="GM16" s="260"/>
      <c r="GN16" s="260"/>
      <c r="GO16" s="260"/>
      <c r="GP16" s="260"/>
      <c r="GQ16" s="260"/>
      <c r="GR16" s="260"/>
      <c r="GS16" s="260"/>
      <c r="GT16" s="260"/>
      <c r="GU16" s="260"/>
      <c r="GV16" s="260"/>
      <c r="GW16" s="260"/>
      <c r="GX16" s="260"/>
      <c r="GY16" s="260"/>
      <c r="GZ16" s="260"/>
      <c r="HA16" s="260"/>
      <c r="HB16" s="260"/>
      <c r="HC16" s="260"/>
      <c r="HD16" s="260"/>
      <c r="HE16" s="260"/>
      <c r="HF16" s="260"/>
      <c r="HG16" s="260"/>
      <c r="HH16" s="260" t="s">
        <v>259</v>
      </c>
    </row>
    <row r="17" spans="1:216" s="359" customFormat="1" outlineLevel="2" x14ac:dyDescent="0.2">
      <c r="A17" s="358"/>
      <c r="B17" s="358"/>
      <c r="C17" s="358"/>
      <c r="D17" s="358"/>
      <c r="E17" s="358"/>
      <c r="F17" s="358"/>
      <c r="G17" s="358"/>
      <c r="H17" s="358"/>
      <c r="I17" s="352" t="s">
        <v>140</v>
      </c>
      <c r="J17" s="260"/>
      <c r="K17" s="260"/>
      <c r="L17" s="261"/>
      <c r="M17" s="261" t="str">
        <f t="shared" si="0"/>
        <v/>
      </c>
      <c r="N17" s="262">
        <f t="shared" si="1"/>
        <v>0</v>
      </c>
      <c r="O17" s="260"/>
      <c r="P17" s="260"/>
      <c r="Q17" s="260"/>
      <c r="R17" s="260"/>
      <c r="S17" s="260"/>
      <c r="T17" s="260"/>
      <c r="U17" s="260"/>
      <c r="V17" s="260"/>
      <c r="W17" s="260"/>
      <c r="X17" s="260"/>
      <c r="Y17" s="260"/>
      <c r="Z17" s="260"/>
      <c r="AA17" s="260"/>
      <c r="AB17" s="260"/>
      <c r="AC17" s="260"/>
      <c r="AD17" s="260"/>
      <c r="AE17" s="260"/>
      <c r="AF17" s="260"/>
      <c r="AG17" s="260"/>
      <c r="AH17" s="260"/>
      <c r="AI17" s="260"/>
      <c r="AJ17" s="260"/>
      <c r="AK17" s="260"/>
      <c r="AL17" s="260"/>
      <c r="AM17" s="260"/>
      <c r="AN17" s="260"/>
      <c r="AO17" s="260"/>
      <c r="AP17" s="260"/>
      <c r="AQ17" s="260"/>
      <c r="AR17" s="260"/>
      <c r="AS17" s="260"/>
      <c r="AT17" s="260"/>
      <c r="AU17" s="260"/>
      <c r="AV17" s="260"/>
      <c r="AW17" s="260"/>
      <c r="AX17" s="260"/>
      <c r="AY17" s="260"/>
      <c r="AZ17" s="260"/>
      <c r="BA17" s="260"/>
      <c r="BB17" s="260"/>
      <c r="BC17" s="260"/>
      <c r="BD17" s="260"/>
      <c r="BE17" s="260"/>
      <c r="BF17" s="260"/>
      <c r="BG17" s="260"/>
      <c r="BH17" s="260"/>
      <c r="BI17" s="260"/>
      <c r="BJ17" s="260"/>
      <c r="BK17" s="260"/>
      <c r="BL17" s="260"/>
      <c r="BM17" s="260"/>
      <c r="BN17" s="260"/>
      <c r="BO17" s="260"/>
      <c r="BP17" s="260"/>
      <c r="BQ17" s="260"/>
      <c r="BR17" s="260"/>
      <c r="BS17" s="260"/>
      <c r="BT17" s="260"/>
      <c r="BU17" s="260"/>
      <c r="BV17" s="260"/>
      <c r="BW17" s="260"/>
      <c r="BX17" s="260"/>
      <c r="BY17" s="260"/>
      <c r="BZ17" s="260"/>
      <c r="CA17" s="260"/>
      <c r="CB17" s="260"/>
      <c r="CC17" s="260"/>
      <c r="CD17" s="260"/>
      <c r="CE17" s="260"/>
      <c r="CF17" s="260"/>
      <c r="CG17" s="260"/>
      <c r="CH17" s="260"/>
      <c r="CI17" s="260"/>
      <c r="CJ17" s="260"/>
      <c r="CK17" s="260"/>
      <c r="CL17" s="260"/>
      <c r="CM17" s="260"/>
      <c r="CN17" s="260"/>
      <c r="CO17" s="260"/>
      <c r="CP17" s="260"/>
      <c r="CQ17" s="260"/>
      <c r="CR17" s="260"/>
      <c r="CS17" s="260"/>
      <c r="CT17" s="260"/>
      <c r="CU17" s="260"/>
      <c r="CV17" s="260"/>
      <c r="CW17" s="260"/>
      <c r="CX17" s="260"/>
      <c r="CY17" s="260"/>
      <c r="CZ17" s="260"/>
      <c r="DA17" s="260"/>
      <c r="DB17" s="260"/>
      <c r="DC17" s="260"/>
      <c r="DD17" s="260"/>
      <c r="DE17" s="260"/>
      <c r="DF17" s="260"/>
      <c r="DG17" s="260"/>
      <c r="DH17" s="260"/>
      <c r="DI17" s="260"/>
      <c r="DJ17" s="260"/>
      <c r="DK17" s="260"/>
      <c r="DL17" s="260"/>
      <c r="DM17" s="260"/>
      <c r="DN17" s="260"/>
      <c r="DO17" s="260"/>
      <c r="DP17" s="260"/>
      <c r="DQ17" s="260"/>
      <c r="DR17" s="260"/>
      <c r="DS17" s="260"/>
      <c r="DT17" s="260"/>
      <c r="DU17" s="260"/>
      <c r="DV17" s="260"/>
      <c r="DW17" s="260"/>
      <c r="DX17" s="260"/>
      <c r="DY17" s="260"/>
      <c r="DZ17" s="260"/>
      <c r="EA17" s="260"/>
      <c r="EB17" s="260"/>
      <c r="EC17" s="260"/>
      <c r="ED17" s="260"/>
      <c r="EE17" s="260"/>
      <c r="EF17" s="260"/>
      <c r="EG17" s="260"/>
      <c r="EH17" s="260"/>
      <c r="EI17" s="260"/>
      <c r="EJ17" s="260"/>
      <c r="EK17" s="260"/>
      <c r="EL17" s="260"/>
      <c r="EM17" s="260"/>
      <c r="EN17" s="260"/>
      <c r="EO17" s="260"/>
      <c r="EP17" s="260"/>
      <c r="EQ17" s="260"/>
      <c r="ER17" s="260"/>
      <c r="ES17" s="260"/>
      <c r="ET17" s="260"/>
      <c r="EU17" s="260"/>
      <c r="EV17" s="260"/>
      <c r="EW17" s="260"/>
      <c r="EX17" s="260"/>
      <c r="EY17" s="260"/>
      <c r="EZ17" s="260"/>
      <c r="FA17" s="260"/>
      <c r="FB17" s="260"/>
      <c r="FC17" s="260"/>
      <c r="FD17" s="260"/>
      <c r="FE17" s="260"/>
      <c r="FF17" s="260"/>
      <c r="FG17" s="260"/>
      <c r="FH17" s="260"/>
      <c r="FI17" s="260"/>
      <c r="FJ17" s="260"/>
      <c r="FK17" s="260"/>
      <c r="FL17" s="260"/>
      <c r="FM17" s="260"/>
      <c r="FN17" s="260"/>
      <c r="FO17" s="260"/>
      <c r="FP17" s="260"/>
      <c r="FQ17" s="260"/>
      <c r="FR17" s="260"/>
      <c r="FS17" s="260"/>
      <c r="FT17" s="260"/>
      <c r="FU17" s="260"/>
      <c r="FV17" s="260"/>
      <c r="FW17" s="260"/>
      <c r="FX17" s="260"/>
      <c r="FY17" s="260"/>
      <c r="FZ17" s="260"/>
      <c r="GA17" s="260"/>
      <c r="GB17" s="260"/>
      <c r="GC17" s="260"/>
      <c r="GD17" s="260"/>
      <c r="GE17" s="260"/>
      <c r="GF17" s="260"/>
      <c r="GG17" s="260"/>
      <c r="GH17" s="260"/>
      <c r="GI17" s="260"/>
      <c r="GJ17" s="260"/>
      <c r="GK17" s="260"/>
      <c r="GL17" s="260"/>
      <c r="GM17" s="260"/>
      <c r="GN17" s="260"/>
      <c r="GO17" s="260"/>
      <c r="GP17" s="260"/>
      <c r="GQ17" s="260"/>
      <c r="GR17" s="260"/>
      <c r="GS17" s="260"/>
      <c r="GT17" s="260"/>
      <c r="GU17" s="260"/>
      <c r="GV17" s="260"/>
      <c r="GW17" s="260"/>
      <c r="GX17" s="260"/>
      <c r="GY17" s="260"/>
      <c r="GZ17" s="260"/>
      <c r="HA17" s="260"/>
      <c r="HB17" s="260"/>
      <c r="HC17" s="260"/>
      <c r="HD17" s="260"/>
      <c r="HE17" s="260"/>
      <c r="HF17" s="260"/>
      <c r="HG17" s="260"/>
      <c r="HH17" s="260" t="s">
        <v>259</v>
      </c>
    </row>
    <row r="18" spans="1:216" s="271" customFormat="1" ht="25.5" outlineLevel="3" x14ac:dyDescent="0.2">
      <c r="H18" s="360"/>
      <c r="I18" s="361" t="s">
        <v>353</v>
      </c>
      <c r="J18" s="266"/>
      <c r="K18" s="267"/>
      <c r="L18" s="268"/>
      <c r="M18" s="268" t="str">
        <f t="shared" si="0"/>
        <v/>
      </c>
      <c r="N18" s="269">
        <f t="shared" si="1"/>
        <v>0</v>
      </c>
      <c r="O18" s="270"/>
      <c r="P18" s="270"/>
      <c r="Q18" s="270"/>
      <c r="R18" s="270"/>
      <c r="S18" s="270"/>
      <c r="T18" s="27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c r="BG18" s="270"/>
      <c r="BH18" s="270"/>
      <c r="BI18" s="270"/>
      <c r="BJ18" s="270"/>
      <c r="BK18" s="270"/>
      <c r="BL18" s="270"/>
      <c r="BM18" s="270"/>
      <c r="BN18" s="270"/>
      <c r="BO18" s="270"/>
      <c r="BP18" s="270"/>
      <c r="BQ18" s="270"/>
      <c r="BR18" s="270"/>
      <c r="BS18" s="270"/>
      <c r="BT18" s="270"/>
      <c r="BU18" s="270"/>
      <c r="BV18" s="270"/>
      <c r="BW18" s="270"/>
      <c r="BX18" s="270"/>
      <c r="BY18" s="270"/>
      <c r="BZ18" s="270"/>
      <c r="CA18" s="270"/>
      <c r="CB18" s="270"/>
      <c r="CC18" s="270"/>
      <c r="CD18" s="270"/>
      <c r="CE18" s="270"/>
      <c r="CF18" s="270"/>
      <c r="CG18" s="270"/>
      <c r="CH18" s="270"/>
      <c r="CI18" s="270"/>
      <c r="CJ18" s="270"/>
      <c r="CK18" s="270"/>
      <c r="CL18" s="270"/>
      <c r="CM18" s="270"/>
      <c r="CN18" s="270"/>
      <c r="CO18" s="270"/>
      <c r="CP18" s="270"/>
      <c r="CQ18" s="270"/>
      <c r="CR18" s="270"/>
      <c r="CS18" s="270"/>
      <c r="CT18" s="270"/>
      <c r="CU18" s="270"/>
      <c r="CV18" s="270"/>
      <c r="CW18" s="270"/>
      <c r="CX18" s="270"/>
      <c r="CY18" s="270"/>
      <c r="CZ18" s="270"/>
      <c r="DA18" s="270"/>
      <c r="DB18" s="270"/>
      <c r="DC18" s="270"/>
      <c r="DD18" s="270"/>
      <c r="DE18" s="270"/>
      <c r="DF18" s="270"/>
      <c r="DG18" s="270"/>
      <c r="DH18" s="270"/>
      <c r="DI18" s="270"/>
      <c r="DJ18" s="270"/>
      <c r="DK18" s="270"/>
      <c r="DL18" s="270"/>
      <c r="DM18" s="270"/>
      <c r="DN18" s="270"/>
      <c r="DO18" s="270"/>
      <c r="DP18" s="270"/>
      <c r="DQ18" s="270"/>
      <c r="DR18" s="270"/>
      <c r="DS18" s="270"/>
      <c r="DT18" s="270"/>
      <c r="DU18" s="270"/>
      <c r="DV18" s="270"/>
      <c r="DW18" s="270"/>
      <c r="DX18" s="270"/>
      <c r="DY18" s="270"/>
      <c r="DZ18" s="270"/>
      <c r="EA18" s="270"/>
      <c r="EB18" s="270"/>
      <c r="EC18" s="270"/>
      <c r="ED18" s="270"/>
      <c r="EE18" s="270"/>
      <c r="EF18" s="270"/>
      <c r="EG18" s="270"/>
      <c r="EH18" s="270"/>
      <c r="EI18" s="270"/>
      <c r="EJ18" s="270"/>
      <c r="EK18" s="270"/>
      <c r="EL18" s="270"/>
      <c r="EM18" s="270"/>
      <c r="EN18" s="270"/>
      <c r="EO18" s="270"/>
      <c r="EP18" s="270"/>
      <c r="EQ18" s="270"/>
      <c r="ER18" s="270"/>
      <c r="ES18" s="270"/>
      <c r="ET18" s="270"/>
      <c r="EU18" s="270"/>
      <c r="EV18" s="270"/>
      <c r="EW18" s="270"/>
      <c r="EX18" s="270"/>
      <c r="EY18" s="270"/>
      <c r="EZ18" s="270"/>
      <c r="FA18" s="270"/>
      <c r="FB18" s="270"/>
      <c r="FC18" s="270"/>
      <c r="FD18" s="270"/>
      <c r="FE18" s="270"/>
      <c r="FF18" s="270"/>
      <c r="FG18" s="270"/>
      <c r="FH18" s="270"/>
      <c r="FI18" s="270"/>
      <c r="FJ18" s="270"/>
      <c r="FK18" s="270"/>
      <c r="FL18" s="270"/>
      <c r="FM18" s="270"/>
      <c r="FN18" s="270"/>
      <c r="FO18" s="270"/>
      <c r="FP18" s="270"/>
      <c r="FQ18" s="270"/>
      <c r="FR18" s="270"/>
      <c r="FS18" s="270"/>
      <c r="FT18" s="270"/>
      <c r="FU18" s="270"/>
      <c r="FV18" s="270"/>
      <c r="FW18" s="270"/>
      <c r="FX18" s="270"/>
      <c r="FY18" s="270"/>
      <c r="FZ18" s="270"/>
      <c r="GA18" s="270"/>
      <c r="GB18" s="270"/>
      <c r="GC18" s="270"/>
      <c r="GD18" s="270"/>
      <c r="GE18" s="270"/>
      <c r="GF18" s="270"/>
      <c r="GG18" s="270"/>
      <c r="GH18" s="270"/>
      <c r="GI18" s="270"/>
      <c r="GJ18" s="270"/>
      <c r="GK18" s="270"/>
      <c r="GL18" s="270"/>
      <c r="GM18" s="270"/>
      <c r="GN18" s="270"/>
      <c r="GO18" s="270"/>
      <c r="GP18" s="270"/>
      <c r="GQ18" s="270"/>
      <c r="GR18" s="270"/>
      <c r="GS18" s="270"/>
      <c r="GT18" s="270"/>
      <c r="GU18" s="270"/>
      <c r="GV18" s="270"/>
      <c r="GW18" s="270"/>
      <c r="GX18" s="270"/>
      <c r="GY18" s="270"/>
      <c r="GZ18" s="270"/>
      <c r="HA18" s="270"/>
      <c r="HB18" s="270"/>
      <c r="HC18" s="270"/>
      <c r="HD18" s="270"/>
      <c r="HE18" s="270"/>
      <c r="HF18" s="270"/>
      <c r="HG18" s="270"/>
      <c r="HH18" s="270" t="s">
        <v>259</v>
      </c>
    </row>
    <row r="19" spans="1:216" s="271" customFormat="1" ht="25.5" outlineLevel="3" x14ac:dyDescent="0.2">
      <c r="H19" s="265"/>
      <c r="I19" s="353" t="s">
        <v>354</v>
      </c>
      <c r="J19" s="266"/>
      <c r="K19" s="267">
        <v>-1</v>
      </c>
      <c r="L19" s="268"/>
      <c r="M19" s="268" t="str">
        <f t="shared" si="0"/>
        <v/>
      </c>
      <c r="N19" s="269">
        <f t="shared" si="1"/>
        <v>0</v>
      </c>
      <c r="O19" s="270"/>
      <c r="P19" s="270"/>
      <c r="Q19" s="270"/>
      <c r="R19" s="270"/>
      <c r="S19" s="270"/>
      <c r="T19" s="270"/>
      <c r="U19" s="270"/>
      <c r="V19" s="270"/>
      <c r="W19" s="270"/>
      <c r="X19" s="270"/>
      <c r="Y19" s="270"/>
      <c r="Z19" s="270"/>
      <c r="AA19" s="270"/>
      <c r="AB19" s="270"/>
      <c r="AC19" s="270"/>
      <c r="AD19" s="270"/>
      <c r="AE19" s="270"/>
      <c r="AF19" s="270"/>
      <c r="AG19" s="270"/>
      <c r="AH19" s="270"/>
      <c r="AI19" s="270"/>
      <c r="AJ19" s="270"/>
      <c r="AK19" s="270"/>
      <c r="AL19" s="270"/>
      <c r="AM19" s="270"/>
      <c r="AN19" s="270"/>
      <c r="AO19" s="270"/>
      <c r="AP19" s="270"/>
      <c r="AQ19" s="270"/>
      <c r="AR19" s="270"/>
      <c r="AS19" s="270"/>
      <c r="AT19" s="270"/>
      <c r="AU19" s="270"/>
      <c r="AV19" s="270"/>
      <c r="AW19" s="270"/>
      <c r="AX19" s="270"/>
      <c r="AY19" s="270"/>
      <c r="AZ19" s="270"/>
      <c r="BA19" s="270"/>
      <c r="BB19" s="270"/>
      <c r="BC19" s="270"/>
      <c r="BD19" s="270"/>
      <c r="BE19" s="270"/>
      <c r="BF19" s="270"/>
      <c r="BG19" s="270"/>
      <c r="BH19" s="270"/>
      <c r="BI19" s="270"/>
      <c r="BJ19" s="270"/>
      <c r="BK19" s="270"/>
      <c r="BL19" s="270"/>
      <c r="BM19" s="270"/>
      <c r="BN19" s="270"/>
      <c r="BO19" s="270"/>
      <c r="BP19" s="270"/>
      <c r="BQ19" s="270"/>
      <c r="BR19" s="270"/>
      <c r="BS19" s="270"/>
      <c r="BT19" s="270"/>
      <c r="BU19" s="270"/>
      <c r="BV19" s="270"/>
      <c r="BW19" s="270"/>
      <c r="BX19" s="270"/>
      <c r="BY19" s="270"/>
      <c r="BZ19" s="270"/>
      <c r="CA19" s="270"/>
      <c r="CB19" s="270"/>
      <c r="CC19" s="270"/>
      <c r="CD19" s="270"/>
      <c r="CE19" s="270"/>
      <c r="CF19" s="270"/>
      <c r="CG19" s="270"/>
      <c r="CH19" s="270"/>
      <c r="CI19" s="270"/>
      <c r="CJ19" s="270"/>
      <c r="CK19" s="270"/>
      <c r="CL19" s="270"/>
      <c r="CM19" s="270"/>
      <c r="CN19" s="270"/>
      <c r="CO19" s="270"/>
      <c r="CP19" s="270"/>
      <c r="CQ19" s="270"/>
      <c r="CR19" s="270"/>
      <c r="CS19" s="270"/>
      <c r="CT19" s="270"/>
      <c r="CU19" s="270"/>
      <c r="CV19" s="270"/>
      <c r="CW19" s="270"/>
      <c r="CX19" s="270"/>
      <c r="CY19" s="270"/>
      <c r="CZ19" s="270"/>
      <c r="DA19" s="270"/>
      <c r="DB19" s="270"/>
      <c r="DC19" s="270"/>
      <c r="DD19" s="270"/>
      <c r="DE19" s="270"/>
      <c r="DF19" s="270"/>
      <c r="DG19" s="270"/>
      <c r="DH19" s="270"/>
      <c r="DI19" s="270"/>
      <c r="DJ19" s="270"/>
      <c r="DK19" s="270"/>
      <c r="DL19" s="270"/>
      <c r="DM19" s="270"/>
      <c r="DN19" s="270"/>
      <c r="DO19" s="270"/>
      <c r="DP19" s="270"/>
      <c r="DQ19" s="270"/>
      <c r="DR19" s="270"/>
      <c r="DS19" s="270"/>
      <c r="DT19" s="270"/>
      <c r="DU19" s="270"/>
      <c r="DV19" s="270"/>
      <c r="DW19" s="270"/>
      <c r="DX19" s="270"/>
      <c r="DY19" s="270"/>
      <c r="DZ19" s="270"/>
      <c r="EA19" s="270"/>
      <c r="EB19" s="270"/>
      <c r="EC19" s="270"/>
      <c r="ED19" s="270"/>
      <c r="EE19" s="270"/>
      <c r="EF19" s="270"/>
      <c r="EG19" s="270"/>
      <c r="EH19" s="270"/>
      <c r="EI19" s="270"/>
      <c r="EJ19" s="270"/>
      <c r="EK19" s="270"/>
      <c r="EL19" s="270"/>
      <c r="EM19" s="270"/>
      <c r="EN19" s="270"/>
      <c r="EO19" s="270"/>
      <c r="EP19" s="270"/>
      <c r="EQ19" s="270"/>
      <c r="ER19" s="270"/>
      <c r="ES19" s="270"/>
      <c r="ET19" s="270"/>
      <c r="EU19" s="270"/>
      <c r="EV19" s="270"/>
      <c r="EW19" s="270"/>
      <c r="EX19" s="270"/>
      <c r="EY19" s="270"/>
      <c r="EZ19" s="270"/>
      <c r="FA19" s="270"/>
      <c r="FB19" s="270"/>
      <c r="FC19" s="270"/>
      <c r="FD19" s="270"/>
      <c r="FE19" s="270"/>
      <c r="FF19" s="270"/>
      <c r="FG19" s="270"/>
      <c r="FH19" s="270"/>
      <c r="FI19" s="270"/>
      <c r="FJ19" s="270"/>
      <c r="FK19" s="270"/>
      <c r="FL19" s="270"/>
      <c r="FM19" s="270"/>
      <c r="FN19" s="270"/>
      <c r="FO19" s="270"/>
      <c r="FP19" s="270"/>
      <c r="FQ19" s="270"/>
      <c r="FR19" s="270"/>
      <c r="FS19" s="270"/>
      <c r="FT19" s="270"/>
      <c r="FU19" s="270"/>
      <c r="FV19" s="270"/>
      <c r="FW19" s="270"/>
      <c r="FX19" s="270"/>
      <c r="FY19" s="270"/>
      <c r="FZ19" s="270"/>
      <c r="GA19" s="270"/>
      <c r="GB19" s="270"/>
      <c r="GC19" s="270"/>
      <c r="GD19" s="270"/>
      <c r="GE19" s="270"/>
      <c r="GF19" s="270"/>
      <c r="GG19" s="270"/>
      <c r="GH19" s="270"/>
      <c r="GI19" s="270"/>
      <c r="GJ19" s="270"/>
      <c r="GK19" s="270"/>
      <c r="GL19" s="270"/>
      <c r="GM19" s="270"/>
      <c r="GN19" s="270"/>
      <c r="GO19" s="270"/>
      <c r="GP19" s="270"/>
      <c r="GQ19" s="270"/>
      <c r="GR19" s="270"/>
      <c r="GS19" s="270"/>
      <c r="GT19" s="270"/>
      <c r="GU19" s="270"/>
      <c r="GV19" s="270"/>
      <c r="GW19" s="270"/>
      <c r="GX19" s="270"/>
      <c r="GY19" s="270"/>
      <c r="GZ19" s="270"/>
      <c r="HA19" s="270"/>
      <c r="HB19" s="270"/>
      <c r="HC19" s="270"/>
      <c r="HD19" s="270"/>
      <c r="HE19" s="270"/>
      <c r="HF19" s="270"/>
      <c r="HG19" s="270"/>
      <c r="HH19" s="270" t="s">
        <v>259</v>
      </c>
    </row>
    <row r="20" spans="1:216" s="271" customFormat="1" ht="25.5" outlineLevel="3" x14ac:dyDescent="0.2">
      <c r="H20" s="265"/>
      <c r="I20" s="361" t="s">
        <v>375</v>
      </c>
      <c r="J20" s="266"/>
      <c r="K20" s="267">
        <v>-0.5</v>
      </c>
      <c r="L20" s="268"/>
      <c r="M20" s="268" t="str">
        <f t="shared" si="0"/>
        <v/>
      </c>
      <c r="N20" s="269">
        <f t="shared" si="1"/>
        <v>0</v>
      </c>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270"/>
      <c r="BE20" s="270"/>
      <c r="BF20" s="270"/>
      <c r="BG20" s="270"/>
      <c r="BH20" s="270"/>
      <c r="BI20" s="270"/>
      <c r="BJ20" s="270"/>
      <c r="BK20" s="270"/>
      <c r="BL20" s="270"/>
      <c r="BM20" s="270"/>
      <c r="BN20" s="270"/>
      <c r="BO20" s="270"/>
      <c r="BP20" s="270"/>
      <c r="BQ20" s="270"/>
      <c r="BR20" s="270"/>
      <c r="BS20" s="270"/>
      <c r="BT20" s="270"/>
      <c r="BU20" s="270"/>
      <c r="BV20" s="270"/>
      <c r="BW20" s="270"/>
      <c r="BX20" s="270"/>
      <c r="BY20" s="270"/>
      <c r="BZ20" s="270"/>
      <c r="CA20" s="270"/>
      <c r="CB20" s="270"/>
      <c r="CC20" s="270"/>
      <c r="CD20" s="270"/>
      <c r="CE20" s="270"/>
      <c r="CF20" s="270"/>
      <c r="CG20" s="270"/>
      <c r="CH20" s="270"/>
      <c r="CI20" s="270"/>
      <c r="CJ20" s="270"/>
      <c r="CK20" s="270"/>
      <c r="CL20" s="270"/>
      <c r="CM20" s="270"/>
      <c r="CN20" s="270"/>
      <c r="CO20" s="270"/>
      <c r="CP20" s="270"/>
      <c r="CQ20" s="270"/>
      <c r="CR20" s="270"/>
      <c r="CS20" s="270"/>
      <c r="CT20" s="270"/>
      <c r="CU20" s="270"/>
      <c r="CV20" s="270"/>
      <c r="CW20" s="270"/>
      <c r="CX20" s="270"/>
      <c r="CY20" s="270"/>
      <c r="CZ20" s="270"/>
      <c r="DA20" s="270"/>
      <c r="DB20" s="270"/>
      <c r="DC20" s="270"/>
      <c r="DD20" s="270"/>
      <c r="DE20" s="270"/>
      <c r="DF20" s="270"/>
      <c r="DG20" s="270"/>
      <c r="DH20" s="270"/>
      <c r="DI20" s="270"/>
      <c r="DJ20" s="270"/>
      <c r="DK20" s="270"/>
      <c r="DL20" s="270"/>
      <c r="DM20" s="270"/>
      <c r="DN20" s="270"/>
      <c r="DO20" s="270"/>
      <c r="DP20" s="270"/>
      <c r="DQ20" s="270"/>
      <c r="DR20" s="270"/>
      <c r="DS20" s="270"/>
      <c r="DT20" s="270"/>
      <c r="DU20" s="270"/>
      <c r="DV20" s="270"/>
      <c r="DW20" s="270"/>
      <c r="DX20" s="270"/>
      <c r="DY20" s="270"/>
      <c r="DZ20" s="270"/>
      <c r="EA20" s="270"/>
      <c r="EB20" s="270"/>
      <c r="EC20" s="270"/>
      <c r="ED20" s="270"/>
      <c r="EE20" s="270"/>
      <c r="EF20" s="270"/>
      <c r="EG20" s="270"/>
      <c r="EH20" s="270"/>
      <c r="EI20" s="270"/>
      <c r="EJ20" s="270"/>
      <c r="EK20" s="270"/>
      <c r="EL20" s="270"/>
      <c r="EM20" s="270"/>
      <c r="EN20" s="270"/>
      <c r="EO20" s="270"/>
      <c r="EP20" s="270"/>
      <c r="EQ20" s="270"/>
      <c r="ER20" s="270"/>
      <c r="ES20" s="270"/>
      <c r="ET20" s="270"/>
      <c r="EU20" s="270"/>
      <c r="EV20" s="270"/>
      <c r="EW20" s="270"/>
      <c r="EX20" s="270"/>
      <c r="EY20" s="270"/>
      <c r="EZ20" s="270"/>
      <c r="FA20" s="270"/>
      <c r="FB20" s="270"/>
      <c r="FC20" s="270"/>
      <c r="FD20" s="270"/>
      <c r="FE20" s="270"/>
      <c r="FF20" s="270"/>
      <c r="FG20" s="270"/>
      <c r="FH20" s="270"/>
      <c r="FI20" s="270"/>
      <c r="FJ20" s="270"/>
      <c r="FK20" s="270"/>
      <c r="FL20" s="270"/>
      <c r="FM20" s="270"/>
      <c r="FN20" s="270"/>
      <c r="FO20" s="270"/>
      <c r="FP20" s="270"/>
      <c r="FQ20" s="270"/>
      <c r="FR20" s="270"/>
      <c r="FS20" s="270"/>
      <c r="FT20" s="270"/>
      <c r="FU20" s="270"/>
      <c r="FV20" s="270"/>
      <c r="FW20" s="270"/>
      <c r="FX20" s="270"/>
      <c r="FY20" s="270"/>
      <c r="FZ20" s="270"/>
      <c r="GA20" s="270"/>
      <c r="GB20" s="270"/>
      <c r="GC20" s="270"/>
      <c r="GD20" s="270"/>
      <c r="GE20" s="270"/>
      <c r="GF20" s="270"/>
      <c r="GG20" s="270"/>
      <c r="GH20" s="270"/>
      <c r="GI20" s="270"/>
      <c r="GJ20" s="270"/>
      <c r="GK20" s="270"/>
      <c r="GL20" s="270"/>
      <c r="GM20" s="270"/>
      <c r="GN20" s="270"/>
      <c r="GO20" s="270"/>
      <c r="GP20" s="270"/>
      <c r="GQ20" s="270"/>
      <c r="GR20" s="270"/>
      <c r="GS20" s="270"/>
      <c r="GT20" s="270"/>
      <c r="GU20" s="270"/>
      <c r="GV20" s="270"/>
      <c r="GW20" s="270"/>
      <c r="GX20" s="270"/>
      <c r="GY20" s="270"/>
      <c r="GZ20" s="270"/>
      <c r="HA20" s="270"/>
      <c r="HB20" s="270"/>
      <c r="HC20" s="270"/>
      <c r="HD20" s="270"/>
      <c r="HE20" s="270"/>
      <c r="HF20" s="270"/>
      <c r="HG20" s="270"/>
      <c r="HH20" s="270" t="s">
        <v>259</v>
      </c>
    </row>
    <row r="21" spans="1:216" s="271" customFormat="1" ht="25.5" outlineLevel="3" x14ac:dyDescent="0.2">
      <c r="H21" s="360"/>
      <c r="I21" s="361" t="s">
        <v>355</v>
      </c>
      <c r="J21" s="266"/>
      <c r="K21" s="267">
        <v>-1</v>
      </c>
      <c r="L21" s="268"/>
      <c r="M21" s="268" t="str">
        <f t="shared" si="0"/>
        <v/>
      </c>
      <c r="N21" s="269">
        <f t="shared" si="1"/>
        <v>0</v>
      </c>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270"/>
      <c r="BE21" s="270"/>
      <c r="BF21" s="270"/>
      <c r="BG21" s="270"/>
      <c r="BH21" s="270"/>
      <c r="BI21" s="270"/>
      <c r="BJ21" s="270"/>
      <c r="BK21" s="270"/>
      <c r="BL21" s="270"/>
      <c r="BM21" s="270"/>
      <c r="BN21" s="270"/>
      <c r="BO21" s="270"/>
      <c r="BP21" s="270"/>
      <c r="BQ21" s="270"/>
      <c r="BR21" s="270"/>
      <c r="BS21" s="270"/>
      <c r="BT21" s="270"/>
      <c r="BU21" s="270"/>
      <c r="BV21" s="270"/>
      <c r="BW21" s="270"/>
      <c r="BX21" s="270"/>
      <c r="BY21" s="270"/>
      <c r="BZ21" s="270"/>
      <c r="CA21" s="270"/>
      <c r="CB21" s="270"/>
      <c r="CC21" s="270"/>
      <c r="CD21" s="270"/>
      <c r="CE21" s="270"/>
      <c r="CF21" s="270"/>
      <c r="CG21" s="270"/>
      <c r="CH21" s="270"/>
      <c r="CI21" s="270"/>
      <c r="CJ21" s="270"/>
      <c r="CK21" s="270"/>
      <c r="CL21" s="270"/>
      <c r="CM21" s="270"/>
      <c r="CN21" s="270"/>
      <c r="CO21" s="270"/>
      <c r="CP21" s="270"/>
      <c r="CQ21" s="270"/>
      <c r="CR21" s="270"/>
      <c r="CS21" s="270"/>
      <c r="CT21" s="270"/>
      <c r="CU21" s="270"/>
      <c r="CV21" s="270"/>
      <c r="CW21" s="270"/>
      <c r="CX21" s="270"/>
      <c r="CY21" s="270"/>
      <c r="CZ21" s="270"/>
      <c r="DA21" s="270"/>
      <c r="DB21" s="270"/>
      <c r="DC21" s="270"/>
      <c r="DD21" s="270"/>
      <c r="DE21" s="270"/>
      <c r="DF21" s="270"/>
      <c r="DG21" s="270"/>
      <c r="DH21" s="270"/>
      <c r="DI21" s="270"/>
      <c r="DJ21" s="270"/>
      <c r="DK21" s="270"/>
      <c r="DL21" s="270"/>
      <c r="DM21" s="270"/>
      <c r="DN21" s="270"/>
      <c r="DO21" s="270"/>
      <c r="DP21" s="270"/>
      <c r="DQ21" s="270"/>
      <c r="DR21" s="270"/>
      <c r="DS21" s="270"/>
      <c r="DT21" s="270"/>
      <c r="DU21" s="270"/>
      <c r="DV21" s="270"/>
      <c r="DW21" s="270"/>
      <c r="DX21" s="270"/>
      <c r="DY21" s="270"/>
      <c r="DZ21" s="270"/>
      <c r="EA21" s="270"/>
      <c r="EB21" s="270"/>
      <c r="EC21" s="270"/>
      <c r="ED21" s="270"/>
      <c r="EE21" s="270"/>
      <c r="EF21" s="270"/>
      <c r="EG21" s="270"/>
      <c r="EH21" s="270"/>
      <c r="EI21" s="270"/>
      <c r="EJ21" s="270"/>
      <c r="EK21" s="270"/>
      <c r="EL21" s="270"/>
      <c r="EM21" s="270"/>
      <c r="EN21" s="270"/>
      <c r="EO21" s="270"/>
      <c r="EP21" s="270"/>
      <c r="EQ21" s="270"/>
      <c r="ER21" s="270"/>
      <c r="ES21" s="270"/>
      <c r="ET21" s="270"/>
      <c r="EU21" s="270"/>
      <c r="EV21" s="270"/>
      <c r="EW21" s="270"/>
      <c r="EX21" s="270"/>
      <c r="EY21" s="270"/>
      <c r="EZ21" s="270"/>
      <c r="FA21" s="270"/>
      <c r="FB21" s="270"/>
      <c r="FC21" s="270"/>
      <c r="FD21" s="270"/>
      <c r="FE21" s="270"/>
      <c r="FF21" s="270"/>
      <c r="FG21" s="270"/>
      <c r="FH21" s="270"/>
      <c r="FI21" s="270"/>
      <c r="FJ21" s="270"/>
      <c r="FK21" s="270"/>
      <c r="FL21" s="270"/>
      <c r="FM21" s="270"/>
      <c r="FN21" s="270"/>
      <c r="FO21" s="270"/>
      <c r="FP21" s="270"/>
      <c r="FQ21" s="270"/>
      <c r="FR21" s="270"/>
      <c r="FS21" s="270"/>
      <c r="FT21" s="270"/>
      <c r="FU21" s="270"/>
      <c r="FV21" s="270"/>
      <c r="FW21" s="270"/>
      <c r="FX21" s="270"/>
      <c r="FY21" s="270"/>
      <c r="FZ21" s="270"/>
      <c r="GA21" s="270"/>
      <c r="GB21" s="270"/>
      <c r="GC21" s="270"/>
      <c r="GD21" s="270"/>
      <c r="GE21" s="270"/>
      <c r="GF21" s="270"/>
      <c r="GG21" s="270"/>
      <c r="GH21" s="270"/>
      <c r="GI21" s="270"/>
      <c r="GJ21" s="270"/>
      <c r="GK21" s="270"/>
      <c r="GL21" s="270"/>
      <c r="GM21" s="270"/>
      <c r="GN21" s="270"/>
      <c r="GO21" s="270"/>
      <c r="GP21" s="270"/>
      <c r="GQ21" s="270"/>
      <c r="GR21" s="270"/>
      <c r="GS21" s="270"/>
      <c r="GT21" s="270"/>
      <c r="GU21" s="270"/>
      <c r="GV21" s="270"/>
      <c r="GW21" s="270"/>
      <c r="GX21" s="270"/>
      <c r="GY21" s="270"/>
      <c r="GZ21" s="270"/>
      <c r="HA21" s="270"/>
      <c r="HB21" s="270"/>
      <c r="HC21" s="270"/>
      <c r="HD21" s="270"/>
      <c r="HE21" s="270"/>
      <c r="HF21" s="270"/>
      <c r="HG21" s="270"/>
      <c r="HH21" s="270" t="s">
        <v>259</v>
      </c>
    </row>
    <row r="22" spans="1:216" s="365" customFormat="1" outlineLevel="3" x14ac:dyDescent="0.2">
      <c r="A22" s="362"/>
      <c r="B22" s="362"/>
      <c r="C22" s="362"/>
      <c r="D22" s="362"/>
      <c r="E22" s="362"/>
      <c r="F22" s="362"/>
      <c r="G22" s="362"/>
      <c r="H22" s="280"/>
      <c r="I22" s="355"/>
      <c r="J22" s="273"/>
      <c r="K22" s="273"/>
      <c r="L22" s="275"/>
      <c r="M22" s="275" t="str">
        <f t="shared" si="0"/>
        <v/>
      </c>
      <c r="N22" s="276">
        <f t="shared" si="1"/>
        <v>0</v>
      </c>
      <c r="O22" s="273"/>
      <c r="P22" s="273"/>
      <c r="Q22" s="273"/>
      <c r="R22" s="277"/>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7"/>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7"/>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c r="DF22" s="273"/>
      <c r="DG22" s="273"/>
      <c r="DH22" s="273"/>
      <c r="DI22" s="273"/>
      <c r="DJ22" s="273"/>
      <c r="DK22" s="273"/>
      <c r="DL22" s="273"/>
      <c r="DM22" s="273"/>
      <c r="DN22" s="273"/>
      <c r="DO22" s="273"/>
      <c r="DP22" s="273"/>
      <c r="DQ22" s="277"/>
      <c r="DR22" s="273"/>
      <c r="DS22" s="273"/>
      <c r="DT22" s="273"/>
      <c r="DU22" s="273"/>
      <c r="DV22" s="273"/>
      <c r="DW22" s="273"/>
      <c r="DX22" s="273"/>
      <c r="DY22" s="273"/>
      <c r="DZ22" s="273"/>
      <c r="EA22" s="273"/>
      <c r="EB22" s="273"/>
      <c r="EC22" s="273"/>
      <c r="ED22" s="273"/>
      <c r="EE22" s="273"/>
      <c r="EF22" s="273"/>
      <c r="EG22" s="273"/>
      <c r="EH22" s="273"/>
      <c r="EI22" s="273"/>
      <c r="EJ22" s="273"/>
      <c r="EK22" s="273"/>
      <c r="EL22" s="273"/>
      <c r="EM22" s="273"/>
      <c r="EN22" s="273"/>
      <c r="EO22" s="273"/>
      <c r="EP22" s="273"/>
      <c r="EQ22" s="273"/>
      <c r="ER22" s="273"/>
      <c r="ES22" s="273"/>
      <c r="ET22" s="273"/>
      <c r="EU22" s="273"/>
      <c r="EV22" s="273"/>
      <c r="EW22" s="273"/>
      <c r="EX22" s="273"/>
      <c r="EY22" s="273"/>
      <c r="EZ22" s="273"/>
      <c r="FA22" s="273"/>
      <c r="FB22" s="273"/>
      <c r="FC22" s="273"/>
      <c r="FD22" s="273"/>
      <c r="FE22" s="273"/>
      <c r="FF22" s="273"/>
      <c r="FG22" s="273"/>
      <c r="FH22" s="273"/>
      <c r="FI22" s="273"/>
      <c r="FJ22" s="273"/>
      <c r="FK22" s="273"/>
      <c r="FL22" s="273"/>
      <c r="FM22" s="273"/>
      <c r="FN22" s="273"/>
      <c r="FO22" s="273"/>
      <c r="FP22" s="273"/>
      <c r="FQ22" s="273"/>
      <c r="FR22" s="273"/>
      <c r="FS22" s="273"/>
      <c r="FT22" s="273"/>
      <c r="FU22" s="273"/>
      <c r="FV22" s="273"/>
      <c r="FW22" s="273"/>
      <c r="FX22" s="273"/>
      <c r="FY22" s="273"/>
      <c r="FZ22" s="273"/>
      <c r="GA22" s="273"/>
      <c r="GB22" s="273"/>
      <c r="GC22" s="273"/>
      <c r="GD22" s="273"/>
      <c r="GE22" s="273"/>
      <c r="GF22" s="273"/>
      <c r="GG22" s="273"/>
      <c r="GH22" s="273"/>
      <c r="GI22" s="273"/>
      <c r="GJ22" s="273"/>
      <c r="GK22" s="273"/>
      <c r="GL22" s="273"/>
      <c r="GM22" s="273"/>
      <c r="GN22" s="273"/>
      <c r="GO22" s="273"/>
      <c r="GP22" s="273"/>
      <c r="GQ22" s="273"/>
      <c r="GR22" s="273"/>
      <c r="GS22" s="273"/>
      <c r="GT22" s="273"/>
      <c r="GU22" s="273"/>
      <c r="GV22" s="273"/>
      <c r="GW22" s="273"/>
      <c r="GX22" s="273"/>
      <c r="GY22" s="273"/>
      <c r="GZ22" s="273"/>
      <c r="HA22" s="273"/>
      <c r="HB22" s="273"/>
      <c r="HC22" s="273"/>
      <c r="HD22" s="273"/>
      <c r="HE22" s="273"/>
      <c r="HF22" s="273"/>
      <c r="HG22" s="273"/>
      <c r="HH22" s="278" t="s">
        <v>259</v>
      </c>
    </row>
    <row r="23" spans="1:216" s="359" customFormat="1" outlineLevel="3" x14ac:dyDescent="0.2">
      <c r="A23" s="358"/>
      <c r="B23" s="358"/>
      <c r="C23" s="358"/>
      <c r="D23" s="358"/>
      <c r="E23" s="358"/>
      <c r="F23" s="358"/>
      <c r="G23" s="358"/>
      <c r="H23" s="358"/>
      <c r="I23" s="352"/>
      <c r="J23" s="260"/>
      <c r="K23" s="260"/>
      <c r="L23" s="261"/>
      <c r="M23" s="261" t="str">
        <f t="shared" si="0"/>
        <v/>
      </c>
      <c r="N23" s="262">
        <f t="shared" si="1"/>
        <v>0</v>
      </c>
      <c r="O23" s="260"/>
      <c r="P23" s="260"/>
      <c r="Q23" s="260"/>
      <c r="R23" s="260"/>
      <c r="S23" s="260"/>
      <c r="T23" s="260"/>
      <c r="U23" s="260"/>
      <c r="V23" s="260"/>
      <c r="W23" s="260"/>
      <c r="X23" s="260"/>
      <c r="Y23" s="260"/>
      <c r="Z23" s="260"/>
      <c r="AA23" s="260"/>
      <c r="AB23" s="260"/>
      <c r="AC23" s="260"/>
      <c r="AD23" s="260"/>
      <c r="AE23" s="260"/>
      <c r="AF23" s="260"/>
      <c r="AG23" s="260"/>
      <c r="AH23" s="260"/>
      <c r="AI23" s="260"/>
      <c r="AJ23" s="260"/>
      <c r="AK23" s="260"/>
      <c r="AL23" s="260"/>
      <c r="AM23" s="260"/>
      <c r="AN23" s="260"/>
      <c r="AO23" s="260"/>
      <c r="AP23" s="260"/>
      <c r="AQ23" s="260"/>
      <c r="AR23" s="260"/>
      <c r="AS23" s="260"/>
      <c r="AT23" s="260"/>
      <c r="AU23" s="260"/>
      <c r="AV23" s="260"/>
      <c r="AW23" s="260"/>
      <c r="AX23" s="260"/>
      <c r="AY23" s="260"/>
      <c r="AZ23" s="260"/>
      <c r="BA23" s="260"/>
      <c r="BB23" s="260"/>
      <c r="BC23" s="260"/>
      <c r="BD23" s="260"/>
      <c r="BE23" s="260"/>
      <c r="BF23" s="260"/>
      <c r="BG23" s="260"/>
      <c r="BH23" s="260"/>
      <c r="BI23" s="260"/>
      <c r="BJ23" s="260"/>
      <c r="BK23" s="260"/>
      <c r="BL23" s="260"/>
      <c r="BM23" s="260"/>
      <c r="BN23" s="260"/>
      <c r="BO23" s="260"/>
      <c r="BP23" s="260"/>
      <c r="BQ23" s="260"/>
      <c r="BR23" s="260"/>
      <c r="BS23" s="260"/>
      <c r="BT23" s="260"/>
      <c r="BU23" s="260"/>
      <c r="BV23" s="260"/>
      <c r="BW23" s="260"/>
      <c r="BX23" s="260"/>
      <c r="BY23" s="260"/>
      <c r="BZ23" s="260"/>
      <c r="CA23" s="260"/>
      <c r="CB23" s="260"/>
      <c r="CC23" s="260"/>
      <c r="CD23" s="260"/>
      <c r="CE23" s="260"/>
      <c r="CF23" s="260"/>
      <c r="CG23" s="260"/>
      <c r="CH23" s="260"/>
      <c r="CI23" s="260"/>
      <c r="CJ23" s="260"/>
      <c r="CK23" s="260"/>
      <c r="CL23" s="260"/>
      <c r="CM23" s="260"/>
      <c r="CN23" s="260"/>
      <c r="CO23" s="260"/>
      <c r="CP23" s="260"/>
      <c r="CQ23" s="260"/>
      <c r="CR23" s="260"/>
      <c r="CS23" s="260"/>
      <c r="CT23" s="260"/>
      <c r="CU23" s="260"/>
      <c r="CV23" s="260"/>
      <c r="CW23" s="260"/>
      <c r="CX23" s="260"/>
      <c r="CY23" s="260"/>
      <c r="CZ23" s="260"/>
      <c r="DA23" s="260"/>
      <c r="DB23" s="260"/>
      <c r="DC23" s="260"/>
      <c r="DD23" s="260"/>
      <c r="DE23" s="260"/>
      <c r="DF23" s="260"/>
      <c r="DG23" s="260"/>
      <c r="DH23" s="260"/>
      <c r="DI23" s="260"/>
      <c r="DJ23" s="260"/>
      <c r="DK23" s="260"/>
      <c r="DL23" s="260"/>
      <c r="DM23" s="260"/>
      <c r="DN23" s="260"/>
      <c r="DO23" s="260"/>
      <c r="DP23" s="260"/>
      <c r="DQ23" s="260"/>
      <c r="DR23" s="260"/>
      <c r="DS23" s="260"/>
      <c r="DT23" s="260"/>
      <c r="DU23" s="260"/>
      <c r="DV23" s="260"/>
      <c r="DW23" s="260"/>
      <c r="DX23" s="260"/>
      <c r="DY23" s="260"/>
      <c r="DZ23" s="260"/>
      <c r="EA23" s="260"/>
      <c r="EB23" s="260"/>
      <c r="EC23" s="260"/>
      <c r="ED23" s="260"/>
      <c r="EE23" s="260"/>
      <c r="EF23" s="260"/>
      <c r="EG23" s="260"/>
      <c r="EH23" s="260"/>
      <c r="EI23" s="260"/>
      <c r="EJ23" s="260"/>
      <c r="EK23" s="260"/>
      <c r="EL23" s="260"/>
      <c r="EM23" s="260"/>
      <c r="EN23" s="260"/>
      <c r="EO23" s="260"/>
      <c r="EP23" s="260"/>
      <c r="EQ23" s="260"/>
      <c r="ER23" s="260"/>
      <c r="ES23" s="260"/>
      <c r="ET23" s="260"/>
      <c r="EU23" s="260"/>
      <c r="EV23" s="260"/>
      <c r="EW23" s="260"/>
      <c r="EX23" s="260"/>
      <c r="EY23" s="260"/>
      <c r="EZ23" s="260"/>
      <c r="FA23" s="260"/>
      <c r="FB23" s="260"/>
      <c r="FC23" s="260"/>
      <c r="FD23" s="260"/>
      <c r="FE23" s="260"/>
      <c r="FF23" s="260"/>
      <c r="FG23" s="260"/>
      <c r="FH23" s="260"/>
      <c r="FI23" s="260"/>
      <c r="FJ23" s="260"/>
      <c r="FK23" s="260"/>
      <c r="FL23" s="260"/>
      <c r="FM23" s="260"/>
      <c r="FN23" s="260"/>
      <c r="FO23" s="260"/>
      <c r="FP23" s="260"/>
      <c r="FQ23" s="260"/>
      <c r="FR23" s="260"/>
      <c r="FS23" s="260"/>
      <c r="FT23" s="260"/>
      <c r="FU23" s="260"/>
      <c r="FV23" s="260"/>
      <c r="FW23" s="260"/>
      <c r="FX23" s="260"/>
      <c r="FY23" s="260"/>
      <c r="FZ23" s="260"/>
      <c r="GA23" s="260"/>
      <c r="GB23" s="260"/>
      <c r="GC23" s="260"/>
      <c r="GD23" s="260"/>
      <c r="GE23" s="260"/>
      <c r="GF23" s="260"/>
      <c r="GG23" s="260"/>
      <c r="GH23" s="260"/>
      <c r="GI23" s="260"/>
      <c r="GJ23" s="260"/>
      <c r="GK23" s="260"/>
      <c r="GL23" s="260"/>
      <c r="GM23" s="260"/>
      <c r="GN23" s="260"/>
      <c r="GO23" s="260"/>
      <c r="GP23" s="260"/>
      <c r="GQ23" s="260"/>
      <c r="GR23" s="260"/>
      <c r="GS23" s="260"/>
      <c r="GT23" s="260"/>
      <c r="GU23" s="260"/>
      <c r="GV23" s="260"/>
      <c r="GW23" s="260"/>
      <c r="GX23" s="260"/>
      <c r="GY23" s="260"/>
      <c r="GZ23" s="260"/>
      <c r="HA23" s="260"/>
      <c r="HB23" s="260"/>
      <c r="HC23" s="260"/>
      <c r="HD23" s="260"/>
      <c r="HE23" s="260"/>
      <c r="HF23" s="260"/>
      <c r="HG23" s="260"/>
      <c r="HH23" s="260" t="s">
        <v>259</v>
      </c>
    </row>
    <row r="24" spans="1:216" s="359" customFormat="1" outlineLevel="2" x14ac:dyDescent="0.2">
      <c r="A24" s="358"/>
      <c r="B24" s="358"/>
      <c r="C24" s="358"/>
      <c r="D24" s="358"/>
      <c r="E24" s="358"/>
      <c r="F24" s="358"/>
      <c r="G24" s="358"/>
      <c r="H24" s="358"/>
      <c r="I24" s="352" t="s">
        <v>221</v>
      </c>
      <c r="J24" s="260"/>
      <c r="K24" s="260"/>
      <c r="L24" s="261"/>
      <c r="M24" s="261" t="str">
        <f t="shared" si="0"/>
        <v/>
      </c>
      <c r="N24" s="262">
        <f t="shared" si="1"/>
        <v>0</v>
      </c>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260"/>
      <c r="BJ24" s="260"/>
      <c r="BK24" s="260"/>
      <c r="BL24" s="260"/>
      <c r="BM24" s="260"/>
      <c r="BN24" s="260"/>
      <c r="BO24" s="260"/>
      <c r="BP24" s="260"/>
      <c r="BQ24" s="260"/>
      <c r="BR24" s="260"/>
      <c r="BS24" s="260"/>
      <c r="BT24" s="260"/>
      <c r="BU24" s="260"/>
      <c r="BV24" s="260"/>
      <c r="BW24" s="260"/>
      <c r="BX24" s="260"/>
      <c r="BY24" s="260"/>
      <c r="BZ24" s="260"/>
      <c r="CA24" s="260"/>
      <c r="CB24" s="260"/>
      <c r="CC24" s="260"/>
      <c r="CD24" s="260"/>
      <c r="CE24" s="260"/>
      <c r="CF24" s="260"/>
      <c r="CG24" s="260"/>
      <c r="CH24" s="260"/>
      <c r="CI24" s="260"/>
      <c r="CJ24" s="260"/>
      <c r="CK24" s="260"/>
      <c r="CL24" s="260"/>
      <c r="CM24" s="260"/>
      <c r="CN24" s="260"/>
      <c r="CO24" s="260"/>
      <c r="CP24" s="260"/>
      <c r="CQ24" s="260"/>
      <c r="CR24" s="260"/>
      <c r="CS24" s="260"/>
      <c r="CT24" s="260"/>
      <c r="CU24" s="260"/>
      <c r="CV24" s="260"/>
      <c r="CW24" s="260"/>
      <c r="CX24" s="260"/>
      <c r="CY24" s="260"/>
      <c r="CZ24" s="260"/>
      <c r="DA24" s="260"/>
      <c r="DB24" s="260"/>
      <c r="DC24" s="260"/>
      <c r="DD24" s="260"/>
      <c r="DE24" s="260"/>
      <c r="DF24" s="260"/>
      <c r="DG24" s="260"/>
      <c r="DH24" s="260"/>
      <c r="DI24" s="260"/>
      <c r="DJ24" s="260"/>
      <c r="DK24" s="260"/>
      <c r="DL24" s="260"/>
      <c r="DM24" s="260"/>
      <c r="DN24" s="260"/>
      <c r="DO24" s="260"/>
      <c r="DP24" s="260"/>
      <c r="DQ24" s="260"/>
      <c r="DR24" s="260"/>
      <c r="DS24" s="260"/>
      <c r="DT24" s="260"/>
      <c r="DU24" s="260"/>
      <c r="DV24" s="260"/>
      <c r="DW24" s="260"/>
      <c r="DX24" s="260"/>
      <c r="DY24" s="260"/>
      <c r="DZ24" s="260"/>
      <c r="EA24" s="260"/>
      <c r="EB24" s="260"/>
      <c r="EC24" s="260"/>
      <c r="ED24" s="260"/>
      <c r="EE24" s="260"/>
      <c r="EF24" s="260"/>
      <c r="EG24" s="260"/>
      <c r="EH24" s="260"/>
      <c r="EI24" s="260"/>
      <c r="EJ24" s="260"/>
      <c r="EK24" s="260"/>
      <c r="EL24" s="260"/>
      <c r="EM24" s="260"/>
      <c r="EN24" s="260"/>
      <c r="EO24" s="260"/>
      <c r="EP24" s="260"/>
      <c r="EQ24" s="260"/>
      <c r="ER24" s="260"/>
      <c r="ES24" s="260"/>
      <c r="ET24" s="260"/>
      <c r="EU24" s="260"/>
      <c r="EV24" s="260"/>
      <c r="EW24" s="260"/>
      <c r="EX24" s="260"/>
      <c r="EY24" s="260"/>
      <c r="EZ24" s="260"/>
      <c r="FA24" s="260"/>
      <c r="FB24" s="260"/>
      <c r="FC24" s="260"/>
      <c r="FD24" s="260"/>
      <c r="FE24" s="260"/>
      <c r="FF24" s="260"/>
      <c r="FG24" s="260"/>
      <c r="FH24" s="260"/>
      <c r="FI24" s="260"/>
      <c r="FJ24" s="260"/>
      <c r="FK24" s="260"/>
      <c r="FL24" s="260"/>
      <c r="FM24" s="260"/>
      <c r="FN24" s="260"/>
      <c r="FO24" s="260"/>
      <c r="FP24" s="260"/>
      <c r="FQ24" s="260"/>
      <c r="FR24" s="260"/>
      <c r="FS24" s="260"/>
      <c r="FT24" s="260"/>
      <c r="FU24" s="260"/>
      <c r="FV24" s="260"/>
      <c r="FW24" s="260"/>
      <c r="FX24" s="260"/>
      <c r="FY24" s="260"/>
      <c r="FZ24" s="260"/>
      <c r="GA24" s="260"/>
      <c r="GB24" s="260"/>
      <c r="GC24" s="260"/>
      <c r="GD24" s="260"/>
      <c r="GE24" s="260"/>
      <c r="GF24" s="260"/>
      <c r="GG24" s="260"/>
      <c r="GH24" s="260"/>
      <c r="GI24" s="260"/>
      <c r="GJ24" s="260"/>
      <c r="GK24" s="260"/>
      <c r="GL24" s="260"/>
      <c r="GM24" s="260"/>
      <c r="GN24" s="260"/>
      <c r="GO24" s="260"/>
      <c r="GP24" s="260"/>
      <c r="GQ24" s="260"/>
      <c r="GR24" s="260"/>
      <c r="GS24" s="260"/>
      <c r="GT24" s="260"/>
      <c r="GU24" s="260"/>
      <c r="GV24" s="260"/>
      <c r="GW24" s="260"/>
      <c r="GX24" s="260"/>
      <c r="GY24" s="260"/>
      <c r="GZ24" s="260"/>
      <c r="HA24" s="260"/>
      <c r="HB24" s="260"/>
      <c r="HC24" s="260"/>
      <c r="HD24" s="260"/>
      <c r="HE24" s="260"/>
      <c r="HF24" s="260"/>
      <c r="HG24" s="260"/>
      <c r="HH24" s="263" t="s">
        <v>259</v>
      </c>
    </row>
    <row r="25" spans="1:216" s="271" customFormat="1" outlineLevel="3" x14ac:dyDescent="0.2">
      <c r="H25" s="265"/>
      <c r="I25" s="353" t="s">
        <v>356</v>
      </c>
      <c r="J25" s="266"/>
      <c r="K25" s="267">
        <v>-3</v>
      </c>
      <c r="L25" s="268"/>
      <c r="M25" s="268" t="str">
        <f t="shared" si="0"/>
        <v/>
      </c>
      <c r="N25" s="269">
        <f t="shared" si="1"/>
        <v>0</v>
      </c>
      <c r="O25" s="270"/>
      <c r="P25" s="270"/>
      <c r="Q25" s="270"/>
      <c r="R25" s="270"/>
      <c r="S25" s="270"/>
      <c r="T25" s="270"/>
      <c r="U25" s="270"/>
      <c r="V25" s="270"/>
      <c r="W25" s="270"/>
      <c r="X25" s="270"/>
      <c r="Y25" s="270"/>
      <c r="Z25" s="270"/>
      <c r="AA25" s="270"/>
      <c r="AB25" s="270"/>
      <c r="AC25" s="270"/>
      <c r="AD25" s="270"/>
      <c r="AE25" s="270"/>
      <c r="AF25" s="270"/>
      <c r="AG25" s="270"/>
      <c r="AH25" s="270"/>
      <c r="AI25" s="270"/>
      <c r="AJ25" s="270"/>
      <c r="AK25" s="270"/>
      <c r="AL25" s="270"/>
      <c r="AM25" s="270"/>
      <c r="AN25" s="270"/>
      <c r="AO25" s="270"/>
      <c r="AP25" s="270"/>
      <c r="AQ25" s="270"/>
      <c r="AR25" s="270"/>
      <c r="AS25" s="270"/>
      <c r="AT25" s="270"/>
      <c r="AU25" s="270"/>
      <c r="AV25" s="270"/>
      <c r="AW25" s="270"/>
      <c r="AX25" s="270"/>
      <c r="AY25" s="270"/>
      <c r="AZ25" s="270"/>
      <c r="BA25" s="270"/>
      <c r="BB25" s="270"/>
      <c r="BC25" s="270"/>
      <c r="BD25" s="270"/>
      <c r="BE25" s="270"/>
      <c r="BF25" s="270"/>
      <c r="BG25" s="270"/>
      <c r="BH25" s="270"/>
      <c r="BI25" s="270"/>
      <c r="BJ25" s="270"/>
      <c r="BK25" s="270"/>
      <c r="BL25" s="270"/>
      <c r="BM25" s="270"/>
      <c r="BN25" s="270"/>
      <c r="BO25" s="270"/>
      <c r="BP25" s="270"/>
      <c r="BQ25" s="270"/>
      <c r="BR25" s="270"/>
      <c r="BS25" s="270"/>
      <c r="BT25" s="270"/>
      <c r="BU25" s="270"/>
      <c r="BV25" s="270"/>
      <c r="BW25" s="270"/>
      <c r="BX25" s="270"/>
      <c r="BY25" s="270"/>
      <c r="BZ25" s="270"/>
      <c r="CA25" s="270"/>
      <c r="CB25" s="270"/>
      <c r="CC25" s="270"/>
      <c r="CD25" s="270"/>
      <c r="CE25" s="270"/>
      <c r="CF25" s="270"/>
      <c r="CG25" s="270"/>
      <c r="CH25" s="270"/>
      <c r="CI25" s="270"/>
      <c r="CJ25" s="270"/>
      <c r="CK25" s="270"/>
      <c r="CL25" s="270"/>
      <c r="CM25" s="270"/>
      <c r="CN25" s="270"/>
      <c r="CO25" s="270"/>
      <c r="CP25" s="270"/>
      <c r="CQ25" s="270"/>
      <c r="CR25" s="270"/>
      <c r="CS25" s="270"/>
      <c r="CT25" s="270"/>
      <c r="CU25" s="270"/>
      <c r="CV25" s="270"/>
      <c r="CW25" s="270"/>
      <c r="CX25" s="270"/>
      <c r="CY25" s="270"/>
      <c r="CZ25" s="270"/>
      <c r="DA25" s="270"/>
      <c r="DB25" s="270"/>
      <c r="DC25" s="270"/>
      <c r="DD25" s="270"/>
      <c r="DE25" s="270"/>
      <c r="DF25" s="270"/>
      <c r="DG25" s="270"/>
      <c r="DH25" s="270"/>
      <c r="DI25" s="270"/>
      <c r="DJ25" s="270"/>
      <c r="DK25" s="270"/>
      <c r="DL25" s="270"/>
      <c r="DM25" s="270"/>
      <c r="DN25" s="270"/>
      <c r="DO25" s="270"/>
      <c r="DP25" s="270"/>
      <c r="DQ25" s="270"/>
      <c r="DR25" s="270"/>
      <c r="DS25" s="270"/>
      <c r="DT25" s="270"/>
      <c r="DU25" s="270"/>
      <c r="DV25" s="270"/>
      <c r="DW25" s="270"/>
      <c r="DX25" s="270"/>
      <c r="DY25" s="270"/>
      <c r="DZ25" s="270"/>
      <c r="EA25" s="270"/>
      <c r="EB25" s="270"/>
      <c r="EC25" s="270"/>
      <c r="ED25" s="270"/>
      <c r="EE25" s="270"/>
      <c r="EF25" s="270"/>
      <c r="EG25" s="270"/>
      <c r="EH25" s="270"/>
      <c r="EI25" s="270"/>
      <c r="EJ25" s="270"/>
      <c r="EK25" s="270"/>
      <c r="EL25" s="270"/>
      <c r="EM25" s="270"/>
      <c r="EN25" s="270"/>
      <c r="EO25" s="270"/>
      <c r="EP25" s="270"/>
      <c r="EQ25" s="270"/>
      <c r="ER25" s="270"/>
      <c r="ES25" s="270"/>
      <c r="ET25" s="270"/>
      <c r="EU25" s="270"/>
      <c r="EV25" s="270"/>
      <c r="EW25" s="270"/>
      <c r="EX25" s="270"/>
      <c r="EY25" s="270"/>
      <c r="EZ25" s="270"/>
      <c r="FA25" s="270"/>
      <c r="FB25" s="270"/>
      <c r="FC25" s="270"/>
      <c r="FD25" s="270"/>
      <c r="FE25" s="270"/>
      <c r="FF25" s="270"/>
      <c r="FG25" s="270"/>
      <c r="FH25" s="270"/>
      <c r="FI25" s="270"/>
      <c r="FJ25" s="270"/>
      <c r="FK25" s="270"/>
      <c r="FL25" s="270"/>
      <c r="FM25" s="270"/>
      <c r="FN25" s="270"/>
      <c r="FO25" s="270"/>
      <c r="FP25" s="270"/>
      <c r="FQ25" s="270"/>
      <c r="FR25" s="270"/>
      <c r="FS25" s="270"/>
      <c r="FT25" s="270"/>
      <c r="FU25" s="270"/>
      <c r="FV25" s="270"/>
      <c r="FW25" s="270"/>
      <c r="FX25" s="270"/>
      <c r="FY25" s="270"/>
      <c r="FZ25" s="270"/>
      <c r="GA25" s="270"/>
      <c r="GB25" s="270"/>
      <c r="GC25" s="270"/>
      <c r="GD25" s="270"/>
      <c r="GE25" s="270"/>
      <c r="GF25" s="270"/>
      <c r="GG25" s="270"/>
      <c r="GH25" s="270"/>
      <c r="GI25" s="270"/>
      <c r="GJ25" s="270"/>
      <c r="GK25" s="270"/>
      <c r="GL25" s="270"/>
      <c r="GM25" s="270"/>
      <c r="GN25" s="270"/>
      <c r="GO25" s="270"/>
      <c r="GP25" s="270"/>
      <c r="GQ25" s="270"/>
      <c r="GR25" s="270"/>
      <c r="GS25" s="270"/>
      <c r="GT25" s="270"/>
      <c r="GU25" s="270"/>
      <c r="GV25" s="270"/>
      <c r="GW25" s="270"/>
      <c r="GX25" s="270"/>
      <c r="GY25" s="270"/>
      <c r="GZ25" s="270"/>
      <c r="HA25" s="270"/>
      <c r="HB25" s="270"/>
      <c r="HC25" s="270"/>
      <c r="HD25" s="270"/>
      <c r="HE25" s="270"/>
      <c r="HF25" s="270"/>
      <c r="HG25" s="270"/>
      <c r="HH25" s="270" t="s">
        <v>259</v>
      </c>
    </row>
    <row r="26" spans="1:216" s="271" customFormat="1" outlineLevel="3" x14ac:dyDescent="0.2">
      <c r="H26" s="360"/>
      <c r="I26" s="361" t="s">
        <v>357</v>
      </c>
      <c r="J26" s="266"/>
      <c r="K26" s="267">
        <v>-3</v>
      </c>
      <c r="L26" s="268"/>
      <c r="M26" s="268" t="str">
        <f t="shared" si="0"/>
        <v/>
      </c>
      <c r="N26" s="269">
        <f t="shared" si="1"/>
        <v>0</v>
      </c>
      <c r="O26" s="270"/>
      <c r="P26" s="270"/>
      <c r="Q26" s="270"/>
      <c r="R26" s="270"/>
      <c r="S26" s="270"/>
      <c r="T26" s="270"/>
      <c r="U26" s="270"/>
      <c r="V26" s="270"/>
      <c r="W26" s="270"/>
      <c r="X26" s="270"/>
      <c r="Y26" s="270"/>
      <c r="Z26" s="270"/>
      <c r="AA26" s="270"/>
      <c r="AB26" s="270"/>
      <c r="AC26" s="270"/>
      <c r="AD26" s="270"/>
      <c r="AE26" s="270"/>
      <c r="AF26" s="270"/>
      <c r="AG26" s="270"/>
      <c r="AH26" s="270"/>
      <c r="AI26" s="270"/>
      <c r="AJ26" s="270"/>
      <c r="AK26" s="270"/>
      <c r="AL26" s="270"/>
      <c r="AM26" s="270"/>
      <c r="AN26" s="270"/>
      <c r="AO26" s="270"/>
      <c r="AP26" s="270"/>
      <c r="AQ26" s="270"/>
      <c r="AR26" s="270"/>
      <c r="AS26" s="270"/>
      <c r="AT26" s="270"/>
      <c r="AU26" s="270"/>
      <c r="AV26" s="270"/>
      <c r="AW26" s="270"/>
      <c r="AX26" s="270"/>
      <c r="AY26" s="270"/>
      <c r="AZ26" s="270"/>
      <c r="BA26" s="270"/>
      <c r="BB26" s="270"/>
      <c r="BC26" s="270"/>
      <c r="BD26" s="270"/>
      <c r="BE26" s="270"/>
      <c r="BF26" s="270"/>
      <c r="BG26" s="270"/>
      <c r="BH26" s="270"/>
      <c r="BI26" s="270"/>
      <c r="BJ26" s="270"/>
      <c r="BK26" s="270"/>
      <c r="BL26" s="270"/>
      <c r="BM26" s="270"/>
      <c r="BN26" s="270"/>
      <c r="BO26" s="270"/>
      <c r="BP26" s="270"/>
      <c r="BQ26" s="270"/>
      <c r="BR26" s="270"/>
      <c r="BS26" s="270"/>
      <c r="BT26" s="270"/>
      <c r="BU26" s="270"/>
      <c r="BV26" s="270"/>
      <c r="BW26" s="270"/>
      <c r="BX26" s="270"/>
      <c r="BY26" s="270"/>
      <c r="BZ26" s="270"/>
      <c r="CA26" s="270"/>
      <c r="CB26" s="270"/>
      <c r="CC26" s="270"/>
      <c r="CD26" s="270"/>
      <c r="CE26" s="270"/>
      <c r="CF26" s="270"/>
      <c r="CG26" s="270"/>
      <c r="CH26" s="270"/>
      <c r="CI26" s="270"/>
      <c r="CJ26" s="270"/>
      <c r="CK26" s="270"/>
      <c r="CL26" s="270"/>
      <c r="CM26" s="270"/>
      <c r="CN26" s="270"/>
      <c r="CO26" s="270"/>
      <c r="CP26" s="270"/>
      <c r="CQ26" s="270"/>
      <c r="CR26" s="270"/>
      <c r="CS26" s="270"/>
      <c r="CT26" s="270"/>
      <c r="CU26" s="270"/>
      <c r="CV26" s="270"/>
      <c r="CW26" s="270"/>
      <c r="CX26" s="270"/>
      <c r="CY26" s="270"/>
      <c r="CZ26" s="270"/>
      <c r="DA26" s="270"/>
      <c r="DB26" s="270"/>
      <c r="DC26" s="270"/>
      <c r="DD26" s="270"/>
      <c r="DE26" s="270"/>
      <c r="DF26" s="270"/>
      <c r="DG26" s="270"/>
      <c r="DH26" s="270"/>
      <c r="DI26" s="270"/>
      <c r="DJ26" s="270"/>
      <c r="DK26" s="270"/>
      <c r="DL26" s="270"/>
      <c r="DM26" s="270"/>
      <c r="DN26" s="270"/>
      <c r="DO26" s="270"/>
      <c r="DP26" s="270"/>
      <c r="DQ26" s="270"/>
      <c r="DR26" s="270"/>
      <c r="DS26" s="270"/>
      <c r="DT26" s="270"/>
      <c r="DU26" s="270"/>
      <c r="DV26" s="270"/>
      <c r="DW26" s="270"/>
      <c r="DX26" s="270"/>
      <c r="DY26" s="270"/>
      <c r="DZ26" s="270"/>
      <c r="EA26" s="270"/>
      <c r="EB26" s="270"/>
      <c r="EC26" s="270"/>
      <c r="ED26" s="270"/>
      <c r="EE26" s="270"/>
      <c r="EF26" s="270"/>
      <c r="EG26" s="270"/>
      <c r="EH26" s="270"/>
      <c r="EI26" s="270"/>
      <c r="EJ26" s="270"/>
      <c r="EK26" s="270"/>
      <c r="EL26" s="270"/>
      <c r="EM26" s="270"/>
      <c r="EN26" s="270"/>
      <c r="EO26" s="270"/>
      <c r="EP26" s="270"/>
      <c r="EQ26" s="270"/>
      <c r="ER26" s="270"/>
      <c r="ES26" s="270"/>
      <c r="ET26" s="270"/>
      <c r="EU26" s="270"/>
      <c r="EV26" s="270"/>
      <c r="EW26" s="270"/>
      <c r="EX26" s="270"/>
      <c r="EY26" s="270"/>
      <c r="EZ26" s="270"/>
      <c r="FA26" s="270"/>
      <c r="FB26" s="270"/>
      <c r="FC26" s="270"/>
      <c r="FD26" s="270"/>
      <c r="FE26" s="270"/>
      <c r="FF26" s="270"/>
      <c r="FG26" s="270"/>
      <c r="FH26" s="270"/>
      <c r="FI26" s="270"/>
      <c r="FJ26" s="270"/>
      <c r="FK26" s="270"/>
      <c r="FL26" s="270"/>
      <c r="FM26" s="270"/>
      <c r="FN26" s="270"/>
      <c r="FO26" s="270"/>
      <c r="FP26" s="270"/>
      <c r="FQ26" s="270"/>
      <c r="FR26" s="270"/>
      <c r="FS26" s="270"/>
      <c r="FT26" s="270"/>
      <c r="FU26" s="270"/>
      <c r="FV26" s="270"/>
      <c r="FW26" s="270"/>
      <c r="FX26" s="270"/>
      <c r="FY26" s="270"/>
      <c r="FZ26" s="270"/>
      <c r="GA26" s="270"/>
      <c r="GB26" s="270"/>
      <c r="GC26" s="270"/>
      <c r="GD26" s="270"/>
      <c r="GE26" s="270"/>
      <c r="GF26" s="270"/>
      <c r="GG26" s="270"/>
      <c r="GH26" s="270"/>
      <c r="GI26" s="270"/>
      <c r="GJ26" s="270"/>
      <c r="GK26" s="270"/>
      <c r="GL26" s="270"/>
      <c r="GM26" s="270"/>
      <c r="GN26" s="270"/>
      <c r="GO26" s="270"/>
      <c r="GP26" s="270"/>
      <c r="GQ26" s="270"/>
      <c r="GR26" s="270"/>
      <c r="GS26" s="270"/>
      <c r="GT26" s="270"/>
      <c r="GU26" s="270"/>
      <c r="GV26" s="270"/>
      <c r="GW26" s="270"/>
      <c r="GX26" s="270"/>
      <c r="GY26" s="270"/>
      <c r="GZ26" s="270"/>
      <c r="HA26" s="270"/>
      <c r="HB26" s="270"/>
      <c r="HC26" s="270"/>
      <c r="HD26" s="270"/>
      <c r="HE26" s="270"/>
      <c r="HF26" s="270"/>
      <c r="HG26" s="270"/>
      <c r="HH26" s="270" t="s">
        <v>259</v>
      </c>
    </row>
    <row r="27" spans="1:216" s="271" customFormat="1" ht="25.5" outlineLevel="3" x14ac:dyDescent="0.2">
      <c r="H27" s="360"/>
      <c r="I27" s="361" t="s">
        <v>358</v>
      </c>
      <c r="J27" s="266"/>
      <c r="K27" s="267">
        <v>-1</v>
      </c>
      <c r="L27" s="268"/>
      <c r="M27" s="268" t="str">
        <f t="shared" si="0"/>
        <v/>
      </c>
      <c r="N27" s="269">
        <f t="shared" si="1"/>
        <v>0</v>
      </c>
      <c r="O27" s="270"/>
      <c r="P27" s="270"/>
      <c r="Q27" s="270"/>
      <c r="R27" s="270"/>
      <c r="S27" s="270"/>
      <c r="T27" s="270"/>
      <c r="U27" s="270"/>
      <c r="V27" s="270"/>
      <c r="W27" s="270"/>
      <c r="X27" s="270"/>
      <c r="Y27" s="270"/>
      <c r="Z27" s="270"/>
      <c r="AA27" s="270"/>
      <c r="AB27" s="270"/>
      <c r="AC27" s="270"/>
      <c r="AD27" s="270"/>
      <c r="AE27" s="270"/>
      <c r="AF27" s="270"/>
      <c r="AG27" s="270"/>
      <c r="AH27" s="270"/>
      <c r="AI27" s="270"/>
      <c r="AJ27" s="270"/>
      <c r="AK27" s="270"/>
      <c r="AL27" s="270"/>
      <c r="AM27" s="270"/>
      <c r="AN27" s="270"/>
      <c r="AO27" s="270"/>
      <c r="AP27" s="270"/>
      <c r="AQ27" s="270"/>
      <c r="AR27" s="270"/>
      <c r="AS27" s="270"/>
      <c r="AT27" s="270"/>
      <c r="AU27" s="270"/>
      <c r="AV27" s="270"/>
      <c r="AW27" s="270"/>
      <c r="AX27" s="270"/>
      <c r="AY27" s="270"/>
      <c r="AZ27" s="270"/>
      <c r="BA27" s="270"/>
      <c r="BB27" s="270"/>
      <c r="BC27" s="270"/>
      <c r="BD27" s="270"/>
      <c r="BE27" s="270"/>
      <c r="BF27" s="270"/>
      <c r="BG27" s="270"/>
      <c r="BH27" s="270"/>
      <c r="BI27" s="270"/>
      <c r="BJ27" s="270"/>
      <c r="BK27" s="270"/>
      <c r="BL27" s="270"/>
      <c r="BM27" s="270"/>
      <c r="BN27" s="270"/>
      <c r="BO27" s="270"/>
      <c r="BP27" s="270"/>
      <c r="BQ27" s="270"/>
      <c r="BR27" s="270"/>
      <c r="BS27" s="270"/>
      <c r="BT27" s="270"/>
      <c r="BU27" s="270"/>
      <c r="BV27" s="270"/>
      <c r="BW27" s="270"/>
      <c r="BX27" s="270"/>
      <c r="BY27" s="270"/>
      <c r="BZ27" s="270"/>
      <c r="CA27" s="270"/>
      <c r="CB27" s="270"/>
      <c r="CC27" s="270"/>
      <c r="CD27" s="270"/>
      <c r="CE27" s="270"/>
      <c r="CF27" s="270"/>
      <c r="CG27" s="270"/>
      <c r="CH27" s="270"/>
      <c r="CI27" s="270"/>
      <c r="CJ27" s="270"/>
      <c r="CK27" s="270"/>
      <c r="CL27" s="270"/>
      <c r="CM27" s="270"/>
      <c r="CN27" s="270"/>
      <c r="CO27" s="270"/>
      <c r="CP27" s="270"/>
      <c r="CQ27" s="270"/>
      <c r="CR27" s="270"/>
      <c r="CS27" s="270"/>
      <c r="CT27" s="270"/>
      <c r="CU27" s="270"/>
      <c r="CV27" s="270"/>
      <c r="CW27" s="270"/>
      <c r="CX27" s="270"/>
      <c r="CY27" s="270"/>
      <c r="CZ27" s="270"/>
      <c r="DA27" s="270"/>
      <c r="DB27" s="270"/>
      <c r="DC27" s="270"/>
      <c r="DD27" s="270"/>
      <c r="DE27" s="270"/>
      <c r="DF27" s="270"/>
      <c r="DG27" s="270"/>
      <c r="DH27" s="270"/>
      <c r="DI27" s="270"/>
      <c r="DJ27" s="270"/>
      <c r="DK27" s="270"/>
      <c r="DL27" s="270"/>
      <c r="DM27" s="270"/>
      <c r="DN27" s="270"/>
      <c r="DO27" s="270"/>
      <c r="DP27" s="270"/>
      <c r="DQ27" s="270"/>
      <c r="DR27" s="270"/>
      <c r="DS27" s="270"/>
      <c r="DT27" s="270"/>
      <c r="DU27" s="270"/>
      <c r="DV27" s="270"/>
      <c r="DW27" s="270"/>
      <c r="DX27" s="270"/>
      <c r="DY27" s="270"/>
      <c r="DZ27" s="270"/>
      <c r="EA27" s="270"/>
      <c r="EB27" s="270"/>
      <c r="EC27" s="270"/>
      <c r="ED27" s="270"/>
      <c r="EE27" s="270"/>
      <c r="EF27" s="270"/>
      <c r="EG27" s="270"/>
      <c r="EH27" s="270"/>
      <c r="EI27" s="270"/>
      <c r="EJ27" s="270"/>
      <c r="EK27" s="270"/>
      <c r="EL27" s="270"/>
      <c r="EM27" s="270"/>
      <c r="EN27" s="270"/>
      <c r="EO27" s="270"/>
      <c r="EP27" s="270"/>
      <c r="EQ27" s="270"/>
      <c r="ER27" s="270"/>
      <c r="ES27" s="270"/>
      <c r="ET27" s="270"/>
      <c r="EU27" s="270"/>
      <c r="EV27" s="270"/>
      <c r="EW27" s="270"/>
      <c r="EX27" s="270"/>
      <c r="EY27" s="270"/>
      <c r="EZ27" s="270"/>
      <c r="FA27" s="270"/>
      <c r="FB27" s="270"/>
      <c r="FC27" s="270"/>
      <c r="FD27" s="270"/>
      <c r="FE27" s="270"/>
      <c r="FF27" s="270"/>
      <c r="FG27" s="270"/>
      <c r="FH27" s="270"/>
      <c r="FI27" s="270"/>
      <c r="FJ27" s="270"/>
      <c r="FK27" s="270"/>
      <c r="FL27" s="270"/>
      <c r="FM27" s="270"/>
      <c r="FN27" s="270"/>
      <c r="FO27" s="270"/>
      <c r="FP27" s="270"/>
      <c r="FQ27" s="270"/>
      <c r="FR27" s="270"/>
      <c r="FS27" s="270"/>
      <c r="FT27" s="270"/>
      <c r="FU27" s="270"/>
      <c r="FV27" s="270"/>
      <c r="FW27" s="270"/>
      <c r="FX27" s="270"/>
      <c r="FY27" s="270"/>
      <c r="FZ27" s="270"/>
      <c r="GA27" s="270"/>
      <c r="GB27" s="270"/>
      <c r="GC27" s="270"/>
      <c r="GD27" s="270"/>
      <c r="GE27" s="270"/>
      <c r="GF27" s="270"/>
      <c r="GG27" s="270"/>
      <c r="GH27" s="270"/>
      <c r="GI27" s="270"/>
      <c r="GJ27" s="270"/>
      <c r="GK27" s="270"/>
      <c r="GL27" s="270"/>
      <c r="GM27" s="270"/>
      <c r="GN27" s="270"/>
      <c r="GO27" s="270"/>
      <c r="GP27" s="270"/>
      <c r="GQ27" s="270"/>
      <c r="GR27" s="270"/>
      <c r="GS27" s="270"/>
      <c r="GT27" s="270"/>
      <c r="GU27" s="270"/>
      <c r="GV27" s="270"/>
      <c r="GW27" s="270"/>
      <c r="GX27" s="270"/>
      <c r="GY27" s="270"/>
      <c r="GZ27" s="270"/>
      <c r="HA27" s="270"/>
      <c r="HB27" s="270"/>
      <c r="HC27" s="270"/>
      <c r="HD27" s="270"/>
      <c r="HE27" s="270"/>
      <c r="HF27" s="270"/>
      <c r="HG27" s="270"/>
      <c r="HH27" s="270" t="s">
        <v>259</v>
      </c>
    </row>
    <row r="28" spans="1:216" s="271" customFormat="1" ht="38.25" outlineLevel="3" x14ac:dyDescent="0.2">
      <c r="H28" s="265"/>
      <c r="I28" s="353" t="s">
        <v>359</v>
      </c>
      <c r="J28" s="266"/>
      <c r="K28" s="267">
        <v>-1</v>
      </c>
      <c r="L28" s="268"/>
      <c r="M28" s="268" t="str">
        <f t="shared" si="0"/>
        <v/>
      </c>
      <c r="N28" s="269">
        <f t="shared" si="1"/>
        <v>0</v>
      </c>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270"/>
      <c r="BF28" s="270"/>
      <c r="BG28" s="270"/>
      <c r="BH28" s="270"/>
      <c r="BI28" s="270"/>
      <c r="BJ28" s="270"/>
      <c r="BK28" s="270"/>
      <c r="BL28" s="270"/>
      <c r="BM28" s="270"/>
      <c r="BN28" s="270"/>
      <c r="BO28" s="270"/>
      <c r="BP28" s="270"/>
      <c r="BQ28" s="270"/>
      <c r="BR28" s="270"/>
      <c r="BS28" s="270"/>
      <c r="BT28" s="270"/>
      <c r="BU28" s="270"/>
      <c r="BV28" s="270"/>
      <c r="BW28" s="270"/>
      <c r="BX28" s="270"/>
      <c r="BY28" s="270"/>
      <c r="BZ28" s="270"/>
      <c r="CA28" s="270"/>
      <c r="CB28" s="270"/>
      <c r="CC28" s="270"/>
      <c r="CD28" s="270"/>
      <c r="CE28" s="270"/>
      <c r="CF28" s="270"/>
      <c r="CG28" s="270"/>
      <c r="CH28" s="270"/>
      <c r="CI28" s="270"/>
      <c r="CJ28" s="270"/>
      <c r="CK28" s="270"/>
      <c r="CL28" s="270"/>
      <c r="CM28" s="270"/>
      <c r="CN28" s="270"/>
      <c r="CO28" s="270"/>
      <c r="CP28" s="270"/>
      <c r="CQ28" s="270"/>
      <c r="CR28" s="270"/>
      <c r="CS28" s="270"/>
      <c r="CT28" s="270"/>
      <c r="CU28" s="270"/>
      <c r="CV28" s="270"/>
      <c r="CW28" s="270"/>
      <c r="CX28" s="270"/>
      <c r="CY28" s="270"/>
      <c r="CZ28" s="270"/>
      <c r="DA28" s="270"/>
      <c r="DB28" s="270"/>
      <c r="DC28" s="270"/>
      <c r="DD28" s="270"/>
      <c r="DE28" s="270"/>
      <c r="DF28" s="270"/>
      <c r="DG28" s="270"/>
      <c r="DH28" s="270"/>
      <c r="DI28" s="270"/>
      <c r="DJ28" s="270"/>
      <c r="DK28" s="270"/>
      <c r="DL28" s="270"/>
      <c r="DM28" s="270"/>
      <c r="DN28" s="270"/>
      <c r="DO28" s="270"/>
      <c r="DP28" s="270"/>
      <c r="DQ28" s="270"/>
      <c r="DR28" s="270"/>
      <c r="DS28" s="270"/>
      <c r="DT28" s="270"/>
      <c r="DU28" s="270"/>
      <c r="DV28" s="270"/>
      <c r="DW28" s="270"/>
      <c r="DX28" s="270"/>
      <c r="DY28" s="270"/>
      <c r="DZ28" s="270"/>
      <c r="EA28" s="270"/>
      <c r="EB28" s="270"/>
      <c r="EC28" s="270"/>
      <c r="ED28" s="270"/>
      <c r="EE28" s="270"/>
      <c r="EF28" s="270"/>
      <c r="EG28" s="270"/>
      <c r="EH28" s="270"/>
      <c r="EI28" s="270"/>
      <c r="EJ28" s="270"/>
      <c r="EK28" s="270"/>
      <c r="EL28" s="270"/>
      <c r="EM28" s="270"/>
      <c r="EN28" s="270"/>
      <c r="EO28" s="270"/>
      <c r="EP28" s="270"/>
      <c r="EQ28" s="270"/>
      <c r="ER28" s="270"/>
      <c r="ES28" s="270"/>
      <c r="ET28" s="270"/>
      <c r="EU28" s="270"/>
      <c r="EV28" s="270"/>
      <c r="EW28" s="270"/>
      <c r="EX28" s="270"/>
      <c r="EY28" s="270"/>
      <c r="EZ28" s="270"/>
      <c r="FA28" s="270"/>
      <c r="FB28" s="270"/>
      <c r="FC28" s="270"/>
      <c r="FD28" s="270"/>
      <c r="FE28" s="270"/>
      <c r="FF28" s="270"/>
      <c r="FG28" s="270"/>
      <c r="FH28" s="270"/>
      <c r="FI28" s="270"/>
      <c r="FJ28" s="270"/>
      <c r="FK28" s="270"/>
      <c r="FL28" s="270"/>
      <c r="FM28" s="270"/>
      <c r="FN28" s="270"/>
      <c r="FO28" s="270"/>
      <c r="FP28" s="270"/>
      <c r="FQ28" s="270"/>
      <c r="FR28" s="270"/>
      <c r="FS28" s="270"/>
      <c r="FT28" s="270"/>
      <c r="FU28" s="270"/>
      <c r="FV28" s="270"/>
      <c r="FW28" s="270"/>
      <c r="FX28" s="270"/>
      <c r="FY28" s="270"/>
      <c r="FZ28" s="270"/>
      <c r="GA28" s="270"/>
      <c r="GB28" s="270"/>
      <c r="GC28" s="270"/>
      <c r="GD28" s="270"/>
      <c r="GE28" s="270"/>
      <c r="GF28" s="270"/>
      <c r="GG28" s="270"/>
      <c r="GH28" s="270"/>
      <c r="GI28" s="270"/>
      <c r="GJ28" s="270"/>
      <c r="GK28" s="270"/>
      <c r="GL28" s="270"/>
      <c r="GM28" s="270"/>
      <c r="GN28" s="270"/>
      <c r="GO28" s="270"/>
      <c r="GP28" s="270"/>
      <c r="GQ28" s="270"/>
      <c r="GR28" s="270"/>
      <c r="GS28" s="270"/>
      <c r="GT28" s="270"/>
      <c r="GU28" s="270"/>
      <c r="GV28" s="270"/>
      <c r="GW28" s="270"/>
      <c r="GX28" s="270"/>
      <c r="GY28" s="270"/>
      <c r="GZ28" s="270"/>
      <c r="HA28" s="270"/>
      <c r="HB28" s="270"/>
      <c r="HC28" s="270"/>
      <c r="HD28" s="270"/>
      <c r="HE28" s="270"/>
      <c r="HF28" s="270"/>
      <c r="HG28" s="270"/>
      <c r="HH28" s="270" t="s">
        <v>259</v>
      </c>
    </row>
    <row r="29" spans="1:216" s="271" customFormat="1" outlineLevel="3" x14ac:dyDescent="0.2">
      <c r="H29" s="265"/>
      <c r="I29" s="353" t="s">
        <v>276</v>
      </c>
      <c r="J29" s="266"/>
      <c r="K29" s="267">
        <v>-2</v>
      </c>
      <c r="L29" s="268"/>
      <c r="M29" s="268" t="str">
        <f t="shared" si="0"/>
        <v/>
      </c>
      <c r="N29" s="269">
        <f t="shared" si="1"/>
        <v>0</v>
      </c>
      <c r="O29" s="270"/>
      <c r="P29" s="270"/>
      <c r="Q29" s="270"/>
      <c r="R29" s="270"/>
      <c r="S29" s="270"/>
      <c r="T29" s="270"/>
      <c r="U29" s="270"/>
      <c r="V29" s="270"/>
      <c r="W29" s="270"/>
      <c r="X29" s="270"/>
      <c r="Y29" s="270"/>
      <c r="Z29" s="270"/>
      <c r="AA29" s="270"/>
      <c r="AB29" s="270"/>
      <c r="AC29" s="270"/>
      <c r="AD29" s="270"/>
      <c r="AE29" s="270"/>
      <c r="AF29" s="270"/>
      <c r="AG29" s="270"/>
      <c r="AH29" s="270"/>
      <c r="AI29" s="270"/>
      <c r="AJ29" s="270"/>
      <c r="AK29" s="270"/>
      <c r="AL29" s="270"/>
      <c r="AM29" s="270"/>
      <c r="AN29" s="270"/>
      <c r="AO29" s="270"/>
      <c r="AP29" s="270"/>
      <c r="AQ29" s="270"/>
      <c r="AR29" s="270"/>
      <c r="AS29" s="270"/>
      <c r="AT29" s="270"/>
      <c r="AU29" s="270"/>
      <c r="AV29" s="270"/>
      <c r="AW29" s="270"/>
      <c r="AX29" s="270"/>
      <c r="AY29" s="270"/>
      <c r="AZ29" s="270"/>
      <c r="BA29" s="270"/>
      <c r="BB29" s="270"/>
      <c r="BC29" s="270"/>
      <c r="BD29" s="270"/>
      <c r="BE29" s="270"/>
      <c r="BF29" s="270"/>
      <c r="BG29" s="270"/>
      <c r="BH29" s="270"/>
      <c r="BI29" s="270"/>
      <c r="BJ29" s="270"/>
      <c r="BK29" s="270"/>
      <c r="BL29" s="270"/>
      <c r="BM29" s="270"/>
      <c r="BN29" s="270"/>
      <c r="BO29" s="270"/>
      <c r="BP29" s="270"/>
      <c r="BQ29" s="270"/>
      <c r="BR29" s="270"/>
      <c r="BS29" s="270"/>
      <c r="BT29" s="270"/>
      <c r="BU29" s="270"/>
      <c r="BV29" s="270"/>
      <c r="BW29" s="270"/>
      <c r="BX29" s="270"/>
      <c r="BY29" s="270"/>
      <c r="BZ29" s="270"/>
      <c r="CA29" s="270"/>
      <c r="CB29" s="270"/>
      <c r="CC29" s="270"/>
      <c r="CD29" s="270"/>
      <c r="CE29" s="270"/>
      <c r="CF29" s="270"/>
      <c r="CG29" s="270"/>
      <c r="CH29" s="270"/>
      <c r="CI29" s="270"/>
      <c r="CJ29" s="270"/>
      <c r="CK29" s="270"/>
      <c r="CL29" s="270"/>
      <c r="CM29" s="270"/>
      <c r="CN29" s="270"/>
      <c r="CO29" s="270"/>
      <c r="CP29" s="270"/>
      <c r="CQ29" s="270"/>
      <c r="CR29" s="270"/>
      <c r="CS29" s="270"/>
      <c r="CT29" s="270"/>
      <c r="CU29" s="270"/>
      <c r="CV29" s="270"/>
      <c r="CW29" s="270"/>
      <c r="CX29" s="270"/>
      <c r="CY29" s="270"/>
      <c r="CZ29" s="270"/>
      <c r="DA29" s="270"/>
      <c r="DB29" s="270"/>
      <c r="DC29" s="270"/>
      <c r="DD29" s="270"/>
      <c r="DE29" s="270"/>
      <c r="DF29" s="270"/>
      <c r="DG29" s="270"/>
      <c r="DH29" s="270"/>
      <c r="DI29" s="270"/>
      <c r="DJ29" s="270"/>
      <c r="DK29" s="270"/>
      <c r="DL29" s="270"/>
      <c r="DM29" s="270"/>
      <c r="DN29" s="270"/>
      <c r="DO29" s="270"/>
      <c r="DP29" s="270"/>
      <c r="DQ29" s="270"/>
      <c r="DR29" s="270"/>
      <c r="DS29" s="270"/>
      <c r="DT29" s="270"/>
      <c r="DU29" s="270"/>
      <c r="DV29" s="270"/>
      <c r="DW29" s="270"/>
      <c r="DX29" s="270"/>
      <c r="DY29" s="270"/>
      <c r="DZ29" s="270"/>
      <c r="EA29" s="270"/>
      <c r="EB29" s="270"/>
      <c r="EC29" s="270"/>
      <c r="ED29" s="270"/>
      <c r="EE29" s="270"/>
      <c r="EF29" s="270"/>
      <c r="EG29" s="270"/>
      <c r="EH29" s="270"/>
      <c r="EI29" s="270"/>
      <c r="EJ29" s="270"/>
      <c r="EK29" s="270"/>
      <c r="EL29" s="270"/>
      <c r="EM29" s="270"/>
      <c r="EN29" s="270"/>
      <c r="EO29" s="270"/>
      <c r="EP29" s="270"/>
      <c r="EQ29" s="270"/>
      <c r="ER29" s="270"/>
      <c r="ES29" s="270"/>
      <c r="ET29" s="270"/>
      <c r="EU29" s="270"/>
      <c r="EV29" s="270"/>
      <c r="EW29" s="270"/>
      <c r="EX29" s="270"/>
      <c r="EY29" s="270"/>
      <c r="EZ29" s="270"/>
      <c r="FA29" s="270"/>
      <c r="FB29" s="270"/>
      <c r="FC29" s="270"/>
      <c r="FD29" s="270"/>
      <c r="FE29" s="270"/>
      <c r="FF29" s="270"/>
      <c r="FG29" s="270"/>
      <c r="FH29" s="270"/>
      <c r="FI29" s="270"/>
      <c r="FJ29" s="270"/>
      <c r="FK29" s="270"/>
      <c r="FL29" s="270"/>
      <c r="FM29" s="270"/>
      <c r="FN29" s="270"/>
      <c r="FO29" s="270"/>
      <c r="FP29" s="270"/>
      <c r="FQ29" s="270"/>
      <c r="FR29" s="270"/>
      <c r="FS29" s="270"/>
      <c r="FT29" s="270"/>
      <c r="FU29" s="270"/>
      <c r="FV29" s="270"/>
      <c r="FW29" s="270"/>
      <c r="FX29" s="270"/>
      <c r="FY29" s="270"/>
      <c r="FZ29" s="270"/>
      <c r="GA29" s="270"/>
      <c r="GB29" s="270"/>
      <c r="GC29" s="270"/>
      <c r="GD29" s="270"/>
      <c r="GE29" s="270"/>
      <c r="GF29" s="270"/>
      <c r="GG29" s="270"/>
      <c r="GH29" s="270"/>
      <c r="GI29" s="270"/>
      <c r="GJ29" s="270"/>
      <c r="GK29" s="270"/>
      <c r="GL29" s="270"/>
      <c r="GM29" s="270"/>
      <c r="GN29" s="270"/>
      <c r="GO29" s="270"/>
      <c r="GP29" s="270"/>
      <c r="GQ29" s="270"/>
      <c r="GR29" s="270"/>
      <c r="GS29" s="270"/>
      <c r="GT29" s="270"/>
      <c r="GU29" s="270"/>
      <c r="GV29" s="270"/>
      <c r="GW29" s="270"/>
      <c r="GX29" s="270"/>
      <c r="GY29" s="270"/>
      <c r="GZ29" s="270"/>
      <c r="HA29" s="270"/>
      <c r="HB29" s="270"/>
      <c r="HC29" s="270"/>
      <c r="HD29" s="270"/>
      <c r="HE29" s="270"/>
      <c r="HF29" s="270"/>
      <c r="HG29" s="270"/>
      <c r="HH29" s="270" t="s">
        <v>259</v>
      </c>
    </row>
    <row r="30" spans="1:216" s="271" customFormat="1" outlineLevel="3" x14ac:dyDescent="0.2">
      <c r="H30" s="265"/>
      <c r="I30" s="353" t="s">
        <v>277</v>
      </c>
      <c r="J30" s="266"/>
      <c r="K30" s="267">
        <v>-2</v>
      </c>
      <c r="L30" s="268"/>
      <c r="M30" s="268" t="str">
        <f t="shared" si="0"/>
        <v/>
      </c>
      <c r="N30" s="269">
        <f t="shared" si="1"/>
        <v>0</v>
      </c>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270"/>
      <c r="BF30" s="270"/>
      <c r="BG30" s="270"/>
      <c r="BH30" s="270"/>
      <c r="BI30" s="270"/>
      <c r="BJ30" s="270"/>
      <c r="BK30" s="270"/>
      <c r="BL30" s="270"/>
      <c r="BM30" s="270"/>
      <c r="BN30" s="270"/>
      <c r="BO30" s="270"/>
      <c r="BP30" s="270"/>
      <c r="BQ30" s="270"/>
      <c r="BR30" s="270"/>
      <c r="BS30" s="270"/>
      <c r="BT30" s="270"/>
      <c r="BU30" s="270"/>
      <c r="BV30" s="270"/>
      <c r="BW30" s="270"/>
      <c r="BX30" s="270"/>
      <c r="BY30" s="270"/>
      <c r="BZ30" s="270"/>
      <c r="CA30" s="270"/>
      <c r="CB30" s="270"/>
      <c r="CC30" s="270"/>
      <c r="CD30" s="270"/>
      <c r="CE30" s="270"/>
      <c r="CF30" s="270"/>
      <c r="CG30" s="270"/>
      <c r="CH30" s="270"/>
      <c r="CI30" s="270"/>
      <c r="CJ30" s="270"/>
      <c r="CK30" s="270"/>
      <c r="CL30" s="270"/>
      <c r="CM30" s="270"/>
      <c r="CN30" s="270"/>
      <c r="CO30" s="270"/>
      <c r="CP30" s="270"/>
      <c r="CQ30" s="270"/>
      <c r="CR30" s="270"/>
      <c r="CS30" s="270"/>
      <c r="CT30" s="270"/>
      <c r="CU30" s="270"/>
      <c r="CV30" s="270"/>
      <c r="CW30" s="270"/>
      <c r="CX30" s="270"/>
      <c r="CY30" s="270"/>
      <c r="CZ30" s="270"/>
      <c r="DA30" s="270"/>
      <c r="DB30" s="270"/>
      <c r="DC30" s="270"/>
      <c r="DD30" s="270"/>
      <c r="DE30" s="270"/>
      <c r="DF30" s="270"/>
      <c r="DG30" s="270"/>
      <c r="DH30" s="270"/>
      <c r="DI30" s="270"/>
      <c r="DJ30" s="270"/>
      <c r="DK30" s="270"/>
      <c r="DL30" s="270"/>
      <c r="DM30" s="270"/>
      <c r="DN30" s="270"/>
      <c r="DO30" s="270"/>
      <c r="DP30" s="270"/>
      <c r="DQ30" s="270"/>
      <c r="DR30" s="270"/>
      <c r="DS30" s="270"/>
      <c r="DT30" s="270"/>
      <c r="DU30" s="270"/>
      <c r="DV30" s="270"/>
      <c r="DW30" s="270"/>
      <c r="DX30" s="270"/>
      <c r="DY30" s="270"/>
      <c r="DZ30" s="270"/>
      <c r="EA30" s="270"/>
      <c r="EB30" s="270"/>
      <c r="EC30" s="270"/>
      <c r="ED30" s="270"/>
      <c r="EE30" s="270"/>
      <c r="EF30" s="270"/>
      <c r="EG30" s="270"/>
      <c r="EH30" s="270"/>
      <c r="EI30" s="270"/>
      <c r="EJ30" s="270"/>
      <c r="EK30" s="270"/>
      <c r="EL30" s="270"/>
      <c r="EM30" s="270"/>
      <c r="EN30" s="270"/>
      <c r="EO30" s="270"/>
      <c r="EP30" s="270"/>
      <c r="EQ30" s="270"/>
      <c r="ER30" s="270"/>
      <c r="ES30" s="270"/>
      <c r="ET30" s="270"/>
      <c r="EU30" s="270"/>
      <c r="EV30" s="270"/>
      <c r="EW30" s="270"/>
      <c r="EX30" s="270"/>
      <c r="EY30" s="270"/>
      <c r="EZ30" s="270"/>
      <c r="FA30" s="270"/>
      <c r="FB30" s="270"/>
      <c r="FC30" s="270"/>
      <c r="FD30" s="270"/>
      <c r="FE30" s="270"/>
      <c r="FF30" s="270"/>
      <c r="FG30" s="270"/>
      <c r="FH30" s="270"/>
      <c r="FI30" s="270"/>
      <c r="FJ30" s="270"/>
      <c r="FK30" s="270"/>
      <c r="FL30" s="270"/>
      <c r="FM30" s="270"/>
      <c r="FN30" s="270"/>
      <c r="FO30" s="270"/>
      <c r="FP30" s="270"/>
      <c r="FQ30" s="270"/>
      <c r="FR30" s="270"/>
      <c r="FS30" s="270"/>
      <c r="FT30" s="270"/>
      <c r="FU30" s="270"/>
      <c r="FV30" s="270"/>
      <c r="FW30" s="270"/>
      <c r="FX30" s="270"/>
      <c r="FY30" s="270"/>
      <c r="FZ30" s="270"/>
      <c r="GA30" s="270"/>
      <c r="GB30" s="270"/>
      <c r="GC30" s="270"/>
      <c r="GD30" s="270"/>
      <c r="GE30" s="270"/>
      <c r="GF30" s="270"/>
      <c r="GG30" s="270"/>
      <c r="GH30" s="270"/>
      <c r="GI30" s="270"/>
      <c r="GJ30" s="270"/>
      <c r="GK30" s="270"/>
      <c r="GL30" s="270"/>
      <c r="GM30" s="270"/>
      <c r="GN30" s="270"/>
      <c r="GO30" s="270"/>
      <c r="GP30" s="270"/>
      <c r="GQ30" s="270"/>
      <c r="GR30" s="270"/>
      <c r="GS30" s="270"/>
      <c r="GT30" s="270"/>
      <c r="GU30" s="270"/>
      <c r="GV30" s="270"/>
      <c r="GW30" s="270"/>
      <c r="GX30" s="270"/>
      <c r="GY30" s="270"/>
      <c r="GZ30" s="270"/>
      <c r="HA30" s="270"/>
      <c r="HB30" s="270"/>
      <c r="HC30" s="270"/>
      <c r="HD30" s="270"/>
      <c r="HE30" s="270"/>
      <c r="HF30" s="270"/>
      <c r="HG30" s="270"/>
      <c r="HH30" s="270" t="s">
        <v>259</v>
      </c>
    </row>
    <row r="31" spans="1:216" s="271" customFormat="1" outlineLevel="3" x14ac:dyDescent="0.2">
      <c r="H31" s="265"/>
      <c r="I31" s="353" t="s">
        <v>278</v>
      </c>
      <c r="J31" s="266"/>
      <c r="K31" s="267">
        <v>-1</v>
      </c>
      <c r="L31" s="268"/>
      <c r="M31" s="268" t="str">
        <f t="shared" si="0"/>
        <v/>
      </c>
      <c r="N31" s="269">
        <f t="shared" si="1"/>
        <v>0</v>
      </c>
      <c r="O31" s="270"/>
      <c r="P31" s="270"/>
      <c r="Q31" s="270"/>
      <c r="R31" s="270"/>
      <c r="S31" s="270"/>
      <c r="T31" s="270"/>
      <c r="U31" s="270"/>
      <c r="V31" s="270"/>
      <c r="W31" s="270"/>
      <c r="X31" s="270"/>
      <c r="Y31" s="270"/>
      <c r="Z31" s="270"/>
      <c r="AA31" s="270"/>
      <c r="AB31" s="270"/>
      <c r="AC31" s="270"/>
      <c r="AD31" s="270"/>
      <c r="AE31" s="270"/>
      <c r="AF31" s="270"/>
      <c r="AG31" s="270"/>
      <c r="AH31" s="270"/>
      <c r="AI31" s="270"/>
      <c r="AJ31" s="270"/>
      <c r="AK31" s="270"/>
      <c r="AL31" s="270"/>
      <c r="AM31" s="270"/>
      <c r="AN31" s="270"/>
      <c r="AO31" s="270"/>
      <c r="AP31" s="270"/>
      <c r="AQ31" s="270"/>
      <c r="AR31" s="270"/>
      <c r="AS31" s="270"/>
      <c r="AT31" s="270"/>
      <c r="AU31" s="270"/>
      <c r="AV31" s="270"/>
      <c r="AW31" s="270"/>
      <c r="AX31" s="270"/>
      <c r="AY31" s="270"/>
      <c r="AZ31" s="270"/>
      <c r="BA31" s="270"/>
      <c r="BB31" s="270"/>
      <c r="BC31" s="270"/>
      <c r="BD31" s="270"/>
      <c r="BE31" s="270"/>
      <c r="BF31" s="270"/>
      <c r="BG31" s="270"/>
      <c r="BH31" s="270"/>
      <c r="BI31" s="270"/>
      <c r="BJ31" s="270"/>
      <c r="BK31" s="270"/>
      <c r="BL31" s="270"/>
      <c r="BM31" s="270"/>
      <c r="BN31" s="270"/>
      <c r="BO31" s="270"/>
      <c r="BP31" s="270"/>
      <c r="BQ31" s="270"/>
      <c r="BR31" s="270"/>
      <c r="BS31" s="270"/>
      <c r="BT31" s="270"/>
      <c r="BU31" s="270"/>
      <c r="BV31" s="270"/>
      <c r="BW31" s="270"/>
      <c r="BX31" s="270"/>
      <c r="BY31" s="270"/>
      <c r="BZ31" s="270"/>
      <c r="CA31" s="270"/>
      <c r="CB31" s="270"/>
      <c r="CC31" s="270"/>
      <c r="CD31" s="270"/>
      <c r="CE31" s="270"/>
      <c r="CF31" s="270"/>
      <c r="CG31" s="270"/>
      <c r="CH31" s="270"/>
      <c r="CI31" s="270"/>
      <c r="CJ31" s="270"/>
      <c r="CK31" s="270"/>
      <c r="CL31" s="270"/>
      <c r="CM31" s="270"/>
      <c r="CN31" s="270"/>
      <c r="CO31" s="270"/>
      <c r="CP31" s="270"/>
      <c r="CQ31" s="270"/>
      <c r="CR31" s="270"/>
      <c r="CS31" s="270"/>
      <c r="CT31" s="270"/>
      <c r="CU31" s="270"/>
      <c r="CV31" s="270"/>
      <c r="CW31" s="270"/>
      <c r="CX31" s="270"/>
      <c r="CY31" s="270"/>
      <c r="CZ31" s="270"/>
      <c r="DA31" s="270"/>
      <c r="DB31" s="270"/>
      <c r="DC31" s="270"/>
      <c r="DD31" s="270"/>
      <c r="DE31" s="270"/>
      <c r="DF31" s="270"/>
      <c r="DG31" s="270"/>
      <c r="DH31" s="270"/>
      <c r="DI31" s="270"/>
      <c r="DJ31" s="270"/>
      <c r="DK31" s="270"/>
      <c r="DL31" s="270"/>
      <c r="DM31" s="270"/>
      <c r="DN31" s="270"/>
      <c r="DO31" s="270"/>
      <c r="DP31" s="270"/>
      <c r="DQ31" s="270"/>
      <c r="DR31" s="270"/>
      <c r="DS31" s="270"/>
      <c r="DT31" s="270"/>
      <c r="DU31" s="270"/>
      <c r="DV31" s="270"/>
      <c r="DW31" s="270"/>
      <c r="DX31" s="270"/>
      <c r="DY31" s="270"/>
      <c r="DZ31" s="270"/>
      <c r="EA31" s="270"/>
      <c r="EB31" s="270"/>
      <c r="EC31" s="270"/>
      <c r="ED31" s="270"/>
      <c r="EE31" s="270"/>
      <c r="EF31" s="270"/>
      <c r="EG31" s="270"/>
      <c r="EH31" s="270"/>
      <c r="EI31" s="270"/>
      <c r="EJ31" s="270"/>
      <c r="EK31" s="270"/>
      <c r="EL31" s="270"/>
      <c r="EM31" s="270"/>
      <c r="EN31" s="270"/>
      <c r="EO31" s="270"/>
      <c r="EP31" s="270"/>
      <c r="EQ31" s="270"/>
      <c r="ER31" s="270"/>
      <c r="ES31" s="270"/>
      <c r="ET31" s="270"/>
      <c r="EU31" s="270"/>
      <c r="EV31" s="270"/>
      <c r="EW31" s="270"/>
      <c r="EX31" s="270"/>
      <c r="EY31" s="270"/>
      <c r="EZ31" s="270"/>
      <c r="FA31" s="270"/>
      <c r="FB31" s="270"/>
      <c r="FC31" s="270"/>
      <c r="FD31" s="270"/>
      <c r="FE31" s="270"/>
      <c r="FF31" s="270"/>
      <c r="FG31" s="270"/>
      <c r="FH31" s="270"/>
      <c r="FI31" s="270"/>
      <c r="FJ31" s="270"/>
      <c r="FK31" s="270"/>
      <c r="FL31" s="270"/>
      <c r="FM31" s="270"/>
      <c r="FN31" s="270"/>
      <c r="FO31" s="270"/>
      <c r="FP31" s="270"/>
      <c r="FQ31" s="270"/>
      <c r="FR31" s="270"/>
      <c r="FS31" s="270"/>
      <c r="FT31" s="270"/>
      <c r="FU31" s="270"/>
      <c r="FV31" s="270"/>
      <c r="FW31" s="270"/>
      <c r="FX31" s="270"/>
      <c r="FY31" s="270"/>
      <c r="FZ31" s="270"/>
      <c r="GA31" s="270"/>
      <c r="GB31" s="270"/>
      <c r="GC31" s="270"/>
      <c r="GD31" s="270"/>
      <c r="GE31" s="270"/>
      <c r="GF31" s="270"/>
      <c r="GG31" s="270"/>
      <c r="GH31" s="270"/>
      <c r="GI31" s="270"/>
      <c r="GJ31" s="270"/>
      <c r="GK31" s="270"/>
      <c r="GL31" s="270"/>
      <c r="GM31" s="270"/>
      <c r="GN31" s="270"/>
      <c r="GO31" s="270"/>
      <c r="GP31" s="270"/>
      <c r="GQ31" s="270"/>
      <c r="GR31" s="270"/>
      <c r="GS31" s="270"/>
      <c r="GT31" s="270"/>
      <c r="GU31" s="270"/>
      <c r="GV31" s="270"/>
      <c r="GW31" s="270"/>
      <c r="GX31" s="270"/>
      <c r="GY31" s="270"/>
      <c r="GZ31" s="270"/>
      <c r="HA31" s="270"/>
      <c r="HB31" s="270"/>
      <c r="HC31" s="270"/>
      <c r="HD31" s="270"/>
      <c r="HE31" s="270"/>
      <c r="HF31" s="270"/>
      <c r="HG31" s="270"/>
      <c r="HH31" s="270" t="s">
        <v>259</v>
      </c>
    </row>
    <row r="32" spans="1:216" s="365" customFormat="1" outlineLevel="3" x14ac:dyDescent="0.2">
      <c r="A32" s="362"/>
      <c r="B32" s="362"/>
      <c r="C32" s="362"/>
      <c r="D32" s="362"/>
      <c r="E32" s="362"/>
      <c r="F32" s="362"/>
      <c r="G32" s="362"/>
      <c r="H32" s="280"/>
      <c r="I32" s="355"/>
      <c r="J32" s="273"/>
      <c r="K32" s="273"/>
      <c r="L32" s="275"/>
      <c r="M32" s="275" t="str">
        <f t="shared" si="0"/>
        <v/>
      </c>
      <c r="N32" s="276">
        <f t="shared" si="1"/>
        <v>0</v>
      </c>
      <c r="O32" s="273"/>
      <c r="P32" s="273"/>
      <c r="Q32" s="273"/>
      <c r="R32" s="277"/>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7"/>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7"/>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7"/>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c r="FI32" s="273"/>
      <c r="FJ32" s="273"/>
      <c r="FK32" s="273"/>
      <c r="FL32" s="273"/>
      <c r="FM32" s="273"/>
      <c r="FN32" s="273"/>
      <c r="FO32" s="273"/>
      <c r="FP32" s="273"/>
      <c r="FQ32" s="273"/>
      <c r="FR32" s="273"/>
      <c r="FS32" s="273"/>
      <c r="FT32" s="273"/>
      <c r="FU32" s="273"/>
      <c r="FV32" s="273"/>
      <c r="FW32" s="273"/>
      <c r="FX32" s="273"/>
      <c r="FY32" s="273"/>
      <c r="FZ32" s="273"/>
      <c r="GA32" s="273"/>
      <c r="GB32" s="273"/>
      <c r="GC32" s="273"/>
      <c r="GD32" s="273"/>
      <c r="GE32" s="273"/>
      <c r="GF32" s="273"/>
      <c r="GG32" s="273"/>
      <c r="GH32" s="273"/>
      <c r="GI32" s="273"/>
      <c r="GJ32" s="273"/>
      <c r="GK32" s="273"/>
      <c r="GL32" s="273"/>
      <c r="GM32" s="273"/>
      <c r="GN32" s="273"/>
      <c r="GO32" s="273"/>
      <c r="GP32" s="273"/>
      <c r="GQ32" s="273"/>
      <c r="GR32" s="273"/>
      <c r="GS32" s="273"/>
      <c r="GT32" s="273"/>
      <c r="GU32" s="273"/>
      <c r="GV32" s="273"/>
      <c r="GW32" s="273"/>
      <c r="GX32" s="273"/>
      <c r="GY32" s="273"/>
      <c r="GZ32" s="273"/>
      <c r="HA32" s="273"/>
      <c r="HB32" s="273"/>
      <c r="HC32" s="273"/>
      <c r="HD32" s="273"/>
      <c r="HE32" s="273"/>
      <c r="HF32" s="273"/>
      <c r="HG32" s="273"/>
      <c r="HH32" s="278" t="s">
        <v>259</v>
      </c>
    </row>
    <row r="33" spans="1:216" s="359" customFormat="1" outlineLevel="3" x14ac:dyDescent="0.2">
      <c r="A33" s="358"/>
      <c r="B33" s="358"/>
      <c r="C33" s="358"/>
      <c r="D33" s="358"/>
      <c r="E33" s="358"/>
      <c r="F33" s="358"/>
      <c r="G33" s="358"/>
      <c r="H33" s="358"/>
      <c r="I33" s="352"/>
      <c r="J33" s="260"/>
      <c r="K33" s="260"/>
      <c r="L33" s="261"/>
      <c r="M33" s="261" t="str">
        <f t="shared" si="0"/>
        <v/>
      </c>
      <c r="N33" s="262">
        <f t="shared" si="1"/>
        <v>0</v>
      </c>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c r="DT33" s="260"/>
      <c r="DU33" s="260"/>
      <c r="DV33" s="260"/>
      <c r="DW33" s="260"/>
      <c r="DX33" s="260"/>
      <c r="DY33" s="260"/>
      <c r="DZ33" s="260"/>
      <c r="EA33" s="260"/>
      <c r="EB33" s="260"/>
      <c r="EC33" s="260"/>
      <c r="ED33" s="260"/>
      <c r="EE33" s="260"/>
      <c r="EF33" s="260"/>
      <c r="EG33" s="260"/>
      <c r="EH33" s="260"/>
      <c r="EI33" s="260"/>
      <c r="EJ33" s="260"/>
      <c r="EK33" s="260"/>
      <c r="EL33" s="260"/>
      <c r="EM33" s="260"/>
      <c r="EN33" s="260"/>
      <c r="EO33" s="260"/>
      <c r="EP33" s="260"/>
      <c r="EQ33" s="260"/>
      <c r="ER33" s="260"/>
      <c r="ES33" s="260"/>
      <c r="ET33" s="260"/>
      <c r="EU33" s="260"/>
      <c r="EV33" s="260"/>
      <c r="EW33" s="260"/>
      <c r="EX33" s="260"/>
      <c r="EY33" s="260"/>
      <c r="EZ33" s="260"/>
      <c r="FA33" s="260"/>
      <c r="FB33" s="260"/>
      <c r="FC33" s="260"/>
      <c r="FD33" s="260"/>
      <c r="FE33" s="260"/>
      <c r="FF33" s="260"/>
      <c r="FG33" s="260"/>
      <c r="FH33" s="260"/>
      <c r="FI33" s="260"/>
      <c r="FJ33" s="260"/>
      <c r="FK33" s="260"/>
      <c r="FL33" s="260"/>
      <c r="FM33" s="260"/>
      <c r="FN33" s="260"/>
      <c r="FO33" s="260"/>
      <c r="FP33" s="260"/>
      <c r="FQ33" s="260"/>
      <c r="FR33" s="260"/>
      <c r="FS33" s="260"/>
      <c r="FT33" s="260"/>
      <c r="FU33" s="260"/>
      <c r="FV33" s="260"/>
      <c r="FW33" s="260"/>
      <c r="FX33" s="260"/>
      <c r="FY33" s="260"/>
      <c r="FZ33" s="260"/>
      <c r="GA33" s="260"/>
      <c r="GB33" s="260"/>
      <c r="GC33" s="260"/>
      <c r="GD33" s="260"/>
      <c r="GE33" s="260"/>
      <c r="GF33" s="260"/>
      <c r="GG33" s="260"/>
      <c r="GH33" s="260"/>
      <c r="GI33" s="260"/>
      <c r="GJ33" s="260"/>
      <c r="GK33" s="260"/>
      <c r="GL33" s="260"/>
      <c r="GM33" s="260"/>
      <c r="GN33" s="260"/>
      <c r="GO33" s="260"/>
      <c r="GP33" s="260"/>
      <c r="GQ33" s="260"/>
      <c r="GR33" s="260"/>
      <c r="GS33" s="260"/>
      <c r="GT33" s="260"/>
      <c r="GU33" s="260"/>
      <c r="GV33" s="260"/>
      <c r="GW33" s="260"/>
      <c r="GX33" s="260"/>
      <c r="GY33" s="260"/>
      <c r="GZ33" s="260"/>
      <c r="HA33" s="260"/>
      <c r="HB33" s="260"/>
      <c r="HC33" s="260"/>
      <c r="HD33" s="260"/>
      <c r="HE33" s="260"/>
      <c r="HF33" s="260"/>
      <c r="HG33" s="260"/>
      <c r="HH33" s="260" t="s">
        <v>259</v>
      </c>
    </row>
    <row r="34" spans="1:216" s="359" customFormat="1" outlineLevel="2" x14ac:dyDescent="0.2">
      <c r="A34" s="358"/>
      <c r="B34" s="358"/>
      <c r="C34" s="358"/>
      <c r="D34" s="358"/>
      <c r="E34" s="358"/>
      <c r="F34" s="358"/>
      <c r="G34" s="358"/>
      <c r="H34" s="358"/>
      <c r="I34" s="352" t="s">
        <v>220</v>
      </c>
      <c r="J34" s="260"/>
      <c r="K34" s="260"/>
      <c r="L34" s="261"/>
      <c r="M34" s="261" t="str">
        <f t="shared" si="0"/>
        <v/>
      </c>
      <c r="N34" s="262">
        <f t="shared" si="1"/>
        <v>0</v>
      </c>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c r="DT34" s="260"/>
      <c r="DU34" s="260"/>
      <c r="DV34" s="260"/>
      <c r="DW34" s="260"/>
      <c r="DX34" s="260"/>
      <c r="DY34" s="260"/>
      <c r="DZ34" s="260"/>
      <c r="EA34" s="260"/>
      <c r="EB34" s="260"/>
      <c r="EC34" s="260"/>
      <c r="ED34" s="260"/>
      <c r="EE34" s="260"/>
      <c r="EF34" s="260"/>
      <c r="EG34" s="260"/>
      <c r="EH34" s="260"/>
      <c r="EI34" s="260"/>
      <c r="EJ34" s="260"/>
      <c r="EK34" s="260"/>
      <c r="EL34" s="260"/>
      <c r="EM34" s="260"/>
      <c r="EN34" s="260"/>
      <c r="EO34" s="260"/>
      <c r="EP34" s="260"/>
      <c r="EQ34" s="260"/>
      <c r="ER34" s="260"/>
      <c r="ES34" s="260"/>
      <c r="ET34" s="260"/>
      <c r="EU34" s="260"/>
      <c r="EV34" s="260"/>
      <c r="EW34" s="260"/>
      <c r="EX34" s="260"/>
      <c r="EY34" s="260"/>
      <c r="EZ34" s="260"/>
      <c r="FA34" s="260"/>
      <c r="FB34" s="260"/>
      <c r="FC34" s="260"/>
      <c r="FD34" s="260"/>
      <c r="FE34" s="260"/>
      <c r="FF34" s="260"/>
      <c r="FG34" s="260"/>
      <c r="FH34" s="260"/>
      <c r="FI34" s="260"/>
      <c r="FJ34" s="260"/>
      <c r="FK34" s="260"/>
      <c r="FL34" s="260"/>
      <c r="FM34" s="260"/>
      <c r="FN34" s="260"/>
      <c r="FO34" s="260"/>
      <c r="FP34" s="260"/>
      <c r="FQ34" s="260"/>
      <c r="FR34" s="260"/>
      <c r="FS34" s="260"/>
      <c r="FT34" s="260"/>
      <c r="FU34" s="260"/>
      <c r="FV34" s="260"/>
      <c r="FW34" s="260"/>
      <c r="FX34" s="260"/>
      <c r="FY34" s="260"/>
      <c r="FZ34" s="260"/>
      <c r="GA34" s="260"/>
      <c r="GB34" s="260"/>
      <c r="GC34" s="260"/>
      <c r="GD34" s="260"/>
      <c r="GE34" s="260"/>
      <c r="GF34" s="260"/>
      <c r="GG34" s="260"/>
      <c r="GH34" s="260"/>
      <c r="GI34" s="260"/>
      <c r="GJ34" s="260"/>
      <c r="GK34" s="260"/>
      <c r="GL34" s="260"/>
      <c r="GM34" s="260"/>
      <c r="GN34" s="260"/>
      <c r="GO34" s="260"/>
      <c r="GP34" s="260"/>
      <c r="GQ34" s="260"/>
      <c r="GR34" s="260"/>
      <c r="GS34" s="260"/>
      <c r="GT34" s="260"/>
      <c r="GU34" s="260"/>
      <c r="GV34" s="260"/>
      <c r="GW34" s="260"/>
      <c r="GX34" s="260"/>
      <c r="GY34" s="260"/>
      <c r="GZ34" s="260"/>
      <c r="HA34" s="260"/>
      <c r="HB34" s="260"/>
      <c r="HC34" s="260"/>
      <c r="HD34" s="260"/>
      <c r="HE34" s="260"/>
      <c r="HF34" s="260"/>
      <c r="HG34" s="260"/>
      <c r="HH34" s="263" t="s">
        <v>259</v>
      </c>
    </row>
    <row r="35" spans="1:216" s="271" customFormat="1" outlineLevel="3" x14ac:dyDescent="0.2">
      <c r="H35" s="265"/>
      <c r="I35" s="353" t="s">
        <v>360</v>
      </c>
      <c r="J35" s="266"/>
      <c r="K35" s="267">
        <v>-3</v>
      </c>
      <c r="L35" s="268"/>
      <c r="M35" s="268" t="str">
        <f t="shared" si="0"/>
        <v/>
      </c>
      <c r="N35" s="269">
        <f t="shared" si="1"/>
        <v>0</v>
      </c>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c r="AS35" s="270"/>
      <c r="AT35" s="270"/>
      <c r="AU35" s="270"/>
      <c r="AV35" s="270"/>
      <c r="AW35" s="270"/>
      <c r="AX35" s="270"/>
      <c r="AY35" s="270"/>
      <c r="AZ35" s="270"/>
      <c r="BA35" s="270"/>
      <c r="BB35" s="270"/>
      <c r="BC35" s="270"/>
      <c r="BD35" s="270"/>
      <c r="BE35" s="270"/>
      <c r="BF35" s="270"/>
      <c r="BG35" s="270"/>
      <c r="BH35" s="270"/>
      <c r="BI35" s="270"/>
      <c r="BJ35" s="270"/>
      <c r="BK35" s="270"/>
      <c r="BL35" s="270"/>
      <c r="BM35" s="270"/>
      <c r="BN35" s="270"/>
      <c r="BO35" s="270"/>
      <c r="BP35" s="270"/>
      <c r="BQ35" s="270"/>
      <c r="BR35" s="270"/>
      <c r="BS35" s="270"/>
      <c r="BT35" s="270"/>
      <c r="BU35" s="270"/>
      <c r="BV35" s="270"/>
      <c r="BW35" s="270"/>
      <c r="BX35" s="270"/>
      <c r="BY35" s="270"/>
      <c r="BZ35" s="270"/>
      <c r="CA35" s="270"/>
      <c r="CB35" s="270"/>
      <c r="CC35" s="270"/>
      <c r="CD35" s="270"/>
      <c r="CE35" s="270"/>
      <c r="CF35" s="270"/>
      <c r="CG35" s="270"/>
      <c r="CH35" s="270"/>
      <c r="CI35" s="270"/>
      <c r="CJ35" s="270"/>
      <c r="CK35" s="270"/>
      <c r="CL35" s="270"/>
      <c r="CM35" s="270"/>
      <c r="CN35" s="270"/>
      <c r="CO35" s="270"/>
      <c r="CP35" s="270"/>
      <c r="CQ35" s="270"/>
      <c r="CR35" s="270"/>
      <c r="CS35" s="270"/>
      <c r="CT35" s="270"/>
      <c r="CU35" s="270"/>
      <c r="CV35" s="270"/>
      <c r="CW35" s="270"/>
      <c r="CX35" s="270"/>
      <c r="CY35" s="270"/>
      <c r="CZ35" s="270"/>
      <c r="DA35" s="270"/>
      <c r="DB35" s="270"/>
      <c r="DC35" s="270"/>
      <c r="DD35" s="270"/>
      <c r="DE35" s="270"/>
      <c r="DF35" s="270"/>
      <c r="DG35" s="270"/>
      <c r="DH35" s="270"/>
      <c r="DI35" s="270"/>
      <c r="DJ35" s="270"/>
      <c r="DK35" s="270"/>
      <c r="DL35" s="270"/>
      <c r="DM35" s="270"/>
      <c r="DN35" s="270"/>
      <c r="DO35" s="270"/>
      <c r="DP35" s="270"/>
      <c r="DQ35" s="270"/>
      <c r="DR35" s="270"/>
      <c r="DS35" s="270"/>
      <c r="DT35" s="270"/>
      <c r="DU35" s="270"/>
      <c r="DV35" s="270"/>
      <c r="DW35" s="270"/>
      <c r="DX35" s="270"/>
      <c r="DY35" s="270"/>
      <c r="DZ35" s="270"/>
      <c r="EA35" s="270"/>
      <c r="EB35" s="270"/>
      <c r="EC35" s="270"/>
      <c r="ED35" s="270"/>
      <c r="EE35" s="270"/>
      <c r="EF35" s="270"/>
      <c r="EG35" s="270"/>
      <c r="EH35" s="270"/>
      <c r="EI35" s="270"/>
      <c r="EJ35" s="270"/>
      <c r="EK35" s="270"/>
      <c r="EL35" s="270"/>
      <c r="EM35" s="270"/>
      <c r="EN35" s="270"/>
      <c r="EO35" s="270"/>
      <c r="EP35" s="270"/>
      <c r="EQ35" s="270"/>
      <c r="ER35" s="270"/>
      <c r="ES35" s="270"/>
      <c r="ET35" s="270"/>
      <c r="EU35" s="270"/>
      <c r="EV35" s="270"/>
      <c r="EW35" s="270"/>
      <c r="EX35" s="270"/>
      <c r="EY35" s="270"/>
      <c r="EZ35" s="270"/>
      <c r="FA35" s="270"/>
      <c r="FB35" s="270"/>
      <c r="FC35" s="270"/>
      <c r="FD35" s="270"/>
      <c r="FE35" s="270"/>
      <c r="FF35" s="270"/>
      <c r="FG35" s="270"/>
      <c r="FH35" s="270"/>
      <c r="FI35" s="270"/>
      <c r="FJ35" s="270"/>
      <c r="FK35" s="270"/>
      <c r="FL35" s="270"/>
      <c r="FM35" s="270"/>
      <c r="FN35" s="270"/>
      <c r="FO35" s="270"/>
      <c r="FP35" s="270"/>
      <c r="FQ35" s="270"/>
      <c r="FR35" s="270"/>
      <c r="FS35" s="270"/>
      <c r="FT35" s="270"/>
      <c r="FU35" s="270"/>
      <c r="FV35" s="270"/>
      <c r="FW35" s="270"/>
      <c r="FX35" s="270"/>
      <c r="FY35" s="270"/>
      <c r="FZ35" s="270"/>
      <c r="GA35" s="270"/>
      <c r="GB35" s="270"/>
      <c r="GC35" s="270"/>
      <c r="GD35" s="270"/>
      <c r="GE35" s="270"/>
      <c r="GF35" s="270"/>
      <c r="GG35" s="270"/>
      <c r="GH35" s="270"/>
      <c r="GI35" s="270"/>
      <c r="GJ35" s="270"/>
      <c r="GK35" s="270"/>
      <c r="GL35" s="270"/>
      <c r="GM35" s="270"/>
      <c r="GN35" s="270"/>
      <c r="GO35" s="270"/>
      <c r="GP35" s="270"/>
      <c r="GQ35" s="270"/>
      <c r="GR35" s="270"/>
      <c r="GS35" s="270"/>
      <c r="GT35" s="270"/>
      <c r="GU35" s="270"/>
      <c r="GV35" s="270"/>
      <c r="GW35" s="270"/>
      <c r="GX35" s="270"/>
      <c r="GY35" s="270"/>
      <c r="GZ35" s="270"/>
      <c r="HA35" s="270"/>
      <c r="HB35" s="270"/>
      <c r="HC35" s="270"/>
      <c r="HD35" s="270"/>
      <c r="HE35" s="270"/>
      <c r="HF35" s="270"/>
      <c r="HG35" s="270"/>
      <c r="HH35" s="270" t="s">
        <v>259</v>
      </c>
    </row>
    <row r="36" spans="1:216" s="271" customFormat="1" outlineLevel="3" x14ac:dyDescent="0.2">
      <c r="H36" s="265"/>
      <c r="I36" s="353" t="s">
        <v>361</v>
      </c>
      <c r="J36" s="266"/>
      <c r="K36" s="267">
        <v>-3</v>
      </c>
      <c r="L36" s="268"/>
      <c r="M36" s="268" t="str">
        <f t="shared" si="0"/>
        <v/>
      </c>
      <c r="N36" s="269">
        <f t="shared" si="1"/>
        <v>0</v>
      </c>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0"/>
      <c r="AL36" s="270"/>
      <c r="AM36" s="270"/>
      <c r="AN36" s="270"/>
      <c r="AO36" s="270"/>
      <c r="AP36" s="270"/>
      <c r="AQ36" s="270"/>
      <c r="AR36" s="270"/>
      <c r="AS36" s="270"/>
      <c r="AT36" s="270"/>
      <c r="AU36" s="270"/>
      <c r="AV36" s="270"/>
      <c r="AW36" s="270"/>
      <c r="AX36" s="270"/>
      <c r="AY36" s="270"/>
      <c r="AZ36" s="270"/>
      <c r="BA36" s="270"/>
      <c r="BB36" s="270"/>
      <c r="BC36" s="270"/>
      <c r="BD36" s="270"/>
      <c r="BE36" s="270"/>
      <c r="BF36" s="270"/>
      <c r="BG36" s="270"/>
      <c r="BH36" s="270"/>
      <c r="BI36" s="270"/>
      <c r="BJ36" s="270"/>
      <c r="BK36" s="270"/>
      <c r="BL36" s="270"/>
      <c r="BM36" s="270"/>
      <c r="BN36" s="270"/>
      <c r="BO36" s="270"/>
      <c r="BP36" s="270"/>
      <c r="BQ36" s="270"/>
      <c r="BR36" s="270"/>
      <c r="BS36" s="270"/>
      <c r="BT36" s="270"/>
      <c r="BU36" s="270"/>
      <c r="BV36" s="270"/>
      <c r="BW36" s="270"/>
      <c r="BX36" s="270"/>
      <c r="BY36" s="270"/>
      <c r="BZ36" s="270"/>
      <c r="CA36" s="270"/>
      <c r="CB36" s="270"/>
      <c r="CC36" s="270"/>
      <c r="CD36" s="270"/>
      <c r="CE36" s="270"/>
      <c r="CF36" s="270"/>
      <c r="CG36" s="270"/>
      <c r="CH36" s="270"/>
      <c r="CI36" s="270"/>
      <c r="CJ36" s="270"/>
      <c r="CK36" s="270"/>
      <c r="CL36" s="270"/>
      <c r="CM36" s="270"/>
      <c r="CN36" s="270"/>
      <c r="CO36" s="270"/>
      <c r="CP36" s="270"/>
      <c r="CQ36" s="270"/>
      <c r="CR36" s="270"/>
      <c r="CS36" s="270"/>
      <c r="CT36" s="270"/>
      <c r="CU36" s="270"/>
      <c r="CV36" s="270"/>
      <c r="CW36" s="270"/>
      <c r="CX36" s="270"/>
      <c r="CY36" s="270"/>
      <c r="CZ36" s="270"/>
      <c r="DA36" s="270"/>
      <c r="DB36" s="270"/>
      <c r="DC36" s="270"/>
      <c r="DD36" s="270"/>
      <c r="DE36" s="270"/>
      <c r="DF36" s="270"/>
      <c r="DG36" s="270"/>
      <c r="DH36" s="270"/>
      <c r="DI36" s="270"/>
      <c r="DJ36" s="270"/>
      <c r="DK36" s="270"/>
      <c r="DL36" s="270"/>
      <c r="DM36" s="270"/>
      <c r="DN36" s="270"/>
      <c r="DO36" s="270"/>
      <c r="DP36" s="270"/>
      <c r="DQ36" s="270"/>
      <c r="DR36" s="270"/>
      <c r="DS36" s="270"/>
      <c r="DT36" s="270"/>
      <c r="DU36" s="270"/>
      <c r="DV36" s="270"/>
      <c r="DW36" s="270"/>
      <c r="DX36" s="270"/>
      <c r="DY36" s="270"/>
      <c r="DZ36" s="270"/>
      <c r="EA36" s="270"/>
      <c r="EB36" s="270"/>
      <c r="EC36" s="270"/>
      <c r="ED36" s="270"/>
      <c r="EE36" s="270"/>
      <c r="EF36" s="270"/>
      <c r="EG36" s="270"/>
      <c r="EH36" s="270"/>
      <c r="EI36" s="270"/>
      <c r="EJ36" s="270"/>
      <c r="EK36" s="270"/>
      <c r="EL36" s="270"/>
      <c r="EM36" s="270"/>
      <c r="EN36" s="270"/>
      <c r="EO36" s="270"/>
      <c r="EP36" s="270"/>
      <c r="EQ36" s="270"/>
      <c r="ER36" s="270"/>
      <c r="ES36" s="270"/>
      <c r="ET36" s="270"/>
      <c r="EU36" s="270"/>
      <c r="EV36" s="270"/>
      <c r="EW36" s="270"/>
      <c r="EX36" s="270"/>
      <c r="EY36" s="270"/>
      <c r="EZ36" s="270"/>
      <c r="FA36" s="270"/>
      <c r="FB36" s="270"/>
      <c r="FC36" s="270"/>
      <c r="FD36" s="270"/>
      <c r="FE36" s="270"/>
      <c r="FF36" s="270"/>
      <c r="FG36" s="270"/>
      <c r="FH36" s="270"/>
      <c r="FI36" s="270"/>
      <c r="FJ36" s="270"/>
      <c r="FK36" s="270"/>
      <c r="FL36" s="270"/>
      <c r="FM36" s="270"/>
      <c r="FN36" s="270"/>
      <c r="FO36" s="270"/>
      <c r="FP36" s="270"/>
      <c r="FQ36" s="270"/>
      <c r="FR36" s="270"/>
      <c r="FS36" s="270"/>
      <c r="FT36" s="270"/>
      <c r="FU36" s="270"/>
      <c r="FV36" s="270"/>
      <c r="FW36" s="270"/>
      <c r="FX36" s="270"/>
      <c r="FY36" s="270"/>
      <c r="FZ36" s="270"/>
      <c r="GA36" s="270"/>
      <c r="GB36" s="270"/>
      <c r="GC36" s="270"/>
      <c r="GD36" s="270"/>
      <c r="GE36" s="270"/>
      <c r="GF36" s="270"/>
      <c r="GG36" s="270"/>
      <c r="GH36" s="270"/>
      <c r="GI36" s="270"/>
      <c r="GJ36" s="270"/>
      <c r="GK36" s="270"/>
      <c r="GL36" s="270"/>
      <c r="GM36" s="270"/>
      <c r="GN36" s="270"/>
      <c r="GO36" s="270"/>
      <c r="GP36" s="270"/>
      <c r="GQ36" s="270"/>
      <c r="GR36" s="270"/>
      <c r="GS36" s="270"/>
      <c r="GT36" s="270"/>
      <c r="GU36" s="270"/>
      <c r="GV36" s="270"/>
      <c r="GW36" s="270"/>
      <c r="GX36" s="270"/>
      <c r="GY36" s="270"/>
      <c r="GZ36" s="270"/>
      <c r="HA36" s="270"/>
      <c r="HB36" s="270"/>
      <c r="HC36" s="270"/>
      <c r="HD36" s="270"/>
      <c r="HE36" s="270"/>
      <c r="HF36" s="270"/>
      <c r="HG36" s="270"/>
      <c r="HH36" s="270" t="s">
        <v>259</v>
      </c>
    </row>
    <row r="37" spans="1:216" s="271" customFormat="1" outlineLevel="3" x14ac:dyDescent="0.2">
      <c r="H37" s="272"/>
      <c r="I37" s="354" t="s">
        <v>362</v>
      </c>
      <c r="J37" s="266"/>
      <c r="K37" s="267">
        <v>-2</v>
      </c>
      <c r="L37" s="268"/>
      <c r="M37" s="268" t="str">
        <f t="shared" si="0"/>
        <v/>
      </c>
      <c r="N37" s="269">
        <f t="shared" si="1"/>
        <v>0</v>
      </c>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270"/>
      <c r="AS37" s="270"/>
      <c r="AT37" s="270"/>
      <c r="AU37" s="270"/>
      <c r="AV37" s="270"/>
      <c r="AW37" s="270"/>
      <c r="AX37" s="270"/>
      <c r="AY37" s="270"/>
      <c r="AZ37" s="270"/>
      <c r="BA37" s="270"/>
      <c r="BB37" s="270"/>
      <c r="BC37" s="270"/>
      <c r="BD37" s="270"/>
      <c r="BE37" s="270"/>
      <c r="BF37" s="270"/>
      <c r="BG37" s="270"/>
      <c r="BH37" s="270"/>
      <c r="BI37" s="270"/>
      <c r="BJ37" s="270"/>
      <c r="BK37" s="270"/>
      <c r="BL37" s="270"/>
      <c r="BM37" s="270"/>
      <c r="BN37" s="270"/>
      <c r="BO37" s="270"/>
      <c r="BP37" s="270"/>
      <c r="BQ37" s="270"/>
      <c r="BR37" s="270"/>
      <c r="BS37" s="270"/>
      <c r="BT37" s="270"/>
      <c r="BU37" s="270"/>
      <c r="BV37" s="270"/>
      <c r="BW37" s="270"/>
      <c r="BX37" s="270"/>
      <c r="BY37" s="270"/>
      <c r="BZ37" s="270"/>
      <c r="CA37" s="270"/>
      <c r="CB37" s="270"/>
      <c r="CC37" s="270"/>
      <c r="CD37" s="270"/>
      <c r="CE37" s="270"/>
      <c r="CF37" s="270"/>
      <c r="CG37" s="270"/>
      <c r="CH37" s="270"/>
      <c r="CI37" s="270"/>
      <c r="CJ37" s="270"/>
      <c r="CK37" s="270"/>
      <c r="CL37" s="270"/>
      <c r="CM37" s="270"/>
      <c r="CN37" s="270"/>
      <c r="CO37" s="270"/>
      <c r="CP37" s="270"/>
      <c r="CQ37" s="270"/>
      <c r="CR37" s="270"/>
      <c r="CS37" s="270"/>
      <c r="CT37" s="270"/>
      <c r="CU37" s="270"/>
      <c r="CV37" s="270"/>
      <c r="CW37" s="270"/>
      <c r="CX37" s="270"/>
      <c r="CY37" s="270"/>
      <c r="CZ37" s="270"/>
      <c r="DA37" s="270"/>
      <c r="DB37" s="270"/>
      <c r="DC37" s="270"/>
      <c r="DD37" s="270"/>
      <c r="DE37" s="270"/>
      <c r="DF37" s="270"/>
      <c r="DG37" s="270"/>
      <c r="DH37" s="270"/>
      <c r="DI37" s="270"/>
      <c r="DJ37" s="270"/>
      <c r="DK37" s="270"/>
      <c r="DL37" s="270"/>
      <c r="DM37" s="270"/>
      <c r="DN37" s="270"/>
      <c r="DO37" s="270"/>
      <c r="DP37" s="270"/>
      <c r="DQ37" s="270"/>
      <c r="DR37" s="270"/>
      <c r="DS37" s="270"/>
      <c r="DT37" s="270"/>
      <c r="DU37" s="270"/>
      <c r="DV37" s="270"/>
      <c r="DW37" s="270"/>
      <c r="DX37" s="270"/>
      <c r="DY37" s="270"/>
      <c r="DZ37" s="270"/>
      <c r="EA37" s="270"/>
      <c r="EB37" s="270"/>
      <c r="EC37" s="270"/>
      <c r="ED37" s="270"/>
      <c r="EE37" s="270"/>
      <c r="EF37" s="270"/>
      <c r="EG37" s="270"/>
      <c r="EH37" s="270"/>
      <c r="EI37" s="270"/>
      <c r="EJ37" s="270"/>
      <c r="EK37" s="270"/>
      <c r="EL37" s="270"/>
      <c r="EM37" s="270"/>
      <c r="EN37" s="270"/>
      <c r="EO37" s="270"/>
      <c r="EP37" s="270"/>
      <c r="EQ37" s="270"/>
      <c r="ER37" s="270"/>
      <c r="ES37" s="270"/>
      <c r="ET37" s="270"/>
      <c r="EU37" s="270"/>
      <c r="EV37" s="270"/>
      <c r="EW37" s="270"/>
      <c r="EX37" s="270"/>
      <c r="EY37" s="270"/>
      <c r="EZ37" s="270"/>
      <c r="FA37" s="270"/>
      <c r="FB37" s="270"/>
      <c r="FC37" s="270"/>
      <c r="FD37" s="270"/>
      <c r="FE37" s="270"/>
      <c r="FF37" s="270"/>
      <c r="FG37" s="270"/>
      <c r="FH37" s="270"/>
      <c r="FI37" s="270"/>
      <c r="FJ37" s="270"/>
      <c r="FK37" s="270"/>
      <c r="FL37" s="270"/>
      <c r="FM37" s="270"/>
      <c r="FN37" s="270"/>
      <c r="FO37" s="270"/>
      <c r="FP37" s="270"/>
      <c r="FQ37" s="270"/>
      <c r="FR37" s="270"/>
      <c r="FS37" s="270"/>
      <c r="FT37" s="270"/>
      <c r="FU37" s="270"/>
      <c r="FV37" s="270"/>
      <c r="FW37" s="270"/>
      <c r="FX37" s="270"/>
      <c r="FY37" s="270"/>
      <c r="FZ37" s="270"/>
      <c r="GA37" s="270"/>
      <c r="GB37" s="270"/>
      <c r="GC37" s="270"/>
      <c r="GD37" s="270"/>
      <c r="GE37" s="270"/>
      <c r="GF37" s="270"/>
      <c r="GG37" s="270"/>
      <c r="GH37" s="270"/>
      <c r="GI37" s="270"/>
      <c r="GJ37" s="270"/>
      <c r="GK37" s="270"/>
      <c r="GL37" s="270"/>
      <c r="GM37" s="270"/>
      <c r="GN37" s="270"/>
      <c r="GO37" s="270"/>
      <c r="GP37" s="270"/>
      <c r="GQ37" s="270"/>
      <c r="GR37" s="270"/>
      <c r="GS37" s="270"/>
      <c r="GT37" s="270"/>
      <c r="GU37" s="270"/>
      <c r="GV37" s="270"/>
      <c r="GW37" s="270"/>
      <c r="GX37" s="270"/>
      <c r="GY37" s="270"/>
      <c r="GZ37" s="270"/>
      <c r="HA37" s="270"/>
      <c r="HB37" s="270"/>
      <c r="HC37" s="270"/>
      <c r="HD37" s="270"/>
      <c r="HE37" s="270"/>
      <c r="HF37" s="270"/>
      <c r="HG37" s="270"/>
      <c r="HH37" s="270" t="s">
        <v>259</v>
      </c>
    </row>
    <row r="38" spans="1:216" s="271" customFormat="1" outlineLevel="3" x14ac:dyDescent="0.2">
      <c r="H38" s="272"/>
      <c r="I38" s="354" t="s">
        <v>279</v>
      </c>
      <c r="J38" s="266"/>
      <c r="K38" s="267">
        <v>-2</v>
      </c>
      <c r="L38" s="268"/>
      <c r="M38" s="268" t="str">
        <f t="shared" si="0"/>
        <v/>
      </c>
      <c r="N38" s="269">
        <f t="shared" si="1"/>
        <v>0</v>
      </c>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c r="AU38" s="270"/>
      <c r="AV38" s="270"/>
      <c r="AW38" s="270"/>
      <c r="AX38" s="270"/>
      <c r="AY38" s="270"/>
      <c r="AZ38" s="270"/>
      <c r="BA38" s="270"/>
      <c r="BB38" s="270"/>
      <c r="BC38" s="270"/>
      <c r="BD38" s="270"/>
      <c r="BE38" s="270"/>
      <c r="BF38" s="270"/>
      <c r="BG38" s="270"/>
      <c r="BH38" s="270"/>
      <c r="BI38" s="270"/>
      <c r="BJ38" s="270"/>
      <c r="BK38" s="270"/>
      <c r="BL38" s="270"/>
      <c r="BM38" s="270"/>
      <c r="BN38" s="270"/>
      <c r="BO38" s="270"/>
      <c r="BP38" s="270"/>
      <c r="BQ38" s="270"/>
      <c r="BR38" s="270"/>
      <c r="BS38" s="270"/>
      <c r="BT38" s="270"/>
      <c r="BU38" s="270"/>
      <c r="BV38" s="270"/>
      <c r="BW38" s="270"/>
      <c r="BX38" s="270"/>
      <c r="BY38" s="270"/>
      <c r="BZ38" s="270"/>
      <c r="CA38" s="270"/>
      <c r="CB38" s="270"/>
      <c r="CC38" s="270"/>
      <c r="CD38" s="270"/>
      <c r="CE38" s="270"/>
      <c r="CF38" s="270"/>
      <c r="CG38" s="270"/>
      <c r="CH38" s="270"/>
      <c r="CI38" s="270"/>
      <c r="CJ38" s="270"/>
      <c r="CK38" s="270"/>
      <c r="CL38" s="270"/>
      <c r="CM38" s="270"/>
      <c r="CN38" s="270"/>
      <c r="CO38" s="270"/>
      <c r="CP38" s="270"/>
      <c r="CQ38" s="270"/>
      <c r="CR38" s="270"/>
      <c r="CS38" s="270"/>
      <c r="CT38" s="270"/>
      <c r="CU38" s="270"/>
      <c r="CV38" s="270"/>
      <c r="CW38" s="270"/>
      <c r="CX38" s="270"/>
      <c r="CY38" s="270"/>
      <c r="CZ38" s="270"/>
      <c r="DA38" s="270"/>
      <c r="DB38" s="270"/>
      <c r="DC38" s="270"/>
      <c r="DD38" s="270"/>
      <c r="DE38" s="270"/>
      <c r="DF38" s="270"/>
      <c r="DG38" s="270"/>
      <c r="DH38" s="270"/>
      <c r="DI38" s="270"/>
      <c r="DJ38" s="270"/>
      <c r="DK38" s="270"/>
      <c r="DL38" s="270"/>
      <c r="DM38" s="270"/>
      <c r="DN38" s="270"/>
      <c r="DO38" s="270"/>
      <c r="DP38" s="270"/>
      <c r="DQ38" s="270"/>
      <c r="DR38" s="270"/>
      <c r="DS38" s="270"/>
      <c r="DT38" s="270"/>
      <c r="DU38" s="270"/>
      <c r="DV38" s="270"/>
      <c r="DW38" s="270"/>
      <c r="DX38" s="270"/>
      <c r="DY38" s="270"/>
      <c r="DZ38" s="270"/>
      <c r="EA38" s="270"/>
      <c r="EB38" s="270"/>
      <c r="EC38" s="270"/>
      <c r="ED38" s="270"/>
      <c r="EE38" s="270"/>
      <c r="EF38" s="270"/>
      <c r="EG38" s="270"/>
      <c r="EH38" s="270"/>
      <c r="EI38" s="270"/>
      <c r="EJ38" s="270"/>
      <c r="EK38" s="270"/>
      <c r="EL38" s="270"/>
      <c r="EM38" s="270"/>
      <c r="EN38" s="270"/>
      <c r="EO38" s="270"/>
      <c r="EP38" s="270"/>
      <c r="EQ38" s="270"/>
      <c r="ER38" s="270"/>
      <c r="ES38" s="270"/>
      <c r="ET38" s="270"/>
      <c r="EU38" s="270"/>
      <c r="EV38" s="270"/>
      <c r="EW38" s="270"/>
      <c r="EX38" s="270"/>
      <c r="EY38" s="270"/>
      <c r="EZ38" s="270"/>
      <c r="FA38" s="270"/>
      <c r="FB38" s="270"/>
      <c r="FC38" s="270"/>
      <c r="FD38" s="270"/>
      <c r="FE38" s="270"/>
      <c r="FF38" s="270"/>
      <c r="FG38" s="270"/>
      <c r="FH38" s="270"/>
      <c r="FI38" s="270"/>
      <c r="FJ38" s="270"/>
      <c r="FK38" s="270"/>
      <c r="FL38" s="270"/>
      <c r="FM38" s="270"/>
      <c r="FN38" s="270"/>
      <c r="FO38" s="270"/>
      <c r="FP38" s="270"/>
      <c r="FQ38" s="270"/>
      <c r="FR38" s="270"/>
      <c r="FS38" s="270"/>
      <c r="FT38" s="270"/>
      <c r="FU38" s="270"/>
      <c r="FV38" s="270"/>
      <c r="FW38" s="270"/>
      <c r="FX38" s="270"/>
      <c r="FY38" s="270"/>
      <c r="FZ38" s="270"/>
      <c r="GA38" s="270"/>
      <c r="GB38" s="270"/>
      <c r="GC38" s="270"/>
      <c r="GD38" s="270"/>
      <c r="GE38" s="270"/>
      <c r="GF38" s="270"/>
      <c r="GG38" s="270"/>
      <c r="GH38" s="270"/>
      <c r="GI38" s="270"/>
      <c r="GJ38" s="270"/>
      <c r="GK38" s="270"/>
      <c r="GL38" s="270"/>
      <c r="GM38" s="270"/>
      <c r="GN38" s="270"/>
      <c r="GO38" s="270"/>
      <c r="GP38" s="270"/>
      <c r="GQ38" s="270"/>
      <c r="GR38" s="270"/>
      <c r="GS38" s="270"/>
      <c r="GT38" s="270"/>
      <c r="GU38" s="270"/>
      <c r="GV38" s="270"/>
      <c r="GW38" s="270"/>
      <c r="GX38" s="270"/>
      <c r="GY38" s="270"/>
      <c r="GZ38" s="270"/>
      <c r="HA38" s="270"/>
      <c r="HB38" s="270"/>
      <c r="HC38" s="270"/>
      <c r="HD38" s="270"/>
      <c r="HE38" s="270"/>
      <c r="HF38" s="270"/>
      <c r="HG38" s="270"/>
      <c r="HH38" s="270" t="s">
        <v>259</v>
      </c>
    </row>
    <row r="39" spans="1:216" s="271" customFormat="1" outlineLevel="3" x14ac:dyDescent="0.2">
      <c r="H39" s="265"/>
      <c r="I39" s="353" t="s">
        <v>280</v>
      </c>
      <c r="J39" s="266"/>
      <c r="K39" s="267">
        <v>-2</v>
      </c>
      <c r="L39" s="268"/>
      <c r="M39" s="268" t="str">
        <f t="shared" si="0"/>
        <v/>
      </c>
      <c r="N39" s="269">
        <f t="shared" si="1"/>
        <v>0</v>
      </c>
      <c r="O39" s="270"/>
      <c r="P39" s="270"/>
      <c r="Q39" s="270"/>
      <c r="R39" s="270"/>
      <c r="S39" s="270"/>
      <c r="T39" s="270"/>
      <c r="U39" s="270"/>
      <c r="V39" s="270"/>
      <c r="W39" s="270"/>
      <c r="X39" s="270"/>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c r="AU39" s="270"/>
      <c r="AV39" s="270"/>
      <c r="AW39" s="270"/>
      <c r="AX39" s="270"/>
      <c r="AY39" s="270"/>
      <c r="AZ39" s="270"/>
      <c r="BA39" s="270"/>
      <c r="BB39" s="270"/>
      <c r="BC39" s="270"/>
      <c r="BD39" s="270"/>
      <c r="BE39" s="270"/>
      <c r="BF39" s="270"/>
      <c r="BG39" s="270"/>
      <c r="BH39" s="270"/>
      <c r="BI39" s="270"/>
      <c r="BJ39" s="270"/>
      <c r="BK39" s="270"/>
      <c r="BL39" s="270"/>
      <c r="BM39" s="270"/>
      <c r="BN39" s="270"/>
      <c r="BO39" s="270"/>
      <c r="BP39" s="270"/>
      <c r="BQ39" s="270"/>
      <c r="BR39" s="270"/>
      <c r="BS39" s="270"/>
      <c r="BT39" s="270"/>
      <c r="BU39" s="270"/>
      <c r="BV39" s="270"/>
      <c r="BW39" s="270"/>
      <c r="BX39" s="270"/>
      <c r="BY39" s="270"/>
      <c r="BZ39" s="270"/>
      <c r="CA39" s="270"/>
      <c r="CB39" s="270"/>
      <c r="CC39" s="270"/>
      <c r="CD39" s="270"/>
      <c r="CE39" s="270"/>
      <c r="CF39" s="270"/>
      <c r="CG39" s="270"/>
      <c r="CH39" s="270"/>
      <c r="CI39" s="270"/>
      <c r="CJ39" s="270"/>
      <c r="CK39" s="270"/>
      <c r="CL39" s="270"/>
      <c r="CM39" s="270"/>
      <c r="CN39" s="270"/>
      <c r="CO39" s="270"/>
      <c r="CP39" s="270"/>
      <c r="CQ39" s="270"/>
      <c r="CR39" s="270"/>
      <c r="CS39" s="270"/>
      <c r="CT39" s="270"/>
      <c r="CU39" s="270"/>
      <c r="CV39" s="270"/>
      <c r="CW39" s="270"/>
      <c r="CX39" s="270"/>
      <c r="CY39" s="270"/>
      <c r="CZ39" s="270"/>
      <c r="DA39" s="270"/>
      <c r="DB39" s="270"/>
      <c r="DC39" s="270"/>
      <c r="DD39" s="270"/>
      <c r="DE39" s="270"/>
      <c r="DF39" s="270"/>
      <c r="DG39" s="270"/>
      <c r="DH39" s="270"/>
      <c r="DI39" s="270"/>
      <c r="DJ39" s="270"/>
      <c r="DK39" s="270"/>
      <c r="DL39" s="270"/>
      <c r="DM39" s="270"/>
      <c r="DN39" s="270"/>
      <c r="DO39" s="270"/>
      <c r="DP39" s="270"/>
      <c r="DQ39" s="270"/>
      <c r="DR39" s="270"/>
      <c r="DS39" s="270"/>
      <c r="DT39" s="270"/>
      <c r="DU39" s="270"/>
      <c r="DV39" s="270"/>
      <c r="DW39" s="270"/>
      <c r="DX39" s="270"/>
      <c r="DY39" s="270"/>
      <c r="DZ39" s="270"/>
      <c r="EA39" s="270"/>
      <c r="EB39" s="270"/>
      <c r="EC39" s="270"/>
      <c r="ED39" s="270"/>
      <c r="EE39" s="270"/>
      <c r="EF39" s="270"/>
      <c r="EG39" s="270"/>
      <c r="EH39" s="270"/>
      <c r="EI39" s="270"/>
      <c r="EJ39" s="270"/>
      <c r="EK39" s="270"/>
      <c r="EL39" s="270"/>
      <c r="EM39" s="270"/>
      <c r="EN39" s="270"/>
      <c r="EO39" s="270"/>
      <c r="EP39" s="270"/>
      <c r="EQ39" s="270"/>
      <c r="ER39" s="270"/>
      <c r="ES39" s="270"/>
      <c r="ET39" s="270"/>
      <c r="EU39" s="270"/>
      <c r="EV39" s="270"/>
      <c r="EW39" s="270"/>
      <c r="EX39" s="270"/>
      <c r="EY39" s="270"/>
      <c r="EZ39" s="270"/>
      <c r="FA39" s="270"/>
      <c r="FB39" s="270"/>
      <c r="FC39" s="270"/>
      <c r="FD39" s="270"/>
      <c r="FE39" s="270"/>
      <c r="FF39" s="270"/>
      <c r="FG39" s="270"/>
      <c r="FH39" s="270"/>
      <c r="FI39" s="270"/>
      <c r="FJ39" s="270"/>
      <c r="FK39" s="270"/>
      <c r="FL39" s="270"/>
      <c r="FM39" s="270"/>
      <c r="FN39" s="270"/>
      <c r="FO39" s="270"/>
      <c r="FP39" s="270"/>
      <c r="FQ39" s="270"/>
      <c r="FR39" s="270"/>
      <c r="FS39" s="270"/>
      <c r="FT39" s="270"/>
      <c r="FU39" s="270"/>
      <c r="FV39" s="270"/>
      <c r="FW39" s="270"/>
      <c r="FX39" s="270"/>
      <c r="FY39" s="270"/>
      <c r="FZ39" s="270"/>
      <c r="GA39" s="270"/>
      <c r="GB39" s="270"/>
      <c r="GC39" s="270"/>
      <c r="GD39" s="270"/>
      <c r="GE39" s="270"/>
      <c r="GF39" s="270"/>
      <c r="GG39" s="270"/>
      <c r="GH39" s="270"/>
      <c r="GI39" s="270"/>
      <c r="GJ39" s="270"/>
      <c r="GK39" s="270"/>
      <c r="GL39" s="270"/>
      <c r="GM39" s="270"/>
      <c r="GN39" s="270"/>
      <c r="GO39" s="270"/>
      <c r="GP39" s="270"/>
      <c r="GQ39" s="270"/>
      <c r="GR39" s="270"/>
      <c r="GS39" s="270"/>
      <c r="GT39" s="270"/>
      <c r="GU39" s="270"/>
      <c r="GV39" s="270"/>
      <c r="GW39" s="270"/>
      <c r="GX39" s="270"/>
      <c r="GY39" s="270"/>
      <c r="GZ39" s="270"/>
      <c r="HA39" s="270"/>
      <c r="HB39" s="270"/>
      <c r="HC39" s="270"/>
      <c r="HD39" s="270"/>
      <c r="HE39" s="270"/>
      <c r="HF39" s="270"/>
      <c r="HG39" s="270"/>
      <c r="HH39" s="270" t="s">
        <v>259</v>
      </c>
    </row>
    <row r="40" spans="1:216" s="365" customFormat="1" outlineLevel="3" x14ac:dyDescent="0.2">
      <c r="A40" s="362"/>
      <c r="B40" s="362"/>
      <c r="C40" s="362"/>
      <c r="D40" s="362"/>
      <c r="E40" s="362"/>
      <c r="F40" s="362"/>
      <c r="G40" s="362"/>
      <c r="H40" s="280"/>
      <c r="I40" s="355"/>
      <c r="J40" s="273"/>
      <c r="K40" s="273"/>
      <c r="L40" s="275"/>
      <c r="M40" s="275" t="str">
        <f t="shared" si="0"/>
        <v/>
      </c>
      <c r="N40" s="276">
        <f t="shared" si="1"/>
        <v>0</v>
      </c>
      <c r="O40" s="273"/>
      <c r="P40" s="273"/>
      <c r="Q40" s="273"/>
      <c r="R40" s="277"/>
      <c r="S40" s="273"/>
      <c r="T40" s="273"/>
      <c r="U40" s="27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7"/>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7"/>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7"/>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3"/>
      <c r="GS40" s="273"/>
      <c r="GT40" s="273"/>
      <c r="GU40" s="273"/>
      <c r="GV40" s="273"/>
      <c r="GW40" s="273"/>
      <c r="GX40" s="273"/>
      <c r="GY40" s="273"/>
      <c r="GZ40" s="273"/>
      <c r="HA40" s="273"/>
      <c r="HB40" s="273"/>
      <c r="HC40" s="273"/>
      <c r="HD40" s="273"/>
      <c r="HE40" s="273"/>
      <c r="HF40" s="273"/>
      <c r="HG40" s="273"/>
      <c r="HH40" s="278" t="s">
        <v>259</v>
      </c>
    </row>
    <row r="41" spans="1:216" s="359" customFormat="1" outlineLevel="3" x14ac:dyDescent="0.2">
      <c r="A41" s="358"/>
      <c r="B41" s="358"/>
      <c r="C41" s="358"/>
      <c r="D41" s="358"/>
      <c r="E41" s="358"/>
      <c r="F41" s="358"/>
      <c r="G41" s="358"/>
      <c r="H41" s="358"/>
      <c r="I41" s="352"/>
      <c r="J41" s="260"/>
      <c r="K41" s="260"/>
      <c r="L41" s="261"/>
      <c r="M41" s="261" t="str">
        <f t="shared" si="0"/>
        <v/>
      </c>
      <c r="N41" s="262">
        <f t="shared" si="1"/>
        <v>0</v>
      </c>
      <c r="O41" s="260"/>
      <c r="P41" s="260"/>
      <c r="Q41" s="260"/>
      <c r="R41" s="260"/>
      <c r="S41" s="260"/>
      <c r="T41" s="260"/>
      <c r="U41" s="260"/>
      <c r="V41" s="260"/>
      <c r="W41" s="260"/>
      <c r="X41" s="260"/>
      <c r="Y41" s="260"/>
      <c r="Z41" s="260"/>
      <c r="AA41" s="260"/>
      <c r="AB41" s="260"/>
      <c r="AC41" s="260"/>
      <c r="AD41" s="260"/>
      <c r="AE41" s="260"/>
      <c r="AF41" s="260"/>
      <c r="AG41" s="260"/>
      <c r="AH41" s="260"/>
      <c r="AI41" s="260"/>
      <c r="AJ41" s="260"/>
      <c r="AK41" s="260"/>
      <c r="AL41" s="260"/>
      <c r="AM41" s="260"/>
      <c r="AN41" s="260"/>
      <c r="AO41" s="260"/>
      <c r="AP41" s="260"/>
      <c r="AQ41" s="260"/>
      <c r="AR41" s="260"/>
      <c r="AS41" s="260"/>
      <c r="AT41" s="260"/>
      <c r="AU41" s="260"/>
      <c r="AV41" s="260"/>
      <c r="AW41" s="260"/>
      <c r="AX41" s="260"/>
      <c r="AY41" s="260"/>
      <c r="AZ41" s="260"/>
      <c r="BA41" s="260"/>
      <c r="BB41" s="260"/>
      <c r="BC41" s="260"/>
      <c r="BD41" s="260"/>
      <c r="BE41" s="260"/>
      <c r="BF41" s="260"/>
      <c r="BG41" s="260"/>
      <c r="BH41" s="260"/>
      <c r="BI41" s="260"/>
      <c r="BJ41" s="260"/>
      <c r="BK41" s="260"/>
      <c r="BL41" s="260"/>
      <c r="BM41" s="260"/>
      <c r="BN41" s="260"/>
      <c r="BO41" s="260"/>
      <c r="BP41" s="260"/>
      <c r="BQ41" s="260"/>
      <c r="BR41" s="260"/>
      <c r="BS41" s="260"/>
      <c r="BT41" s="260"/>
      <c r="BU41" s="260"/>
      <c r="BV41" s="260"/>
      <c r="BW41" s="260"/>
      <c r="BX41" s="260"/>
      <c r="BY41" s="260"/>
      <c r="BZ41" s="260"/>
      <c r="CA41" s="260"/>
      <c r="CB41" s="260"/>
      <c r="CC41" s="260"/>
      <c r="CD41" s="260"/>
      <c r="CE41" s="260"/>
      <c r="CF41" s="260"/>
      <c r="CG41" s="260"/>
      <c r="CH41" s="260"/>
      <c r="CI41" s="260"/>
      <c r="CJ41" s="260"/>
      <c r="CK41" s="260"/>
      <c r="CL41" s="260"/>
      <c r="CM41" s="260"/>
      <c r="CN41" s="260"/>
      <c r="CO41" s="260"/>
      <c r="CP41" s="260"/>
      <c r="CQ41" s="260"/>
      <c r="CR41" s="260"/>
      <c r="CS41" s="260"/>
      <c r="CT41" s="260"/>
      <c r="CU41" s="260"/>
      <c r="CV41" s="260"/>
      <c r="CW41" s="260"/>
      <c r="CX41" s="260"/>
      <c r="CY41" s="260"/>
      <c r="CZ41" s="260"/>
      <c r="DA41" s="260"/>
      <c r="DB41" s="260"/>
      <c r="DC41" s="260"/>
      <c r="DD41" s="260"/>
      <c r="DE41" s="260"/>
      <c r="DF41" s="260"/>
      <c r="DG41" s="260"/>
      <c r="DH41" s="260"/>
      <c r="DI41" s="260"/>
      <c r="DJ41" s="260"/>
      <c r="DK41" s="260"/>
      <c r="DL41" s="260"/>
      <c r="DM41" s="260"/>
      <c r="DN41" s="260"/>
      <c r="DO41" s="260"/>
      <c r="DP41" s="260"/>
      <c r="DQ41" s="260"/>
      <c r="DR41" s="260"/>
      <c r="DS41" s="260"/>
      <c r="DT41" s="260"/>
      <c r="DU41" s="260"/>
      <c r="DV41" s="260"/>
      <c r="DW41" s="260"/>
      <c r="DX41" s="260"/>
      <c r="DY41" s="260"/>
      <c r="DZ41" s="260"/>
      <c r="EA41" s="260"/>
      <c r="EB41" s="260"/>
      <c r="EC41" s="260"/>
      <c r="ED41" s="260"/>
      <c r="EE41" s="260"/>
      <c r="EF41" s="260"/>
      <c r="EG41" s="260"/>
      <c r="EH41" s="260"/>
      <c r="EI41" s="260"/>
      <c r="EJ41" s="260"/>
      <c r="EK41" s="260"/>
      <c r="EL41" s="260"/>
      <c r="EM41" s="260"/>
      <c r="EN41" s="260"/>
      <c r="EO41" s="260"/>
      <c r="EP41" s="260"/>
      <c r="EQ41" s="260"/>
      <c r="ER41" s="260"/>
      <c r="ES41" s="260"/>
      <c r="ET41" s="260"/>
      <c r="EU41" s="260"/>
      <c r="EV41" s="260"/>
      <c r="EW41" s="260"/>
      <c r="EX41" s="260"/>
      <c r="EY41" s="260"/>
      <c r="EZ41" s="260"/>
      <c r="FA41" s="260"/>
      <c r="FB41" s="260"/>
      <c r="FC41" s="260"/>
      <c r="FD41" s="260"/>
      <c r="FE41" s="260"/>
      <c r="FF41" s="260"/>
      <c r="FG41" s="260"/>
      <c r="FH41" s="260"/>
      <c r="FI41" s="260"/>
      <c r="FJ41" s="260"/>
      <c r="FK41" s="260"/>
      <c r="FL41" s="260"/>
      <c r="FM41" s="260"/>
      <c r="FN41" s="260"/>
      <c r="FO41" s="260"/>
      <c r="FP41" s="260"/>
      <c r="FQ41" s="260"/>
      <c r="FR41" s="260"/>
      <c r="FS41" s="260"/>
      <c r="FT41" s="260"/>
      <c r="FU41" s="260"/>
      <c r="FV41" s="260"/>
      <c r="FW41" s="260"/>
      <c r="FX41" s="260"/>
      <c r="FY41" s="260"/>
      <c r="FZ41" s="260"/>
      <c r="GA41" s="260"/>
      <c r="GB41" s="260"/>
      <c r="GC41" s="260"/>
      <c r="GD41" s="260"/>
      <c r="GE41" s="260"/>
      <c r="GF41" s="260"/>
      <c r="GG41" s="260"/>
      <c r="GH41" s="260"/>
      <c r="GI41" s="260"/>
      <c r="GJ41" s="260"/>
      <c r="GK41" s="260"/>
      <c r="GL41" s="260"/>
      <c r="GM41" s="260"/>
      <c r="GN41" s="260"/>
      <c r="GO41" s="260"/>
      <c r="GP41" s="260"/>
      <c r="GQ41" s="260"/>
      <c r="GR41" s="260"/>
      <c r="GS41" s="260"/>
      <c r="GT41" s="260"/>
      <c r="GU41" s="260"/>
      <c r="GV41" s="260"/>
      <c r="GW41" s="260"/>
      <c r="GX41" s="260"/>
      <c r="GY41" s="260"/>
      <c r="GZ41" s="260"/>
      <c r="HA41" s="260"/>
      <c r="HB41" s="260"/>
      <c r="HC41" s="260"/>
      <c r="HD41" s="260"/>
      <c r="HE41" s="260"/>
      <c r="HF41" s="260"/>
      <c r="HG41" s="260"/>
      <c r="HH41" s="260" t="s">
        <v>259</v>
      </c>
    </row>
    <row r="42" spans="1:216" s="359" customFormat="1" outlineLevel="2" x14ac:dyDescent="0.2">
      <c r="A42" s="358"/>
      <c r="B42" s="358"/>
      <c r="C42" s="358"/>
      <c r="D42" s="358"/>
      <c r="E42" s="358"/>
      <c r="F42" s="358"/>
      <c r="G42" s="358"/>
      <c r="H42" s="358"/>
      <c r="I42" s="352" t="s">
        <v>219</v>
      </c>
      <c r="J42" s="260"/>
      <c r="K42" s="260"/>
      <c r="L42" s="261"/>
      <c r="M42" s="261" t="str">
        <f t="shared" si="0"/>
        <v/>
      </c>
      <c r="N42" s="262">
        <f t="shared" si="1"/>
        <v>0</v>
      </c>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0"/>
      <c r="BE42" s="260"/>
      <c r="BF42" s="260"/>
      <c r="BG42" s="260"/>
      <c r="BH42" s="260"/>
      <c r="BI42" s="260"/>
      <c r="BJ42" s="260"/>
      <c r="BK42" s="260"/>
      <c r="BL42" s="260"/>
      <c r="BM42" s="260"/>
      <c r="BN42" s="260"/>
      <c r="BO42" s="260"/>
      <c r="BP42" s="260"/>
      <c r="BQ42" s="260"/>
      <c r="BR42" s="260"/>
      <c r="BS42" s="260"/>
      <c r="BT42" s="260"/>
      <c r="BU42" s="260"/>
      <c r="BV42" s="260"/>
      <c r="BW42" s="260"/>
      <c r="BX42" s="260"/>
      <c r="BY42" s="260"/>
      <c r="BZ42" s="260"/>
      <c r="CA42" s="260"/>
      <c r="CB42" s="260"/>
      <c r="CC42" s="260"/>
      <c r="CD42" s="260"/>
      <c r="CE42" s="260"/>
      <c r="CF42" s="260"/>
      <c r="CG42" s="260"/>
      <c r="CH42" s="260"/>
      <c r="CI42" s="260"/>
      <c r="CJ42" s="260"/>
      <c r="CK42" s="260"/>
      <c r="CL42" s="260"/>
      <c r="CM42" s="260"/>
      <c r="CN42" s="260"/>
      <c r="CO42" s="260"/>
      <c r="CP42" s="260"/>
      <c r="CQ42" s="260"/>
      <c r="CR42" s="260"/>
      <c r="CS42" s="260"/>
      <c r="CT42" s="260"/>
      <c r="CU42" s="260"/>
      <c r="CV42" s="260"/>
      <c r="CW42" s="260"/>
      <c r="CX42" s="260"/>
      <c r="CY42" s="260"/>
      <c r="CZ42" s="260"/>
      <c r="DA42" s="260"/>
      <c r="DB42" s="260"/>
      <c r="DC42" s="260"/>
      <c r="DD42" s="260"/>
      <c r="DE42" s="260"/>
      <c r="DF42" s="260"/>
      <c r="DG42" s="260"/>
      <c r="DH42" s="260"/>
      <c r="DI42" s="260"/>
      <c r="DJ42" s="260"/>
      <c r="DK42" s="260"/>
      <c r="DL42" s="260"/>
      <c r="DM42" s="260"/>
      <c r="DN42" s="260"/>
      <c r="DO42" s="260"/>
      <c r="DP42" s="260"/>
      <c r="DQ42" s="260"/>
      <c r="DR42" s="260"/>
      <c r="DS42" s="260"/>
      <c r="DT42" s="260"/>
      <c r="DU42" s="260"/>
      <c r="DV42" s="260"/>
      <c r="DW42" s="260"/>
      <c r="DX42" s="260"/>
      <c r="DY42" s="260"/>
      <c r="DZ42" s="260"/>
      <c r="EA42" s="260"/>
      <c r="EB42" s="260"/>
      <c r="EC42" s="260"/>
      <c r="ED42" s="260"/>
      <c r="EE42" s="260"/>
      <c r="EF42" s="260"/>
      <c r="EG42" s="260"/>
      <c r="EH42" s="260"/>
      <c r="EI42" s="260"/>
      <c r="EJ42" s="260"/>
      <c r="EK42" s="260"/>
      <c r="EL42" s="260"/>
      <c r="EM42" s="260"/>
      <c r="EN42" s="260"/>
      <c r="EO42" s="260"/>
      <c r="EP42" s="260"/>
      <c r="EQ42" s="260"/>
      <c r="ER42" s="260"/>
      <c r="ES42" s="260"/>
      <c r="ET42" s="260"/>
      <c r="EU42" s="260"/>
      <c r="EV42" s="260"/>
      <c r="EW42" s="260"/>
      <c r="EX42" s="260"/>
      <c r="EY42" s="260"/>
      <c r="EZ42" s="260"/>
      <c r="FA42" s="260"/>
      <c r="FB42" s="260"/>
      <c r="FC42" s="260"/>
      <c r="FD42" s="260"/>
      <c r="FE42" s="260"/>
      <c r="FF42" s="260"/>
      <c r="FG42" s="260"/>
      <c r="FH42" s="260"/>
      <c r="FI42" s="260"/>
      <c r="FJ42" s="260"/>
      <c r="FK42" s="260"/>
      <c r="FL42" s="260"/>
      <c r="FM42" s="260"/>
      <c r="FN42" s="260"/>
      <c r="FO42" s="260"/>
      <c r="FP42" s="260"/>
      <c r="FQ42" s="260"/>
      <c r="FR42" s="260"/>
      <c r="FS42" s="260"/>
      <c r="FT42" s="260"/>
      <c r="FU42" s="260"/>
      <c r="FV42" s="260"/>
      <c r="FW42" s="260"/>
      <c r="FX42" s="260"/>
      <c r="FY42" s="260"/>
      <c r="FZ42" s="260"/>
      <c r="GA42" s="260"/>
      <c r="GB42" s="260"/>
      <c r="GC42" s="260"/>
      <c r="GD42" s="260"/>
      <c r="GE42" s="260"/>
      <c r="GF42" s="260"/>
      <c r="GG42" s="260"/>
      <c r="GH42" s="260"/>
      <c r="GI42" s="260"/>
      <c r="GJ42" s="260"/>
      <c r="GK42" s="260"/>
      <c r="GL42" s="260"/>
      <c r="GM42" s="260"/>
      <c r="GN42" s="260"/>
      <c r="GO42" s="260"/>
      <c r="GP42" s="260"/>
      <c r="GQ42" s="260"/>
      <c r="GR42" s="260"/>
      <c r="GS42" s="260"/>
      <c r="GT42" s="260"/>
      <c r="GU42" s="260"/>
      <c r="GV42" s="260"/>
      <c r="GW42" s="260"/>
      <c r="GX42" s="260"/>
      <c r="GY42" s="260"/>
      <c r="GZ42" s="260"/>
      <c r="HA42" s="260"/>
      <c r="HB42" s="260"/>
      <c r="HC42" s="260"/>
      <c r="HD42" s="260"/>
      <c r="HE42" s="260"/>
      <c r="HF42" s="260"/>
      <c r="HG42" s="260"/>
      <c r="HH42" s="263" t="s">
        <v>259</v>
      </c>
    </row>
    <row r="43" spans="1:216" s="271" customFormat="1" ht="38.25" outlineLevel="3" x14ac:dyDescent="0.2">
      <c r="H43" s="272"/>
      <c r="I43" s="354" t="s">
        <v>363</v>
      </c>
      <c r="J43" s="266"/>
      <c r="K43" s="267">
        <v>-3</v>
      </c>
      <c r="L43" s="268"/>
      <c r="M43" s="268" t="str">
        <f t="shared" si="0"/>
        <v/>
      </c>
      <c r="N43" s="269">
        <f t="shared" si="1"/>
        <v>0</v>
      </c>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70"/>
      <c r="AT43" s="270"/>
      <c r="AU43" s="270"/>
      <c r="AV43" s="270"/>
      <c r="AW43" s="270"/>
      <c r="AX43" s="270"/>
      <c r="AY43" s="270"/>
      <c r="AZ43" s="270"/>
      <c r="BA43" s="270"/>
      <c r="BB43" s="270"/>
      <c r="BC43" s="270"/>
      <c r="BD43" s="270"/>
      <c r="BE43" s="270"/>
      <c r="BF43" s="270"/>
      <c r="BG43" s="270"/>
      <c r="BH43" s="270"/>
      <c r="BI43" s="270"/>
      <c r="BJ43" s="270"/>
      <c r="BK43" s="270"/>
      <c r="BL43" s="270"/>
      <c r="BM43" s="270"/>
      <c r="BN43" s="270"/>
      <c r="BO43" s="270"/>
      <c r="BP43" s="270"/>
      <c r="BQ43" s="270"/>
      <c r="BR43" s="270"/>
      <c r="BS43" s="270"/>
      <c r="BT43" s="270"/>
      <c r="BU43" s="270"/>
      <c r="BV43" s="270"/>
      <c r="BW43" s="270"/>
      <c r="BX43" s="270"/>
      <c r="BY43" s="270"/>
      <c r="BZ43" s="270"/>
      <c r="CA43" s="270"/>
      <c r="CB43" s="270"/>
      <c r="CC43" s="270"/>
      <c r="CD43" s="270"/>
      <c r="CE43" s="270"/>
      <c r="CF43" s="270"/>
      <c r="CG43" s="270"/>
      <c r="CH43" s="270"/>
      <c r="CI43" s="270"/>
      <c r="CJ43" s="270"/>
      <c r="CK43" s="270"/>
      <c r="CL43" s="270"/>
      <c r="CM43" s="270"/>
      <c r="CN43" s="270"/>
      <c r="CO43" s="270"/>
      <c r="CP43" s="270"/>
      <c r="CQ43" s="270"/>
      <c r="CR43" s="270"/>
      <c r="CS43" s="270"/>
      <c r="CT43" s="270"/>
      <c r="CU43" s="270"/>
      <c r="CV43" s="270"/>
      <c r="CW43" s="270"/>
      <c r="CX43" s="270"/>
      <c r="CY43" s="270"/>
      <c r="CZ43" s="270"/>
      <c r="DA43" s="270"/>
      <c r="DB43" s="270"/>
      <c r="DC43" s="270"/>
      <c r="DD43" s="270"/>
      <c r="DE43" s="270"/>
      <c r="DF43" s="270"/>
      <c r="DG43" s="270"/>
      <c r="DH43" s="270"/>
      <c r="DI43" s="270"/>
      <c r="DJ43" s="270"/>
      <c r="DK43" s="270"/>
      <c r="DL43" s="270"/>
      <c r="DM43" s="270"/>
      <c r="DN43" s="270"/>
      <c r="DO43" s="270"/>
      <c r="DP43" s="270"/>
      <c r="DQ43" s="270"/>
      <c r="DR43" s="270"/>
      <c r="DS43" s="270"/>
      <c r="DT43" s="270"/>
      <c r="DU43" s="270"/>
      <c r="DV43" s="270"/>
      <c r="DW43" s="270"/>
      <c r="DX43" s="270"/>
      <c r="DY43" s="270"/>
      <c r="DZ43" s="270"/>
      <c r="EA43" s="270"/>
      <c r="EB43" s="270"/>
      <c r="EC43" s="270"/>
      <c r="ED43" s="270"/>
      <c r="EE43" s="270"/>
      <c r="EF43" s="270"/>
      <c r="EG43" s="270"/>
      <c r="EH43" s="270"/>
      <c r="EI43" s="270"/>
      <c r="EJ43" s="270"/>
      <c r="EK43" s="270"/>
      <c r="EL43" s="270"/>
      <c r="EM43" s="270"/>
      <c r="EN43" s="270"/>
      <c r="EO43" s="270"/>
      <c r="EP43" s="270"/>
      <c r="EQ43" s="270"/>
      <c r="ER43" s="270"/>
      <c r="ES43" s="270"/>
      <c r="ET43" s="270"/>
      <c r="EU43" s="270"/>
      <c r="EV43" s="270"/>
      <c r="EW43" s="270"/>
      <c r="EX43" s="270"/>
      <c r="EY43" s="270"/>
      <c r="EZ43" s="270"/>
      <c r="FA43" s="270"/>
      <c r="FB43" s="270"/>
      <c r="FC43" s="270"/>
      <c r="FD43" s="270"/>
      <c r="FE43" s="270"/>
      <c r="FF43" s="270"/>
      <c r="FG43" s="270"/>
      <c r="FH43" s="270"/>
      <c r="FI43" s="270"/>
      <c r="FJ43" s="270"/>
      <c r="FK43" s="270"/>
      <c r="FL43" s="270"/>
      <c r="FM43" s="270"/>
      <c r="FN43" s="270"/>
      <c r="FO43" s="270"/>
      <c r="FP43" s="270"/>
      <c r="FQ43" s="270"/>
      <c r="FR43" s="270"/>
      <c r="FS43" s="270"/>
      <c r="FT43" s="270"/>
      <c r="FU43" s="270"/>
      <c r="FV43" s="270"/>
      <c r="FW43" s="270"/>
      <c r="FX43" s="270"/>
      <c r="FY43" s="270"/>
      <c r="FZ43" s="270"/>
      <c r="GA43" s="270"/>
      <c r="GB43" s="270"/>
      <c r="GC43" s="270"/>
      <c r="GD43" s="270"/>
      <c r="GE43" s="270"/>
      <c r="GF43" s="270"/>
      <c r="GG43" s="270"/>
      <c r="GH43" s="270"/>
      <c r="GI43" s="270"/>
      <c r="GJ43" s="270"/>
      <c r="GK43" s="270"/>
      <c r="GL43" s="270"/>
      <c r="GM43" s="270"/>
      <c r="GN43" s="270"/>
      <c r="GO43" s="270"/>
      <c r="GP43" s="270"/>
      <c r="GQ43" s="270"/>
      <c r="GR43" s="270"/>
      <c r="GS43" s="270"/>
      <c r="GT43" s="270"/>
      <c r="GU43" s="270"/>
      <c r="GV43" s="270"/>
      <c r="GW43" s="270"/>
      <c r="GX43" s="270"/>
      <c r="GY43" s="270"/>
      <c r="GZ43" s="270"/>
      <c r="HA43" s="270"/>
      <c r="HB43" s="270"/>
      <c r="HC43" s="270"/>
      <c r="HD43" s="270"/>
      <c r="HE43" s="270"/>
      <c r="HF43" s="270"/>
      <c r="HG43" s="270"/>
      <c r="HH43" s="270" t="s">
        <v>259</v>
      </c>
    </row>
    <row r="44" spans="1:216" s="271" customFormat="1" outlineLevel="3" x14ac:dyDescent="0.2">
      <c r="H44" s="265"/>
      <c r="I44" s="353" t="s">
        <v>373</v>
      </c>
      <c r="J44" s="266"/>
      <c r="K44" s="267">
        <v>-1</v>
      </c>
      <c r="L44" s="268"/>
      <c r="M44" s="268" t="str">
        <f>IF(MIN(P44:HZ44)&lt;0,MIN(P44:HZ44),IF(MAX(P44:HZ44)&gt;0,MAX(P44:HZ44),""))</f>
        <v/>
      </c>
      <c r="N44" s="269">
        <f>COUNTIF($P44:$HZ44,"&gt;0")+COUNTIF($P44:$HZ44,"&lt;0")</f>
        <v>0</v>
      </c>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c r="AS44" s="270"/>
      <c r="AT44" s="270"/>
      <c r="AU44" s="270"/>
      <c r="AV44" s="270"/>
      <c r="AW44" s="270"/>
      <c r="AX44" s="270"/>
      <c r="AY44" s="270"/>
      <c r="AZ44" s="270"/>
      <c r="BA44" s="270"/>
      <c r="BB44" s="270"/>
      <c r="BC44" s="270"/>
      <c r="BD44" s="270"/>
      <c r="BE44" s="270"/>
      <c r="BF44" s="270"/>
      <c r="BG44" s="270"/>
      <c r="BH44" s="270"/>
      <c r="BI44" s="270"/>
      <c r="BJ44" s="270"/>
      <c r="BK44" s="270"/>
      <c r="BL44" s="270"/>
      <c r="BM44" s="270"/>
      <c r="BN44" s="270"/>
      <c r="BO44" s="270"/>
      <c r="BP44" s="270"/>
      <c r="BQ44" s="270"/>
      <c r="BR44" s="270"/>
      <c r="BS44" s="270"/>
      <c r="BT44" s="270"/>
      <c r="BU44" s="270"/>
      <c r="BV44" s="270"/>
      <c r="BW44" s="270"/>
      <c r="BX44" s="270"/>
      <c r="BY44" s="270"/>
      <c r="BZ44" s="270"/>
      <c r="CA44" s="270"/>
      <c r="CB44" s="270"/>
      <c r="CC44" s="270"/>
      <c r="CD44" s="270"/>
      <c r="CE44" s="270"/>
      <c r="CF44" s="270"/>
      <c r="CG44" s="270"/>
      <c r="CH44" s="270"/>
      <c r="CI44" s="270"/>
      <c r="CJ44" s="270"/>
      <c r="CK44" s="270"/>
      <c r="CL44" s="270"/>
      <c r="CM44" s="270"/>
      <c r="CN44" s="270"/>
      <c r="CO44" s="270"/>
      <c r="CP44" s="270"/>
      <c r="CQ44" s="270"/>
      <c r="CR44" s="270"/>
      <c r="CS44" s="270"/>
      <c r="CT44" s="270"/>
      <c r="CU44" s="270"/>
      <c r="CV44" s="270"/>
      <c r="CW44" s="270"/>
      <c r="CX44" s="270"/>
      <c r="CY44" s="270"/>
      <c r="CZ44" s="270"/>
      <c r="DA44" s="270"/>
      <c r="DB44" s="270"/>
      <c r="DC44" s="270"/>
      <c r="DD44" s="270"/>
      <c r="DE44" s="270"/>
      <c r="DF44" s="270"/>
      <c r="DG44" s="270"/>
      <c r="DH44" s="270"/>
      <c r="DI44" s="270"/>
      <c r="DJ44" s="270"/>
      <c r="DK44" s="270"/>
      <c r="DL44" s="270"/>
      <c r="DM44" s="270"/>
      <c r="DN44" s="270"/>
      <c r="DO44" s="270"/>
      <c r="DP44" s="270"/>
      <c r="DQ44" s="270"/>
      <c r="DR44" s="270"/>
      <c r="DS44" s="270"/>
      <c r="DT44" s="270"/>
      <c r="DU44" s="270"/>
      <c r="DV44" s="270"/>
      <c r="DW44" s="270"/>
      <c r="DX44" s="270"/>
      <c r="DY44" s="270"/>
      <c r="DZ44" s="270"/>
      <c r="EA44" s="270"/>
      <c r="EB44" s="270"/>
      <c r="EC44" s="270"/>
      <c r="ED44" s="270"/>
      <c r="EE44" s="270"/>
      <c r="EF44" s="270"/>
      <c r="EG44" s="270"/>
      <c r="EH44" s="270"/>
      <c r="EI44" s="270"/>
      <c r="EJ44" s="270"/>
      <c r="EK44" s="270"/>
      <c r="EL44" s="270"/>
      <c r="EM44" s="270"/>
      <c r="EN44" s="270"/>
      <c r="EO44" s="270"/>
      <c r="EP44" s="270"/>
      <c r="EQ44" s="270"/>
      <c r="ER44" s="270"/>
      <c r="ES44" s="270"/>
      <c r="ET44" s="270"/>
      <c r="EU44" s="270"/>
      <c r="EV44" s="270"/>
      <c r="EW44" s="270"/>
      <c r="EX44" s="270"/>
      <c r="EY44" s="270"/>
      <c r="EZ44" s="270"/>
      <c r="FA44" s="270"/>
      <c r="FB44" s="270"/>
      <c r="FC44" s="270"/>
      <c r="FD44" s="270"/>
      <c r="FE44" s="270"/>
      <c r="FF44" s="270"/>
      <c r="FG44" s="270"/>
      <c r="FH44" s="270"/>
      <c r="FI44" s="270"/>
      <c r="FJ44" s="270"/>
      <c r="FK44" s="270"/>
      <c r="FL44" s="270"/>
      <c r="FM44" s="270"/>
      <c r="FN44" s="270"/>
      <c r="FO44" s="270"/>
      <c r="FP44" s="270"/>
      <c r="FQ44" s="270"/>
      <c r="FR44" s="270"/>
      <c r="FS44" s="270"/>
      <c r="FT44" s="270"/>
      <c r="FU44" s="270"/>
      <c r="FV44" s="270"/>
      <c r="FW44" s="270"/>
      <c r="FX44" s="270"/>
      <c r="FY44" s="270"/>
      <c r="FZ44" s="270"/>
      <c r="GA44" s="270"/>
      <c r="GB44" s="270"/>
      <c r="GC44" s="270"/>
      <c r="GD44" s="270"/>
      <c r="GE44" s="270"/>
      <c r="GF44" s="270"/>
      <c r="GG44" s="270"/>
      <c r="GH44" s="270"/>
      <c r="GI44" s="270"/>
      <c r="GJ44" s="270"/>
      <c r="GK44" s="270"/>
      <c r="GL44" s="270"/>
      <c r="GM44" s="270"/>
      <c r="GN44" s="270"/>
      <c r="GO44" s="270"/>
      <c r="GP44" s="270"/>
      <c r="GQ44" s="270"/>
      <c r="GR44" s="270"/>
      <c r="GS44" s="270"/>
      <c r="GT44" s="270"/>
      <c r="GU44" s="270"/>
      <c r="GV44" s="270"/>
      <c r="GW44" s="270"/>
      <c r="GX44" s="270"/>
      <c r="GY44" s="270"/>
      <c r="GZ44" s="270"/>
      <c r="HA44" s="270"/>
      <c r="HB44" s="270"/>
      <c r="HC44" s="270"/>
      <c r="HD44" s="270"/>
      <c r="HE44" s="270"/>
      <c r="HF44" s="270"/>
      <c r="HG44" s="270"/>
      <c r="HH44" s="270" t="s">
        <v>259</v>
      </c>
    </row>
    <row r="45" spans="1:216" s="264" customFormat="1" ht="25.5" outlineLevel="3" x14ac:dyDescent="0.2">
      <c r="H45" s="272"/>
      <c r="I45" s="354" t="s">
        <v>364</v>
      </c>
      <c r="J45" s="266"/>
      <c r="K45" s="267">
        <v>-3</v>
      </c>
      <c r="L45" s="268"/>
      <c r="M45" s="268" t="str">
        <f t="shared" si="0"/>
        <v/>
      </c>
      <c r="N45" s="269">
        <f t="shared" si="1"/>
        <v>0</v>
      </c>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0"/>
      <c r="AL45" s="270"/>
      <c r="AM45" s="270"/>
      <c r="AN45" s="270"/>
      <c r="AO45" s="270"/>
      <c r="AP45" s="270"/>
      <c r="AQ45" s="270"/>
      <c r="AR45" s="270"/>
      <c r="AS45" s="270"/>
      <c r="AT45" s="270"/>
      <c r="AU45" s="270"/>
      <c r="AV45" s="270"/>
      <c r="AW45" s="270"/>
      <c r="AX45" s="270"/>
      <c r="AY45" s="270"/>
      <c r="AZ45" s="270"/>
      <c r="BA45" s="270"/>
      <c r="BB45" s="270"/>
      <c r="BC45" s="270"/>
      <c r="BD45" s="270"/>
      <c r="BE45" s="270"/>
      <c r="BF45" s="270"/>
      <c r="BG45" s="270"/>
      <c r="BH45" s="270"/>
      <c r="BI45" s="270"/>
      <c r="BJ45" s="270"/>
      <c r="BK45" s="270"/>
      <c r="BL45" s="270"/>
      <c r="BM45" s="270"/>
      <c r="BN45" s="270"/>
      <c r="BO45" s="270"/>
      <c r="BP45" s="270"/>
      <c r="BQ45" s="270"/>
      <c r="BR45" s="270"/>
      <c r="BS45" s="270"/>
      <c r="BT45" s="270"/>
      <c r="BU45" s="270"/>
      <c r="BV45" s="270"/>
      <c r="BW45" s="270"/>
      <c r="BX45" s="270"/>
      <c r="BY45" s="270"/>
      <c r="BZ45" s="270"/>
      <c r="CA45" s="270"/>
      <c r="CB45" s="270"/>
      <c r="CC45" s="270"/>
      <c r="CD45" s="270"/>
      <c r="CE45" s="270"/>
      <c r="CF45" s="270"/>
      <c r="CG45" s="270"/>
      <c r="CH45" s="270"/>
      <c r="CI45" s="270"/>
      <c r="CJ45" s="270"/>
      <c r="CK45" s="270"/>
      <c r="CL45" s="270"/>
      <c r="CM45" s="270"/>
      <c r="CN45" s="270"/>
      <c r="CO45" s="270"/>
      <c r="CP45" s="270"/>
      <c r="CQ45" s="270"/>
      <c r="CR45" s="270"/>
      <c r="CS45" s="270"/>
      <c r="CT45" s="270"/>
      <c r="CU45" s="270"/>
      <c r="CV45" s="270"/>
      <c r="CW45" s="270"/>
      <c r="CX45" s="270"/>
      <c r="CY45" s="270"/>
      <c r="CZ45" s="270"/>
      <c r="DA45" s="270"/>
      <c r="DB45" s="270"/>
      <c r="DC45" s="270"/>
      <c r="DD45" s="270"/>
      <c r="DE45" s="270"/>
      <c r="DF45" s="270"/>
      <c r="DG45" s="270"/>
      <c r="DH45" s="270"/>
      <c r="DI45" s="270"/>
      <c r="DJ45" s="270"/>
      <c r="DK45" s="270"/>
      <c r="DL45" s="270"/>
      <c r="DM45" s="270"/>
      <c r="DN45" s="270"/>
      <c r="DO45" s="270"/>
      <c r="DP45" s="270"/>
      <c r="DQ45" s="270"/>
      <c r="DR45" s="270"/>
      <c r="DS45" s="270"/>
      <c r="DT45" s="270"/>
      <c r="DU45" s="270"/>
      <c r="DV45" s="270"/>
      <c r="DW45" s="270"/>
      <c r="DX45" s="270"/>
      <c r="DY45" s="270"/>
      <c r="DZ45" s="270"/>
      <c r="EA45" s="270"/>
      <c r="EB45" s="270"/>
      <c r="EC45" s="270"/>
      <c r="ED45" s="270"/>
      <c r="EE45" s="270"/>
      <c r="EF45" s="270"/>
      <c r="EG45" s="270"/>
      <c r="EH45" s="270"/>
      <c r="EI45" s="270"/>
      <c r="EJ45" s="270"/>
      <c r="EK45" s="270"/>
      <c r="EL45" s="270"/>
      <c r="EM45" s="270"/>
      <c r="EN45" s="270"/>
      <c r="EO45" s="270"/>
      <c r="EP45" s="270"/>
      <c r="EQ45" s="270"/>
      <c r="ER45" s="270"/>
      <c r="ES45" s="270"/>
      <c r="ET45" s="270"/>
      <c r="EU45" s="270"/>
      <c r="EV45" s="270"/>
      <c r="EW45" s="270"/>
      <c r="EX45" s="270"/>
      <c r="EY45" s="270"/>
      <c r="EZ45" s="270"/>
      <c r="FA45" s="270"/>
      <c r="FB45" s="270"/>
      <c r="FC45" s="270"/>
      <c r="FD45" s="270"/>
      <c r="FE45" s="270"/>
      <c r="FF45" s="270"/>
      <c r="FG45" s="270"/>
      <c r="FH45" s="270"/>
      <c r="FI45" s="270"/>
      <c r="FJ45" s="270"/>
      <c r="FK45" s="270"/>
      <c r="FL45" s="270"/>
      <c r="FM45" s="270"/>
      <c r="FN45" s="270"/>
      <c r="FO45" s="270"/>
      <c r="FP45" s="270"/>
      <c r="FQ45" s="270"/>
      <c r="FR45" s="270"/>
      <c r="FS45" s="270"/>
      <c r="FT45" s="270"/>
      <c r="FU45" s="270"/>
      <c r="FV45" s="270"/>
      <c r="FW45" s="270"/>
      <c r="FX45" s="270"/>
      <c r="FY45" s="270"/>
      <c r="FZ45" s="270"/>
      <c r="GA45" s="270"/>
      <c r="GB45" s="270"/>
      <c r="GC45" s="270"/>
      <c r="GD45" s="270"/>
      <c r="GE45" s="270"/>
      <c r="GF45" s="270"/>
      <c r="GG45" s="270"/>
      <c r="GH45" s="270"/>
      <c r="GI45" s="270"/>
      <c r="GJ45" s="270"/>
      <c r="GK45" s="270"/>
      <c r="GL45" s="270"/>
      <c r="GM45" s="270"/>
      <c r="GN45" s="270"/>
      <c r="GO45" s="270"/>
      <c r="GP45" s="270"/>
      <c r="GQ45" s="270"/>
      <c r="GR45" s="270"/>
      <c r="GS45" s="270"/>
      <c r="GT45" s="270"/>
      <c r="GU45" s="270"/>
      <c r="GV45" s="270"/>
      <c r="GW45" s="270"/>
      <c r="GX45" s="270"/>
      <c r="GY45" s="270"/>
      <c r="GZ45" s="270"/>
      <c r="HA45" s="270"/>
      <c r="HB45" s="270"/>
      <c r="HC45" s="270"/>
      <c r="HD45" s="270"/>
      <c r="HE45" s="270"/>
      <c r="HF45" s="270"/>
      <c r="HG45" s="270"/>
      <c r="HH45" s="270" t="s">
        <v>259</v>
      </c>
    </row>
    <row r="46" spans="1:216" s="271" customFormat="1" ht="25.5" outlineLevel="3" x14ac:dyDescent="0.2">
      <c r="H46" s="265"/>
      <c r="I46" s="353" t="s">
        <v>372</v>
      </c>
      <c r="J46" s="266"/>
      <c r="K46" s="267">
        <v>0</v>
      </c>
      <c r="L46" s="268"/>
      <c r="M46" s="268" t="str">
        <f>IF(MIN(P46:HZ46)&lt;0,MIN(P46:HZ46),IF(MAX(P46:HZ46)&gt;0,MAX(P46:HZ46),""))</f>
        <v/>
      </c>
      <c r="N46" s="269">
        <f>COUNTIF($P46:$HZ46,"&gt;0")+COUNTIF($P46:$HZ46,"&lt;0")</f>
        <v>0</v>
      </c>
      <c r="O46" s="270"/>
      <c r="P46" s="270"/>
      <c r="Q46" s="270"/>
      <c r="R46" s="270"/>
      <c r="S46" s="270"/>
      <c r="T46" s="270"/>
      <c r="U46" s="270"/>
      <c r="V46" s="270"/>
      <c r="W46" s="270"/>
      <c r="X46" s="270"/>
      <c r="Y46" s="270"/>
      <c r="Z46" s="270"/>
      <c r="AA46" s="270"/>
      <c r="AB46" s="270"/>
      <c r="AC46" s="270"/>
      <c r="AD46" s="270"/>
      <c r="AE46" s="270"/>
      <c r="AF46" s="270"/>
      <c r="AG46" s="270"/>
      <c r="AH46" s="270"/>
      <c r="AI46" s="270"/>
      <c r="AJ46" s="270"/>
      <c r="AK46" s="270"/>
      <c r="AL46" s="270"/>
      <c r="AM46" s="270"/>
      <c r="AN46" s="270"/>
      <c r="AO46" s="270"/>
      <c r="AP46" s="270"/>
      <c r="AQ46" s="270"/>
      <c r="AR46" s="270"/>
      <c r="AS46" s="270"/>
      <c r="AT46" s="270"/>
      <c r="AU46" s="270"/>
      <c r="AV46" s="270"/>
      <c r="AW46" s="270"/>
      <c r="AX46" s="270"/>
      <c r="AY46" s="270"/>
      <c r="AZ46" s="270"/>
      <c r="BA46" s="270"/>
      <c r="BB46" s="270"/>
      <c r="BC46" s="270"/>
      <c r="BD46" s="270"/>
      <c r="BE46" s="270"/>
      <c r="BF46" s="270"/>
      <c r="BG46" s="270"/>
      <c r="BH46" s="270"/>
      <c r="BI46" s="270"/>
      <c r="BJ46" s="270"/>
      <c r="BK46" s="270"/>
      <c r="BL46" s="270"/>
      <c r="BM46" s="270"/>
      <c r="BN46" s="270"/>
      <c r="BO46" s="270"/>
      <c r="BP46" s="270"/>
      <c r="BQ46" s="270"/>
      <c r="BR46" s="270"/>
      <c r="BS46" s="270"/>
      <c r="BT46" s="270"/>
      <c r="BU46" s="270"/>
      <c r="BV46" s="270"/>
      <c r="BW46" s="270"/>
      <c r="BX46" s="270"/>
      <c r="BY46" s="270"/>
      <c r="BZ46" s="270"/>
      <c r="CA46" s="270"/>
      <c r="CB46" s="270"/>
      <c r="CC46" s="270"/>
      <c r="CD46" s="270"/>
      <c r="CE46" s="270"/>
      <c r="CF46" s="270"/>
      <c r="CG46" s="270"/>
      <c r="CH46" s="270"/>
      <c r="CI46" s="270"/>
      <c r="CJ46" s="270"/>
      <c r="CK46" s="270"/>
      <c r="CL46" s="270"/>
      <c r="CM46" s="270"/>
      <c r="CN46" s="270"/>
      <c r="CO46" s="270"/>
      <c r="CP46" s="270"/>
      <c r="CQ46" s="270"/>
      <c r="CR46" s="270"/>
      <c r="CS46" s="270"/>
      <c r="CT46" s="270"/>
      <c r="CU46" s="270"/>
      <c r="CV46" s="270"/>
      <c r="CW46" s="270"/>
      <c r="CX46" s="270"/>
      <c r="CY46" s="270"/>
      <c r="CZ46" s="270"/>
      <c r="DA46" s="270"/>
      <c r="DB46" s="270"/>
      <c r="DC46" s="270"/>
      <c r="DD46" s="270"/>
      <c r="DE46" s="270"/>
      <c r="DF46" s="270"/>
      <c r="DG46" s="270"/>
      <c r="DH46" s="270"/>
      <c r="DI46" s="270"/>
      <c r="DJ46" s="270"/>
      <c r="DK46" s="270"/>
      <c r="DL46" s="270"/>
      <c r="DM46" s="270"/>
      <c r="DN46" s="270"/>
      <c r="DO46" s="270"/>
      <c r="DP46" s="270"/>
      <c r="DQ46" s="270"/>
      <c r="DR46" s="270"/>
      <c r="DS46" s="270"/>
      <c r="DT46" s="270"/>
      <c r="DU46" s="270"/>
      <c r="DV46" s="270"/>
      <c r="DW46" s="270"/>
      <c r="DX46" s="270"/>
      <c r="DY46" s="270"/>
      <c r="DZ46" s="270"/>
      <c r="EA46" s="270"/>
      <c r="EB46" s="270"/>
      <c r="EC46" s="270"/>
      <c r="ED46" s="270"/>
      <c r="EE46" s="270"/>
      <c r="EF46" s="270"/>
      <c r="EG46" s="270"/>
      <c r="EH46" s="270"/>
      <c r="EI46" s="270"/>
      <c r="EJ46" s="270"/>
      <c r="EK46" s="270"/>
      <c r="EL46" s="270"/>
      <c r="EM46" s="270"/>
      <c r="EN46" s="270"/>
      <c r="EO46" s="270"/>
      <c r="EP46" s="270"/>
      <c r="EQ46" s="270"/>
      <c r="ER46" s="270"/>
      <c r="ES46" s="270"/>
      <c r="ET46" s="270"/>
      <c r="EU46" s="270"/>
      <c r="EV46" s="270"/>
      <c r="EW46" s="270"/>
      <c r="EX46" s="270"/>
      <c r="EY46" s="270"/>
      <c r="EZ46" s="270"/>
      <c r="FA46" s="270"/>
      <c r="FB46" s="270"/>
      <c r="FC46" s="270"/>
      <c r="FD46" s="270"/>
      <c r="FE46" s="270"/>
      <c r="FF46" s="270"/>
      <c r="FG46" s="270"/>
      <c r="FH46" s="270"/>
      <c r="FI46" s="270"/>
      <c r="FJ46" s="270"/>
      <c r="FK46" s="270"/>
      <c r="FL46" s="270"/>
      <c r="FM46" s="270"/>
      <c r="FN46" s="270"/>
      <c r="FO46" s="270"/>
      <c r="FP46" s="270"/>
      <c r="FQ46" s="270"/>
      <c r="FR46" s="270"/>
      <c r="FS46" s="270"/>
      <c r="FT46" s="270"/>
      <c r="FU46" s="270"/>
      <c r="FV46" s="270"/>
      <c r="FW46" s="270"/>
      <c r="FX46" s="270"/>
      <c r="FY46" s="270"/>
      <c r="FZ46" s="270"/>
      <c r="GA46" s="270"/>
      <c r="GB46" s="270"/>
      <c r="GC46" s="270"/>
      <c r="GD46" s="270"/>
      <c r="GE46" s="270"/>
      <c r="GF46" s="270"/>
      <c r="GG46" s="270"/>
      <c r="GH46" s="270"/>
      <c r="GI46" s="270"/>
      <c r="GJ46" s="270"/>
      <c r="GK46" s="270"/>
      <c r="GL46" s="270"/>
      <c r="GM46" s="270"/>
      <c r="GN46" s="270"/>
      <c r="GO46" s="270"/>
      <c r="GP46" s="270"/>
      <c r="GQ46" s="270"/>
      <c r="GR46" s="270"/>
      <c r="GS46" s="270"/>
      <c r="GT46" s="270"/>
      <c r="GU46" s="270"/>
      <c r="GV46" s="270"/>
      <c r="GW46" s="270"/>
      <c r="GX46" s="270"/>
      <c r="GY46" s="270"/>
      <c r="GZ46" s="270"/>
      <c r="HA46" s="270"/>
      <c r="HB46" s="270"/>
      <c r="HC46" s="270"/>
      <c r="HD46" s="270"/>
      <c r="HE46" s="270"/>
      <c r="HF46" s="270"/>
      <c r="HG46" s="270"/>
      <c r="HH46" s="270" t="s">
        <v>259</v>
      </c>
    </row>
    <row r="47" spans="1:216" s="271" customFormat="1" outlineLevel="3" x14ac:dyDescent="0.2">
      <c r="H47" s="265"/>
      <c r="I47" s="353" t="s">
        <v>374</v>
      </c>
      <c r="J47" s="266"/>
      <c r="K47" s="267">
        <v>-2</v>
      </c>
      <c r="L47" s="268"/>
      <c r="M47" s="268"/>
      <c r="N47" s="269"/>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0"/>
      <c r="AL47" s="270"/>
      <c r="AM47" s="270"/>
      <c r="AN47" s="270"/>
      <c r="AO47" s="270"/>
      <c r="AP47" s="270"/>
      <c r="AQ47" s="270"/>
      <c r="AR47" s="270"/>
      <c r="AS47" s="270"/>
      <c r="AT47" s="270"/>
      <c r="AU47" s="270"/>
      <c r="AV47" s="270"/>
      <c r="AW47" s="270"/>
      <c r="AX47" s="270"/>
      <c r="AY47" s="270"/>
      <c r="AZ47" s="270"/>
      <c r="BA47" s="270"/>
      <c r="BB47" s="270"/>
      <c r="BC47" s="270"/>
      <c r="BD47" s="270"/>
      <c r="BE47" s="270"/>
      <c r="BF47" s="270"/>
      <c r="BG47" s="270"/>
      <c r="BH47" s="270"/>
      <c r="BI47" s="270"/>
      <c r="BJ47" s="270"/>
      <c r="BK47" s="270"/>
      <c r="BL47" s="270"/>
      <c r="BM47" s="270"/>
      <c r="BN47" s="270"/>
      <c r="BO47" s="270"/>
      <c r="BP47" s="270"/>
      <c r="BQ47" s="270"/>
      <c r="BR47" s="270"/>
      <c r="BS47" s="270"/>
      <c r="BT47" s="270"/>
      <c r="BU47" s="270"/>
      <c r="BV47" s="270"/>
      <c r="BW47" s="270"/>
      <c r="BX47" s="270"/>
      <c r="BY47" s="270"/>
      <c r="BZ47" s="270"/>
      <c r="CA47" s="270"/>
      <c r="CB47" s="270"/>
      <c r="CC47" s="270"/>
      <c r="CD47" s="270"/>
      <c r="CE47" s="270"/>
      <c r="CF47" s="270"/>
      <c r="CG47" s="270"/>
      <c r="CH47" s="270"/>
      <c r="CI47" s="270"/>
      <c r="CJ47" s="270"/>
      <c r="CK47" s="270"/>
      <c r="CL47" s="270"/>
      <c r="CM47" s="270"/>
      <c r="CN47" s="270"/>
      <c r="CO47" s="270"/>
      <c r="CP47" s="270"/>
      <c r="CQ47" s="270"/>
      <c r="CR47" s="270"/>
      <c r="CS47" s="270"/>
      <c r="CT47" s="270"/>
      <c r="CU47" s="270"/>
      <c r="CV47" s="270"/>
      <c r="CW47" s="270"/>
      <c r="CX47" s="270"/>
      <c r="CY47" s="270"/>
      <c r="CZ47" s="270"/>
      <c r="DA47" s="270"/>
      <c r="DB47" s="270"/>
      <c r="DC47" s="270"/>
      <c r="DD47" s="270"/>
      <c r="DE47" s="270"/>
      <c r="DF47" s="270"/>
      <c r="DG47" s="270"/>
      <c r="DH47" s="270"/>
      <c r="DI47" s="270"/>
      <c r="DJ47" s="270"/>
      <c r="DK47" s="270"/>
      <c r="DL47" s="270"/>
      <c r="DM47" s="270"/>
      <c r="DN47" s="270"/>
      <c r="DO47" s="270"/>
      <c r="DP47" s="270"/>
      <c r="DQ47" s="270"/>
      <c r="DR47" s="270"/>
      <c r="DS47" s="270"/>
      <c r="DT47" s="270"/>
      <c r="DU47" s="270"/>
      <c r="DV47" s="270"/>
      <c r="DW47" s="270"/>
      <c r="DX47" s="270"/>
      <c r="DY47" s="270"/>
      <c r="DZ47" s="270"/>
      <c r="EA47" s="270"/>
      <c r="EB47" s="270"/>
      <c r="EC47" s="270"/>
      <c r="ED47" s="270"/>
      <c r="EE47" s="270"/>
      <c r="EF47" s="270"/>
      <c r="EG47" s="270"/>
      <c r="EH47" s="270"/>
      <c r="EI47" s="270"/>
      <c r="EJ47" s="270"/>
      <c r="EK47" s="270"/>
      <c r="EL47" s="270"/>
      <c r="EM47" s="270"/>
      <c r="EN47" s="270"/>
      <c r="EO47" s="270"/>
      <c r="EP47" s="270"/>
      <c r="EQ47" s="270"/>
      <c r="ER47" s="270"/>
      <c r="ES47" s="270"/>
      <c r="ET47" s="270"/>
      <c r="EU47" s="270"/>
      <c r="EV47" s="270"/>
      <c r="EW47" s="270"/>
      <c r="EX47" s="270"/>
      <c r="EY47" s="270"/>
      <c r="EZ47" s="270"/>
      <c r="FA47" s="270"/>
      <c r="FB47" s="270"/>
      <c r="FC47" s="270"/>
      <c r="FD47" s="270"/>
      <c r="FE47" s="270"/>
      <c r="FF47" s="270"/>
      <c r="FG47" s="270"/>
      <c r="FH47" s="270"/>
      <c r="FI47" s="270"/>
      <c r="FJ47" s="270"/>
      <c r="FK47" s="270"/>
      <c r="FL47" s="270"/>
      <c r="FM47" s="270"/>
      <c r="FN47" s="270"/>
      <c r="FO47" s="270"/>
      <c r="FP47" s="270"/>
      <c r="FQ47" s="270"/>
      <c r="FR47" s="270"/>
      <c r="FS47" s="270"/>
      <c r="FT47" s="270"/>
      <c r="FU47" s="270"/>
      <c r="FV47" s="270"/>
      <c r="FW47" s="270"/>
      <c r="FX47" s="270"/>
      <c r="FY47" s="270"/>
      <c r="FZ47" s="270"/>
      <c r="GA47" s="270"/>
      <c r="GB47" s="270"/>
      <c r="GC47" s="270"/>
      <c r="GD47" s="270"/>
      <c r="GE47" s="270"/>
      <c r="GF47" s="270"/>
      <c r="GG47" s="270"/>
      <c r="GH47" s="270"/>
      <c r="GI47" s="270"/>
      <c r="GJ47" s="270"/>
      <c r="GK47" s="270"/>
      <c r="GL47" s="270"/>
      <c r="GM47" s="270"/>
      <c r="GN47" s="270"/>
      <c r="GO47" s="270"/>
      <c r="GP47" s="270"/>
      <c r="GQ47" s="270"/>
      <c r="GR47" s="270"/>
      <c r="GS47" s="270"/>
      <c r="GT47" s="270"/>
      <c r="GU47" s="270"/>
      <c r="GV47" s="270"/>
      <c r="GW47" s="270"/>
      <c r="GX47" s="270"/>
      <c r="GY47" s="270"/>
      <c r="GZ47" s="270"/>
      <c r="HA47" s="270"/>
      <c r="HB47" s="270"/>
      <c r="HC47" s="270"/>
      <c r="HD47" s="270"/>
      <c r="HE47" s="270"/>
      <c r="HF47" s="270"/>
      <c r="HG47" s="270"/>
      <c r="HH47" s="270"/>
    </row>
    <row r="48" spans="1:216" s="271" customFormat="1" outlineLevel="3" x14ac:dyDescent="0.2">
      <c r="H48" s="360"/>
      <c r="I48" s="361" t="s">
        <v>365</v>
      </c>
      <c r="J48" s="266"/>
      <c r="K48" s="267">
        <v>-1</v>
      </c>
      <c r="L48" s="268"/>
      <c r="M48" s="268" t="str">
        <f t="shared" si="0"/>
        <v/>
      </c>
      <c r="N48" s="269">
        <f t="shared" si="1"/>
        <v>0</v>
      </c>
      <c r="O48" s="270"/>
      <c r="P48" s="270"/>
      <c r="Q48" s="270"/>
      <c r="R48" s="270"/>
      <c r="S48" s="270"/>
      <c r="T48" s="270"/>
      <c r="U48" s="270"/>
      <c r="V48" s="270"/>
      <c r="W48" s="270"/>
      <c r="X48" s="270"/>
      <c r="Y48" s="270"/>
      <c r="Z48" s="270"/>
      <c r="AA48" s="270"/>
      <c r="AB48" s="270"/>
      <c r="AC48" s="270"/>
      <c r="AD48" s="270"/>
      <c r="AE48" s="270"/>
      <c r="AF48" s="270"/>
      <c r="AG48" s="270"/>
      <c r="AH48" s="270"/>
      <c r="AI48" s="270"/>
      <c r="AJ48" s="270"/>
      <c r="AK48" s="270"/>
      <c r="AL48" s="270"/>
      <c r="AM48" s="270"/>
      <c r="AN48" s="270"/>
      <c r="AO48" s="270"/>
      <c r="AP48" s="270"/>
      <c r="AQ48" s="270"/>
      <c r="AR48" s="270"/>
      <c r="AS48" s="270"/>
      <c r="AT48" s="270"/>
      <c r="AU48" s="270"/>
      <c r="AV48" s="270"/>
      <c r="AW48" s="270"/>
      <c r="AX48" s="270"/>
      <c r="AY48" s="270"/>
      <c r="AZ48" s="270"/>
      <c r="BA48" s="270"/>
      <c r="BB48" s="270"/>
      <c r="BC48" s="270"/>
      <c r="BD48" s="270"/>
      <c r="BE48" s="270"/>
      <c r="BF48" s="270"/>
      <c r="BG48" s="270"/>
      <c r="BH48" s="270"/>
      <c r="BI48" s="270"/>
      <c r="BJ48" s="270"/>
      <c r="BK48" s="270"/>
      <c r="BL48" s="270"/>
      <c r="BM48" s="270"/>
      <c r="BN48" s="270"/>
      <c r="BO48" s="270"/>
      <c r="BP48" s="270"/>
      <c r="BQ48" s="270"/>
      <c r="BR48" s="270"/>
      <c r="BS48" s="270"/>
      <c r="BT48" s="270"/>
      <c r="BU48" s="270"/>
      <c r="BV48" s="270"/>
      <c r="BW48" s="270"/>
      <c r="BX48" s="270"/>
      <c r="BY48" s="270"/>
      <c r="BZ48" s="270"/>
      <c r="CA48" s="270"/>
      <c r="CB48" s="270"/>
      <c r="CC48" s="270"/>
      <c r="CD48" s="270"/>
      <c r="CE48" s="270"/>
      <c r="CF48" s="270"/>
      <c r="CG48" s="270"/>
      <c r="CH48" s="270"/>
      <c r="CI48" s="270"/>
      <c r="CJ48" s="270"/>
      <c r="CK48" s="270"/>
      <c r="CL48" s="270"/>
      <c r="CM48" s="270"/>
      <c r="CN48" s="270"/>
      <c r="CO48" s="270"/>
      <c r="CP48" s="270"/>
      <c r="CQ48" s="270"/>
      <c r="CR48" s="270"/>
      <c r="CS48" s="270"/>
      <c r="CT48" s="270"/>
      <c r="CU48" s="270"/>
      <c r="CV48" s="270"/>
      <c r="CW48" s="270"/>
      <c r="CX48" s="270"/>
      <c r="CY48" s="270"/>
      <c r="CZ48" s="270"/>
      <c r="DA48" s="270"/>
      <c r="DB48" s="270"/>
      <c r="DC48" s="270"/>
      <c r="DD48" s="270"/>
      <c r="DE48" s="270"/>
      <c r="DF48" s="270"/>
      <c r="DG48" s="270"/>
      <c r="DH48" s="270"/>
      <c r="DI48" s="270"/>
      <c r="DJ48" s="270"/>
      <c r="DK48" s="270"/>
      <c r="DL48" s="270"/>
      <c r="DM48" s="270"/>
      <c r="DN48" s="270"/>
      <c r="DO48" s="270"/>
      <c r="DP48" s="270"/>
      <c r="DQ48" s="270"/>
      <c r="DR48" s="270"/>
      <c r="DS48" s="270"/>
      <c r="DT48" s="270"/>
      <c r="DU48" s="270"/>
      <c r="DV48" s="270"/>
      <c r="DW48" s="270"/>
      <c r="DX48" s="270"/>
      <c r="DY48" s="270"/>
      <c r="DZ48" s="270"/>
      <c r="EA48" s="270"/>
      <c r="EB48" s="270"/>
      <c r="EC48" s="270"/>
      <c r="ED48" s="270"/>
      <c r="EE48" s="270"/>
      <c r="EF48" s="270"/>
      <c r="EG48" s="270"/>
      <c r="EH48" s="270"/>
      <c r="EI48" s="270"/>
      <c r="EJ48" s="270"/>
      <c r="EK48" s="270"/>
      <c r="EL48" s="270"/>
      <c r="EM48" s="270"/>
      <c r="EN48" s="270"/>
      <c r="EO48" s="270"/>
      <c r="EP48" s="270"/>
      <c r="EQ48" s="270"/>
      <c r="ER48" s="270"/>
      <c r="ES48" s="270"/>
      <c r="ET48" s="270"/>
      <c r="EU48" s="270"/>
      <c r="EV48" s="270"/>
      <c r="EW48" s="270"/>
      <c r="EX48" s="270"/>
      <c r="EY48" s="270"/>
      <c r="EZ48" s="270"/>
      <c r="FA48" s="270"/>
      <c r="FB48" s="270"/>
      <c r="FC48" s="270"/>
      <c r="FD48" s="270"/>
      <c r="FE48" s="270"/>
      <c r="FF48" s="270"/>
      <c r="FG48" s="270"/>
      <c r="FH48" s="270"/>
      <c r="FI48" s="270"/>
      <c r="FJ48" s="270"/>
      <c r="FK48" s="270"/>
      <c r="FL48" s="270"/>
      <c r="FM48" s="270"/>
      <c r="FN48" s="270"/>
      <c r="FO48" s="270"/>
      <c r="FP48" s="270"/>
      <c r="FQ48" s="270"/>
      <c r="FR48" s="270"/>
      <c r="FS48" s="270"/>
      <c r="FT48" s="270"/>
      <c r="FU48" s="270"/>
      <c r="FV48" s="270"/>
      <c r="FW48" s="270"/>
      <c r="FX48" s="270"/>
      <c r="FY48" s="270"/>
      <c r="FZ48" s="270"/>
      <c r="GA48" s="270"/>
      <c r="GB48" s="270"/>
      <c r="GC48" s="270"/>
      <c r="GD48" s="270"/>
      <c r="GE48" s="270"/>
      <c r="GF48" s="270"/>
      <c r="GG48" s="270"/>
      <c r="GH48" s="270"/>
      <c r="GI48" s="270"/>
      <c r="GJ48" s="270"/>
      <c r="GK48" s="270"/>
      <c r="GL48" s="270"/>
      <c r="GM48" s="270"/>
      <c r="GN48" s="270"/>
      <c r="GO48" s="270"/>
      <c r="GP48" s="270"/>
      <c r="GQ48" s="270"/>
      <c r="GR48" s="270"/>
      <c r="GS48" s="270"/>
      <c r="GT48" s="270"/>
      <c r="GU48" s="270"/>
      <c r="GV48" s="270"/>
      <c r="GW48" s="270"/>
      <c r="GX48" s="270"/>
      <c r="GY48" s="270"/>
      <c r="GZ48" s="270"/>
      <c r="HA48" s="270"/>
      <c r="HB48" s="270"/>
      <c r="HC48" s="270"/>
      <c r="HD48" s="270"/>
      <c r="HE48" s="270"/>
      <c r="HF48" s="270"/>
      <c r="HG48" s="270"/>
      <c r="HH48" s="270" t="s">
        <v>259</v>
      </c>
    </row>
    <row r="49" spans="1:216" s="365" customFormat="1" outlineLevel="3" x14ac:dyDescent="0.2">
      <c r="A49" s="362"/>
      <c r="B49" s="362"/>
      <c r="C49" s="362"/>
      <c r="D49" s="362"/>
      <c r="E49" s="362"/>
      <c r="F49" s="362"/>
      <c r="G49" s="362"/>
      <c r="H49" s="280"/>
      <c r="I49" s="355"/>
      <c r="J49" s="273"/>
      <c r="K49" s="273"/>
      <c r="L49" s="275"/>
      <c r="M49" s="275" t="str">
        <f t="shared" si="0"/>
        <v/>
      </c>
      <c r="N49" s="276">
        <f t="shared" si="1"/>
        <v>0</v>
      </c>
      <c r="O49" s="273"/>
      <c r="P49" s="273"/>
      <c r="Q49" s="273"/>
      <c r="R49" s="277"/>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7"/>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c r="BU49" s="273"/>
      <c r="BV49" s="273"/>
      <c r="BW49" s="273"/>
      <c r="BX49" s="277"/>
      <c r="BY49" s="273"/>
      <c r="BZ49" s="273"/>
      <c r="CA49" s="273"/>
      <c r="CB49" s="273"/>
      <c r="CC49" s="273"/>
      <c r="CD49" s="273"/>
      <c r="CE49" s="273"/>
      <c r="CF49" s="273"/>
      <c r="CG49" s="273"/>
      <c r="CH49" s="273"/>
      <c r="CI49" s="273"/>
      <c r="CJ49" s="273"/>
      <c r="CK49" s="273"/>
      <c r="CL49" s="273"/>
      <c r="CM49" s="273"/>
      <c r="CN49" s="273"/>
      <c r="CO49" s="273"/>
      <c r="CP49" s="273"/>
      <c r="CQ49" s="273"/>
      <c r="CR49" s="273"/>
      <c r="CS49" s="273"/>
      <c r="CT49" s="273"/>
      <c r="CU49" s="273"/>
      <c r="CV49" s="273"/>
      <c r="CW49" s="273"/>
      <c r="CX49" s="273"/>
      <c r="CY49" s="273"/>
      <c r="CZ49" s="273"/>
      <c r="DA49" s="273"/>
      <c r="DB49" s="273"/>
      <c r="DC49" s="273"/>
      <c r="DD49" s="273"/>
      <c r="DE49" s="273"/>
      <c r="DF49" s="273"/>
      <c r="DG49" s="273"/>
      <c r="DH49" s="273"/>
      <c r="DI49" s="273"/>
      <c r="DJ49" s="273"/>
      <c r="DK49" s="273"/>
      <c r="DL49" s="273"/>
      <c r="DM49" s="273"/>
      <c r="DN49" s="273"/>
      <c r="DO49" s="273"/>
      <c r="DP49" s="273"/>
      <c r="DQ49" s="277"/>
      <c r="DR49" s="273"/>
      <c r="DS49" s="273"/>
      <c r="DT49" s="273"/>
      <c r="DU49" s="273"/>
      <c r="DV49" s="273"/>
      <c r="DW49" s="273"/>
      <c r="DX49" s="273"/>
      <c r="DY49" s="273"/>
      <c r="DZ49" s="273"/>
      <c r="EA49" s="273"/>
      <c r="EB49" s="273"/>
      <c r="EC49" s="273"/>
      <c r="ED49" s="273"/>
      <c r="EE49" s="273"/>
      <c r="EF49" s="273"/>
      <c r="EG49" s="273"/>
      <c r="EH49" s="273"/>
      <c r="EI49" s="273"/>
      <c r="EJ49" s="273"/>
      <c r="EK49" s="273"/>
      <c r="EL49" s="273"/>
      <c r="EM49" s="273"/>
      <c r="EN49" s="273"/>
      <c r="EO49" s="273"/>
      <c r="EP49" s="273"/>
      <c r="EQ49" s="273"/>
      <c r="ER49" s="273"/>
      <c r="ES49" s="273"/>
      <c r="ET49" s="273"/>
      <c r="EU49" s="273"/>
      <c r="EV49" s="273"/>
      <c r="EW49" s="273"/>
      <c r="EX49" s="273"/>
      <c r="EY49" s="273"/>
      <c r="EZ49" s="273"/>
      <c r="FA49" s="273"/>
      <c r="FB49" s="273"/>
      <c r="FC49" s="273"/>
      <c r="FD49" s="273"/>
      <c r="FE49" s="273"/>
      <c r="FF49" s="273"/>
      <c r="FG49" s="273"/>
      <c r="FH49" s="273"/>
      <c r="FI49" s="273"/>
      <c r="FJ49" s="273"/>
      <c r="FK49" s="273"/>
      <c r="FL49" s="273"/>
      <c r="FM49" s="273"/>
      <c r="FN49" s="273"/>
      <c r="FO49" s="273"/>
      <c r="FP49" s="273"/>
      <c r="FQ49" s="273"/>
      <c r="FR49" s="273"/>
      <c r="FS49" s="273"/>
      <c r="FT49" s="273"/>
      <c r="FU49" s="273"/>
      <c r="FV49" s="273"/>
      <c r="FW49" s="273"/>
      <c r="FX49" s="273"/>
      <c r="FY49" s="273"/>
      <c r="FZ49" s="273"/>
      <c r="GA49" s="273"/>
      <c r="GB49" s="273"/>
      <c r="GC49" s="273"/>
      <c r="GD49" s="273"/>
      <c r="GE49" s="273"/>
      <c r="GF49" s="273"/>
      <c r="GG49" s="273"/>
      <c r="GH49" s="273"/>
      <c r="GI49" s="273"/>
      <c r="GJ49" s="273"/>
      <c r="GK49" s="273"/>
      <c r="GL49" s="273"/>
      <c r="GM49" s="273"/>
      <c r="GN49" s="273"/>
      <c r="GO49" s="273"/>
      <c r="GP49" s="273"/>
      <c r="GQ49" s="273"/>
      <c r="GR49" s="273"/>
      <c r="GS49" s="273"/>
      <c r="GT49" s="273"/>
      <c r="GU49" s="273"/>
      <c r="GV49" s="273"/>
      <c r="GW49" s="273"/>
      <c r="GX49" s="273"/>
      <c r="GY49" s="273"/>
      <c r="GZ49" s="273"/>
      <c r="HA49" s="273"/>
      <c r="HB49" s="273"/>
      <c r="HC49" s="273"/>
      <c r="HD49" s="273"/>
      <c r="HE49" s="273"/>
      <c r="HF49" s="273"/>
      <c r="HG49" s="273"/>
      <c r="HH49" s="278" t="s">
        <v>259</v>
      </c>
    </row>
    <row r="50" spans="1:216" s="359" customFormat="1" outlineLevel="3" x14ac:dyDescent="0.2">
      <c r="A50" s="358"/>
      <c r="B50" s="358"/>
      <c r="C50" s="358"/>
      <c r="D50" s="358"/>
      <c r="E50" s="358"/>
      <c r="F50" s="358"/>
      <c r="G50" s="358"/>
      <c r="H50" s="358"/>
      <c r="I50" s="352"/>
      <c r="J50" s="260"/>
      <c r="K50" s="260"/>
      <c r="L50" s="261"/>
      <c r="M50" s="261" t="str">
        <f t="shared" si="0"/>
        <v/>
      </c>
      <c r="N50" s="262">
        <f t="shared" si="1"/>
        <v>0</v>
      </c>
      <c r="O50" s="260"/>
      <c r="P50" s="260"/>
      <c r="Q50" s="260"/>
      <c r="R50" s="260"/>
      <c r="S50" s="260"/>
      <c r="T50" s="260"/>
      <c r="U50" s="260"/>
      <c r="V50" s="260"/>
      <c r="W50" s="260"/>
      <c r="X50" s="260"/>
      <c r="Y50" s="260"/>
      <c r="Z50" s="260"/>
      <c r="AA50" s="260"/>
      <c r="AB50" s="260"/>
      <c r="AC50" s="260"/>
      <c r="AD50" s="260"/>
      <c r="AE50" s="260"/>
      <c r="AF50" s="260"/>
      <c r="AG50" s="260"/>
      <c r="AH50" s="260"/>
      <c r="AI50" s="260"/>
      <c r="AJ50" s="260"/>
      <c r="AK50" s="260"/>
      <c r="AL50" s="260"/>
      <c r="AM50" s="260"/>
      <c r="AN50" s="260"/>
      <c r="AO50" s="260"/>
      <c r="AP50" s="260"/>
      <c r="AQ50" s="260"/>
      <c r="AR50" s="260"/>
      <c r="AS50" s="260"/>
      <c r="AT50" s="260"/>
      <c r="AU50" s="260"/>
      <c r="AV50" s="260"/>
      <c r="AW50" s="260"/>
      <c r="AX50" s="260"/>
      <c r="AY50" s="260"/>
      <c r="AZ50" s="260"/>
      <c r="BA50" s="260"/>
      <c r="BB50" s="260"/>
      <c r="BC50" s="260"/>
      <c r="BD50" s="260"/>
      <c r="BE50" s="260"/>
      <c r="BF50" s="260"/>
      <c r="BG50" s="260"/>
      <c r="BH50" s="260"/>
      <c r="BI50" s="260"/>
      <c r="BJ50" s="260"/>
      <c r="BK50" s="260"/>
      <c r="BL50" s="260"/>
      <c r="BM50" s="260"/>
      <c r="BN50" s="260"/>
      <c r="BO50" s="260"/>
      <c r="BP50" s="260"/>
      <c r="BQ50" s="260"/>
      <c r="BR50" s="260"/>
      <c r="BS50" s="260"/>
      <c r="BT50" s="260"/>
      <c r="BU50" s="260"/>
      <c r="BV50" s="260"/>
      <c r="BW50" s="260"/>
      <c r="BX50" s="260"/>
      <c r="BY50" s="260"/>
      <c r="BZ50" s="260"/>
      <c r="CA50" s="260"/>
      <c r="CB50" s="260"/>
      <c r="CC50" s="260"/>
      <c r="CD50" s="260"/>
      <c r="CE50" s="260"/>
      <c r="CF50" s="260"/>
      <c r="CG50" s="260"/>
      <c r="CH50" s="260"/>
      <c r="CI50" s="260"/>
      <c r="CJ50" s="260"/>
      <c r="CK50" s="260"/>
      <c r="CL50" s="260"/>
      <c r="CM50" s="260"/>
      <c r="CN50" s="260"/>
      <c r="CO50" s="260"/>
      <c r="CP50" s="260"/>
      <c r="CQ50" s="260"/>
      <c r="CR50" s="260"/>
      <c r="CS50" s="260"/>
      <c r="CT50" s="260"/>
      <c r="CU50" s="260"/>
      <c r="CV50" s="260"/>
      <c r="CW50" s="260"/>
      <c r="CX50" s="260"/>
      <c r="CY50" s="260"/>
      <c r="CZ50" s="260"/>
      <c r="DA50" s="260"/>
      <c r="DB50" s="260"/>
      <c r="DC50" s="260"/>
      <c r="DD50" s="260"/>
      <c r="DE50" s="260"/>
      <c r="DF50" s="260"/>
      <c r="DG50" s="260"/>
      <c r="DH50" s="260"/>
      <c r="DI50" s="260"/>
      <c r="DJ50" s="260"/>
      <c r="DK50" s="260"/>
      <c r="DL50" s="260"/>
      <c r="DM50" s="260"/>
      <c r="DN50" s="260"/>
      <c r="DO50" s="260"/>
      <c r="DP50" s="260"/>
      <c r="DQ50" s="260"/>
      <c r="DR50" s="260"/>
      <c r="DS50" s="260"/>
      <c r="DT50" s="260"/>
      <c r="DU50" s="260"/>
      <c r="DV50" s="260"/>
      <c r="DW50" s="260"/>
      <c r="DX50" s="260"/>
      <c r="DY50" s="260"/>
      <c r="DZ50" s="260"/>
      <c r="EA50" s="260"/>
      <c r="EB50" s="260"/>
      <c r="EC50" s="260"/>
      <c r="ED50" s="260"/>
      <c r="EE50" s="260"/>
      <c r="EF50" s="260"/>
      <c r="EG50" s="260"/>
      <c r="EH50" s="260"/>
      <c r="EI50" s="260"/>
      <c r="EJ50" s="260"/>
      <c r="EK50" s="260"/>
      <c r="EL50" s="260"/>
      <c r="EM50" s="260"/>
      <c r="EN50" s="260"/>
      <c r="EO50" s="260"/>
      <c r="EP50" s="260"/>
      <c r="EQ50" s="260"/>
      <c r="ER50" s="260"/>
      <c r="ES50" s="260"/>
      <c r="ET50" s="260"/>
      <c r="EU50" s="260"/>
      <c r="EV50" s="260"/>
      <c r="EW50" s="260"/>
      <c r="EX50" s="260"/>
      <c r="EY50" s="260"/>
      <c r="EZ50" s="260"/>
      <c r="FA50" s="260"/>
      <c r="FB50" s="260"/>
      <c r="FC50" s="260"/>
      <c r="FD50" s="260"/>
      <c r="FE50" s="260"/>
      <c r="FF50" s="260"/>
      <c r="FG50" s="260"/>
      <c r="FH50" s="260"/>
      <c r="FI50" s="260"/>
      <c r="FJ50" s="260"/>
      <c r="FK50" s="260"/>
      <c r="FL50" s="260"/>
      <c r="FM50" s="260"/>
      <c r="FN50" s="260"/>
      <c r="FO50" s="260"/>
      <c r="FP50" s="260"/>
      <c r="FQ50" s="260"/>
      <c r="FR50" s="260"/>
      <c r="FS50" s="260"/>
      <c r="FT50" s="260"/>
      <c r="FU50" s="260"/>
      <c r="FV50" s="260"/>
      <c r="FW50" s="260"/>
      <c r="FX50" s="260"/>
      <c r="FY50" s="260"/>
      <c r="FZ50" s="260"/>
      <c r="GA50" s="260"/>
      <c r="GB50" s="260"/>
      <c r="GC50" s="260"/>
      <c r="GD50" s="260"/>
      <c r="GE50" s="260"/>
      <c r="GF50" s="260"/>
      <c r="GG50" s="260"/>
      <c r="GH50" s="260"/>
      <c r="GI50" s="260"/>
      <c r="GJ50" s="260"/>
      <c r="GK50" s="260"/>
      <c r="GL50" s="260"/>
      <c r="GM50" s="260"/>
      <c r="GN50" s="260"/>
      <c r="GO50" s="260"/>
      <c r="GP50" s="260"/>
      <c r="GQ50" s="260"/>
      <c r="GR50" s="260"/>
      <c r="GS50" s="260"/>
      <c r="GT50" s="260"/>
      <c r="GU50" s="260"/>
      <c r="GV50" s="260"/>
      <c r="GW50" s="260"/>
      <c r="GX50" s="260"/>
      <c r="GY50" s="260"/>
      <c r="GZ50" s="260"/>
      <c r="HA50" s="260"/>
      <c r="HB50" s="260"/>
      <c r="HC50" s="260"/>
      <c r="HD50" s="260"/>
      <c r="HE50" s="260"/>
      <c r="HF50" s="260"/>
      <c r="HG50" s="260"/>
      <c r="HH50" s="260" t="s">
        <v>259</v>
      </c>
    </row>
    <row r="51" spans="1:216" s="359" customFormat="1" outlineLevel="2" x14ac:dyDescent="0.2">
      <c r="A51" s="358"/>
      <c r="B51" s="358"/>
      <c r="C51" s="358"/>
      <c r="D51" s="358"/>
      <c r="E51" s="358"/>
      <c r="F51" s="358"/>
      <c r="G51" s="358"/>
      <c r="H51" s="358"/>
      <c r="I51" s="352" t="s">
        <v>98</v>
      </c>
      <c r="J51" s="260"/>
      <c r="K51" s="260"/>
      <c r="L51" s="261"/>
      <c r="M51" s="261" t="str">
        <f t="shared" si="0"/>
        <v/>
      </c>
      <c r="N51" s="262">
        <f t="shared" si="1"/>
        <v>0</v>
      </c>
      <c r="O51" s="260"/>
      <c r="P51" s="260"/>
      <c r="Q51" s="260"/>
      <c r="R51" s="260"/>
      <c r="S51" s="260"/>
      <c r="T51" s="260"/>
      <c r="U51" s="260"/>
      <c r="V51" s="260"/>
      <c r="W51" s="260"/>
      <c r="X51" s="260"/>
      <c r="Y51" s="260"/>
      <c r="Z51" s="260"/>
      <c r="AA51" s="260"/>
      <c r="AB51" s="260"/>
      <c r="AC51" s="260"/>
      <c r="AD51" s="260"/>
      <c r="AE51" s="260"/>
      <c r="AF51" s="260"/>
      <c r="AG51" s="260"/>
      <c r="AH51" s="260"/>
      <c r="AI51" s="260"/>
      <c r="AJ51" s="260"/>
      <c r="AK51" s="260"/>
      <c r="AL51" s="260"/>
      <c r="AM51" s="260"/>
      <c r="AN51" s="260"/>
      <c r="AO51" s="260"/>
      <c r="AP51" s="260"/>
      <c r="AQ51" s="260"/>
      <c r="AR51" s="260"/>
      <c r="AS51" s="260"/>
      <c r="AT51" s="260"/>
      <c r="AU51" s="260"/>
      <c r="AV51" s="260"/>
      <c r="AW51" s="260"/>
      <c r="AX51" s="260"/>
      <c r="AY51" s="260"/>
      <c r="AZ51" s="260"/>
      <c r="BA51" s="260"/>
      <c r="BB51" s="260"/>
      <c r="BC51" s="260"/>
      <c r="BD51" s="260"/>
      <c r="BE51" s="260"/>
      <c r="BF51" s="260"/>
      <c r="BG51" s="260"/>
      <c r="BH51" s="260"/>
      <c r="BI51" s="260"/>
      <c r="BJ51" s="260"/>
      <c r="BK51" s="260"/>
      <c r="BL51" s="260"/>
      <c r="BM51" s="260"/>
      <c r="BN51" s="260"/>
      <c r="BO51" s="260"/>
      <c r="BP51" s="260"/>
      <c r="BQ51" s="260"/>
      <c r="BR51" s="260"/>
      <c r="BS51" s="260"/>
      <c r="BT51" s="260"/>
      <c r="BU51" s="260"/>
      <c r="BV51" s="260"/>
      <c r="BW51" s="260"/>
      <c r="BX51" s="260"/>
      <c r="BY51" s="260"/>
      <c r="BZ51" s="260"/>
      <c r="CA51" s="260"/>
      <c r="CB51" s="260"/>
      <c r="CC51" s="260"/>
      <c r="CD51" s="260"/>
      <c r="CE51" s="260"/>
      <c r="CF51" s="260"/>
      <c r="CG51" s="260"/>
      <c r="CH51" s="260"/>
      <c r="CI51" s="260"/>
      <c r="CJ51" s="260"/>
      <c r="CK51" s="260"/>
      <c r="CL51" s="260"/>
      <c r="CM51" s="260"/>
      <c r="CN51" s="260"/>
      <c r="CO51" s="260"/>
      <c r="CP51" s="260"/>
      <c r="CQ51" s="260"/>
      <c r="CR51" s="260"/>
      <c r="CS51" s="260"/>
      <c r="CT51" s="260"/>
      <c r="CU51" s="260"/>
      <c r="CV51" s="260"/>
      <c r="CW51" s="260"/>
      <c r="CX51" s="260"/>
      <c r="CY51" s="260"/>
      <c r="CZ51" s="260"/>
      <c r="DA51" s="260"/>
      <c r="DB51" s="260"/>
      <c r="DC51" s="260"/>
      <c r="DD51" s="260"/>
      <c r="DE51" s="260"/>
      <c r="DF51" s="260"/>
      <c r="DG51" s="260"/>
      <c r="DH51" s="260"/>
      <c r="DI51" s="260"/>
      <c r="DJ51" s="260"/>
      <c r="DK51" s="260"/>
      <c r="DL51" s="260"/>
      <c r="DM51" s="260"/>
      <c r="DN51" s="260"/>
      <c r="DO51" s="260"/>
      <c r="DP51" s="260"/>
      <c r="DQ51" s="260"/>
      <c r="DR51" s="260"/>
      <c r="DS51" s="260"/>
      <c r="DT51" s="260"/>
      <c r="DU51" s="260"/>
      <c r="DV51" s="260"/>
      <c r="DW51" s="260"/>
      <c r="DX51" s="260"/>
      <c r="DY51" s="260"/>
      <c r="DZ51" s="260"/>
      <c r="EA51" s="260"/>
      <c r="EB51" s="260"/>
      <c r="EC51" s="260"/>
      <c r="ED51" s="260"/>
      <c r="EE51" s="260"/>
      <c r="EF51" s="260"/>
      <c r="EG51" s="260"/>
      <c r="EH51" s="260"/>
      <c r="EI51" s="260"/>
      <c r="EJ51" s="260"/>
      <c r="EK51" s="260"/>
      <c r="EL51" s="260"/>
      <c r="EM51" s="260"/>
      <c r="EN51" s="260"/>
      <c r="EO51" s="260"/>
      <c r="EP51" s="260"/>
      <c r="EQ51" s="260"/>
      <c r="ER51" s="260"/>
      <c r="ES51" s="260"/>
      <c r="ET51" s="260"/>
      <c r="EU51" s="260"/>
      <c r="EV51" s="260"/>
      <c r="EW51" s="260"/>
      <c r="EX51" s="260"/>
      <c r="EY51" s="260"/>
      <c r="EZ51" s="260"/>
      <c r="FA51" s="260"/>
      <c r="FB51" s="260"/>
      <c r="FC51" s="260"/>
      <c r="FD51" s="260"/>
      <c r="FE51" s="260"/>
      <c r="FF51" s="260"/>
      <c r="FG51" s="260"/>
      <c r="FH51" s="260"/>
      <c r="FI51" s="260"/>
      <c r="FJ51" s="260"/>
      <c r="FK51" s="260"/>
      <c r="FL51" s="260"/>
      <c r="FM51" s="260"/>
      <c r="FN51" s="260"/>
      <c r="FO51" s="260"/>
      <c r="FP51" s="260"/>
      <c r="FQ51" s="260"/>
      <c r="FR51" s="260"/>
      <c r="FS51" s="260"/>
      <c r="FT51" s="260"/>
      <c r="FU51" s="260"/>
      <c r="FV51" s="260"/>
      <c r="FW51" s="260"/>
      <c r="FX51" s="260"/>
      <c r="FY51" s="260"/>
      <c r="FZ51" s="260"/>
      <c r="GA51" s="260"/>
      <c r="GB51" s="260"/>
      <c r="GC51" s="260"/>
      <c r="GD51" s="260"/>
      <c r="GE51" s="260"/>
      <c r="GF51" s="260"/>
      <c r="GG51" s="260"/>
      <c r="GH51" s="260"/>
      <c r="GI51" s="260"/>
      <c r="GJ51" s="260"/>
      <c r="GK51" s="260"/>
      <c r="GL51" s="260"/>
      <c r="GM51" s="260"/>
      <c r="GN51" s="260"/>
      <c r="GO51" s="260"/>
      <c r="GP51" s="260"/>
      <c r="GQ51" s="260"/>
      <c r="GR51" s="260"/>
      <c r="GS51" s="260"/>
      <c r="GT51" s="260"/>
      <c r="GU51" s="260"/>
      <c r="GV51" s="260"/>
      <c r="GW51" s="260"/>
      <c r="GX51" s="260"/>
      <c r="GY51" s="260"/>
      <c r="GZ51" s="260"/>
      <c r="HA51" s="260"/>
      <c r="HB51" s="260"/>
      <c r="HC51" s="260"/>
      <c r="HD51" s="260"/>
      <c r="HE51" s="260"/>
      <c r="HF51" s="260"/>
      <c r="HG51" s="260"/>
      <c r="HH51" s="263" t="s">
        <v>259</v>
      </c>
    </row>
    <row r="52" spans="1:216" s="271" customFormat="1" ht="25.5" outlineLevel="3" x14ac:dyDescent="0.2">
      <c r="H52" s="360"/>
      <c r="I52" s="361" t="s">
        <v>366</v>
      </c>
      <c r="J52" s="266"/>
      <c r="K52" s="267">
        <v>-3</v>
      </c>
      <c r="L52" s="268"/>
      <c r="M52" s="268" t="str">
        <f t="shared" si="0"/>
        <v/>
      </c>
      <c r="N52" s="269">
        <f t="shared" si="1"/>
        <v>0</v>
      </c>
      <c r="O52" s="270"/>
      <c r="P52" s="270"/>
      <c r="Q52" s="270"/>
      <c r="R52" s="270"/>
      <c r="S52" s="270"/>
      <c r="T52" s="270"/>
      <c r="U52" s="270"/>
      <c r="V52" s="270"/>
      <c r="W52" s="270"/>
      <c r="X52" s="270"/>
      <c r="Y52" s="270"/>
      <c r="Z52" s="270"/>
      <c r="AA52" s="270"/>
      <c r="AB52" s="270"/>
      <c r="AC52" s="270"/>
      <c r="AD52" s="270"/>
      <c r="AE52" s="270"/>
      <c r="AF52" s="270"/>
      <c r="AG52" s="270"/>
      <c r="AH52" s="270"/>
      <c r="AI52" s="270"/>
      <c r="AJ52" s="270"/>
      <c r="AK52" s="270"/>
      <c r="AL52" s="270"/>
      <c r="AM52" s="270"/>
      <c r="AN52" s="270"/>
      <c r="AO52" s="270"/>
      <c r="AP52" s="270"/>
      <c r="AQ52" s="270"/>
      <c r="AR52" s="270"/>
      <c r="AS52" s="270"/>
      <c r="AT52" s="270"/>
      <c r="AU52" s="270"/>
      <c r="AV52" s="270"/>
      <c r="AW52" s="270"/>
      <c r="AX52" s="270"/>
      <c r="AY52" s="270"/>
      <c r="AZ52" s="270"/>
      <c r="BA52" s="270"/>
      <c r="BB52" s="270"/>
      <c r="BC52" s="270"/>
      <c r="BD52" s="270"/>
      <c r="BE52" s="270"/>
      <c r="BF52" s="270"/>
      <c r="BG52" s="270"/>
      <c r="BH52" s="270"/>
      <c r="BI52" s="270"/>
      <c r="BJ52" s="270"/>
      <c r="BK52" s="270"/>
      <c r="BL52" s="270"/>
      <c r="BM52" s="270"/>
      <c r="BN52" s="270"/>
      <c r="BO52" s="270"/>
      <c r="BP52" s="270"/>
      <c r="BQ52" s="270"/>
      <c r="BR52" s="270"/>
      <c r="BS52" s="270"/>
      <c r="BT52" s="270"/>
      <c r="BU52" s="270"/>
      <c r="BV52" s="270"/>
      <c r="BW52" s="270"/>
      <c r="BX52" s="270"/>
      <c r="BY52" s="270"/>
      <c r="BZ52" s="270"/>
      <c r="CA52" s="270"/>
      <c r="CB52" s="270"/>
      <c r="CC52" s="270"/>
      <c r="CD52" s="270"/>
      <c r="CE52" s="270"/>
      <c r="CF52" s="270"/>
      <c r="CG52" s="270"/>
      <c r="CH52" s="270"/>
      <c r="CI52" s="270"/>
      <c r="CJ52" s="270"/>
      <c r="CK52" s="270"/>
      <c r="CL52" s="270"/>
      <c r="CM52" s="270"/>
      <c r="CN52" s="270"/>
      <c r="CO52" s="270"/>
      <c r="CP52" s="270"/>
      <c r="CQ52" s="270"/>
      <c r="CR52" s="270"/>
      <c r="CS52" s="270"/>
      <c r="CT52" s="270"/>
      <c r="CU52" s="270"/>
      <c r="CV52" s="270"/>
      <c r="CW52" s="270"/>
      <c r="CX52" s="270"/>
      <c r="CY52" s="270"/>
      <c r="CZ52" s="270"/>
      <c r="DA52" s="270"/>
      <c r="DB52" s="270"/>
      <c r="DC52" s="270"/>
      <c r="DD52" s="270"/>
      <c r="DE52" s="270"/>
      <c r="DF52" s="270"/>
      <c r="DG52" s="270"/>
      <c r="DH52" s="270"/>
      <c r="DI52" s="270"/>
      <c r="DJ52" s="270"/>
      <c r="DK52" s="270"/>
      <c r="DL52" s="270"/>
      <c r="DM52" s="270"/>
      <c r="DN52" s="270"/>
      <c r="DO52" s="270"/>
      <c r="DP52" s="270"/>
      <c r="DQ52" s="270"/>
      <c r="DR52" s="270"/>
      <c r="DS52" s="270"/>
      <c r="DT52" s="270"/>
      <c r="DU52" s="270"/>
      <c r="DV52" s="270"/>
      <c r="DW52" s="270"/>
      <c r="DX52" s="270"/>
      <c r="DY52" s="270"/>
      <c r="DZ52" s="270"/>
      <c r="EA52" s="270"/>
      <c r="EB52" s="270"/>
      <c r="EC52" s="270"/>
      <c r="ED52" s="270"/>
      <c r="EE52" s="270"/>
      <c r="EF52" s="270"/>
      <c r="EG52" s="270"/>
      <c r="EH52" s="270"/>
      <c r="EI52" s="270"/>
      <c r="EJ52" s="270"/>
      <c r="EK52" s="270"/>
      <c r="EL52" s="270"/>
      <c r="EM52" s="270"/>
      <c r="EN52" s="270"/>
      <c r="EO52" s="270"/>
      <c r="EP52" s="270"/>
      <c r="EQ52" s="270"/>
      <c r="ER52" s="270"/>
      <c r="ES52" s="270"/>
      <c r="ET52" s="270"/>
      <c r="EU52" s="270"/>
      <c r="EV52" s="270"/>
      <c r="EW52" s="270"/>
      <c r="EX52" s="270"/>
      <c r="EY52" s="270"/>
      <c r="EZ52" s="270"/>
      <c r="FA52" s="270"/>
      <c r="FB52" s="270"/>
      <c r="FC52" s="270"/>
      <c r="FD52" s="270"/>
      <c r="FE52" s="270"/>
      <c r="FF52" s="270"/>
      <c r="FG52" s="270"/>
      <c r="FH52" s="270"/>
      <c r="FI52" s="270"/>
      <c r="FJ52" s="270"/>
      <c r="FK52" s="270"/>
      <c r="FL52" s="270"/>
      <c r="FM52" s="270"/>
      <c r="FN52" s="270"/>
      <c r="FO52" s="270"/>
      <c r="FP52" s="270"/>
      <c r="FQ52" s="270"/>
      <c r="FR52" s="270"/>
      <c r="FS52" s="270"/>
      <c r="FT52" s="270"/>
      <c r="FU52" s="270"/>
      <c r="FV52" s="270"/>
      <c r="FW52" s="270"/>
      <c r="FX52" s="270"/>
      <c r="FY52" s="270"/>
      <c r="FZ52" s="270"/>
      <c r="GA52" s="270"/>
      <c r="GB52" s="270"/>
      <c r="GC52" s="270"/>
      <c r="GD52" s="270"/>
      <c r="GE52" s="270"/>
      <c r="GF52" s="270"/>
      <c r="GG52" s="270"/>
      <c r="GH52" s="270"/>
      <c r="GI52" s="270"/>
      <c r="GJ52" s="270"/>
      <c r="GK52" s="270"/>
      <c r="GL52" s="270"/>
      <c r="GM52" s="270"/>
      <c r="GN52" s="270"/>
      <c r="GO52" s="270"/>
      <c r="GP52" s="270"/>
      <c r="GQ52" s="270"/>
      <c r="GR52" s="270"/>
      <c r="GS52" s="270"/>
      <c r="GT52" s="270"/>
      <c r="GU52" s="270"/>
      <c r="GV52" s="270"/>
      <c r="GW52" s="270"/>
      <c r="GX52" s="270"/>
      <c r="GY52" s="270"/>
      <c r="GZ52" s="270"/>
      <c r="HA52" s="270"/>
      <c r="HB52" s="270"/>
      <c r="HC52" s="270"/>
      <c r="HD52" s="270"/>
      <c r="HE52" s="270"/>
      <c r="HF52" s="270"/>
      <c r="HG52" s="270"/>
      <c r="HH52" s="270" t="s">
        <v>259</v>
      </c>
    </row>
    <row r="53" spans="1:216" s="271" customFormat="1" outlineLevel="3" x14ac:dyDescent="0.2">
      <c r="H53" s="265"/>
      <c r="I53" s="353" t="s">
        <v>281</v>
      </c>
      <c r="J53" s="266"/>
      <c r="K53" s="267">
        <v>-2</v>
      </c>
      <c r="L53" s="268"/>
      <c r="M53" s="268" t="str">
        <f t="shared" si="0"/>
        <v/>
      </c>
      <c r="N53" s="269">
        <f t="shared" si="1"/>
        <v>0</v>
      </c>
      <c r="O53" s="270"/>
      <c r="P53" s="270"/>
      <c r="Q53" s="270"/>
      <c r="R53" s="270"/>
      <c r="S53" s="270"/>
      <c r="T53" s="270"/>
      <c r="U53" s="270"/>
      <c r="V53" s="270"/>
      <c r="W53" s="270"/>
      <c r="X53" s="270"/>
      <c r="Y53" s="270"/>
      <c r="Z53" s="270"/>
      <c r="AA53" s="270"/>
      <c r="AB53" s="270"/>
      <c r="AC53" s="270"/>
      <c r="AD53" s="270"/>
      <c r="AE53" s="270"/>
      <c r="AF53" s="270"/>
      <c r="AG53" s="270"/>
      <c r="AH53" s="270"/>
      <c r="AI53" s="270"/>
      <c r="AJ53" s="270"/>
      <c r="AK53" s="270"/>
      <c r="AL53" s="270"/>
      <c r="AM53" s="270"/>
      <c r="AN53" s="270"/>
      <c r="AO53" s="270"/>
      <c r="AP53" s="270"/>
      <c r="AQ53" s="270"/>
      <c r="AR53" s="270"/>
      <c r="AS53" s="270"/>
      <c r="AT53" s="270"/>
      <c r="AU53" s="270"/>
      <c r="AV53" s="270"/>
      <c r="AW53" s="270"/>
      <c r="AX53" s="270"/>
      <c r="AY53" s="270"/>
      <c r="AZ53" s="270"/>
      <c r="BA53" s="270"/>
      <c r="BB53" s="270"/>
      <c r="BC53" s="270"/>
      <c r="BD53" s="270"/>
      <c r="BE53" s="270"/>
      <c r="BF53" s="270"/>
      <c r="BG53" s="270"/>
      <c r="BH53" s="270"/>
      <c r="BI53" s="270"/>
      <c r="BJ53" s="270"/>
      <c r="BK53" s="270"/>
      <c r="BL53" s="270"/>
      <c r="BM53" s="270"/>
      <c r="BN53" s="270"/>
      <c r="BO53" s="270"/>
      <c r="BP53" s="270"/>
      <c r="BQ53" s="270"/>
      <c r="BR53" s="270"/>
      <c r="BS53" s="270"/>
      <c r="BT53" s="270"/>
      <c r="BU53" s="270"/>
      <c r="BV53" s="270"/>
      <c r="BW53" s="270"/>
      <c r="BX53" s="270"/>
      <c r="BY53" s="270"/>
      <c r="BZ53" s="270"/>
      <c r="CA53" s="270"/>
      <c r="CB53" s="270"/>
      <c r="CC53" s="270"/>
      <c r="CD53" s="270"/>
      <c r="CE53" s="270"/>
      <c r="CF53" s="270"/>
      <c r="CG53" s="270"/>
      <c r="CH53" s="270"/>
      <c r="CI53" s="270"/>
      <c r="CJ53" s="270"/>
      <c r="CK53" s="270"/>
      <c r="CL53" s="270"/>
      <c r="CM53" s="270"/>
      <c r="CN53" s="270"/>
      <c r="CO53" s="270"/>
      <c r="CP53" s="270"/>
      <c r="CQ53" s="270"/>
      <c r="CR53" s="270"/>
      <c r="CS53" s="270"/>
      <c r="CT53" s="270"/>
      <c r="CU53" s="270"/>
      <c r="CV53" s="270"/>
      <c r="CW53" s="270"/>
      <c r="CX53" s="270"/>
      <c r="CY53" s="270"/>
      <c r="CZ53" s="270"/>
      <c r="DA53" s="270"/>
      <c r="DB53" s="270"/>
      <c r="DC53" s="270"/>
      <c r="DD53" s="270"/>
      <c r="DE53" s="270"/>
      <c r="DF53" s="270"/>
      <c r="DG53" s="270"/>
      <c r="DH53" s="270"/>
      <c r="DI53" s="270"/>
      <c r="DJ53" s="270"/>
      <c r="DK53" s="270"/>
      <c r="DL53" s="270"/>
      <c r="DM53" s="270"/>
      <c r="DN53" s="270"/>
      <c r="DO53" s="270"/>
      <c r="DP53" s="270"/>
      <c r="DQ53" s="270"/>
      <c r="DR53" s="270"/>
      <c r="DS53" s="270"/>
      <c r="DT53" s="270"/>
      <c r="DU53" s="270"/>
      <c r="DV53" s="270"/>
      <c r="DW53" s="270"/>
      <c r="DX53" s="270"/>
      <c r="DY53" s="270"/>
      <c r="DZ53" s="270"/>
      <c r="EA53" s="270"/>
      <c r="EB53" s="270"/>
      <c r="EC53" s="270"/>
      <c r="ED53" s="270"/>
      <c r="EE53" s="270"/>
      <c r="EF53" s="270"/>
      <c r="EG53" s="270"/>
      <c r="EH53" s="270"/>
      <c r="EI53" s="270"/>
      <c r="EJ53" s="270"/>
      <c r="EK53" s="270"/>
      <c r="EL53" s="270"/>
      <c r="EM53" s="270"/>
      <c r="EN53" s="270"/>
      <c r="EO53" s="270"/>
      <c r="EP53" s="270"/>
      <c r="EQ53" s="270"/>
      <c r="ER53" s="270"/>
      <c r="ES53" s="270"/>
      <c r="ET53" s="270"/>
      <c r="EU53" s="270"/>
      <c r="EV53" s="270"/>
      <c r="EW53" s="270"/>
      <c r="EX53" s="270"/>
      <c r="EY53" s="270"/>
      <c r="EZ53" s="270"/>
      <c r="FA53" s="270"/>
      <c r="FB53" s="270"/>
      <c r="FC53" s="270"/>
      <c r="FD53" s="270"/>
      <c r="FE53" s="270"/>
      <c r="FF53" s="270"/>
      <c r="FG53" s="270"/>
      <c r="FH53" s="270"/>
      <c r="FI53" s="270"/>
      <c r="FJ53" s="270"/>
      <c r="FK53" s="270"/>
      <c r="FL53" s="270"/>
      <c r="FM53" s="270"/>
      <c r="FN53" s="270"/>
      <c r="FO53" s="270"/>
      <c r="FP53" s="270"/>
      <c r="FQ53" s="270"/>
      <c r="FR53" s="270"/>
      <c r="FS53" s="270"/>
      <c r="FT53" s="270"/>
      <c r="FU53" s="270"/>
      <c r="FV53" s="270"/>
      <c r="FW53" s="270"/>
      <c r="FX53" s="270"/>
      <c r="FY53" s="270"/>
      <c r="FZ53" s="270"/>
      <c r="GA53" s="270"/>
      <c r="GB53" s="270"/>
      <c r="GC53" s="270"/>
      <c r="GD53" s="270"/>
      <c r="GE53" s="270"/>
      <c r="GF53" s="270"/>
      <c r="GG53" s="270"/>
      <c r="GH53" s="270"/>
      <c r="GI53" s="270"/>
      <c r="GJ53" s="270"/>
      <c r="GK53" s="270"/>
      <c r="GL53" s="270"/>
      <c r="GM53" s="270"/>
      <c r="GN53" s="270"/>
      <c r="GO53" s="270"/>
      <c r="GP53" s="270"/>
      <c r="GQ53" s="270"/>
      <c r="GR53" s="270"/>
      <c r="GS53" s="270"/>
      <c r="GT53" s="270"/>
      <c r="GU53" s="270"/>
      <c r="GV53" s="270"/>
      <c r="GW53" s="270"/>
      <c r="GX53" s="270"/>
      <c r="GY53" s="270"/>
      <c r="GZ53" s="270"/>
      <c r="HA53" s="270"/>
      <c r="HB53" s="270"/>
      <c r="HC53" s="270"/>
      <c r="HD53" s="270"/>
      <c r="HE53" s="270"/>
      <c r="HF53" s="270"/>
      <c r="HG53" s="270"/>
      <c r="HH53" s="270" t="s">
        <v>259</v>
      </c>
    </row>
    <row r="54" spans="1:216" s="271" customFormat="1" outlineLevel="3" x14ac:dyDescent="0.2">
      <c r="H54" s="265"/>
      <c r="I54" s="353" t="s">
        <v>282</v>
      </c>
      <c r="J54" s="266"/>
      <c r="K54" s="267">
        <v>0</v>
      </c>
      <c r="L54" s="268"/>
      <c r="M54" s="268" t="str">
        <f t="shared" si="0"/>
        <v/>
      </c>
      <c r="N54" s="269">
        <f t="shared" si="1"/>
        <v>0</v>
      </c>
      <c r="O54" s="270"/>
      <c r="P54" s="270"/>
      <c r="Q54" s="270"/>
      <c r="R54" s="270"/>
      <c r="S54" s="270"/>
      <c r="T54" s="270"/>
      <c r="U54" s="270"/>
      <c r="V54" s="270"/>
      <c r="W54" s="270"/>
      <c r="X54" s="270"/>
      <c r="Y54" s="270"/>
      <c r="Z54" s="270"/>
      <c r="AA54" s="270"/>
      <c r="AB54" s="270"/>
      <c r="AC54" s="270"/>
      <c r="AD54" s="270"/>
      <c r="AE54" s="270"/>
      <c r="AF54" s="270"/>
      <c r="AG54" s="270"/>
      <c r="AH54" s="270"/>
      <c r="AI54" s="270"/>
      <c r="AJ54" s="270"/>
      <c r="AK54" s="270"/>
      <c r="AL54" s="270"/>
      <c r="AM54" s="270"/>
      <c r="AN54" s="270"/>
      <c r="AO54" s="270"/>
      <c r="AP54" s="270"/>
      <c r="AQ54" s="270"/>
      <c r="AR54" s="270"/>
      <c r="AS54" s="270"/>
      <c r="AT54" s="270"/>
      <c r="AU54" s="270"/>
      <c r="AV54" s="270"/>
      <c r="AW54" s="270"/>
      <c r="AX54" s="270"/>
      <c r="AY54" s="270"/>
      <c r="AZ54" s="270"/>
      <c r="BA54" s="270"/>
      <c r="BB54" s="270"/>
      <c r="BC54" s="270"/>
      <c r="BD54" s="270"/>
      <c r="BE54" s="270"/>
      <c r="BF54" s="270"/>
      <c r="BG54" s="270"/>
      <c r="BH54" s="270"/>
      <c r="BI54" s="270"/>
      <c r="BJ54" s="270"/>
      <c r="BK54" s="270"/>
      <c r="BL54" s="270"/>
      <c r="BM54" s="270"/>
      <c r="BN54" s="270"/>
      <c r="BO54" s="270"/>
      <c r="BP54" s="270"/>
      <c r="BQ54" s="270"/>
      <c r="BR54" s="270"/>
      <c r="BS54" s="270"/>
      <c r="BT54" s="270"/>
      <c r="BU54" s="270"/>
      <c r="BV54" s="270"/>
      <c r="BW54" s="270"/>
      <c r="BX54" s="270"/>
      <c r="BY54" s="270"/>
      <c r="BZ54" s="270"/>
      <c r="CA54" s="270"/>
      <c r="CB54" s="270"/>
      <c r="CC54" s="270"/>
      <c r="CD54" s="270"/>
      <c r="CE54" s="270"/>
      <c r="CF54" s="270"/>
      <c r="CG54" s="270"/>
      <c r="CH54" s="270"/>
      <c r="CI54" s="270"/>
      <c r="CJ54" s="270"/>
      <c r="CK54" s="270"/>
      <c r="CL54" s="270"/>
      <c r="CM54" s="270"/>
      <c r="CN54" s="270"/>
      <c r="CO54" s="270"/>
      <c r="CP54" s="270"/>
      <c r="CQ54" s="270"/>
      <c r="CR54" s="270"/>
      <c r="CS54" s="270"/>
      <c r="CT54" s="270"/>
      <c r="CU54" s="270"/>
      <c r="CV54" s="270"/>
      <c r="CW54" s="270"/>
      <c r="CX54" s="270"/>
      <c r="CY54" s="270"/>
      <c r="CZ54" s="270"/>
      <c r="DA54" s="270"/>
      <c r="DB54" s="270"/>
      <c r="DC54" s="270"/>
      <c r="DD54" s="270"/>
      <c r="DE54" s="270"/>
      <c r="DF54" s="270"/>
      <c r="DG54" s="270"/>
      <c r="DH54" s="270"/>
      <c r="DI54" s="270"/>
      <c r="DJ54" s="270"/>
      <c r="DK54" s="270"/>
      <c r="DL54" s="270"/>
      <c r="DM54" s="270"/>
      <c r="DN54" s="270"/>
      <c r="DO54" s="270"/>
      <c r="DP54" s="270"/>
      <c r="DQ54" s="270"/>
      <c r="DR54" s="270"/>
      <c r="DS54" s="270"/>
      <c r="DT54" s="270"/>
      <c r="DU54" s="270"/>
      <c r="DV54" s="270"/>
      <c r="DW54" s="270"/>
      <c r="DX54" s="270"/>
      <c r="DY54" s="270"/>
      <c r="DZ54" s="270"/>
      <c r="EA54" s="270"/>
      <c r="EB54" s="270"/>
      <c r="EC54" s="270"/>
      <c r="ED54" s="270"/>
      <c r="EE54" s="270"/>
      <c r="EF54" s="270"/>
      <c r="EG54" s="270"/>
      <c r="EH54" s="270"/>
      <c r="EI54" s="270"/>
      <c r="EJ54" s="270"/>
      <c r="EK54" s="270"/>
      <c r="EL54" s="270"/>
      <c r="EM54" s="270"/>
      <c r="EN54" s="270"/>
      <c r="EO54" s="270"/>
      <c r="EP54" s="270"/>
      <c r="EQ54" s="270"/>
      <c r="ER54" s="270"/>
      <c r="ES54" s="270"/>
      <c r="ET54" s="270"/>
      <c r="EU54" s="270"/>
      <c r="EV54" s="270"/>
      <c r="EW54" s="270"/>
      <c r="EX54" s="270"/>
      <c r="EY54" s="270"/>
      <c r="EZ54" s="270"/>
      <c r="FA54" s="270"/>
      <c r="FB54" s="270"/>
      <c r="FC54" s="270"/>
      <c r="FD54" s="270"/>
      <c r="FE54" s="270"/>
      <c r="FF54" s="270"/>
      <c r="FG54" s="270"/>
      <c r="FH54" s="270"/>
      <c r="FI54" s="270"/>
      <c r="FJ54" s="270"/>
      <c r="FK54" s="270"/>
      <c r="FL54" s="270"/>
      <c r="FM54" s="270"/>
      <c r="FN54" s="270"/>
      <c r="FO54" s="270"/>
      <c r="FP54" s="270"/>
      <c r="FQ54" s="270"/>
      <c r="FR54" s="270"/>
      <c r="FS54" s="270"/>
      <c r="FT54" s="270"/>
      <c r="FU54" s="270"/>
      <c r="FV54" s="270"/>
      <c r="FW54" s="270"/>
      <c r="FX54" s="270"/>
      <c r="FY54" s="270"/>
      <c r="FZ54" s="270"/>
      <c r="GA54" s="270"/>
      <c r="GB54" s="270"/>
      <c r="GC54" s="270"/>
      <c r="GD54" s="270"/>
      <c r="GE54" s="270"/>
      <c r="GF54" s="270"/>
      <c r="GG54" s="270"/>
      <c r="GH54" s="270"/>
      <c r="GI54" s="270"/>
      <c r="GJ54" s="270"/>
      <c r="GK54" s="270"/>
      <c r="GL54" s="270"/>
      <c r="GM54" s="270"/>
      <c r="GN54" s="270"/>
      <c r="GO54" s="270"/>
      <c r="GP54" s="270"/>
      <c r="GQ54" s="270"/>
      <c r="GR54" s="270"/>
      <c r="GS54" s="270"/>
      <c r="GT54" s="270"/>
      <c r="GU54" s="270"/>
      <c r="GV54" s="270"/>
      <c r="GW54" s="270"/>
      <c r="GX54" s="270"/>
      <c r="GY54" s="270"/>
      <c r="GZ54" s="270"/>
      <c r="HA54" s="270"/>
      <c r="HB54" s="270"/>
      <c r="HC54" s="270"/>
      <c r="HD54" s="270"/>
      <c r="HE54" s="270"/>
      <c r="HF54" s="270"/>
      <c r="HG54" s="270"/>
      <c r="HH54" s="270" t="s">
        <v>259</v>
      </c>
    </row>
    <row r="55" spans="1:216" s="365" customFormat="1" outlineLevel="3" x14ac:dyDescent="0.2">
      <c r="A55" s="362"/>
      <c r="B55" s="362"/>
      <c r="C55" s="362"/>
      <c r="D55" s="362"/>
      <c r="E55" s="362"/>
      <c r="F55" s="362"/>
      <c r="G55" s="362"/>
      <c r="H55" s="280"/>
      <c r="I55" s="355"/>
      <c r="J55" s="273"/>
      <c r="K55" s="273"/>
      <c r="L55" s="275"/>
      <c r="M55" s="275" t="str">
        <f t="shared" si="0"/>
        <v/>
      </c>
      <c r="N55" s="276">
        <f t="shared" si="1"/>
        <v>0</v>
      </c>
      <c r="O55" s="273"/>
      <c r="P55" s="273"/>
      <c r="Q55" s="273"/>
      <c r="R55" s="277"/>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7"/>
      <c r="AV55" s="273"/>
      <c r="AW55" s="273"/>
      <c r="AX55" s="273"/>
      <c r="AY55" s="273"/>
      <c r="AZ55" s="273"/>
      <c r="BA55" s="273"/>
      <c r="BB55" s="273"/>
      <c r="BC55" s="273"/>
      <c r="BD55" s="273"/>
      <c r="BE55" s="273"/>
      <c r="BF55" s="273"/>
      <c r="BG55" s="273"/>
      <c r="BH55" s="273"/>
      <c r="BI55" s="273"/>
      <c r="BJ55" s="273"/>
      <c r="BK55" s="273"/>
      <c r="BL55" s="273"/>
      <c r="BM55" s="273"/>
      <c r="BN55" s="273"/>
      <c r="BO55" s="273"/>
      <c r="BP55" s="273"/>
      <c r="BQ55" s="273"/>
      <c r="BR55" s="273"/>
      <c r="BS55" s="273"/>
      <c r="BT55" s="273"/>
      <c r="BU55" s="273"/>
      <c r="BV55" s="273"/>
      <c r="BW55" s="273"/>
      <c r="BX55" s="277"/>
      <c r="BY55" s="273"/>
      <c r="BZ55" s="273"/>
      <c r="CA55" s="273"/>
      <c r="CB55" s="273"/>
      <c r="CC55" s="273"/>
      <c r="CD55" s="273"/>
      <c r="CE55" s="273"/>
      <c r="CF55" s="273"/>
      <c r="CG55" s="273"/>
      <c r="CH55" s="273"/>
      <c r="CI55" s="273"/>
      <c r="CJ55" s="273"/>
      <c r="CK55" s="273"/>
      <c r="CL55" s="273"/>
      <c r="CM55" s="273"/>
      <c r="CN55" s="273"/>
      <c r="CO55" s="273"/>
      <c r="CP55" s="273"/>
      <c r="CQ55" s="273"/>
      <c r="CR55" s="273"/>
      <c r="CS55" s="273"/>
      <c r="CT55" s="273"/>
      <c r="CU55" s="273"/>
      <c r="CV55" s="273"/>
      <c r="CW55" s="273"/>
      <c r="CX55" s="273"/>
      <c r="CY55" s="273"/>
      <c r="CZ55" s="273"/>
      <c r="DA55" s="273"/>
      <c r="DB55" s="273"/>
      <c r="DC55" s="273"/>
      <c r="DD55" s="273"/>
      <c r="DE55" s="273"/>
      <c r="DF55" s="273"/>
      <c r="DG55" s="273"/>
      <c r="DH55" s="273"/>
      <c r="DI55" s="273"/>
      <c r="DJ55" s="273"/>
      <c r="DK55" s="273"/>
      <c r="DL55" s="273"/>
      <c r="DM55" s="273"/>
      <c r="DN55" s="273"/>
      <c r="DO55" s="273"/>
      <c r="DP55" s="273"/>
      <c r="DQ55" s="277"/>
      <c r="DR55" s="273"/>
      <c r="DS55" s="273"/>
      <c r="DT55" s="273"/>
      <c r="DU55" s="273"/>
      <c r="DV55" s="273"/>
      <c r="DW55" s="273"/>
      <c r="DX55" s="273"/>
      <c r="DY55" s="273"/>
      <c r="DZ55" s="273"/>
      <c r="EA55" s="273"/>
      <c r="EB55" s="273"/>
      <c r="EC55" s="273"/>
      <c r="ED55" s="273"/>
      <c r="EE55" s="273"/>
      <c r="EF55" s="273"/>
      <c r="EG55" s="273"/>
      <c r="EH55" s="273"/>
      <c r="EI55" s="273"/>
      <c r="EJ55" s="273"/>
      <c r="EK55" s="273"/>
      <c r="EL55" s="273"/>
      <c r="EM55" s="273"/>
      <c r="EN55" s="273"/>
      <c r="EO55" s="273"/>
      <c r="EP55" s="273"/>
      <c r="EQ55" s="273"/>
      <c r="ER55" s="273"/>
      <c r="ES55" s="273"/>
      <c r="ET55" s="273"/>
      <c r="EU55" s="273"/>
      <c r="EV55" s="273"/>
      <c r="EW55" s="273"/>
      <c r="EX55" s="273"/>
      <c r="EY55" s="273"/>
      <c r="EZ55" s="273"/>
      <c r="FA55" s="273"/>
      <c r="FB55" s="273"/>
      <c r="FC55" s="273"/>
      <c r="FD55" s="273"/>
      <c r="FE55" s="273"/>
      <c r="FF55" s="273"/>
      <c r="FG55" s="273"/>
      <c r="FH55" s="273"/>
      <c r="FI55" s="273"/>
      <c r="FJ55" s="273"/>
      <c r="FK55" s="273"/>
      <c r="FL55" s="273"/>
      <c r="FM55" s="273"/>
      <c r="FN55" s="273"/>
      <c r="FO55" s="273"/>
      <c r="FP55" s="273"/>
      <c r="FQ55" s="273"/>
      <c r="FR55" s="273"/>
      <c r="FS55" s="273"/>
      <c r="FT55" s="273"/>
      <c r="FU55" s="273"/>
      <c r="FV55" s="273"/>
      <c r="FW55" s="273"/>
      <c r="FX55" s="273"/>
      <c r="FY55" s="273"/>
      <c r="FZ55" s="273"/>
      <c r="GA55" s="273"/>
      <c r="GB55" s="273"/>
      <c r="GC55" s="273"/>
      <c r="GD55" s="273"/>
      <c r="GE55" s="273"/>
      <c r="GF55" s="273"/>
      <c r="GG55" s="273"/>
      <c r="GH55" s="273"/>
      <c r="GI55" s="273"/>
      <c r="GJ55" s="273"/>
      <c r="GK55" s="273"/>
      <c r="GL55" s="273"/>
      <c r="GM55" s="273"/>
      <c r="GN55" s="273"/>
      <c r="GO55" s="273"/>
      <c r="GP55" s="273"/>
      <c r="GQ55" s="273"/>
      <c r="GR55" s="273"/>
      <c r="GS55" s="273"/>
      <c r="GT55" s="273"/>
      <c r="GU55" s="273"/>
      <c r="GV55" s="273"/>
      <c r="GW55" s="273"/>
      <c r="GX55" s="273"/>
      <c r="GY55" s="273"/>
      <c r="GZ55" s="273"/>
      <c r="HA55" s="273"/>
      <c r="HB55" s="273"/>
      <c r="HC55" s="273"/>
      <c r="HD55" s="273"/>
      <c r="HE55" s="273"/>
      <c r="HF55" s="273"/>
      <c r="HG55" s="273"/>
      <c r="HH55" s="278" t="s">
        <v>259</v>
      </c>
    </row>
    <row r="56" spans="1:216" s="285" customFormat="1" outlineLevel="3" x14ac:dyDescent="0.2">
      <c r="A56" s="281"/>
      <c r="B56" s="281"/>
      <c r="C56" s="281"/>
      <c r="D56" s="281"/>
      <c r="E56" s="281"/>
      <c r="F56" s="281"/>
      <c r="G56" s="281"/>
      <c r="H56" s="282"/>
      <c r="I56" s="352" t="s">
        <v>283</v>
      </c>
      <c r="J56" s="283"/>
      <c r="K56" s="283"/>
      <c r="L56" s="283"/>
      <c r="M56" s="283" t="str">
        <f t="shared" si="0"/>
        <v/>
      </c>
      <c r="N56" s="284">
        <f t="shared" si="1"/>
        <v>0</v>
      </c>
      <c r="O56" s="283"/>
      <c r="P56" s="283"/>
      <c r="Q56" s="283"/>
      <c r="R56" s="283"/>
      <c r="S56" s="283"/>
      <c r="T56" s="283"/>
      <c r="U56" s="283"/>
      <c r="V56" s="283"/>
      <c r="W56" s="283"/>
      <c r="X56" s="283"/>
      <c r="Y56" s="283"/>
      <c r="Z56" s="283"/>
      <c r="AA56" s="283"/>
      <c r="AB56" s="283"/>
      <c r="AC56" s="283"/>
      <c r="AD56" s="283"/>
      <c r="AE56" s="283"/>
      <c r="AF56" s="283"/>
      <c r="AG56" s="283"/>
      <c r="AH56" s="283"/>
      <c r="AI56" s="283"/>
      <c r="AJ56" s="283"/>
      <c r="AK56" s="283"/>
      <c r="AL56" s="283"/>
      <c r="AM56" s="283"/>
      <c r="AN56" s="283"/>
      <c r="AO56" s="283"/>
      <c r="AP56" s="283"/>
      <c r="AQ56" s="283"/>
      <c r="AR56" s="283"/>
      <c r="AS56" s="283"/>
      <c r="AT56" s="283"/>
      <c r="AU56" s="283"/>
      <c r="AV56" s="283"/>
      <c r="AW56" s="283"/>
      <c r="AX56" s="283"/>
      <c r="AY56" s="283"/>
      <c r="AZ56" s="283"/>
      <c r="BA56" s="283"/>
      <c r="BB56" s="283"/>
      <c r="BC56" s="283"/>
      <c r="BD56" s="283"/>
      <c r="BE56" s="283"/>
      <c r="BF56" s="283"/>
      <c r="BG56" s="283"/>
      <c r="BH56" s="283"/>
      <c r="BI56" s="283"/>
      <c r="BJ56" s="283"/>
      <c r="BK56" s="283"/>
      <c r="BL56" s="283"/>
      <c r="BM56" s="283"/>
      <c r="BN56" s="283"/>
      <c r="BO56" s="283"/>
      <c r="BP56" s="283"/>
      <c r="BQ56" s="283"/>
      <c r="BR56" s="283"/>
      <c r="BS56" s="283"/>
      <c r="BT56" s="283"/>
      <c r="BU56" s="283"/>
      <c r="BV56" s="283"/>
      <c r="BW56" s="283"/>
      <c r="BX56" s="283"/>
      <c r="BY56" s="283"/>
      <c r="BZ56" s="283"/>
      <c r="CA56" s="283"/>
      <c r="CB56" s="283"/>
      <c r="CC56" s="283"/>
      <c r="CD56" s="283"/>
      <c r="CE56" s="283"/>
      <c r="CF56" s="283"/>
      <c r="CG56" s="283"/>
      <c r="CH56" s="283"/>
      <c r="CI56" s="283"/>
      <c r="CJ56" s="283"/>
      <c r="CK56" s="283"/>
      <c r="CL56" s="283"/>
      <c r="CM56" s="283"/>
      <c r="CN56" s="283"/>
      <c r="CO56" s="283"/>
      <c r="CP56" s="283"/>
      <c r="CQ56" s="283"/>
      <c r="CR56" s="283"/>
      <c r="CS56" s="283"/>
      <c r="CT56" s="283"/>
      <c r="CU56" s="283"/>
      <c r="CV56" s="283"/>
      <c r="CW56" s="283"/>
      <c r="CX56" s="283"/>
      <c r="CY56" s="283"/>
      <c r="CZ56" s="283"/>
      <c r="DA56" s="283"/>
      <c r="DB56" s="283"/>
      <c r="DC56" s="283"/>
      <c r="DD56" s="283"/>
      <c r="DE56" s="283"/>
      <c r="DF56" s="283"/>
      <c r="DG56" s="283"/>
      <c r="DH56" s="283"/>
      <c r="DI56" s="283"/>
      <c r="DJ56" s="283"/>
      <c r="DK56" s="283"/>
      <c r="DL56" s="283"/>
      <c r="DM56" s="283"/>
      <c r="DN56" s="283"/>
      <c r="DO56" s="283"/>
      <c r="DP56" s="283"/>
      <c r="DQ56" s="283"/>
      <c r="DR56" s="283"/>
      <c r="DS56" s="283"/>
      <c r="DT56" s="283"/>
      <c r="DU56" s="283"/>
      <c r="DV56" s="283"/>
      <c r="DW56" s="283"/>
      <c r="DX56" s="283"/>
      <c r="DY56" s="283"/>
      <c r="DZ56" s="283"/>
      <c r="EA56" s="283"/>
      <c r="EB56" s="283"/>
      <c r="EC56" s="283"/>
      <c r="ED56" s="283"/>
      <c r="EE56" s="283"/>
      <c r="EF56" s="283"/>
      <c r="EG56" s="283"/>
      <c r="EH56" s="283"/>
      <c r="EI56" s="283"/>
      <c r="EJ56" s="283"/>
      <c r="EK56" s="283"/>
      <c r="EL56" s="283"/>
      <c r="EM56" s="283"/>
      <c r="EN56" s="283"/>
      <c r="EO56" s="283"/>
      <c r="EP56" s="283"/>
      <c r="EQ56" s="283"/>
      <c r="ER56" s="283"/>
      <c r="ES56" s="283"/>
      <c r="ET56" s="283"/>
      <c r="EU56" s="283"/>
      <c r="EV56" s="283"/>
      <c r="EW56" s="283"/>
      <c r="EX56" s="283"/>
      <c r="EY56" s="283"/>
      <c r="EZ56" s="283"/>
      <c r="FA56" s="283"/>
      <c r="FB56" s="283"/>
      <c r="FC56" s="283"/>
      <c r="FD56" s="283"/>
      <c r="FE56" s="283"/>
      <c r="FF56" s="283"/>
      <c r="FG56" s="283"/>
      <c r="FH56" s="283"/>
      <c r="FI56" s="283"/>
      <c r="FJ56" s="283"/>
      <c r="FK56" s="283"/>
      <c r="FL56" s="283"/>
      <c r="FM56" s="283"/>
      <c r="FN56" s="283"/>
      <c r="FO56" s="283"/>
      <c r="FP56" s="283"/>
      <c r="FQ56" s="283"/>
      <c r="FR56" s="283"/>
      <c r="FS56" s="283"/>
      <c r="FT56" s="283"/>
      <c r="FU56" s="283"/>
      <c r="FV56" s="283"/>
      <c r="FW56" s="283"/>
      <c r="FX56" s="283"/>
      <c r="FY56" s="283"/>
      <c r="FZ56" s="283"/>
      <c r="GA56" s="283"/>
      <c r="GB56" s="283"/>
      <c r="GC56" s="283"/>
      <c r="GD56" s="283"/>
      <c r="GE56" s="283"/>
      <c r="GF56" s="283"/>
      <c r="GG56" s="283"/>
      <c r="GH56" s="283"/>
      <c r="GI56" s="283"/>
      <c r="GJ56" s="283"/>
      <c r="GK56" s="283"/>
      <c r="GL56" s="283"/>
      <c r="GM56" s="283"/>
      <c r="GN56" s="283"/>
      <c r="GO56" s="283"/>
      <c r="GP56" s="283"/>
      <c r="GQ56" s="283"/>
      <c r="GR56" s="283"/>
      <c r="GS56" s="283"/>
      <c r="GT56" s="283"/>
      <c r="GU56" s="283"/>
      <c r="GV56" s="283"/>
      <c r="GW56" s="283"/>
      <c r="GX56" s="283"/>
      <c r="GY56" s="283"/>
      <c r="GZ56" s="283"/>
      <c r="HA56" s="283"/>
      <c r="HB56" s="283"/>
      <c r="HC56" s="283"/>
      <c r="HD56" s="283"/>
      <c r="HE56" s="283"/>
      <c r="HF56" s="283"/>
      <c r="HG56" s="283"/>
      <c r="HH56" s="283" t="s">
        <v>259</v>
      </c>
    </row>
    <row r="57" spans="1:216" s="365" customFormat="1" ht="25.5" outlineLevel="4" x14ac:dyDescent="0.2">
      <c r="A57" s="362"/>
      <c r="B57" s="362"/>
      <c r="C57" s="362"/>
      <c r="D57" s="362"/>
      <c r="E57" s="362"/>
      <c r="F57" s="362"/>
      <c r="G57" s="362"/>
      <c r="H57" s="280"/>
      <c r="I57" s="364" t="s">
        <v>367</v>
      </c>
      <c r="J57" s="273"/>
      <c r="K57" s="273">
        <v>-3</v>
      </c>
      <c r="L57" s="275"/>
      <c r="M57" s="275" t="str">
        <f t="shared" si="0"/>
        <v/>
      </c>
      <c r="N57" s="276">
        <f t="shared" si="1"/>
        <v>0</v>
      </c>
      <c r="O57" s="273"/>
      <c r="P57" s="273"/>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c r="FI57" s="273"/>
      <c r="FJ57" s="273"/>
      <c r="FK57" s="273"/>
      <c r="FL57" s="273"/>
      <c r="FM57" s="273"/>
      <c r="FN57" s="273"/>
      <c r="FO57" s="273"/>
      <c r="FP57" s="273"/>
      <c r="FQ57" s="273"/>
      <c r="FR57" s="273"/>
      <c r="FS57" s="273"/>
      <c r="FT57" s="273"/>
      <c r="FU57" s="273"/>
      <c r="FV57" s="273"/>
      <c r="FW57" s="273"/>
      <c r="FX57" s="273"/>
      <c r="FY57" s="273"/>
      <c r="FZ57" s="273"/>
      <c r="GA57" s="273"/>
      <c r="GB57" s="273"/>
      <c r="GC57" s="273"/>
      <c r="GD57" s="273"/>
      <c r="GE57" s="273"/>
      <c r="GF57" s="273"/>
      <c r="GG57" s="273"/>
      <c r="GH57" s="273"/>
      <c r="GI57" s="273"/>
      <c r="GJ57" s="273"/>
      <c r="GK57" s="273"/>
      <c r="GL57" s="273"/>
      <c r="GM57" s="273"/>
      <c r="GN57" s="273"/>
      <c r="GO57" s="273"/>
      <c r="GP57" s="273"/>
      <c r="GQ57" s="273"/>
      <c r="GR57" s="273"/>
      <c r="GS57" s="273"/>
      <c r="GT57" s="273"/>
      <c r="GU57" s="273"/>
      <c r="GV57" s="273"/>
      <c r="GW57" s="273"/>
      <c r="GX57" s="273"/>
      <c r="GY57" s="273"/>
      <c r="GZ57" s="273"/>
      <c r="HA57" s="273"/>
      <c r="HB57" s="273"/>
      <c r="HC57" s="273"/>
      <c r="HD57" s="273"/>
      <c r="HE57" s="273"/>
      <c r="HF57" s="273"/>
      <c r="HG57" s="273"/>
      <c r="HH57" s="273" t="s">
        <v>259</v>
      </c>
    </row>
    <row r="58" spans="1:216" s="365" customFormat="1" ht="25.5" outlineLevel="4" x14ac:dyDescent="0.2">
      <c r="A58" s="362"/>
      <c r="B58" s="362"/>
      <c r="C58" s="362"/>
      <c r="D58" s="362"/>
      <c r="E58" s="362"/>
      <c r="F58" s="362"/>
      <c r="G58" s="362"/>
      <c r="H58" s="280"/>
      <c r="I58" s="364" t="s">
        <v>368</v>
      </c>
      <c r="J58" s="273"/>
      <c r="K58" s="273">
        <v>-1.5</v>
      </c>
      <c r="L58" s="275"/>
      <c r="M58" s="275" t="str">
        <f t="shared" si="0"/>
        <v/>
      </c>
      <c r="N58" s="276">
        <f t="shared" si="1"/>
        <v>0</v>
      </c>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t="s">
        <v>259</v>
      </c>
    </row>
    <row r="59" spans="1:216" s="365" customFormat="1" ht="38.25" outlineLevel="4" x14ac:dyDescent="0.2">
      <c r="A59" s="362"/>
      <c r="B59" s="362"/>
      <c r="C59" s="362"/>
      <c r="D59" s="362"/>
      <c r="E59" s="362"/>
      <c r="F59" s="362"/>
      <c r="G59" s="362"/>
      <c r="H59" s="280"/>
      <c r="I59" s="364" t="s">
        <v>344</v>
      </c>
      <c r="J59" s="273"/>
      <c r="K59" s="273">
        <v>-1.5</v>
      </c>
      <c r="L59" s="275"/>
      <c r="M59" s="275" t="str">
        <f t="shared" ref="M59:M60" si="2">IF(MIN(P59:HZ59)&lt;0,MIN(P59:HZ59),IF(MAX(P59:HZ59)&gt;0,MAX(P59:HZ59),""))</f>
        <v/>
      </c>
      <c r="N59" s="276">
        <f t="shared" si="1"/>
        <v>0</v>
      </c>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t="s">
        <v>259</v>
      </c>
    </row>
    <row r="60" spans="1:216" s="365" customFormat="1" ht="25.5" outlineLevel="4" x14ac:dyDescent="0.2">
      <c r="A60" s="362"/>
      <c r="B60" s="362"/>
      <c r="C60" s="362"/>
      <c r="D60" s="362"/>
      <c r="E60" s="362"/>
      <c r="F60" s="362"/>
      <c r="G60" s="362"/>
      <c r="H60" s="280"/>
      <c r="I60" s="364" t="s">
        <v>369</v>
      </c>
      <c r="J60" s="273"/>
      <c r="K60" s="273">
        <v>-1.5</v>
      </c>
      <c r="L60" s="275"/>
      <c r="M60" s="275" t="str">
        <f t="shared" si="2"/>
        <v/>
      </c>
      <c r="N60" s="276">
        <f t="shared" si="1"/>
        <v>0</v>
      </c>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c r="FI60" s="273"/>
      <c r="FJ60" s="273"/>
      <c r="FK60" s="273"/>
      <c r="FL60" s="273"/>
      <c r="FM60" s="273"/>
      <c r="FN60" s="273"/>
      <c r="FO60" s="273"/>
      <c r="FP60" s="273"/>
      <c r="FQ60" s="273"/>
      <c r="FR60" s="273"/>
      <c r="FS60" s="273"/>
      <c r="FT60" s="273"/>
      <c r="FU60" s="273"/>
      <c r="FV60" s="273"/>
      <c r="FW60" s="273"/>
      <c r="FX60" s="273"/>
      <c r="FY60" s="273"/>
      <c r="FZ60" s="273"/>
      <c r="GA60" s="273"/>
      <c r="GB60" s="273"/>
      <c r="GC60" s="273"/>
      <c r="GD60" s="273"/>
      <c r="GE60" s="273"/>
      <c r="GF60" s="273"/>
      <c r="GG60" s="273"/>
      <c r="GH60" s="273"/>
      <c r="GI60" s="273"/>
      <c r="GJ60" s="273"/>
      <c r="GK60" s="273"/>
      <c r="GL60" s="273"/>
      <c r="GM60" s="273"/>
      <c r="GN60" s="273"/>
      <c r="GO60" s="273"/>
      <c r="GP60" s="273"/>
      <c r="GQ60" s="273"/>
      <c r="GR60" s="273"/>
      <c r="GS60" s="273"/>
      <c r="GT60" s="273"/>
      <c r="GU60" s="273"/>
      <c r="GV60" s="273"/>
      <c r="GW60" s="273"/>
      <c r="GX60" s="273"/>
      <c r="GY60" s="273"/>
      <c r="GZ60" s="273"/>
      <c r="HA60" s="273"/>
      <c r="HB60" s="273"/>
      <c r="HC60" s="273"/>
      <c r="HD60" s="273"/>
      <c r="HE60" s="273"/>
      <c r="HF60" s="273"/>
      <c r="HG60" s="273"/>
      <c r="HH60" s="273" t="s">
        <v>259</v>
      </c>
    </row>
    <row r="61" spans="1:216" s="365" customFormat="1" ht="25.5" outlineLevel="4" x14ac:dyDescent="0.2">
      <c r="A61" s="362"/>
      <c r="B61" s="362"/>
      <c r="C61" s="362"/>
      <c r="D61" s="362"/>
      <c r="E61" s="362"/>
      <c r="F61" s="362"/>
      <c r="G61" s="362"/>
      <c r="H61" s="280"/>
      <c r="I61" s="364" t="s">
        <v>370</v>
      </c>
      <c r="J61" s="273"/>
      <c r="K61" s="273">
        <v>-1</v>
      </c>
      <c r="L61" s="275"/>
      <c r="M61" s="275" t="str">
        <f t="shared" si="0"/>
        <v/>
      </c>
      <c r="N61" s="276">
        <f t="shared" si="1"/>
        <v>0</v>
      </c>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c r="BQ61" s="273"/>
      <c r="BR61" s="273"/>
      <c r="BS61" s="273"/>
      <c r="BT61" s="273"/>
      <c r="BU61" s="273"/>
      <c r="BV61" s="273"/>
      <c r="BW61" s="273"/>
      <c r="BX61" s="273"/>
      <c r="BY61" s="273"/>
      <c r="BZ61" s="273"/>
      <c r="CA61" s="273"/>
      <c r="CB61" s="273"/>
      <c r="CC61" s="273"/>
      <c r="CD61" s="273"/>
      <c r="CE61" s="273"/>
      <c r="CF61" s="273"/>
      <c r="CG61" s="273"/>
      <c r="CH61" s="273"/>
      <c r="CI61" s="273"/>
      <c r="CJ61" s="273"/>
      <c r="CK61" s="273"/>
      <c r="CL61" s="273"/>
      <c r="CM61" s="273"/>
      <c r="CN61" s="273"/>
      <c r="CO61" s="273"/>
      <c r="CP61" s="273"/>
      <c r="CQ61" s="273"/>
      <c r="CR61" s="273"/>
      <c r="CS61" s="273"/>
      <c r="CT61" s="273"/>
      <c r="CU61" s="273"/>
      <c r="CV61" s="273"/>
      <c r="CW61" s="273"/>
      <c r="CX61" s="273"/>
      <c r="CY61" s="273"/>
      <c r="CZ61" s="273"/>
      <c r="DA61" s="273"/>
      <c r="DB61" s="273"/>
      <c r="DC61" s="273"/>
      <c r="DD61" s="273"/>
      <c r="DE61" s="273"/>
      <c r="DF61" s="273"/>
      <c r="DG61" s="273"/>
      <c r="DH61" s="273"/>
      <c r="DI61" s="273"/>
      <c r="DJ61" s="273"/>
      <c r="DK61" s="273"/>
      <c r="DL61" s="273"/>
      <c r="DM61" s="273"/>
      <c r="DN61" s="273"/>
      <c r="DO61" s="273"/>
      <c r="DP61" s="273"/>
      <c r="DQ61" s="273"/>
      <c r="DR61" s="273"/>
      <c r="DS61" s="273"/>
      <c r="DT61" s="273"/>
      <c r="DU61" s="273"/>
      <c r="DV61" s="273"/>
      <c r="DW61" s="273"/>
      <c r="DX61" s="273"/>
      <c r="DY61" s="273"/>
      <c r="DZ61" s="273"/>
      <c r="EA61" s="273"/>
      <c r="EB61" s="273"/>
      <c r="EC61" s="273"/>
      <c r="ED61" s="273"/>
      <c r="EE61" s="273"/>
      <c r="EF61" s="273"/>
      <c r="EG61" s="273"/>
      <c r="EH61" s="273"/>
      <c r="EI61" s="273"/>
      <c r="EJ61" s="273"/>
      <c r="EK61" s="273"/>
      <c r="EL61" s="273"/>
      <c r="EM61" s="273"/>
      <c r="EN61" s="273"/>
      <c r="EO61" s="273"/>
      <c r="EP61" s="273"/>
      <c r="EQ61" s="273"/>
      <c r="ER61" s="273"/>
      <c r="ES61" s="273"/>
      <c r="ET61" s="273"/>
      <c r="EU61" s="273"/>
      <c r="EV61" s="273"/>
      <c r="EW61" s="273"/>
      <c r="EX61" s="273"/>
      <c r="EY61" s="273"/>
      <c r="EZ61" s="273"/>
      <c r="FA61" s="273"/>
      <c r="FB61" s="273"/>
      <c r="FC61" s="273"/>
      <c r="FD61" s="273"/>
      <c r="FE61" s="273"/>
      <c r="FF61" s="273"/>
      <c r="FG61" s="273"/>
      <c r="FH61" s="273"/>
      <c r="FI61" s="273"/>
      <c r="FJ61" s="273"/>
      <c r="FK61" s="273"/>
      <c r="FL61" s="273"/>
      <c r="FM61" s="273"/>
      <c r="FN61" s="273"/>
      <c r="FO61" s="273"/>
      <c r="FP61" s="273"/>
      <c r="FQ61" s="273"/>
      <c r="FR61" s="273"/>
      <c r="FS61" s="273"/>
      <c r="FT61" s="273"/>
      <c r="FU61" s="273"/>
      <c r="FV61" s="273"/>
      <c r="FW61" s="273"/>
      <c r="FX61" s="273"/>
      <c r="FY61" s="273"/>
      <c r="FZ61" s="273"/>
      <c r="GA61" s="273"/>
      <c r="GB61" s="273"/>
      <c r="GC61" s="273"/>
      <c r="GD61" s="273"/>
      <c r="GE61" s="273"/>
      <c r="GF61" s="273"/>
      <c r="GG61" s="273"/>
      <c r="GH61" s="273"/>
      <c r="GI61" s="273"/>
      <c r="GJ61" s="273"/>
      <c r="GK61" s="273"/>
      <c r="GL61" s="273"/>
      <c r="GM61" s="273"/>
      <c r="GN61" s="273"/>
      <c r="GO61" s="273"/>
      <c r="GP61" s="273"/>
      <c r="GQ61" s="273"/>
      <c r="GR61" s="273"/>
      <c r="GS61" s="273"/>
      <c r="GT61" s="273"/>
      <c r="GU61" s="273"/>
      <c r="GV61" s="273"/>
      <c r="GW61" s="273"/>
      <c r="GX61" s="273"/>
      <c r="GY61" s="273"/>
      <c r="GZ61" s="273"/>
      <c r="HA61" s="273"/>
      <c r="HB61" s="273"/>
      <c r="HC61" s="273"/>
      <c r="HD61" s="273"/>
      <c r="HE61" s="273"/>
      <c r="HF61" s="273"/>
      <c r="HG61" s="273"/>
      <c r="HH61" s="273" t="s">
        <v>259</v>
      </c>
    </row>
    <row r="62" spans="1:216" s="365" customFormat="1" outlineLevel="4" x14ac:dyDescent="0.2">
      <c r="A62" s="362"/>
      <c r="B62" s="362"/>
      <c r="C62" s="362"/>
      <c r="D62" s="362"/>
      <c r="E62" s="362"/>
      <c r="F62" s="362"/>
      <c r="G62" s="362"/>
      <c r="H62" s="280"/>
      <c r="I62" s="364" t="s">
        <v>371</v>
      </c>
      <c r="J62" s="273"/>
      <c r="K62" s="273"/>
      <c r="L62" s="275"/>
      <c r="M62" s="275" t="str">
        <f t="shared" ref="M62" si="3">IF(MIN(P62:HZ62)&lt;0,MIN(P62:HZ62),IF(MAX(P62:HZ62)&gt;0,MAX(P62:HZ62),""))</f>
        <v/>
      </c>
      <c r="N62" s="276">
        <f t="shared" si="1"/>
        <v>0</v>
      </c>
      <c r="O62" s="273"/>
      <c r="P62" s="273"/>
      <c r="Q62" s="273"/>
      <c r="R62" s="277"/>
      <c r="S62" s="273"/>
      <c r="T62" s="273"/>
      <c r="U62" s="273"/>
      <c r="V62" s="273"/>
      <c r="W62" s="273"/>
      <c r="X62" s="273"/>
      <c r="Y62" s="273"/>
      <c r="Z62" s="273"/>
      <c r="AA62" s="273"/>
      <c r="AB62" s="273"/>
      <c r="AC62" s="273"/>
      <c r="AD62" s="273"/>
      <c r="AE62" s="273"/>
      <c r="AF62" s="273"/>
      <c r="AG62" s="273"/>
      <c r="AH62" s="273"/>
      <c r="AI62" s="273"/>
      <c r="AJ62" s="273"/>
      <c r="AK62" s="273"/>
      <c r="AL62" s="273"/>
      <c r="AM62" s="273"/>
      <c r="AN62" s="273"/>
      <c r="AO62" s="273"/>
      <c r="AP62" s="273"/>
      <c r="AQ62" s="273"/>
      <c r="AR62" s="273"/>
      <c r="AS62" s="273"/>
      <c r="AT62" s="273"/>
      <c r="AU62" s="277"/>
      <c r="AV62" s="273"/>
      <c r="AW62" s="273"/>
      <c r="AX62" s="273"/>
      <c r="AY62" s="273"/>
      <c r="AZ62" s="273"/>
      <c r="BA62" s="273"/>
      <c r="BB62" s="273"/>
      <c r="BC62" s="273"/>
      <c r="BD62" s="273"/>
      <c r="BE62" s="273"/>
      <c r="BF62" s="273"/>
      <c r="BG62" s="273"/>
      <c r="BH62" s="273"/>
      <c r="BI62" s="273"/>
      <c r="BJ62" s="273"/>
      <c r="BK62" s="273"/>
      <c r="BL62" s="273"/>
      <c r="BM62" s="273"/>
      <c r="BN62" s="273"/>
      <c r="BO62" s="273"/>
      <c r="BP62" s="273"/>
      <c r="BQ62" s="273"/>
      <c r="BR62" s="273"/>
      <c r="BS62" s="273"/>
      <c r="BT62" s="273"/>
      <c r="BU62" s="273"/>
      <c r="BV62" s="273"/>
      <c r="BW62" s="273"/>
      <c r="BX62" s="277"/>
      <c r="BY62" s="273"/>
      <c r="BZ62" s="273"/>
      <c r="CA62" s="273"/>
      <c r="CB62" s="273"/>
      <c r="CC62" s="273"/>
      <c r="CD62" s="273"/>
      <c r="CE62" s="273"/>
      <c r="CF62" s="273"/>
      <c r="CG62" s="273"/>
      <c r="CH62" s="273"/>
      <c r="CI62" s="273"/>
      <c r="CJ62" s="273"/>
      <c r="CK62" s="273"/>
      <c r="CL62" s="273"/>
      <c r="CM62" s="273"/>
      <c r="CN62" s="273"/>
      <c r="CO62" s="273"/>
      <c r="CP62" s="273"/>
      <c r="CQ62" s="273"/>
      <c r="CR62" s="273"/>
      <c r="CS62" s="273"/>
      <c r="CT62" s="273"/>
      <c r="CU62" s="273"/>
      <c r="CV62" s="273"/>
      <c r="CW62" s="273"/>
      <c r="CX62" s="273"/>
      <c r="CY62" s="273"/>
      <c r="CZ62" s="273"/>
      <c r="DA62" s="273"/>
      <c r="DB62" s="273"/>
      <c r="DC62" s="273"/>
      <c r="DD62" s="273"/>
      <c r="DE62" s="273"/>
      <c r="DF62" s="273"/>
      <c r="DG62" s="273"/>
      <c r="DH62" s="273"/>
      <c r="DI62" s="273"/>
      <c r="DJ62" s="273"/>
      <c r="DK62" s="273"/>
      <c r="DL62" s="273"/>
      <c r="DM62" s="273"/>
      <c r="DN62" s="273"/>
      <c r="DO62" s="273"/>
      <c r="DP62" s="273"/>
      <c r="DQ62" s="277"/>
      <c r="DR62" s="273"/>
      <c r="DS62" s="273"/>
      <c r="DT62" s="273"/>
      <c r="DU62" s="273"/>
      <c r="DV62" s="273"/>
      <c r="DW62" s="273"/>
      <c r="DX62" s="273"/>
      <c r="DY62" s="273"/>
      <c r="DZ62" s="273"/>
      <c r="EA62" s="273"/>
      <c r="EB62" s="273"/>
      <c r="EC62" s="273"/>
      <c r="ED62" s="273"/>
      <c r="EE62" s="273"/>
      <c r="EF62" s="273"/>
      <c r="EG62" s="273"/>
      <c r="EH62" s="273"/>
      <c r="EI62" s="273"/>
      <c r="EJ62" s="273"/>
      <c r="EK62" s="273"/>
      <c r="EL62" s="273"/>
      <c r="EM62" s="273"/>
      <c r="EN62" s="273"/>
      <c r="EO62" s="273"/>
      <c r="EP62" s="273"/>
      <c r="EQ62" s="273"/>
      <c r="ER62" s="273"/>
      <c r="ES62" s="273"/>
      <c r="ET62" s="273"/>
      <c r="EU62" s="273"/>
      <c r="EV62" s="273"/>
      <c r="EW62" s="273"/>
      <c r="EX62" s="273"/>
      <c r="EY62" s="273"/>
      <c r="EZ62" s="273"/>
      <c r="FA62" s="273"/>
      <c r="FB62" s="273"/>
      <c r="FC62" s="273"/>
      <c r="FD62" s="273"/>
      <c r="FE62" s="273"/>
      <c r="FF62" s="273"/>
      <c r="FG62" s="273"/>
      <c r="FH62" s="273"/>
      <c r="FI62" s="273"/>
      <c r="FJ62" s="273"/>
      <c r="FK62" s="273"/>
      <c r="FL62" s="273"/>
      <c r="FM62" s="273"/>
      <c r="FN62" s="273"/>
      <c r="FO62" s="273"/>
      <c r="FP62" s="273"/>
      <c r="FQ62" s="273"/>
      <c r="FR62" s="273"/>
      <c r="FS62" s="273"/>
      <c r="FT62" s="273"/>
      <c r="FU62" s="273"/>
      <c r="FV62" s="273"/>
      <c r="FW62" s="273"/>
      <c r="FX62" s="273"/>
      <c r="FY62" s="273"/>
      <c r="FZ62" s="273"/>
      <c r="GA62" s="273"/>
      <c r="GB62" s="273"/>
      <c r="GC62" s="273"/>
      <c r="GD62" s="273"/>
      <c r="GE62" s="273"/>
      <c r="GF62" s="273"/>
      <c r="GG62" s="273"/>
      <c r="GH62" s="273"/>
      <c r="GI62" s="273"/>
      <c r="GJ62" s="273"/>
      <c r="GK62" s="273"/>
      <c r="GL62" s="273"/>
      <c r="GM62" s="273"/>
      <c r="GN62" s="273"/>
      <c r="GO62" s="273"/>
      <c r="GP62" s="273"/>
      <c r="GQ62" s="273"/>
      <c r="GR62" s="273"/>
      <c r="GS62" s="273"/>
      <c r="GT62" s="273"/>
      <c r="GU62" s="273"/>
      <c r="GV62" s="273"/>
      <c r="GW62" s="273"/>
      <c r="GX62" s="273"/>
      <c r="GY62" s="273"/>
      <c r="GZ62" s="273"/>
      <c r="HA62" s="273"/>
      <c r="HB62" s="273"/>
      <c r="HC62" s="273"/>
      <c r="HD62" s="273"/>
      <c r="HE62" s="273"/>
      <c r="HF62" s="273"/>
      <c r="HG62" s="273"/>
      <c r="HH62" s="278" t="s">
        <v>259</v>
      </c>
    </row>
    <row r="63" spans="1:216" s="365" customFormat="1" ht="25.5" outlineLevel="4" x14ac:dyDescent="0.2">
      <c r="A63" s="362"/>
      <c r="B63" s="362"/>
      <c r="C63" s="362"/>
      <c r="D63" s="362"/>
      <c r="E63" s="362"/>
      <c r="F63" s="362"/>
      <c r="G63" s="362"/>
      <c r="H63" s="280"/>
      <c r="I63" s="364" t="s">
        <v>343</v>
      </c>
      <c r="J63" s="273"/>
      <c r="K63" s="273"/>
      <c r="L63" s="275"/>
      <c r="M63" s="275" t="str">
        <f t="shared" ref="M63" si="4">IF(MIN(P63:HZ63)&lt;0,MIN(P63:HZ63),IF(MAX(P63:HZ63)&gt;0,MAX(P63:HZ63),""))</f>
        <v/>
      </c>
      <c r="N63" s="276">
        <f t="shared" si="1"/>
        <v>0</v>
      </c>
      <c r="O63" s="273"/>
      <c r="P63" s="273"/>
      <c r="Q63" s="273"/>
      <c r="R63" s="277"/>
      <c r="S63" s="273"/>
      <c r="T63" s="273"/>
      <c r="U63" s="273"/>
      <c r="V63" s="273"/>
      <c r="W63" s="273"/>
      <c r="X63" s="273"/>
      <c r="Y63" s="273"/>
      <c r="Z63" s="273"/>
      <c r="AA63" s="273"/>
      <c r="AB63" s="273"/>
      <c r="AC63" s="273"/>
      <c r="AD63" s="273"/>
      <c r="AE63" s="273"/>
      <c r="AF63" s="273"/>
      <c r="AG63" s="273"/>
      <c r="AH63" s="273"/>
      <c r="AI63" s="273"/>
      <c r="AJ63" s="273"/>
      <c r="AK63" s="273"/>
      <c r="AL63" s="273"/>
      <c r="AM63" s="273"/>
      <c r="AN63" s="273"/>
      <c r="AO63" s="273"/>
      <c r="AP63" s="273"/>
      <c r="AQ63" s="273"/>
      <c r="AR63" s="273"/>
      <c r="AS63" s="273"/>
      <c r="AT63" s="273"/>
      <c r="AU63" s="277"/>
      <c r="AV63" s="273"/>
      <c r="AW63" s="273"/>
      <c r="AX63" s="273"/>
      <c r="AY63" s="273"/>
      <c r="AZ63" s="273"/>
      <c r="BA63" s="273"/>
      <c r="BB63" s="273"/>
      <c r="BC63" s="273"/>
      <c r="BD63" s="273"/>
      <c r="BE63" s="273"/>
      <c r="BF63" s="273"/>
      <c r="BG63" s="273"/>
      <c r="BH63" s="273"/>
      <c r="BI63" s="273"/>
      <c r="BJ63" s="273"/>
      <c r="BK63" s="273"/>
      <c r="BL63" s="273"/>
      <c r="BM63" s="273"/>
      <c r="BN63" s="273"/>
      <c r="BO63" s="273"/>
      <c r="BP63" s="273"/>
      <c r="BQ63" s="273"/>
      <c r="BR63" s="273"/>
      <c r="BS63" s="273"/>
      <c r="BT63" s="273"/>
      <c r="BU63" s="273"/>
      <c r="BV63" s="273"/>
      <c r="BW63" s="273"/>
      <c r="BX63" s="277"/>
      <c r="BY63" s="273"/>
      <c r="BZ63" s="273"/>
      <c r="CA63" s="273"/>
      <c r="CB63" s="273"/>
      <c r="CC63" s="273"/>
      <c r="CD63" s="273"/>
      <c r="CE63" s="273"/>
      <c r="CF63" s="273"/>
      <c r="CG63" s="273"/>
      <c r="CH63" s="273"/>
      <c r="CI63" s="273"/>
      <c r="CJ63" s="273"/>
      <c r="CK63" s="273"/>
      <c r="CL63" s="273"/>
      <c r="CM63" s="273"/>
      <c r="CN63" s="273"/>
      <c r="CO63" s="273"/>
      <c r="CP63" s="273"/>
      <c r="CQ63" s="273"/>
      <c r="CR63" s="273"/>
      <c r="CS63" s="273"/>
      <c r="CT63" s="273"/>
      <c r="CU63" s="273"/>
      <c r="CV63" s="273"/>
      <c r="CW63" s="273"/>
      <c r="CX63" s="273"/>
      <c r="CY63" s="273"/>
      <c r="CZ63" s="273"/>
      <c r="DA63" s="273"/>
      <c r="DB63" s="273"/>
      <c r="DC63" s="273"/>
      <c r="DD63" s="273"/>
      <c r="DE63" s="273"/>
      <c r="DF63" s="273"/>
      <c r="DG63" s="273"/>
      <c r="DH63" s="273"/>
      <c r="DI63" s="273"/>
      <c r="DJ63" s="273"/>
      <c r="DK63" s="273"/>
      <c r="DL63" s="273"/>
      <c r="DM63" s="273"/>
      <c r="DN63" s="273"/>
      <c r="DO63" s="273"/>
      <c r="DP63" s="273"/>
      <c r="DQ63" s="277"/>
      <c r="DR63" s="273"/>
      <c r="DS63" s="273"/>
      <c r="DT63" s="273"/>
      <c r="DU63" s="273"/>
      <c r="DV63" s="273"/>
      <c r="DW63" s="273"/>
      <c r="DX63" s="273"/>
      <c r="DY63" s="273"/>
      <c r="DZ63" s="273"/>
      <c r="EA63" s="273"/>
      <c r="EB63" s="273"/>
      <c r="EC63" s="273"/>
      <c r="ED63" s="273"/>
      <c r="EE63" s="273"/>
      <c r="EF63" s="273"/>
      <c r="EG63" s="273"/>
      <c r="EH63" s="273"/>
      <c r="EI63" s="273"/>
      <c r="EJ63" s="273"/>
      <c r="EK63" s="273"/>
      <c r="EL63" s="273"/>
      <c r="EM63" s="273"/>
      <c r="EN63" s="273"/>
      <c r="EO63" s="273"/>
      <c r="EP63" s="273"/>
      <c r="EQ63" s="273"/>
      <c r="ER63" s="273"/>
      <c r="ES63" s="273"/>
      <c r="ET63" s="273"/>
      <c r="EU63" s="273"/>
      <c r="EV63" s="273"/>
      <c r="EW63" s="273"/>
      <c r="EX63" s="273"/>
      <c r="EY63" s="273"/>
      <c r="EZ63" s="273"/>
      <c r="FA63" s="273"/>
      <c r="FB63" s="273"/>
      <c r="FC63" s="273"/>
      <c r="FD63" s="273"/>
      <c r="FE63" s="273"/>
      <c r="FF63" s="273"/>
      <c r="FG63" s="273"/>
      <c r="FH63" s="273"/>
      <c r="FI63" s="273"/>
      <c r="FJ63" s="273"/>
      <c r="FK63" s="273"/>
      <c r="FL63" s="273"/>
      <c r="FM63" s="273"/>
      <c r="FN63" s="273"/>
      <c r="FO63" s="273"/>
      <c r="FP63" s="273"/>
      <c r="FQ63" s="273"/>
      <c r="FR63" s="273"/>
      <c r="FS63" s="273"/>
      <c r="FT63" s="273"/>
      <c r="FU63" s="273"/>
      <c r="FV63" s="273"/>
      <c r="FW63" s="273"/>
      <c r="FX63" s="273"/>
      <c r="FY63" s="273"/>
      <c r="FZ63" s="273"/>
      <c r="GA63" s="273"/>
      <c r="GB63" s="273"/>
      <c r="GC63" s="273"/>
      <c r="GD63" s="273"/>
      <c r="GE63" s="273"/>
      <c r="GF63" s="273"/>
      <c r="GG63" s="273"/>
      <c r="GH63" s="273"/>
      <c r="GI63" s="273"/>
      <c r="GJ63" s="273"/>
      <c r="GK63" s="273"/>
      <c r="GL63" s="273"/>
      <c r="GM63" s="273"/>
      <c r="GN63" s="273"/>
      <c r="GO63" s="273"/>
      <c r="GP63" s="273"/>
      <c r="GQ63" s="273"/>
      <c r="GR63" s="273"/>
      <c r="GS63" s="273"/>
      <c r="GT63" s="273"/>
      <c r="GU63" s="273"/>
      <c r="GV63" s="273"/>
      <c r="GW63" s="273"/>
      <c r="GX63" s="273"/>
      <c r="GY63" s="273"/>
      <c r="GZ63" s="273"/>
      <c r="HA63" s="273"/>
      <c r="HB63" s="273"/>
      <c r="HC63" s="273"/>
      <c r="HD63" s="273"/>
      <c r="HE63" s="273"/>
      <c r="HF63" s="273"/>
      <c r="HG63" s="273"/>
      <c r="HH63" s="278" t="s">
        <v>259</v>
      </c>
    </row>
    <row r="64" spans="1:216" s="365" customFormat="1" outlineLevel="4" x14ac:dyDescent="0.2">
      <c r="A64" s="362"/>
      <c r="B64" s="362"/>
      <c r="C64" s="362"/>
      <c r="D64" s="362"/>
      <c r="E64" s="362"/>
      <c r="F64" s="362"/>
      <c r="G64" s="362"/>
      <c r="H64" s="280"/>
      <c r="I64" s="351"/>
      <c r="J64" s="273"/>
      <c r="K64" s="273"/>
      <c r="L64" s="275"/>
      <c r="M64" s="275" t="str">
        <f t="shared" si="0"/>
        <v/>
      </c>
      <c r="N64" s="276">
        <f t="shared" si="1"/>
        <v>0</v>
      </c>
      <c r="O64" s="273"/>
      <c r="P64" s="273"/>
      <c r="Q64" s="273"/>
      <c r="R64" s="277"/>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7"/>
      <c r="AV64" s="273"/>
      <c r="AW64" s="273"/>
      <c r="AX64" s="273"/>
      <c r="AY64" s="273"/>
      <c r="AZ64" s="273"/>
      <c r="BA64" s="273"/>
      <c r="BB64" s="273"/>
      <c r="BC64" s="273"/>
      <c r="BD64" s="273"/>
      <c r="BE64" s="273"/>
      <c r="BF64" s="273"/>
      <c r="BG64" s="273"/>
      <c r="BH64" s="273"/>
      <c r="BI64" s="273"/>
      <c r="BJ64" s="273"/>
      <c r="BK64" s="273"/>
      <c r="BL64" s="273"/>
      <c r="BM64" s="273"/>
      <c r="BN64" s="273"/>
      <c r="BO64" s="273"/>
      <c r="BP64" s="273"/>
      <c r="BQ64" s="273"/>
      <c r="BR64" s="273"/>
      <c r="BS64" s="273"/>
      <c r="BT64" s="273"/>
      <c r="BU64" s="273"/>
      <c r="BV64" s="273"/>
      <c r="BW64" s="273"/>
      <c r="BX64" s="277"/>
      <c r="BY64" s="273"/>
      <c r="BZ64" s="273"/>
      <c r="CA64" s="273"/>
      <c r="CB64" s="273"/>
      <c r="CC64" s="273"/>
      <c r="CD64" s="273"/>
      <c r="CE64" s="273"/>
      <c r="CF64" s="273"/>
      <c r="CG64" s="273"/>
      <c r="CH64" s="273"/>
      <c r="CI64" s="273"/>
      <c r="CJ64" s="273"/>
      <c r="CK64" s="273"/>
      <c r="CL64" s="273"/>
      <c r="CM64" s="273"/>
      <c r="CN64" s="273"/>
      <c r="CO64" s="273"/>
      <c r="CP64" s="273"/>
      <c r="CQ64" s="273"/>
      <c r="CR64" s="273"/>
      <c r="CS64" s="273"/>
      <c r="CT64" s="273"/>
      <c r="CU64" s="273"/>
      <c r="CV64" s="273"/>
      <c r="CW64" s="273"/>
      <c r="CX64" s="273"/>
      <c r="CY64" s="273"/>
      <c r="CZ64" s="273"/>
      <c r="DA64" s="273"/>
      <c r="DB64" s="273"/>
      <c r="DC64" s="273"/>
      <c r="DD64" s="273"/>
      <c r="DE64" s="273"/>
      <c r="DF64" s="273"/>
      <c r="DG64" s="273"/>
      <c r="DH64" s="273"/>
      <c r="DI64" s="273"/>
      <c r="DJ64" s="273"/>
      <c r="DK64" s="273"/>
      <c r="DL64" s="273"/>
      <c r="DM64" s="273"/>
      <c r="DN64" s="273"/>
      <c r="DO64" s="273"/>
      <c r="DP64" s="273"/>
      <c r="DQ64" s="277"/>
      <c r="DR64" s="273"/>
      <c r="DS64" s="273"/>
      <c r="DT64" s="273"/>
      <c r="DU64" s="273"/>
      <c r="DV64" s="273"/>
      <c r="DW64" s="273"/>
      <c r="DX64" s="273"/>
      <c r="DY64" s="273"/>
      <c r="DZ64" s="273"/>
      <c r="EA64" s="273"/>
      <c r="EB64" s="273"/>
      <c r="EC64" s="273"/>
      <c r="ED64" s="273"/>
      <c r="EE64" s="273"/>
      <c r="EF64" s="273"/>
      <c r="EG64" s="273"/>
      <c r="EH64" s="273"/>
      <c r="EI64" s="273"/>
      <c r="EJ64" s="273"/>
      <c r="EK64" s="273"/>
      <c r="EL64" s="273"/>
      <c r="EM64" s="273"/>
      <c r="EN64" s="273"/>
      <c r="EO64" s="273"/>
      <c r="EP64" s="273"/>
      <c r="EQ64" s="273"/>
      <c r="ER64" s="273"/>
      <c r="ES64" s="273"/>
      <c r="ET64" s="273"/>
      <c r="EU64" s="273"/>
      <c r="EV64" s="273"/>
      <c r="EW64" s="273"/>
      <c r="EX64" s="273"/>
      <c r="EY64" s="273"/>
      <c r="EZ64" s="273"/>
      <c r="FA64" s="273"/>
      <c r="FB64" s="273"/>
      <c r="FC64" s="273"/>
      <c r="FD64" s="273"/>
      <c r="FE64" s="273"/>
      <c r="FF64" s="273"/>
      <c r="FG64" s="273"/>
      <c r="FH64" s="273"/>
      <c r="FI64" s="273"/>
      <c r="FJ64" s="273"/>
      <c r="FK64" s="273"/>
      <c r="FL64" s="273"/>
      <c r="FM64" s="273"/>
      <c r="FN64" s="273"/>
      <c r="FO64" s="273"/>
      <c r="FP64" s="273"/>
      <c r="FQ64" s="273"/>
      <c r="FR64" s="273"/>
      <c r="FS64" s="273"/>
      <c r="FT64" s="273"/>
      <c r="FU64" s="273"/>
      <c r="FV64" s="273"/>
      <c r="FW64" s="273"/>
      <c r="FX64" s="273"/>
      <c r="FY64" s="273"/>
      <c r="FZ64" s="273"/>
      <c r="GA64" s="273"/>
      <c r="GB64" s="273"/>
      <c r="GC64" s="273"/>
      <c r="GD64" s="273"/>
      <c r="GE64" s="273"/>
      <c r="GF64" s="273"/>
      <c r="GG64" s="273"/>
      <c r="GH64" s="273"/>
      <c r="GI64" s="273"/>
      <c r="GJ64" s="273"/>
      <c r="GK64" s="273"/>
      <c r="GL64" s="273"/>
      <c r="GM64" s="273"/>
      <c r="GN64" s="273"/>
      <c r="GO64" s="273"/>
      <c r="GP64" s="273"/>
      <c r="GQ64" s="273"/>
      <c r="GR64" s="273"/>
      <c r="GS64" s="273"/>
      <c r="GT64" s="273"/>
      <c r="GU64" s="273"/>
      <c r="GV64" s="273"/>
      <c r="GW64" s="273"/>
      <c r="GX64" s="273"/>
      <c r="GY64" s="273"/>
      <c r="GZ64" s="273"/>
      <c r="HA64" s="273"/>
      <c r="HB64" s="273"/>
      <c r="HC64" s="273"/>
      <c r="HD64" s="273"/>
      <c r="HE64" s="273"/>
      <c r="HF64" s="273"/>
      <c r="HG64" s="273"/>
      <c r="HH64" s="278" t="s">
        <v>259</v>
      </c>
    </row>
    <row r="65" spans="1:216" s="359" customFormat="1" outlineLevel="4" x14ac:dyDescent="0.2">
      <c r="A65" s="358"/>
      <c r="B65" s="358"/>
      <c r="C65" s="358"/>
      <c r="D65" s="358"/>
      <c r="E65" s="358"/>
      <c r="F65" s="358"/>
      <c r="G65" s="358"/>
      <c r="H65" s="358"/>
      <c r="I65" s="350"/>
      <c r="J65" s="260"/>
      <c r="K65" s="260"/>
      <c r="L65" s="261"/>
      <c r="M65" s="261" t="str">
        <f t="shared" si="0"/>
        <v/>
      </c>
      <c r="N65" s="262">
        <f t="shared" si="1"/>
        <v>0</v>
      </c>
      <c r="O65" s="260"/>
      <c r="P65" s="260"/>
      <c r="Q65" s="260"/>
      <c r="R65" s="260"/>
      <c r="S65" s="260"/>
      <c r="T65" s="260"/>
      <c r="U65" s="260"/>
      <c r="V65" s="260"/>
      <c r="W65" s="260"/>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60"/>
      <c r="BD65" s="260"/>
      <c r="BE65" s="260"/>
      <c r="BF65" s="260"/>
      <c r="BG65" s="260"/>
      <c r="BH65" s="260"/>
      <c r="BI65" s="260"/>
      <c r="BJ65" s="260"/>
      <c r="BK65" s="260"/>
      <c r="BL65" s="260"/>
      <c r="BM65" s="260"/>
      <c r="BN65" s="260"/>
      <c r="BO65" s="260"/>
      <c r="BP65" s="260"/>
      <c r="BQ65" s="260"/>
      <c r="BR65" s="260"/>
      <c r="BS65" s="260"/>
      <c r="BT65" s="260"/>
      <c r="BU65" s="260"/>
      <c r="BV65" s="260"/>
      <c r="BW65" s="260"/>
      <c r="BX65" s="260"/>
      <c r="BY65" s="260"/>
      <c r="BZ65" s="260"/>
      <c r="CA65" s="260"/>
      <c r="CB65" s="260"/>
      <c r="CC65" s="260"/>
      <c r="CD65" s="260"/>
      <c r="CE65" s="260"/>
      <c r="CF65" s="260"/>
      <c r="CG65" s="260"/>
      <c r="CH65" s="260"/>
      <c r="CI65" s="260"/>
      <c r="CJ65" s="260"/>
      <c r="CK65" s="260"/>
      <c r="CL65" s="260"/>
      <c r="CM65" s="260"/>
      <c r="CN65" s="260"/>
      <c r="CO65" s="260"/>
      <c r="CP65" s="260"/>
      <c r="CQ65" s="260"/>
      <c r="CR65" s="260"/>
      <c r="CS65" s="260"/>
      <c r="CT65" s="260"/>
      <c r="CU65" s="260"/>
      <c r="CV65" s="260"/>
      <c r="CW65" s="260"/>
      <c r="CX65" s="260"/>
      <c r="CY65" s="260"/>
      <c r="CZ65" s="260"/>
      <c r="DA65" s="260"/>
      <c r="DB65" s="260"/>
      <c r="DC65" s="260"/>
      <c r="DD65" s="260"/>
      <c r="DE65" s="260"/>
      <c r="DF65" s="260"/>
      <c r="DG65" s="260"/>
      <c r="DH65" s="260"/>
      <c r="DI65" s="260"/>
      <c r="DJ65" s="260"/>
      <c r="DK65" s="260"/>
      <c r="DL65" s="260"/>
      <c r="DM65" s="260"/>
      <c r="DN65" s="260"/>
      <c r="DO65" s="260"/>
      <c r="DP65" s="260"/>
      <c r="DQ65" s="260"/>
      <c r="DR65" s="260"/>
      <c r="DS65" s="260"/>
      <c r="DT65" s="260"/>
      <c r="DU65" s="260"/>
      <c r="DV65" s="260"/>
      <c r="DW65" s="260"/>
      <c r="DX65" s="260"/>
      <c r="DY65" s="260"/>
      <c r="DZ65" s="260"/>
      <c r="EA65" s="260"/>
      <c r="EB65" s="260"/>
      <c r="EC65" s="260"/>
      <c r="ED65" s="260"/>
      <c r="EE65" s="260"/>
      <c r="EF65" s="260"/>
      <c r="EG65" s="260"/>
      <c r="EH65" s="260"/>
      <c r="EI65" s="260"/>
      <c r="EJ65" s="260"/>
      <c r="EK65" s="260"/>
      <c r="EL65" s="260"/>
      <c r="EM65" s="260"/>
      <c r="EN65" s="260"/>
      <c r="EO65" s="260"/>
      <c r="EP65" s="260"/>
      <c r="EQ65" s="260"/>
      <c r="ER65" s="260"/>
      <c r="ES65" s="260"/>
      <c r="ET65" s="260"/>
      <c r="EU65" s="260"/>
      <c r="EV65" s="260"/>
      <c r="EW65" s="260"/>
      <c r="EX65" s="260"/>
      <c r="EY65" s="260"/>
      <c r="EZ65" s="260"/>
      <c r="FA65" s="260"/>
      <c r="FB65" s="260"/>
      <c r="FC65" s="260"/>
      <c r="FD65" s="260"/>
      <c r="FE65" s="260"/>
      <c r="FF65" s="260"/>
      <c r="FG65" s="260"/>
      <c r="FH65" s="260"/>
      <c r="FI65" s="260"/>
      <c r="FJ65" s="260"/>
      <c r="FK65" s="260"/>
      <c r="FL65" s="260"/>
      <c r="FM65" s="260"/>
      <c r="FN65" s="260"/>
      <c r="FO65" s="260"/>
      <c r="FP65" s="260"/>
      <c r="FQ65" s="260"/>
      <c r="FR65" s="260"/>
      <c r="FS65" s="260"/>
      <c r="FT65" s="260"/>
      <c r="FU65" s="260"/>
      <c r="FV65" s="260"/>
      <c r="FW65" s="260"/>
      <c r="FX65" s="260"/>
      <c r="FY65" s="260"/>
      <c r="FZ65" s="260"/>
      <c r="GA65" s="260"/>
      <c r="GB65" s="260"/>
      <c r="GC65" s="260"/>
      <c r="GD65" s="260"/>
      <c r="GE65" s="260"/>
      <c r="GF65" s="260"/>
      <c r="GG65" s="260"/>
      <c r="GH65" s="260"/>
      <c r="GI65" s="260"/>
      <c r="GJ65" s="260"/>
      <c r="GK65" s="260"/>
      <c r="GL65" s="260"/>
      <c r="GM65" s="260"/>
      <c r="GN65" s="260"/>
      <c r="GO65" s="260"/>
      <c r="GP65" s="260"/>
      <c r="GQ65" s="260"/>
      <c r="GR65" s="260"/>
      <c r="GS65" s="260"/>
      <c r="GT65" s="260"/>
      <c r="GU65" s="260"/>
      <c r="GV65" s="260"/>
      <c r="GW65" s="260"/>
      <c r="GX65" s="260"/>
      <c r="GY65" s="260"/>
      <c r="GZ65" s="260"/>
      <c r="HA65" s="260"/>
      <c r="HB65" s="260"/>
      <c r="HC65" s="260"/>
      <c r="HD65" s="260"/>
      <c r="HE65" s="260"/>
      <c r="HF65" s="260"/>
      <c r="HG65" s="260"/>
      <c r="HH65" s="263" t="s">
        <v>259</v>
      </c>
    </row>
    <row r="66" spans="1:216" s="359" customFormat="1" outlineLevel="3" collapsed="1" x14ac:dyDescent="0.2">
      <c r="A66" s="358"/>
      <c r="B66" s="358"/>
      <c r="C66" s="358"/>
      <c r="D66" s="358"/>
      <c r="E66" s="358"/>
      <c r="F66" s="358"/>
      <c r="G66" s="358"/>
      <c r="H66" s="358"/>
      <c r="I66" s="350"/>
      <c r="J66" s="260"/>
      <c r="K66" s="260"/>
      <c r="L66" s="261"/>
      <c r="M66" s="261" t="str">
        <f t="shared" si="0"/>
        <v/>
      </c>
      <c r="N66" s="262">
        <f t="shared" si="1"/>
        <v>0</v>
      </c>
      <c r="O66" s="260"/>
      <c r="P66" s="260"/>
      <c r="Q66" s="260"/>
      <c r="R66" s="260"/>
      <c r="S66" s="260"/>
      <c r="T66" s="260"/>
      <c r="U66" s="260"/>
      <c r="V66" s="260"/>
      <c r="W66" s="260"/>
      <c r="X66" s="260"/>
      <c r="Y66" s="260"/>
      <c r="Z66" s="260"/>
      <c r="AA66" s="260"/>
      <c r="AB66" s="260"/>
      <c r="AC66" s="260"/>
      <c r="AD66" s="260"/>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260"/>
      <c r="BM66" s="260"/>
      <c r="BN66" s="260"/>
      <c r="BO66" s="260"/>
      <c r="BP66" s="260"/>
      <c r="BQ66" s="260"/>
      <c r="BR66" s="260"/>
      <c r="BS66" s="260"/>
      <c r="BT66" s="260"/>
      <c r="BU66" s="260"/>
      <c r="BV66" s="260"/>
      <c r="BW66" s="260"/>
      <c r="BX66" s="260"/>
      <c r="BY66" s="260"/>
      <c r="BZ66" s="260"/>
      <c r="CA66" s="260"/>
      <c r="CB66" s="260"/>
      <c r="CC66" s="260"/>
      <c r="CD66" s="260"/>
      <c r="CE66" s="260"/>
      <c r="CF66" s="260"/>
      <c r="CG66" s="260"/>
      <c r="CH66" s="260"/>
      <c r="CI66" s="260"/>
      <c r="CJ66" s="260"/>
      <c r="CK66" s="260"/>
      <c r="CL66" s="260"/>
      <c r="CM66" s="260"/>
      <c r="CN66" s="260"/>
      <c r="CO66" s="260"/>
      <c r="CP66" s="260"/>
      <c r="CQ66" s="260"/>
      <c r="CR66" s="260"/>
      <c r="CS66" s="260"/>
      <c r="CT66" s="260"/>
      <c r="CU66" s="260"/>
      <c r="CV66" s="260"/>
      <c r="CW66" s="260"/>
      <c r="CX66" s="260"/>
      <c r="CY66" s="260"/>
      <c r="CZ66" s="260"/>
      <c r="DA66" s="260"/>
      <c r="DB66" s="260"/>
      <c r="DC66" s="260"/>
      <c r="DD66" s="260"/>
      <c r="DE66" s="260"/>
      <c r="DF66" s="260"/>
      <c r="DG66" s="260"/>
      <c r="DH66" s="260"/>
      <c r="DI66" s="260"/>
      <c r="DJ66" s="260"/>
      <c r="DK66" s="260"/>
      <c r="DL66" s="260"/>
      <c r="DM66" s="260"/>
      <c r="DN66" s="260"/>
      <c r="DO66" s="260"/>
      <c r="DP66" s="260"/>
      <c r="DQ66" s="260"/>
      <c r="DR66" s="260"/>
      <c r="DS66" s="260"/>
      <c r="DT66" s="260"/>
      <c r="DU66" s="260"/>
      <c r="DV66" s="260"/>
      <c r="DW66" s="260"/>
      <c r="DX66" s="260"/>
      <c r="DY66" s="260"/>
      <c r="DZ66" s="260"/>
      <c r="EA66" s="260"/>
      <c r="EB66" s="260"/>
      <c r="EC66" s="260"/>
      <c r="ED66" s="260"/>
      <c r="EE66" s="260"/>
      <c r="EF66" s="260"/>
      <c r="EG66" s="260"/>
      <c r="EH66" s="260"/>
      <c r="EI66" s="260"/>
      <c r="EJ66" s="260"/>
      <c r="EK66" s="260"/>
      <c r="EL66" s="260"/>
      <c r="EM66" s="260"/>
      <c r="EN66" s="260"/>
      <c r="EO66" s="260"/>
      <c r="EP66" s="260"/>
      <c r="EQ66" s="260"/>
      <c r="ER66" s="260"/>
      <c r="ES66" s="260"/>
      <c r="ET66" s="260"/>
      <c r="EU66" s="260"/>
      <c r="EV66" s="260"/>
      <c r="EW66" s="260"/>
      <c r="EX66" s="260"/>
      <c r="EY66" s="260"/>
      <c r="EZ66" s="260"/>
      <c r="FA66" s="260"/>
      <c r="FB66" s="260"/>
      <c r="FC66" s="260"/>
      <c r="FD66" s="260"/>
      <c r="FE66" s="260"/>
      <c r="FF66" s="260"/>
      <c r="FG66" s="260"/>
      <c r="FH66" s="260"/>
      <c r="FI66" s="260"/>
      <c r="FJ66" s="260"/>
      <c r="FK66" s="260"/>
      <c r="FL66" s="260"/>
      <c r="FM66" s="260"/>
      <c r="FN66" s="260"/>
      <c r="FO66" s="260"/>
      <c r="FP66" s="260"/>
      <c r="FQ66" s="260"/>
      <c r="FR66" s="260"/>
      <c r="FS66" s="260"/>
      <c r="FT66" s="260"/>
      <c r="FU66" s="260"/>
      <c r="FV66" s="260"/>
      <c r="FW66" s="260"/>
      <c r="FX66" s="260"/>
      <c r="FY66" s="260"/>
      <c r="FZ66" s="260"/>
      <c r="GA66" s="260"/>
      <c r="GB66" s="260"/>
      <c r="GC66" s="260"/>
      <c r="GD66" s="260"/>
      <c r="GE66" s="260"/>
      <c r="GF66" s="260"/>
      <c r="GG66" s="260"/>
      <c r="GH66" s="260"/>
      <c r="GI66" s="260"/>
      <c r="GJ66" s="260"/>
      <c r="GK66" s="260"/>
      <c r="GL66" s="260"/>
      <c r="GM66" s="260"/>
      <c r="GN66" s="260"/>
      <c r="GO66" s="260"/>
      <c r="GP66" s="260"/>
      <c r="GQ66" s="260"/>
      <c r="GR66" s="260"/>
      <c r="GS66" s="260"/>
      <c r="GT66" s="260"/>
      <c r="GU66" s="260"/>
      <c r="GV66" s="260"/>
      <c r="GW66" s="260"/>
      <c r="GX66" s="260"/>
      <c r="GY66" s="260"/>
      <c r="GZ66" s="260"/>
      <c r="HA66" s="260"/>
      <c r="HB66" s="260"/>
      <c r="HC66" s="260"/>
      <c r="HD66" s="260"/>
      <c r="HE66" s="260"/>
      <c r="HF66" s="260"/>
      <c r="HG66" s="260"/>
      <c r="HH66" s="263" t="s">
        <v>259</v>
      </c>
    </row>
    <row r="67" spans="1:216" s="357" customFormat="1" outlineLevel="2" collapsed="1" x14ac:dyDescent="0.2">
      <c r="I67" s="349"/>
      <c r="J67" s="256"/>
      <c r="K67" s="256"/>
      <c r="L67" s="257"/>
      <c r="M67" s="257" t="str">
        <f t="shared" si="0"/>
        <v/>
      </c>
      <c r="N67" s="258">
        <f t="shared" si="1"/>
        <v>0</v>
      </c>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25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6"/>
      <c r="DR67" s="256"/>
      <c r="DS67" s="256"/>
      <c r="DT67" s="256"/>
      <c r="DU67" s="256"/>
      <c r="DV67" s="256"/>
      <c r="DW67" s="256"/>
      <c r="DX67" s="256"/>
      <c r="DY67" s="256"/>
      <c r="DZ67" s="256"/>
      <c r="EA67" s="256"/>
      <c r="EB67" s="256"/>
      <c r="EC67" s="256"/>
      <c r="ED67" s="256"/>
      <c r="EE67" s="256"/>
      <c r="EF67" s="256"/>
      <c r="EG67" s="256"/>
      <c r="EH67" s="256"/>
      <c r="EI67" s="256"/>
      <c r="EJ67" s="256"/>
      <c r="EK67" s="256"/>
      <c r="EL67" s="256"/>
      <c r="EM67" s="256"/>
      <c r="EN67" s="256"/>
      <c r="EO67" s="256"/>
      <c r="EP67" s="256"/>
      <c r="EQ67" s="256"/>
      <c r="ER67" s="256"/>
      <c r="ES67" s="256"/>
      <c r="ET67" s="256"/>
      <c r="EU67" s="256"/>
      <c r="EV67" s="256"/>
      <c r="EW67" s="256"/>
      <c r="EX67" s="256"/>
      <c r="EY67" s="256"/>
      <c r="EZ67" s="256"/>
      <c r="FA67" s="256"/>
      <c r="FB67" s="256"/>
      <c r="FC67" s="256"/>
      <c r="FD67" s="256"/>
      <c r="FE67" s="256"/>
      <c r="FF67" s="256"/>
      <c r="FG67" s="256"/>
      <c r="FH67" s="256"/>
      <c r="FI67" s="256"/>
      <c r="FJ67" s="256"/>
      <c r="FK67" s="256"/>
      <c r="FL67" s="256"/>
      <c r="FM67" s="256"/>
      <c r="FN67" s="256"/>
      <c r="FO67" s="256"/>
      <c r="FP67" s="256"/>
      <c r="FQ67" s="256"/>
      <c r="FR67" s="256"/>
      <c r="FS67" s="256"/>
      <c r="FT67" s="256"/>
      <c r="FU67" s="256"/>
      <c r="FV67" s="256"/>
      <c r="FW67" s="256"/>
      <c r="FX67" s="256"/>
      <c r="FY67" s="256"/>
      <c r="FZ67" s="256"/>
      <c r="GA67" s="256"/>
      <c r="GB67" s="256"/>
      <c r="GC67" s="256"/>
      <c r="GD67" s="256"/>
      <c r="GE67" s="256"/>
      <c r="GF67" s="256"/>
      <c r="GG67" s="256"/>
      <c r="GH67" s="256"/>
      <c r="GI67" s="256"/>
      <c r="GJ67" s="256"/>
      <c r="GK67" s="256"/>
      <c r="GL67" s="256"/>
      <c r="GM67" s="256"/>
      <c r="GN67" s="256"/>
      <c r="GO67" s="256"/>
      <c r="GP67" s="256"/>
      <c r="GQ67" s="256"/>
      <c r="GR67" s="256"/>
      <c r="GS67" s="256"/>
      <c r="GT67" s="256"/>
      <c r="GU67" s="256"/>
      <c r="GV67" s="256"/>
      <c r="GW67" s="256"/>
      <c r="GX67" s="256"/>
      <c r="GY67" s="256"/>
      <c r="GZ67" s="256"/>
      <c r="HA67" s="256"/>
      <c r="HB67" s="256"/>
      <c r="HC67" s="256"/>
      <c r="HD67" s="256"/>
      <c r="HE67" s="256"/>
      <c r="HF67" s="256"/>
      <c r="HG67" s="256"/>
      <c r="HH67" s="259" t="s">
        <v>259</v>
      </c>
    </row>
  </sheetData>
  <sheetProtection formatCells="0" formatColumns="0" formatRows="0" insertColumns="0" insertRows="0" insertHyperlinks="0" deleteColumns="0" deleteRows="0" sort="0" autoFilter="0" pivotTables="0"/>
  <conditionalFormatting sqref="J64:HG67 J61:HG61 J5:HG58">
    <cfRule type="expression" dxfId="26" priority="25">
      <formula>_xlfn.ISFORMULA(J5)</formula>
    </cfRule>
  </conditionalFormatting>
  <conditionalFormatting sqref="N64:N67 N61 N5:N58">
    <cfRule type="expression" dxfId="25" priority="24">
      <formula>AND(ISNUMBER(N5),ROW(N5)&gt;=7,N5&gt;=$N$9)</formula>
    </cfRule>
  </conditionalFormatting>
  <conditionalFormatting sqref="M64:HZ67 M61:HZ61 M5:HZ58">
    <cfRule type="cellIs" dxfId="24" priority="22" operator="lessThan">
      <formula>-$L5</formula>
    </cfRule>
  </conditionalFormatting>
  <conditionalFormatting sqref="A64:XFD67 J62:XFD63 A62:H63">
    <cfRule type="expression" dxfId="23" priority="32">
      <formula>AND(COLUMN(A50)&gt;=COLUMN($O$1),A$6&lt;&gt;"p")</formula>
    </cfRule>
  </conditionalFormatting>
  <conditionalFormatting sqref="J63:HG63">
    <cfRule type="expression" dxfId="22" priority="20">
      <formula>_xlfn.ISFORMULA(J63)</formula>
    </cfRule>
  </conditionalFormatting>
  <conditionalFormatting sqref="N63">
    <cfRule type="expression" dxfId="21" priority="19">
      <formula>AND(ISNUMBER(N63),ROW(N63)&gt;=7,N63&gt;=$N$9)</formula>
    </cfRule>
  </conditionalFormatting>
  <conditionalFormatting sqref="M63:HZ63">
    <cfRule type="cellIs" dxfId="20" priority="18" operator="lessThan">
      <formula>-$L63</formula>
    </cfRule>
  </conditionalFormatting>
  <conditionalFormatting sqref="A28:XFD44 A55:XFD58 A51:XFD51">
    <cfRule type="expression" dxfId="19" priority="33">
      <formula>AND(COLUMN(A22)&gt;=COLUMN($O$1),A$6&lt;&gt;"p")</formula>
    </cfRule>
  </conditionalFormatting>
  <conditionalFormatting sqref="A59:H59 J59:XFD59 A54:XFD54">
    <cfRule type="expression" dxfId="18" priority="34">
      <formula>AND(COLUMN(A46)&gt;=COLUMN($O$1),A$6&lt;&gt;"p")</formula>
    </cfRule>
  </conditionalFormatting>
  <conditionalFormatting sqref="J59:HG59">
    <cfRule type="expression" dxfId="17" priority="16">
      <formula>_xlfn.ISFORMULA(J59)</formula>
    </cfRule>
  </conditionalFormatting>
  <conditionalFormatting sqref="N59">
    <cfRule type="expression" dxfId="16" priority="15">
      <formula>AND(ISNUMBER(N59),ROW(N59)&gt;=7,N59&gt;=$N$9)</formula>
    </cfRule>
  </conditionalFormatting>
  <conditionalFormatting sqref="M59:HZ59">
    <cfRule type="cellIs" dxfId="15" priority="14" operator="lessThan">
      <formula>-$L59</formula>
    </cfRule>
  </conditionalFormatting>
  <conditionalFormatting sqref="I63">
    <cfRule type="expression" dxfId="14" priority="13">
      <formula>AND(COLUMN(I53)&gt;=COLUMN($O$1),I$4&lt;&gt;"p")</formula>
    </cfRule>
  </conditionalFormatting>
  <conditionalFormatting sqref="J62:HG62">
    <cfRule type="expression" dxfId="13" priority="11">
      <formula>_xlfn.ISFORMULA(J62)</formula>
    </cfRule>
  </conditionalFormatting>
  <conditionalFormatting sqref="N62">
    <cfRule type="expression" dxfId="12" priority="10">
      <formula>AND(ISNUMBER(N62),ROW(N62)&gt;=7,N62&gt;=$N$9)</formula>
    </cfRule>
  </conditionalFormatting>
  <conditionalFormatting sqref="M62:HZ62">
    <cfRule type="cellIs" dxfId="11" priority="9" operator="lessThan">
      <formula>-$L62</formula>
    </cfRule>
  </conditionalFormatting>
  <conditionalFormatting sqref="I62">
    <cfRule type="expression" dxfId="10" priority="8">
      <formula>AND(COLUMN(I53)&gt;=COLUMN($O$1),I$4&lt;&gt;"p")</formula>
    </cfRule>
  </conditionalFormatting>
  <conditionalFormatting sqref="J60:HG60">
    <cfRule type="expression" dxfId="9" priority="6">
      <formula>_xlfn.ISFORMULA(J60)</formula>
    </cfRule>
  </conditionalFormatting>
  <conditionalFormatting sqref="N60">
    <cfRule type="expression" dxfId="8" priority="5">
      <formula>AND(ISNUMBER(N60),ROW(N60)&gt;=7,N60&gt;=$N$9)</formula>
    </cfRule>
  </conditionalFormatting>
  <conditionalFormatting sqref="M60:HZ60">
    <cfRule type="cellIs" dxfId="7" priority="4" operator="lessThan">
      <formula>-$L60</formula>
    </cfRule>
  </conditionalFormatting>
  <conditionalFormatting sqref="I59">
    <cfRule type="expression" dxfId="6" priority="3">
      <formula>AND(COLUMN(I99)&gt;=COLUMN($O$1),I$4&lt;&gt;"p")</formula>
    </cfRule>
  </conditionalFormatting>
  <conditionalFormatting sqref="A5:XFD19 A45:XFD47 A49:XFD50 A21:XFD21 A20:H20 J20:XFD20">
    <cfRule type="expression" dxfId="5" priority="44">
      <formula>AND(COLUMN(A1048574)&gt;=COLUMN($O$1),A$6&lt;&gt;"p")</formula>
    </cfRule>
  </conditionalFormatting>
  <conditionalFormatting sqref="A22:XFD26 A46:XFD47">
    <cfRule type="expression" dxfId="4" priority="45">
      <formula>AND(COLUMN(A17)&gt;=COLUMN($O$1),A$6&lt;&gt;"p")</formula>
    </cfRule>
  </conditionalFormatting>
  <conditionalFormatting sqref="A27:XFD27">
    <cfRule type="expression" dxfId="3" priority="47">
      <formula>AND(COLUMN(#REF!)&gt;=COLUMN($O$1),A$6&lt;&gt;"p")</formula>
    </cfRule>
  </conditionalFormatting>
  <conditionalFormatting sqref="A44:XFD44 A52:XFD52">
    <cfRule type="expression" dxfId="2" priority="66">
      <formula>AND(COLUMN(A40)&gt;=COLUMN($O$1),A$6&lt;&gt;"p")</formula>
    </cfRule>
  </conditionalFormatting>
  <conditionalFormatting sqref="A53:XFD53 A48:XFD48 A60:XFD61">
    <cfRule type="expression" dxfId="1" priority="72">
      <formula>AND(COLUMN(A39)&gt;=COLUMN($O$1),A$6&lt;&gt;"p")</formula>
    </cfRule>
  </conditionalFormatting>
  <conditionalFormatting sqref="I20">
    <cfRule type="expression" dxfId="0" priority="1">
      <formula>AND(COLUMN(I12)&gt;=COLUMN($O$1),I$4&lt;&gt;"p")</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38"/>
  <sheetViews>
    <sheetView zoomScale="145" zoomScaleNormal="145" workbookViewId="0">
      <selection activeCell="A4" sqref="A4"/>
    </sheetView>
  </sheetViews>
  <sheetFormatPr defaultColWidth="10.7109375" defaultRowHeight="12.75" x14ac:dyDescent="0.2"/>
  <cols>
    <col min="1" max="1" width="4.28515625" style="1" customWidth="1"/>
    <col min="2" max="2" width="8.140625" style="1" customWidth="1"/>
    <col min="3" max="3" width="18.28515625" style="1" customWidth="1"/>
    <col min="4" max="16384" width="10.7109375" style="1"/>
  </cols>
  <sheetData>
    <row r="1" spans="1:18" s="44" customFormat="1" ht="18" x14ac:dyDescent="0.25">
      <c r="A1" s="309" t="s">
        <v>70</v>
      </c>
      <c r="B1" s="310"/>
      <c r="C1" s="310"/>
      <c r="D1" s="310"/>
      <c r="E1" s="310"/>
      <c r="F1" s="310"/>
      <c r="G1" s="310"/>
      <c r="H1" s="310"/>
    </row>
    <row r="2" spans="1:18" s="326" customFormat="1" hidden="1" x14ac:dyDescent="0.2">
      <c r="A2" s="333"/>
      <c r="B2" s="330"/>
      <c r="D2" s="334"/>
    </row>
    <row r="3" spans="1:18" s="44" customFormat="1" x14ac:dyDescent="0.2">
      <c r="A3" s="287" t="str">
        <f>IF(A2="","",IF(Disable_Video_Hyperlinks,A2,HYPERLINK(Video_website&amp;A2,A2)))</f>
        <v/>
      </c>
      <c r="D3" s="315"/>
    </row>
    <row r="4" spans="1:18" x14ac:dyDescent="0.2">
      <c r="A4" s="307" t="str">
        <f>IF(B2="","",B2)</f>
        <v/>
      </c>
      <c r="D4" s="6"/>
      <c r="E4" s="32"/>
    </row>
    <row r="5" spans="1:18" x14ac:dyDescent="0.2">
      <c r="A5" s="33"/>
      <c r="D5" s="6"/>
      <c r="E5" s="32"/>
    </row>
    <row r="6" spans="1:18" x14ac:dyDescent="0.2">
      <c r="A6" s="33" t="s">
        <v>69</v>
      </c>
      <c r="D6" s="6">
        <f>-PMT(10%/12,3*12,3600,0,0)</f>
        <v>116.16187389781494</v>
      </c>
      <c r="E6" s="32" t="s">
        <v>68</v>
      </c>
      <c r="N6"/>
      <c r="O6"/>
      <c r="P6"/>
      <c r="Q6"/>
      <c r="R6"/>
    </row>
    <row r="7" spans="1:18" x14ac:dyDescent="0.2">
      <c r="B7" s="2" t="s">
        <v>67</v>
      </c>
      <c r="C7" s="5" t="s">
        <v>66</v>
      </c>
      <c r="N7"/>
      <c r="O7"/>
      <c r="P7"/>
      <c r="Q7"/>
      <c r="R7"/>
    </row>
    <row r="8" spans="1:18" x14ac:dyDescent="0.2">
      <c r="B8" s="2" t="s">
        <v>65</v>
      </c>
      <c r="C8" s="5" t="s">
        <v>64</v>
      </c>
      <c r="N8"/>
      <c r="O8"/>
      <c r="P8"/>
      <c r="Q8"/>
      <c r="R8"/>
    </row>
    <row r="9" spans="1:18" x14ac:dyDescent="0.2">
      <c r="B9" s="2" t="s">
        <v>63</v>
      </c>
      <c r="C9" s="5" t="s">
        <v>62</v>
      </c>
      <c r="N9"/>
      <c r="O9"/>
      <c r="P9"/>
      <c r="Q9"/>
      <c r="R9"/>
    </row>
    <row r="10" spans="1:18" x14ac:dyDescent="0.2">
      <c r="B10" s="1" t="s">
        <v>61</v>
      </c>
      <c r="C10" s="5" t="s">
        <v>60</v>
      </c>
      <c r="N10"/>
      <c r="O10"/>
      <c r="P10"/>
      <c r="Q10"/>
      <c r="R10"/>
    </row>
    <row r="11" spans="1:18" x14ac:dyDescent="0.2">
      <c r="B11" s="1" t="s">
        <v>59</v>
      </c>
      <c r="C11" s="5" t="s">
        <v>58</v>
      </c>
      <c r="N11"/>
      <c r="O11"/>
      <c r="P11"/>
      <c r="Q11"/>
      <c r="R11"/>
    </row>
    <row r="12" spans="1:18" x14ac:dyDescent="0.2">
      <c r="C12" s="5" t="s">
        <v>57</v>
      </c>
      <c r="N12"/>
      <c r="O12"/>
      <c r="P12"/>
      <c r="Q12"/>
      <c r="R12"/>
    </row>
    <row r="13" spans="1:18" x14ac:dyDescent="0.2">
      <c r="N13"/>
      <c r="O13"/>
      <c r="P13"/>
      <c r="Q13"/>
      <c r="R13"/>
    </row>
    <row r="14" spans="1:18" x14ac:dyDescent="0.2">
      <c r="N14"/>
      <c r="O14"/>
      <c r="P14"/>
      <c r="Q14"/>
      <c r="R14"/>
    </row>
    <row r="15" spans="1:18" x14ac:dyDescent="0.2">
      <c r="B15" s="369" t="s">
        <v>255</v>
      </c>
      <c r="C15" s="369"/>
      <c r="D15" s="369"/>
      <c r="E15" s="369"/>
      <c r="F15" s="369"/>
      <c r="G15" s="369"/>
      <c r="H15" s="369"/>
      <c r="I15" s="369"/>
      <c r="N15"/>
      <c r="O15"/>
      <c r="P15"/>
      <c r="Q15"/>
      <c r="R15"/>
    </row>
    <row r="16" spans="1:18" x14ac:dyDescent="0.2">
      <c r="B16" s="369"/>
      <c r="C16" s="369"/>
      <c r="D16" s="369"/>
      <c r="E16" s="369"/>
      <c r="F16" s="369"/>
      <c r="G16" s="369"/>
      <c r="H16" s="369"/>
      <c r="I16" s="369"/>
      <c r="N16"/>
      <c r="O16"/>
      <c r="P16"/>
      <c r="Q16"/>
      <c r="R16"/>
    </row>
    <row r="17" spans="1:18" x14ac:dyDescent="0.2">
      <c r="N17"/>
      <c r="O17"/>
      <c r="P17"/>
      <c r="Q17"/>
      <c r="R17"/>
    </row>
    <row r="18" spans="1:18" x14ac:dyDescent="0.2">
      <c r="B18" s="368" t="s">
        <v>309</v>
      </c>
      <c r="C18" s="368"/>
      <c r="D18" s="368"/>
      <c r="E18" s="368"/>
      <c r="F18" s="368"/>
      <c r="G18" s="368"/>
      <c r="H18" s="368"/>
      <c r="I18" s="368"/>
      <c r="N18"/>
      <c r="O18"/>
      <c r="P18"/>
      <c r="Q18"/>
      <c r="R18"/>
    </row>
    <row r="19" spans="1:18" x14ac:dyDescent="0.2">
      <c r="B19" s="368"/>
      <c r="C19" s="368"/>
      <c r="D19" s="368"/>
      <c r="E19" s="368"/>
      <c r="F19" s="368"/>
      <c r="G19" s="368"/>
      <c r="H19" s="368"/>
      <c r="I19" s="368"/>
      <c r="N19"/>
      <c r="O19"/>
      <c r="P19"/>
      <c r="Q19"/>
      <c r="R19"/>
    </row>
    <row r="20" spans="1:18" x14ac:dyDescent="0.2">
      <c r="N20"/>
      <c r="O20"/>
      <c r="P20"/>
      <c r="Q20"/>
      <c r="R20"/>
    </row>
    <row r="22" spans="1:18" x14ac:dyDescent="0.2">
      <c r="D22" s="30" t="s">
        <v>53</v>
      </c>
    </row>
    <row r="23" spans="1:18" x14ac:dyDescent="0.2">
      <c r="A23" s="2" t="s">
        <v>52</v>
      </c>
      <c r="D23" s="29" t="s">
        <v>50</v>
      </c>
    </row>
    <row r="24" spans="1:18" x14ac:dyDescent="0.2">
      <c r="B24" s="1" t="s">
        <v>39</v>
      </c>
      <c r="D24" s="192">
        <v>0.1</v>
      </c>
    </row>
    <row r="25" spans="1:18" x14ac:dyDescent="0.2">
      <c r="B25" s="1" t="s">
        <v>49</v>
      </c>
      <c r="D25" s="191">
        <v>3600</v>
      </c>
    </row>
    <row r="26" spans="1:18" x14ac:dyDescent="0.2">
      <c r="B26" s="1" t="s">
        <v>48</v>
      </c>
      <c r="D26" s="193">
        <v>3</v>
      </c>
    </row>
    <row r="27" spans="1:18" x14ac:dyDescent="0.2">
      <c r="B27" s="1" t="s">
        <v>47</v>
      </c>
      <c r="D27" s="194">
        <v>12</v>
      </c>
    </row>
    <row r="28" spans="1:18" x14ac:dyDescent="0.2">
      <c r="D28" s="26"/>
    </row>
    <row r="29" spans="1:18" x14ac:dyDescent="0.2">
      <c r="B29" s="1" t="s">
        <v>46</v>
      </c>
      <c r="D29" s="195">
        <v>0</v>
      </c>
      <c r="E29" s="186"/>
      <c r="F29" s="186"/>
      <c r="G29" s="186"/>
      <c r="H29" s="186"/>
      <c r="I29" s="186"/>
      <c r="J29" s="186"/>
      <c r="K29" s="185"/>
    </row>
    <row r="30" spans="1:18" x14ac:dyDescent="0.2">
      <c r="B30" s="1" t="s">
        <v>45</v>
      </c>
      <c r="D30" s="193">
        <v>0</v>
      </c>
      <c r="F30" s="187"/>
      <c r="G30" s="187"/>
      <c r="H30" s="187"/>
      <c r="I30" s="187"/>
      <c r="J30" s="187"/>
      <c r="K30" s="187"/>
    </row>
    <row r="31" spans="1:18" ht="13.5" thickBot="1" x14ac:dyDescent="0.25">
      <c r="D31" s="15"/>
      <c r="E31" s="187"/>
      <c r="F31" s="46"/>
      <c r="G31" s="46"/>
      <c r="H31" s="46"/>
      <c r="I31" s="46"/>
      <c r="J31" s="46"/>
      <c r="K31" s="46"/>
    </row>
    <row r="32" spans="1:18" x14ac:dyDescent="0.2">
      <c r="B32" s="5" t="s">
        <v>44</v>
      </c>
      <c r="D32" s="20">
        <f>-PMT(10%/12,3*12,3600,D29,D30)</f>
        <v>116.16187389781494</v>
      </c>
    </row>
    <row r="33" spans="2:11" x14ac:dyDescent="0.2">
      <c r="E33" s="187"/>
      <c r="F33" s="46"/>
      <c r="G33" s="46"/>
      <c r="H33" s="46"/>
      <c r="I33" s="46"/>
      <c r="J33" s="46"/>
      <c r="K33" s="46"/>
    </row>
    <row r="38" spans="2:11" x14ac:dyDescent="0.2">
      <c r="B38" s="1" t="s">
        <v>256</v>
      </c>
    </row>
  </sheetData>
  <mergeCells count="2">
    <mergeCell ref="B18:I19"/>
    <mergeCell ref="B15:I16"/>
  </mergeCells>
  <dataValidations count="1">
    <dataValidation type="list" allowBlank="1" showInputMessage="1" showErrorMessage="1" errorTitle="Payment Type (beg=1, end=0)" error="Please enter either 1 or 0._x000a__x000a_Payment Type of 1 means first payment is made immediately._x000a__x000a_Payment Type of 0 means first payment is made at the end of the first period." promptTitle="Payment Type (beg=1, end=0)" prompt="_x000a_Payment Type of 1 means first payment is made immediately._x000a__x000a_Payment Type of 0 means first payment is made at the end of the first period." sqref="D30" xr:uid="{47AA7A37-6C2F-4835-B808-5B74DA7DAB31}">
      <formula1>"0,1"</formula1>
    </dataValidation>
  </dataValidations>
  <pageMargins left="0.75" right="0.75" top="1" bottom="1" header="0.5" footer="0.5"/>
  <pageSetup scale="77"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J28"/>
  <sheetViews>
    <sheetView zoomScale="145" zoomScaleNormal="145" workbookViewId="0">
      <selection activeCell="J16" sqref="J16"/>
    </sheetView>
  </sheetViews>
  <sheetFormatPr defaultRowHeight="12.75" x14ac:dyDescent="0.2"/>
  <cols>
    <col min="1" max="1" width="25.7109375" style="1" customWidth="1"/>
    <col min="2" max="2" width="10" style="1" customWidth="1"/>
    <col min="3" max="3" width="9.7109375" style="1" customWidth="1"/>
    <col min="4" max="4" width="8.7109375" style="1" bestFit="1" customWidth="1"/>
    <col min="5" max="5" width="10.28515625" style="1" bestFit="1" customWidth="1"/>
    <col min="6" max="6" width="11.28515625" style="1" bestFit="1" customWidth="1"/>
    <col min="7" max="7" width="12.85546875" style="1" bestFit="1" customWidth="1"/>
    <col min="8" max="9" width="9.140625" style="1"/>
    <col min="10" max="10" width="53.7109375" style="1" customWidth="1"/>
    <col min="11" max="16384" width="9.140625" style="1"/>
  </cols>
  <sheetData>
    <row r="1" spans="1:10" s="44" customFormat="1" ht="18" x14ac:dyDescent="0.25">
      <c r="A1" s="309" t="s">
        <v>99</v>
      </c>
    </row>
    <row r="2" spans="1:10" s="326" customFormat="1" hidden="1" x14ac:dyDescent="0.2">
      <c r="B2" s="330"/>
    </row>
    <row r="3" spans="1:10" s="44" customFormat="1" x14ac:dyDescent="0.2">
      <c r="A3" s="287" t="str">
        <f>IF(A2="","",IF(Disable_Video_Hyperlinks,A2,HYPERLINK(Video_website&amp;A2,A2)))</f>
        <v/>
      </c>
    </row>
    <row r="4" spans="1:10" x14ac:dyDescent="0.2">
      <c r="A4" s="307" t="str">
        <f>IF(B2="","",B2)</f>
        <v/>
      </c>
    </row>
    <row r="6" spans="1:10" ht="15" x14ac:dyDescent="0.2">
      <c r="A6" s="19" t="s">
        <v>42</v>
      </c>
      <c r="B6" s="18"/>
      <c r="C6" s="18"/>
      <c r="D6" s="18"/>
      <c r="E6" s="18"/>
      <c r="F6" s="18"/>
      <c r="G6" s="18"/>
      <c r="H6" s="18"/>
    </row>
    <row r="7" spans="1:10" s="15" customFormat="1" ht="38.25" x14ac:dyDescent="0.2">
      <c r="A7" s="17" t="s">
        <v>41</v>
      </c>
      <c r="B7" s="16" t="s">
        <v>40</v>
      </c>
      <c r="C7" s="16" t="s">
        <v>39</v>
      </c>
      <c r="D7" s="16" t="s">
        <v>38</v>
      </c>
      <c r="E7" s="16" t="s">
        <v>37</v>
      </c>
      <c r="F7" s="16" t="s">
        <v>36</v>
      </c>
      <c r="G7" s="16" t="s">
        <v>35</v>
      </c>
      <c r="H7" s="16" t="s">
        <v>98</v>
      </c>
      <c r="J7" s="346" t="s">
        <v>325</v>
      </c>
    </row>
    <row r="8" spans="1:10" x14ac:dyDescent="0.2">
      <c r="A8" s="14" t="s">
        <v>34</v>
      </c>
      <c r="B8" s="205">
        <v>4</v>
      </c>
      <c r="C8" s="206">
        <v>0.08</v>
      </c>
      <c r="D8" s="207">
        <v>5</v>
      </c>
      <c r="E8" s="37">
        <f>PMT(0.08/4,5*4,1000000,0,0)</f>
        <v>-61156.718125290397</v>
      </c>
      <c r="F8" s="208">
        <v>1000000</v>
      </c>
      <c r="G8" s="208">
        <v>0</v>
      </c>
      <c r="H8" s="205">
        <v>0</v>
      </c>
      <c r="J8" s="1" t="str">
        <f ca="1">_xlfn.FORMULATEXT(E8)</f>
        <v>=PMT(0.08/4,5*4,1000000,0,0)</v>
      </c>
    </row>
    <row r="12" spans="1:10" ht="15" x14ac:dyDescent="0.2">
      <c r="A12" s="19" t="s">
        <v>42</v>
      </c>
      <c r="B12" s="18"/>
      <c r="C12" s="18"/>
      <c r="D12" s="18"/>
      <c r="E12" s="18"/>
      <c r="F12" s="18"/>
      <c r="G12" s="18"/>
      <c r="H12" s="18"/>
    </row>
    <row r="13" spans="1:10" s="15" customFormat="1" ht="38.25" x14ac:dyDescent="0.2">
      <c r="A13" s="17" t="s">
        <v>41</v>
      </c>
      <c r="B13" s="16" t="s">
        <v>40</v>
      </c>
      <c r="C13" s="16" t="s">
        <v>39</v>
      </c>
      <c r="D13" s="16" t="s">
        <v>38</v>
      </c>
      <c r="E13" s="16" t="s">
        <v>37</v>
      </c>
      <c r="F13" s="16" t="s">
        <v>36</v>
      </c>
      <c r="G13" s="16" t="s">
        <v>35</v>
      </c>
      <c r="H13" s="16" t="s">
        <v>98</v>
      </c>
      <c r="J13" s="346" t="s">
        <v>332</v>
      </c>
    </row>
    <row r="14" spans="1:10" x14ac:dyDescent="0.2">
      <c r="A14" s="14" t="s">
        <v>34</v>
      </c>
      <c r="B14" s="205">
        <v>4</v>
      </c>
      <c r="C14" s="206">
        <v>0.08</v>
      </c>
      <c r="D14" s="207">
        <v>5</v>
      </c>
      <c r="E14" s="37">
        <f>PMT(C14/B14,D14*B14,F14,G14,H14)</f>
        <v>-61156.718125290397</v>
      </c>
      <c r="F14" s="208">
        <v>1000000</v>
      </c>
      <c r="G14" s="208">
        <v>0</v>
      </c>
      <c r="H14" s="205">
        <v>0</v>
      </c>
      <c r="J14" s="1" t="str">
        <f ca="1">_xlfn.FORMULATEXT(E14)</f>
        <v>=PMT(C14/B14,D14*B14,F14,G14,H14)</v>
      </c>
    </row>
    <row r="16" spans="1:10" x14ac:dyDescent="0.2">
      <c r="J16" s="1" t="s">
        <v>326</v>
      </c>
    </row>
    <row r="17" spans="1:10" x14ac:dyDescent="0.2">
      <c r="B17" s="176" t="s">
        <v>53</v>
      </c>
      <c r="C17" s="46"/>
      <c r="D17"/>
      <c r="J17" s="1" t="s">
        <v>335</v>
      </c>
    </row>
    <row r="18" spans="1:10" x14ac:dyDescent="0.2">
      <c r="B18" s="29" t="s">
        <v>242</v>
      </c>
      <c r="C18" s="177" t="s">
        <v>241</v>
      </c>
      <c r="J18" s="347" t="s">
        <v>336</v>
      </c>
    </row>
    <row r="19" spans="1:10" x14ac:dyDescent="0.2">
      <c r="A19" s="1" t="s">
        <v>39</v>
      </c>
      <c r="B19" s="192">
        <v>0.1</v>
      </c>
      <c r="C19" s="198">
        <v>0.1</v>
      </c>
    </row>
    <row r="20" spans="1:10" x14ac:dyDescent="0.2">
      <c r="A20" s="1" t="s">
        <v>49</v>
      </c>
      <c r="B20" s="191">
        <v>3600</v>
      </c>
      <c r="C20" s="199">
        <v>3600</v>
      </c>
    </row>
    <row r="21" spans="1:10" x14ac:dyDescent="0.2">
      <c r="A21" s="1" t="s">
        <v>48</v>
      </c>
      <c r="B21" s="193">
        <v>3</v>
      </c>
      <c r="C21" s="200">
        <v>3</v>
      </c>
    </row>
    <row r="22" spans="1:10" x14ac:dyDescent="0.2">
      <c r="A22" s="1" t="s">
        <v>47</v>
      </c>
      <c r="B22" s="194">
        <v>12</v>
      </c>
      <c r="C22" s="201">
        <v>12</v>
      </c>
    </row>
    <row r="23" spans="1:10" x14ac:dyDescent="0.2">
      <c r="B23" s="180"/>
      <c r="C23" s="203"/>
    </row>
    <row r="24" spans="1:10" x14ac:dyDescent="0.2">
      <c r="A24" s="1" t="s">
        <v>46</v>
      </c>
      <c r="B24" s="195">
        <v>0</v>
      </c>
      <c r="C24" s="202">
        <v>0</v>
      </c>
    </row>
    <row r="25" spans="1:10" x14ac:dyDescent="0.2">
      <c r="A25" s="1" t="s">
        <v>45</v>
      </c>
      <c r="B25" s="196">
        <v>0</v>
      </c>
      <c r="C25" s="193">
        <v>0</v>
      </c>
    </row>
    <row r="26" spans="1:10" ht="13.5" thickBot="1" x14ac:dyDescent="0.25">
      <c r="B26" s="15"/>
      <c r="C26" s="178"/>
    </row>
    <row r="27" spans="1:10" x14ac:dyDescent="0.2">
      <c r="A27" s="5" t="s">
        <v>44</v>
      </c>
      <c r="B27" s="20">
        <f>-PMT(10%/12,3*12,3600,0,0)</f>
        <v>116.16187389781494</v>
      </c>
      <c r="C27" s="179">
        <f>-PMT(C19/C22,C21*C22,C20,C24,C25)</f>
        <v>116.16187389781494</v>
      </c>
    </row>
    <row r="28" spans="1:10" x14ac:dyDescent="0.2">
      <c r="B28" s="30" t="s">
        <v>243</v>
      </c>
      <c r="C28" s="336" t="s">
        <v>244</v>
      </c>
    </row>
  </sheetData>
  <dataValidations count="1">
    <dataValidation type="list" allowBlank="1" showInputMessage="1" showErrorMessage="1" errorTitle="Payment Type (beg=1, end=0)" error="Please enter either 1 or 0._x000a__x000a_Payment Type of 1 means first payment is made immediately._x000a__x000a_Payment Type of 0 means first payment is made at the end of the first period." promptTitle="Payment Type (beg=1, end=0)" prompt="_x000a_Payment Type of 1 means first payment is made immediately._x000a__x000a_Payment Type of 0 means first payment is made at the end of the first period." sqref="C25" xr:uid="{658E9446-1EA0-42FF-AD48-894B2F292A6F}">
      <formula1>"0,1"</formula1>
    </dataValidation>
  </dataValidation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7C7A7-34A5-4AEF-8B0A-30AD67063A80}">
  <sheetPr codeName="Sheet29"/>
  <dimension ref="A1:J28"/>
  <sheetViews>
    <sheetView zoomScale="145" zoomScaleNormal="145" workbookViewId="0">
      <selection activeCell="E21" sqref="E21"/>
    </sheetView>
  </sheetViews>
  <sheetFormatPr defaultRowHeight="12.75" x14ac:dyDescent="0.2"/>
  <cols>
    <col min="1" max="1" width="25.7109375" style="1" customWidth="1"/>
    <col min="2" max="2" width="10" style="1" customWidth="1"/>
    <col min="3" max="3" width="9.7109375" style="1" customWidth="1"/>
    <col min="4" max="4" width="8.7109375" style="1" bestFit="1" customWidth="1"/>
    <col min="5" max="5" width="10.28515625" style="1" bestFit="1" customWidth="1"/>
    <col min="6" max="6" width="11.28515625" style="1" bestFit="1" customWidth="1"/>
    <col min="7" max="7" width="12.85546875" style="1" bestFit="1" customWidth="1"/>
    <col min="8" max="16384" width="9.140625" style="1"/>
  </cols>
  <sheetData>
    <row r="1" spans="1:10" s="44" customFormat="1" ht="18" x14ac:dyDescent="0.25">
      <c r="A1" s="309" t="s">
        <v>99</v>
      </c>
    </row>
    <row r="2" spans="1:10" s="326" customFormat="1" hidden="1" x14ac:dyDescent="0.2">
      <c r="B2" s="330"/>
    </row>
    <row r="3" spans="1:10" s="44" customFormat="1" x14ac:dyDescent="0.2">
      <c r="A3" s="287" t="str">
        <f>IF(A2="","",IF(Disable_Video_Hyperlinks,A2,HYPERLINK(Video_website&amp;A2,A2)))</f>
        <v/>
      </c>
    </row>
    <row r="4" spans="1:10" x14ac:dyDescent="0.2">
      <c r="A4" s="307" t="str">
        <f>IF(B2="","",B2)</f>
        <v/>
      </c>
    </row>
    <row r="6" spans="1:10" ht="15" x14ac:dyDescent="0.2">
      <c r="A6" s="19" t="s">
        <v>42</v>
      </c>
      <c r="B6" s="18"/>
      <c r="C6" s="18"/>
      <c r="D6" s="18"/>
      <c r="E6" s="18"/>
      <c r="F6" s="18"/>
      <c r="G6" s="18"/>
      <c r="H6" s="18"/>
    </row>
    <row r="7" spans="1:10" s="15" customFormat="1" ht="38.25" x14ac:dyDescent="0.2">
      <c r="A7" s="17" t="s">
        <v>41</v>
      </c>
      <c r="B7" s="16" t="s">
        <v>40</v>
      </c>
      <c r="C7" s="16" t="s">
        <v>39</v>
      </c>
      <c r="D7" s="16" t="s">
        <v>38</v>
      </c>
      <c r="E7" s="16" t="s">
        <v>37</v>
      </c>
      <c r="F7" s="16" t="s">
        <v>36</v>
      </c>
      <c r="G7" s="16" t="s">
        <v>35</v>
      </c>
      <c r="H7" s="16" t="s">
        <v>98</v>
      </c>
      <c r="J7" s="32"/>
    </row>
    <row r="8" spans="1:10" x14ac:dyDescent="0.2">
      <c r="A8" s="14" t="s">
        <v>34</v>
      </c>
      <c r="B8" s="205">
        <v>4</v>
      </c>
      <c r="C8" s="206">
        <v>0.08</v>
      </c>
      <c r="D8" s="207">
        <v>5</v>
      </c>
      <c r="E8" s="37">
        <f>PMT(0.08/4,5*4,1000000,0,0)</f>
        <v>-61156.718125290397</v>
      </c>
      <c r="F8" s="208">
        <v>1000000</v>
      </c>
      <c r="G8" s="208">
        <v>0</v>
      </c>
      <c r="H8" s="205">
        <v>0</v>
      </c>
    </row>
    <row r="12" spans="1:10" ht="15" x14ac:dyDescent="0.2">
      <c r="A12" s="19" t="s">
        <v>42</v>
      </c>
      <c r="B12" s="18"/>
      <c r="C12" s="18"/>
      <c r="D12" s="18"/>
      <c r="E12" s="18"/>
      <c r="F12" s="18"/>
      <c r="G12" s="18"/>
      <c r="H12" s="18"/>
    </row>
    <row r="13" spans="1:10" s="15" customFormat="1" ht="38.25" x14ac:dyDescent="0.2">
      <c r="A13" s="17" t="s">
        <v>41</v>
      </c>
      <c r="B13" s="16" t="s">
        <v>40</v>
      </c>
      <c r="C13" s="16" t="s">
        <v>39</v>
      </c>
      <c r="D13" s="16" t="s">
        <v>38</v>
      </c>
      <c r="E13" s="16" t="s">
        <v>37</v>
      </c>
      <c r="F13" s="16" t="s">
        <v>36</v>
      </c>
      <c r="G13" s="16" t="s">
        <v>35</v>
      </c>
      <c r="H13" s="16" t="s">
        <v>98</v>
      </c>
      <c r="J13" s="32"/>
    </row>
    <row r="14" spans="1:10" x14ac:dyDescent="0.2">
      <c r="A14" s="14" t="s">
        <v>34</v>
      </c>
      <c r="B14" s="205">
        <v>4</v>
      </c>
      <c r="C14" s="206">
        <v>0.08</v>
      </c>
      <c r="D14" s="207">
        <v>5</v>
      </c>
      <c r="E14" s="37">
        <f>PMT(C14/B14,D14*B14,F14,G14,H14)</f>
        <v>-61156.718125290397</v>
      </c>
      <c r="F14" s="208">
        <v>1000000</v>
      </c>
      <c r="G14" s="208">
        <v>0</v>
      </c>
      <c r="H14" s="205">
        <v>0</v>
      </c>
    </row>
    <row r="17" spans="1:5" x14ac:dyDescent="0.2">
      <c r="B17" s="176" t="s">
        <v>53</v>
      </c>
      <c r="C17" s="46"/>
      <c r="D17"/>
    </row>
    <row r="18" spans="1:5" x14ac:dyDescent="0.2">
      <c r="B18" s="29" t="s">
        <v>242</v>
      </c>
      <c r="C18" s="177" t="s">
        <v>241</v>
      </c>
    </row>
    <row r="19" spans="1:5" x14ac:dyDescent="0.2">
      <c r="A19" s="1" t="s">
        <v>39</v>
      </c>
      <c r="B19" s="209">
        <v>0.1</v>
      </c>
      <c r="C19" s="337">
        <v>0.1</v>
      </c>
      <c r="E19" s="44" t="s">
        <v>327</v>
      </c>
    </row>
    <row r="20" spans="1:5" x14ac:dyDescent="0.2">
      <c r="A20" s="1" t="s">
        <v>49</v>
      </c>
      <c r="B20" s="210">
        <v>3600</v>
      </c>
      <c r="C20" s="338">
        <v>3600</v>
      </c>
    </row>
    <row r="21" spans="1:5" x14ac:dyDescent="0.2">
      <c r="A21" s="1" t="s">
        <v>48</v>
      </c>
      <c r="B21" s="211">
        <v>3</v>
      </c>
      <c r="C21" s="339">
        <v>3</v>
      </c>
      <c r="E21" s="1" t="s">
        <v>328</v>
      </c>
    </row>
    <row r="22" spans="1:5" x14ac:dyDescent="0.2">
      <c r="A22" s="1" t="s">
        <v>47</v>
      </c>
      <c r="B22" s="212">
        <v>12</v>
      </c>
      <c r="C22" s="203">
        <v>12</v>
      </c>
    </row>
    <row r="23" spans="1:5" x14ac:dyDescent="0.2">
      <c r="B23" s="180"/>
      <c r="C23" s="203"/>
      <c r="E23" s="1" t="s">
        <v>331</v>
      </c>
    </row>
    <row r="24" spans="1:5" x14ac:dyDescent="0.2">
      <c r="A24" s="1" t="s">
        <v>46</v>
      </c>
      <c r="B24" s="213">
        <v>0</v>
      </c>
      <c r="C24" s="340">
        <v>0</v>
      </c>
    </row>
    <row r="25" spans="1:5" x14ac:dyDescent="0.2">
      <c r="A25" s="1" t="s">
        <v>45</v>
      </c>
      <c r="B25" s="342">
        <v>0</v>
      </c>
      <c r="C25" s="341">
        <v>0</v>
      </c>
      <c r="E25" s="1" t="s">
        <v>333</v>
      </c>
    </row>
    <row r="26" spans="1:5" ht="13.5" thickBot="1" x14ac:dyDescent="0.25">
      <c r="B26" s="15"/>
      <c r="C26" s="178"/>
      <c r="E26" s="347" t="s">
        <v>334</v>
      </c>
    </row>
    <row r="27" spans="1:5" x14ac:dyDescent="0.2">
      <c r="A27" s="5" t="s">
        <v>44</v>
      </c>
      <c r="B27" s="20">
        <f>-PMT(10%/12,3*12,3600,0,0)</f>
        <v>116.16187389781494</v>
      </c>
      <c r="C27" s="179">
        <f>-PMT(C19/C22,C21*C22,C20,C24,C25)</f>
        <v>116.16187389781494</v>
      </c>
    </row>
    <row r="28" spans="1:5" x14ac:dyDescent="0.2">
      <c r="B28" s="30" t="s">
        <v>243</v>
      </c>
      <c r="C28" s="336" t="s">
        <v>244</v>
      </c>
      <c r="E28" s="1" t="s">
        <v>329</v>
      </c>
    </row>
  </sheetData>
  <dataValidations disablePrompts="1" count="1">
    <dataValidation type="list" allowBlank="1" showInputMessage="1" showErrorMessage="1" errorTitle="Payment Type (beg=1, end=0)" error="Please enter either 1 or 0._x000a__x000a_Payment Type of 1 means first payment is made immediately._x000a__x000a_Payment Type of 0 means first payment is made at the end of the first period." promptTitle="Payment Type (beg=1, end=0)" prompt="_x000a_Payment Type of 1 means first payment is made immediately._x000a__x000a_Payment Type of 0 means first payment is made at the end of the first period." sqref="C25" xr:uid="{B36FCC41-F559-43AB-A422-4F99D3DB7608}">
      <formula1>"0,1"</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Z30"/>
  <sheetViews>
    <sheetView zoomScale="145" zoomScaleNormal="145" workbookViewId="0">
      <selection activeCell="A2" sqref="A2"/>
    </sheetView>
  </sheetViews>
  <sheetFormatPr defaultColWidth="10.7109375" defaultRowHeight="12.75" x14ac:dyDescent="0.2"/>
  <cols>
    <col min="1" max="1" width="9" style="1" customWidth="1"/>
    <col min="2" max="2" width="8.140625" style="1" customWidth="1"/>
    <col min="3" max="3" width="18.28515625" style="1" customWidth="1"/>
    <col min="4" max="25" width="10.7109375" style="1"/>
    <col min="26" max="26" width="9.140625" style="1" customWidth="1"/>
    <col min="27" max="16384" width="10.7109375" style="1"/>
  </cols>
  <sheetData>
    <row r="1" spans="1:8" s="44" customFormat="1" ht="17.25" customHeight="1" x14ac:dyDescent="0.25">
      <c r="A1" s="309" t="s">
        <v>81</v>
      </c>
      <c r="B1" s="310"/>
      <c r="C1" s="310"/>
      <c r="D1" s="310"/>
      <c r="E1" s="310"/>
      <c r="F1" s="310"/>
      <c r="G1" s="310"/>
      <c r="H1" s="310"/>
    </row>
    <row r="2" spans="1:8" s="326" customFormat="1" hidden="1" x14ac:dyDescent="0.2">
      <c r="A2" s="326" t="s">
        <v>313</v>
      </c>
      <c r="B2" s="327">
        <v>8.5763888888888886E-3</v>
      </c>
    </row>
    <row r="3" spans="1:8" s="44" customFormat="1" x14ac:dyDescent="0.2">
      <c r="A3" s="287" t="str">
        <f>IF(A2="","",IF(Disable_Video_Hyperlinks,A2,HYPERLINK(Video_website&amp;A2,A2)))</f>
        <v>UNC_DAYT_EXCEL_4.2.2_LECTURE_CASH_FLOWS.mp4</v>
      </c>
    </row>
    <row r="4" spans="1:8" x14ac:dyDescent="0.2">
      <c r="A4" s="307">
        <f>IF(B2="","",B2)</f>
        <v>8.5763888888888886E-3</v>
      </c>
      <c r="B4" s="46"/>
      <c r="C4" s="46"/>
      <c r="D4" s="46"/>
      <c r="E4" s="46"/>
      <c r="F4" s="46"/>
      <c r="G4" s="46"/>
      <c r="H4" s="46"/>
    </row>
    <row r="7" spans="1:8" x14ac:dyDescent="0.2">
      <c r="D7" s="30" t="s">
        <v>53</v>
      </c>
      <c r="F7" s="30" t="s">
        <v>53</v>
      </c>
      <c r="H7" s="30" t="s">
        <v>53</v>
      </c>
    </row>
    <row r="8" spans="1:8" x14ac:dyDescent="0.2">
      <c r="A8" s="2" t="s">
        <v>52</v>
      </c>
      <c r="D8" s="29" t="s">
        <v>80</v>
      </c>
      <c r="E8" s="30"/>
      <c r="F8" s="29" t="s">
        <v>79</v>
      </c>
      <c r="H8" s="29" t="s">
        <v>78</v>
      </c>
    </row>
    <row r="9" spans="1:8" x14ac:dyDescent="0.2">
      <c r="B9" s="1" t="s">
        <v>39</v>
      </c>
      <c r="D9" s="192">
        <v>0.1</v>
      </c>
      <c r="E9" s="24"/>
      <c r="F9" s="192">
        <v>0.1</v>
      </c>
      <c r="H9" s="192">
        <v>0.1</v>
      </c>
    </row>
    <row r="10" spans="1:8" x14ac:dyDescent="0.2">
      <c r="B10" s="1" t="s">
        <v>49</v>
      </c>
      <c r="D10" s="191">
        <v>3600</v>
      </c>
      <c r="E10" s="24"/>
      <c r="F10" s="191">
        <v>-3600</v>
      </c>
      <c r="H10" s="191">
        <v>3600</v>
      </c>
    </row>
    <row r="11" spans="1:8" x14ac:dyDescent="0.2">
      <c r="B11" s="1" t="s">
        <v>48</v>
      </c>
      <c r="D11" s="193">
        <v>3</v>
      </c>
      <c r="E11" s="24"/>
      <c r="F11" s="193">
        <v>3</v>
      </c>
      <c r="H11" s="193">
        <v>3</v>
      </c>
    </row>
    <row r="12" spans="1:8" x14ac:dyDescent="0.2">
      <c r="B12" s="1" t="s">
        <v>47</v>
      </c>
      <c r="D12" s="194">
        <v>12</v>
      </c>
      <c r="E12" s="24"/>
      <c r="F12" s="194">
        <v>12</v>
      </c>
      <c r="H12" s="194">
        <v>12</v>
      </c>
    </row>
    <row r="13" spans="1:8" x14ac:dyDescent="0.2">
      <c r="D13" s="26"/>
      <c r="E13" s="24"/>
      <c r="F13" s="26"/>
      <c r="H13" s="26"/>
    </row>
    <row r="14" spans="1:8" x14ac:dyDescent="0.2">
      <c r="B14" s="1" t="s">
        <v>46</v>
      </c>
      <c r="D14" s="195">
        <v>0</v>
      </c>
      <c r="E14" s="24"/>
      <c r="F14" s="195">
        <v>0</v>
      </c>
      <c r="H14" s="195">
        <v>0</v>
      </c>
    </row>
    <row r="15" spans="1:8" x14ac:dyDescent="0.2">
      <c r="B15" s="1" t="s">
        <v>45</v>
      </c>
      <c r="D15" s="196">
        <v>0</v>
      </c>
      <c r="E15" s="24"/>
      <c r="F15" s="196">
        <v>0</v>
      </c>
      <c r="H15" s="196">
        <v>0</v>
      </c>
    </row>
    <row r="16" spans="1:8" ht="13.5" thickBot="1" x14ac:dyDescent="0.25">
      <c r="D16" s="15"/>
      <c r="F16" s="15"/>
      <c r="H16" s="15"/>
    </row>
    <row r="17" spans="1:26" x14ac:dyDescent="0.2">
      <c r="B17" s="5" t="s">
        <v>77</v>
      </c>
      <c r="D17" s="20">
        <f>PMT(D9/D12,D11*D12,D10,D14,D15)</f>
        <v>-116.16187389781494</v>
      </c>
      <c r="F17" s="20">
        <f>PMT(F9/F12,F11*F12,F10,F14,F15)</f>
        <v>116.16187389781494</v>
      </c>
      <c r="H17" s="20">
        <f>-PMT(H9/H12,H11*H12,H10,H14,H15)</f>
        <v>116.16187389781494</v>
      </c>
    </row>
    <row r="18" spans="1:26" x14ac:dyDescent="0.2">
      <c r="D18" s="6"/>
      <c r="E18" s="6"/>
    </row>
    <row r="19" spans="1:26" x14ac:dyDescent="0.2">
      <c r="A19" s="33" t="s">
        <v>69</v>
      </c>
      <c r="D19" s="6">
        <f>-PMT(10%/12,3*12,3600,0,0)</f>
        <v>116.16187389781494</v>
      </c>
      <c r="E19" s="32" t="s">
        <v>68</v>
      </c>
    </row>
    <row r="20" spans="1:26" x14ac:dyDescent="0.2">
      <c r="B20" s="2" t="s">
        <v>67</v>
      </c>
      <c r="C20" s="1" t="s">
        <v>76</v>
      </c>
    </row>
    <row r="21" spans="1:26" x14ac:dyDescent="0.2">
      <c r="B21" s="2" t="s">
        <v>65</v>
      </c>
      <c r="C21" s="1" t="s">
        <v>75</v>
      </c>
    </row>
    <row r="22" spans="1:26" x14ac:dyDescent="0.2">
      <c r="B22" s="2" t="s">
        <v>63</v>
      </c>
      <c r="C22" s="33" t="s">
        <v>74</v>
      </c>
    </row>
    <row r="23" spans="1:26" x14ac:dyDescent="0.2">
      <c r="B23" s="1" t="s">
        <v>61</v>
      </c>
      <c r="C23" s="33" t="s">
        <v>73</v>
      </c>
    </row>
    <row r="24" spans="1:26" x14ac:dyDescent="0.2">
      <c r="B24" s="1" t="s">
        <v>59</v>
      </c>
      <c r="C24" s="5" t="s">
        <v>72</v>
      </c>
    </row>
    <row r="25" spans="1:26" x14ac:dyDescent="0.2">
      <c r="C25" s="1" t="s">
        <v>71</v>
      </c>
    </row>
    <row r="28" spans="1:26" ht="51" customHeight="1" x14ac:dyDescent="0.2">
      <c r="B28" s="369" t="s">
        <v>310</v>
      </c>
      <c r="C28" s="370"/>
      <c r="D28" s="370"/>
      <c r="E28" s="370"/>
      <c r="F28" s="370"/>
      <c r="G28" s="370"/>
      <c r="H28" s="370"/>
      <c r="Z28" s="44"/>
    </row>
    <row r="30" spans="1:26" ht="38.25" customHeight="1" x14ac:dyDescent="0.2">
      <c r="B30" s="369" t="s">
        <v>311</v>
      </c>
      <c r="C30" s="370"/>
      <c r="D30" s="370"/>
      <c r="E30" s="370"/>
      <c r="F30" s="370"/>
      <c r="G30" s="370"/>
      <c r="H30" s="370"/>
      <c r="Z30" s="44"/>
    </row>
  </sheetData>
  <mergeCells count="2">
    <mergeCell ref="B30:H30"/>
    <mergeCell ref="B28:H28"/>
  </mergeCells>
  <conditionalFormatting sqref="B2">
    <cfRule type="expression" dxfId="35" priority="1">
      <formula>NOT(_xlfn.ISFORMULA(B2))</formula>
    </cfRule>
  </conditionalFormatting>
  <pageMargins left="0.75" right="0.75" top="1" bottom="1" header="0.5" footer="0.5"/>
  <pageSetup scale="77" orientation="portrait"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Z33"/>
  <sheetViews>
    <sheetView zoomScale="145" zoomScaleNormal="145" workbookViewId="0">
      <selection activeCell="D31" sqref="D31"/>
    </sheetView>
  </sheetViews>
  <sheetFormatPr defaultColWidth="10.7109375" defaultRowHeight="12.75" x14ac:dyDescent="0.2"/>
  <cols>
    <col min="1" max="1" width="4.28515625" style="1" customWidth="1"/>
    <col min="2" max="2" width="8.140625" style="1" customWidth="1"/>
    <col min="3" max="3" width="18.28515625" style="1" customWidth="1"/>
    <col min="4" max="16384" width="10.7109375" style="1"/>
  </cols>
  <sheetData>
    <row r="1" spans="1:26" s="44" customFormat="1" ht="18" x14ac:dyDescent="0.25">
      <c r="A1" s="309" t="s">
        <v>93</v>
      </c>
      <c r="B1" s="310"/>
      <c r="C1" s="310"/>
      <c r="D1" s="310"/>
      <c r="E1" s="310"/>
      <c r="F1" s="310"/>
      <c r="G1" s="310"/>
      <c r="H1" s="310"/>
    </row>
    <row r="2" spans="1:26" s="326" customFormat="1" hidden="1" x14ac:dyDescent="0.2">
      <c r="A2" s="333"/>
      <c r="B2" s="330"/>
      <c r="D2" s="334"/>
    </row>
    <row r="3" spans="1:26" s="44" customFormat="1" x14ac:dyDescent="0.2">
      <c r="A3" s="287" t="str">
        <f>IF(A2="","",IF(Disable_Video_Hyperlinks,A2,HYPERLINK(Video_website&amp;A2,A2)))</f>
        <v/>
      </c>
      <c r="D3" s="315"/>
    </row>
    <row r="4" spans="1:26" x14ac:dyDescent="0.2">
      <c r="A4" s="307" t="str">
        <f>IF(B2="","",B2)</f>
        <v/>
      </c>
      <c r="D4" s="6"/>
      <c r="E4" s="32"/>
    </row>
    <row r="5" spans="1:26" x14ac:dyDescent="0.2">
      <c r="A5" s="33"/>
      <c r="D5" s="6"/>
      <c r="E5" s="32"/>
    </row>
    <row r="6" spans="1:26" x14ac:dyDescent="0.2">
      <c r="A6" s="33" t="s">
        <v>69</v>
      </c>
      <c r="D6" s="6">
        <f>-PMT(10%/12,3*12,3600,0,0)</f>
        <v>116.16187389781494</v>
      </c>
      <c r="E6" s="32" t="s">
        <v>68</v>
      </c>
    </row>
    <row r="7" spans="1:26" x14ac:dyDescent="0.2">
      <c r="B7" s="2" t="s">
        <v>67</v>
      </c>
      <c r="C7" s="5" t="s">
        <v>92</v>
      </c>
    </row>
    <row r="8" spans="1:26" x14ac:dyDescent="0.2">
      <c r="B8" s="2" t="s">
        <v>65</v>
      </c>
      <c r="C8" s="5" t="s">
        <v>91</v>
      </c>
    </row>
    <row r="9" spans="1:26" x14ac:dyDescent="0.2">
      <c r="B9" s="2" t="s">
        <v>63</v>
      </c>
      <c r="C9" s="5" t="s">
        <v>62</v>
      </c>
    </row>
    <row r="10" spans="1:26" x14ac:dyDescent="0.2">
      <c r="B10" s="1" t="s">
        <v>61</v>
      </c>
      <c r="C10" s="5" t="s">
        <v>60</v>
      </c>
    </row>
    <row r="11" spans="1:26" x14ac:dyDescent="0.2">
      <c r="B11" s="1" t="s">
        <v>59</v>
      </c>
      <c r="C11" s="5" t="s">
        <v>58</v>
      </c>
    </row>
    <row r="12" spans="1:26" x14ac:dyDescent="0.2">
      <c r="C12" s="5" t="s">
        <v>57</v>
      </c>
    </row>
    <row r="14" spans="1:26" ht="26.25" customHeight="1" x14ac:dyDescent="0.2">
      <c r="B14" s="369" t="s">
        <v>308</v>
      </c>
      <c r="C14" s="369"/>
      <c r="D14" s="369"/>
      <c r="E14" s="369"/>
      <c r="F14" s="369"/>
      <c r="H14" s="34" t="s">
        <v>90</v>
      </c>
      <c r="I14" s="34" t="s">
        <v>89</v>
      </c>
      <c r="Z14" s="43"/>
    </row>
    <row r="15" spans="1:26" x14ac:dyDescent="0.2">
      <c r="B15" s="369"/>
      <c r="C15" s="369"/>
      <c r="D15" s="369"/>
      <c r="E15" s="369"/>
      <c r="F15" s="369"/>
      <c r="H15" s="29" t="s">
        <v>88</v>
      </c>
      <c r="I15" s="204">
        <v>1</v>
      </c>
    </row>
    <row r="16" spans="1:26" x14ac:dyDescent="0.2">
      <c r="B16" s="369"/>
      <c r="C16" s="369"/>
      <c r="D16" s="369"/>
      <c r="E16" s="369"/>
      <c r="F16" s="369"/>
      <c r="H16" s="29" t="s">
        <v>87</v>
      </c>
      <c r="I16" s="204">
        <v>2</v>
      </c>
    </row>
    <row r="17" spans="1:9" x14ac:dyDescent="0.2">
      <c r="B17" s="369"/>
      <c r="C17" s="369"/>
      <c r="D17" s="369"/>
      <c r="E17" s="369"/>
      <c r="F17" s="369"/>
      <c r="H17" s="29" t="s">
        <v>86</v>
      </c>
      <c r="I17" s="204">
        <v>4</v>
      </c>
    </row>
    <row r="18" spans="1:9" x14ac:dyDescent="0.2">
      <c r="B18" s="369"/>
      <c r="C18" s="369"/>
      <c r="D18" s="369"/>
      <c r="E18" s="369"/>
      <c r="F18" s="369"/>
      <c r="H18" s="29" t="s">
        <v>85</v>
      </c>
      <c r="I18" s="204">
        <v>12</v>
      </c>
    </row>
    <row r="19" spans="1:9" x14ac:dyDescent="0.2">
      <c r="B19" s="369"/>
      <c r="C19" s="369"/>
      <c r="D19" s="369"/>
      <c r="E19" s="369"/>
      <c r="F19" s="369"/>
      <c r="H19" s="29" t="s">
        <v>84</v>
      </c>
      <c r="I19" s="204">
        <v>26</v>
      </c>
    </row>
    <row r="20" spans="1:9" x14ac:dyDescent="0.2">
      <c r="B20" s="369"/>
      <c r="C20" s="369"/>
      <c r="D20" s="369"/>
      <c r="E20" s="369"/>
      <c r="F20" s="369"/>
      <c r="H20" s="29" t="s">
        <v>83</v>
      </c>
      <c r="I20" s="204">
        <v>52</v>
      </c>
    </row>
    <row r="21" spans="1:9" x14ac:dyDescent="0.2">
      <c r="B21" s="369"/>
      <c r="C21" s="369"/>
      <c r="D21" s="369"/>
      <c r="E21" s="369"/>
      <c r="F21" s="369"/>
      <c r="H21" s="29" t="s">
        <v>82</v>
      </c>
      <c r="I21" s="204">
        <v>365</v>
      </c>
    </row>
    <row r="22" spans="1:9" x14ac:dyDescent="0.2">
      <c r="I22" s="140"/>
    </row>
    <row r="24" spans="1:9" x14ac:dyDescent="0.2">
      <c r="A24" s="2" t="s">
        <v>52</v>
      </c>
      <c r="D24" s="30"/>
    </row>
    <row r="25" spans="1:9" x14ac:dyDescent="0.2">
      <c r="B25" s="1" t="s">
        <v>39</v>
      </c>
      <c r="D25" s="192">
        <v>0.1</v>
      </c>
    </row>
    <row r="26" spans="1:9" x14ac:dyDescent="0.2">
      <c r="B26" s="1" t="s">
        <v>49</v>
      </c>
      <c r="D26" s="191">
        <v>3600</v>
      </c>
    </row>
    <row r="27" spans="1:9" x14ac:dyDescent="0.2">
      <c r="B27" s="1" t="s">
        <v>48</v>
      </c>
      <c r="D27" s="193">
        <v>3</v>
      </c>
    </row>
    <row r="28" spans="1:9" x14ac:dyDescent="0.2">
      <c r="B28" s="1" t="s">
        <v>47</v>
      </c>
      <c r="D28" s="197">
        <v>12</v>
      </c>
    </row>
    <row r="29" spans="1:9" x14ac:dyDescent="0.2">
      <c r="D29" s="26"/>
    </row>
    <row r="30" spans="1:9" x14ac:dyDescent="0.2">
      <c r="B30" s="1" t="s">
        <v>46</v>
      </c>
      <c r="D30" s="195">
        <v>0</v>
      </c>
    </row>
    <row r="31" spans="1:9" x14ac:dyDescent="0.2">
      <c r="B31" s="1" t="s">
        <v>45</v>
      </c>
      <c r="D31" s="196">
        <v>0</v>
      </c>
    </row>
    <row r="32" spans="1:9" ht="13.5" thickBot="1" x14ac:dyDescent="0.25">
      <c r="D32" s="15"/>
    </row>
    <row r="33" spans="2:4" x14ac:dyDescent="0.2">
      <c r="B33" s="5" t="s">
        <v>44</v>
      </c>
      <c r="D33" s="20">
        <f>-PMT(D25/D28,D27*D28,D26,D30,D31)</f>
        <v>116.16187389781494</v>
      </c>
    </row>
  </sheetData>
  <mergeCells count="1">
    <mergeCell ref="B14:F21"/>
  </mergeCells>
  <pageMargins left="0.75" right="0.75" top="1" bottom="1" header="0.5" footer="0.5"/>
  <pageSetup scale="77"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BDBE-ECE3-4FF6-9311-660BD7F511E9}">
  <sheetPr codeName="Sheet30"/>
  <dimension ref="A1:B4"/>
  <sheetViews>
    <sheetView zoomScale="160" zoomScaleNormal="160" workbookViewId="0"/>
  </sheetViews>
  <sheetFormatPr defaultRowHeight="12.75" x14ac:dyDescent="0.2"/>
  <sheetData>
    <row r="1" spans="1:2" ht="21" x14ac:dyDescent="0.35">
      <c r="A1" s="323" t="s">
        <v>251</v>
      </c>
    </row>
    <row r="2" spans="1:2" s="308" customFormat="1" hidden="1" x14ac:dyDescent="0.2">
      <c r="B2" s="325">
        <f>SUM('FV_Options:Compounding-Advanced'!B2)</f>
        <v>1.5219907407407408E-2</v>
      </c>
    </row>
    <row r="3" spans="1:2" x14ac:dyDescent="0.2">
      <c r="A3" s="324" t="str">
        <f>Video_Lengths_Description</f>
        <v xml:space="preserve">Length of video clips in this segment: </v>
      </c>
    </row>
    <row r="4" spans="1:2" x14ac:dyDescent="0.2">
      <c r="A4" s="307">
        <f>IF(B2="","",B2)</f>
        <v>1.5219907407407408E-2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8</vt:i4>
      </vt:variant>
    </vt:vector>
  </HeadingPairs>
  <TitlesOfParts>
    <vt:vector size="41" baseType="lpstr">
      <vt:lpstr>Documentation</vt:lpstr>
      <vt:lpstr>Interest</vt:lpstr>
      <vt:lpstr>_PMT</vt:lpstr>
      <vt:lpstr>Arguments</vt:lpstr>
      <vt:lpstr>Cell_references</vt:lpstr>
      <vt:lpstr>Validation</vt:lpstr>
      <vt:lpstr>_CashFlows</vt:lpstr>
      <vt:lpstr>Units of Time</vt:lpstr>
      <vt:lpstr>_FV</vt:lpstr>
      <vt:lpstr>FV_Options</vt:lpstr>
      <vt:lpstr>FV_Perspective</vt:lpstr>
      <vt:lpstr>Compounding</vt:lpstr>
      <vt:lpstr>Compounding-Advanced</vt:lpstr>
      <vt:lpstr>_PV</vt:lpstr>
      <vt:lpstr>PV_Perspective</vt:lpstr>
      <vt:lpstr>RATE1</vt:lpstr>
      <vt:lpstr>PV_Proof</vt:lpstr>
      <vt:lpstr>NPV</vt:lpstr>
      <vt:lpstr>_RATE</vt:lpstr>
      <vt:lpstr>IRR</vt:lpstr>
      <vt:lpstr>NPER1</vt:lpstr>
      <vt:lpstr>NPER</vt:lpstr>
      <vt:lpstr>Options1</vt:lpstr>
      <vt:lpstr>Options2</vt:lpstr>
      <vt:lpstr>_Goal_Seek</vt:lpstr>
      <vt:lpstr>_Amortization</vt:lpstr>
      <vt:lpstr>Amort_Functions</vt:lpstr>
      <vt:lpstr>Amort_Arithmetic</vt:lpstr>
      <vt:lpstr>CashFlow</vt:lpstr>
      <vt:lpstr>Depreciation</vt:lpstr>
      <vt:lpstr>High</vt:lpstr>
      <vt:lpstr>Low</vt:lpstr>
      <vt:lpstr>_Key</vt:lpstr>
      <vt:lpstr>Capital</vt:lpstr>
      <vt:lpstr>Disable_Video_Hyperlinks</vt:lpstr>
      <vt:lpstr>element_designator</vt:lpstr>
      <vt:lpstr>_Key!HW_Name</vt:lpstr>
      <vt:lpstr>Last_Modified</vt:lpstr>
      <vt:lpstr>Life</vt:lpstr>
      <vt:lpstr>Salvage</vt:lpstr>
      <vt:lpstr>TOC</vt:lpstr>
    </vt:vector>
  </TitlesOfParts>
  <Company>UNC Kenan Flagler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Day</dc:creator>
  <cp:lastModifiedBy>Travis Day</cp:lastModifiedBy>
  <dcterms:created xsi:type="dcterms:W3CDTF">2007-10-29T19:51:56Z</dcterms:created>
  <dcterms:modified xsi:type="dcterms:W3CDTF">2022-07-25T17:03:59Z</dcterms:modified>
</cp:coreProperties>
</file>