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2228"/>
  <workbookPr defaultThemeVersion="124226"/>
  <bookViews>
    <workbookView xWindow="28680" yWindow="-120" windowWidth="29040" windowHeight="15840" activeTab="1"/>
  </bookViews>
  <sheets>
    <sheet name="Sheet1" sheetId="1" r:id="rId1"/>
    <sheet name="Sheet2" sheetId="2" r:id="rId2"/>
    <sheet name="Sheet3" sheetId="3" r:id="rId3"/>
  </sheets>
</workbook>
</file>

<file path=xl/sharedStrings.xml><?xml version="1.0" encoding="utf-8"?>
<sst xmlns="http://schemas.openxmlformats.org/spreadsheetml/2006/main" uniqueCount="368" count="368">
  <si>
    <t>土地面积</t>
  </si>
  <si>
    <t>总容积率</t>
  </si>
  <si>
    <t>独立公建计容面积&amp;占地面积</t>
  </si>
  <si>
    <t>限高</t>
  </si>
  <si>
    <t>80m</t>
  </si>
  <si>
    <t>限层</t>
  </si>
  <si>
    <t>绿地率</t>
  </si>
  <si>
    <t>预售条件</t>
  </si>
  <si>
    <t>经验数据：预售条件对规划的影响</t>
  </si>
  <si>
    <t>营销要求 - 售楼部面积</t>
  </si>
  <si>
    <t>1200㎡</t>
  </si>
  <si>
    <t>营销要求 - 商业配套</t>
  </si>
  <si>
    <t>营销要求 - 户配</t>
  </si>
  <si>
    <t>营销要求 - 沿街商铺进深和层数</t>
  </si>
  <si>
    <t>12米，1层</t>
  </si>
  <si>
    <t>集团标准住宅层高</t>
  </si>
  <si>
    <t>洋房：
2.9米  140㎡以下（不含140㎡）
2.95米 140㎡（含）~160㎡（不含）
3.15米 160㎡及以上（含180㎡）
别墅：
总高15米以内：非BJ760系列
总高15~20米之间：BJ760系列</t>
  </si>
  <si>
    <t>集团各区域停车位控制性指标</t>
  </si>
  <si>
    <t>temp（中间量）</t>
  </si>
  <si>
    <t>value（值）</t>
  </si>
  <si>
    <t>input（输入）</t>
  </si>
  <si>
    <t>output(输出)</t>
  </si>
  <si>
    <t>2种形状输出给下一阶段，在图形布置中任选其一。</t>
  </si>
  <si>
    <t>选择1200㎡的标准图</t>
  </si>
  <si>
    <t>商铺理论面积 - 消化差值 = 1485 - 298</t>
  </si>
  <si>
    <t>原则：高层洋房分为3个楼层段，越矮越有利于经济效应：
1.小于等于11层（一般不会小于6层）；
2.大于11层且小于等于18层；
3.大于18层（且按照国家现在新规范一定小于等于28层，实际工作常取值26层）。
这3个楼层段，有2个核心阈值，分别是“11层”和“18层”。另外2个非核心阈值，但有很强的对照意义，是“6层”和“26层”。
先分析判断并设置层数（确保整个项目经济效应提升的大方向正确），再调整栋数（确保计容面积大方向正确），再进行层数微调（确保计容面积无浪费或缺失。）
平均层数处于1：没有优化空间了
平均层数处于2：可以将部分楼栋（哪个面积段的楼栋会成为优先选择楼栋，方法种类很多，评估标准也有很多角度，方法暂无定论）(楼栋数暂不确定，需要反复验证)先下降变成11层，其他楼栋相应调高楼层（最高18层）(楼栋数暂不确定，且楼层高度也不一致，需要反复验证)，满足户数和计容面积，以计容面积与 【剩余可用于“住宅”的理论面积】最接近为最优。
平均层数处于3：【方法同2】可以将部分楼栋（哪个面积段的楼栋会成为优先选择楼栋，方法种类很多，评估标准也有很多角度，方法暂无定论）(楼栋数暂不确定，需要反复验证)先下降变为18层，其他楼栋相应调高楼层（最高26层，在本项目最高25层，因为限层）(楼栋数暂不确定，且楼层高度也不一致，但一般统一面积段尽量维持一致高度，需要反复验证)，满足户数和计容面积，以计容面积与 【剩余可用于“住宅”的理论面积】最接近为最优。
人工速算结果：1.180㎡ 3栋全部为18层   2.140㎡ 4栋为24层  3.140㎡  1栋为25层  4.115㎡  7栋全部为25层                                                              总塔楼计容面积为93570㎡，最接近【剩余可用于“住宅”的理论面积】93615㎡。
【备注：本文所述的在不改变各面积段楼栋数的条件下形成高低配的方法，其层数是否卡着11层或18层，还是做到比11层更低、比18层更低，会因为财务回款、出图时效的改变而改变。但无非就是多设置几种最低楼层数的阈值。】
平均层数处于2或3的情况下，还有一种楼层调整做法：【假设处于3】
a.将所有楼层全部先升高到最高层数，也就是26层或限层中的较低值，本项目为25层.
b.将楼栋一栋一栋逐栋直接变为18层，直到总计容面积最接近 【剩余可用于“住宅”的理论面积】93615㎡，但又不小于此值。
c.选择在18层各面积段楼栋数最少的面积段楼型将它们整体一层一层往下调，直到最接近93615㎡。
d.再在 c 中涉及的楼栋中抽出一栋，进行楼层增减，确保总计容面积进一步接近93615㎡。但如果这一栋楼只增减了1层，那直接放弃此修改，宁愿保留c过程留下的面积差。放在下一步通过沿街商铺来填补或消化。完毕。
速算暂定结果为：1.180㎡  3栋全部为17层  2.140㎡  5栋全部为25层  3.115㎡  7栋全部为25层
总塔楼计容面积为93610㎡，最接近【剩余可用于“住宅”的理论面积】93615㎡。</t>
  </si>
  <si>
    <t>综合楼售楼部标准图选择sales department standard map selection</t>
  </si>
  <si>
    <t>塔楼建筑密度tower density</t>
  </si>
  <si>
    <t>洋房高低配详细楼层调整（算法求解）high and low side floor height adjustment</t>
  </si>
  <si>
    <t>确定楼型的楼层段轮廓图the floor segment of a building type</t>
  </si>
  <si>
    <t>商铺实际计容面积（消化差值）the actual size of the shop</t>
  </si>
  <si>
    <t>面宽：98.92m
进深（营销要求）：12m
层数（营销要求）：1层</t>
  </si>
  <si>
    <t>计算：
商铺实际计容面积/进深=1187㎡/12=98.92m=面宽
98.92/1层=98.92m</t>
  </si>
  <si>
    <t>商铺面宽和进深和层数shop width and depth and number of floors</t>
  </si>
  <si>
    <t>我们可能遇到的开售条件是：
1.展示区园林及售楼部完成【楼高无影响；地下室有影响，要回避地下室】
2.住宅楼主体结构的1/3【对楼高有影响，尽量矮；对地下室有影响，先开盘楼栋要回避地下室】
3.住宅楼主体结构的2/3【对楼高有影响，尽量矮；对地下室有影响，先开盘楼栋要回避地下室】
4.住宅楼主体结构封顶【对楼高有影响，尽量矮；对地下室有影响，先开盘楼栋要回避地下室】
5.交房标准施工完毕【对楼高有影响，尽量矮；对地下室有影响，先开盘楼栋要回避地下室】
6.地下室顶板结构完成或场地正负零完成【楼高无影响。地下室有影响，先开盘楼栋要回避地下室】
7.完成特定比例的投资额度，并拿到施工证即可申请预售【楼高无影响。地下室无影响。】                                  8.其他与工程建设进度无关的要求，拿到施工证即可申请预售【楼高无影响。地下室无影响。】</t>
  </si>
  <si>
    <r>
      <t xml:space="preserve">1187㎡
</t>
    </r>
    <r>
      <rPr>
        <charset val="134"/>
        <sz val="11"/>
        <color rgb="FF7E62A1"/>
        <rFont val="宋体"/>
      </rPr>
      <t>指标算法最后消化商铺差值阶段，可能是负值，也可能是正值。
 - 当商铺为负值，则意味需要砍掉一些住宅楼，将面积给到商铺，那么就从占比最多的住宅楼降楼层，降楼层的方式如高低配相同。
 - 当商铺为正值，则意味着需要砍掉一些商铺，把这些面积堆到住宅楼里面，那么就从楼层段内楼层差最大的户型开始，比如： 大于18层段，限高为26层，当前指标全部都只是23层，差3层；18层段，当前指标全都是17层，差1层；基于上述情况，则将商铺多余面积堆到大于18层的户型中去。楼层差的优先级大于差异性，差异性是指同个户型内的楼层差异，如户型为140的两栋分别为16、18，而户型为180的一栋为15，则优先升高户型为180的一栋。</t>
    </r>
  </si>
  <si>
    <t>高低配最新逻辑：（2019.9.27）
1、每个户型的平均层数先升到所在层数段的最高楼层数，如15、16、17变为18、18、18；
2、选择栋数最少的户型先逐栋跳段下降，如18变为11；
3、一旦跳段后塔楼总面积小于目标塔楼面积，计算塔楼总面积减去目标塔楼面积的差值：
（1）若正的当前户型一层楼面积的一半&lt;差值，则保留11、11、11，并针对下一类户型进行跳段；
（2）若负的当前户型一层楼面积的一半&lt;=差值&lt;=正的当前户型一层楼面积的一半，则停止高低配，此时层数为最终层数，如户型为140的层数为11、11、11，此时差值的绝对值小于或等于140，则11、11、11为最终层数；
（3）若负的当前户型一层楼面积的一半&gt;差值，就退回11、11、18，计算此时塔楼总面积减去目标塔楼面积的差值，再把此差值除以该户型一层的面积，得出的值除以该户型剩下没降段的栋数，这样没降段的那几栋平摊继续要降的层数，取四舍五入，如户型为140的三栋退回为11、18、18时与目标面积的差值为1600平米，则1600/（140*2）=5.71，然后剩下两栋没降段，故剩下两栋各需要降5.71/2=2.86，四舍五入就是3层，同时降到15层，即没有触及禁用层，若降完层数触及禁用层，则要把层数提升到比禁用层高一层，然后与没退回前的情况相比较谁更接近目标面积，如11、14、14升为11、15、15与11、11、18相比较(把前面跳段过的栋数进行逐栋逐层地降，如11、11、18变为10、11、18，然后再变10、10、18，10、10、17， 再10、10、16，再10、10、15，直到当前户型全部不能再往下降层数，则对比10、10、15和11、11、11哪个更接近目标)，取最接近目标的那一套数据直到最接近目标面积。
备注：每个楼层段都有常规禁用楼层。比如：18层段的，理论上是12~18层均可，但常规禁用楼层是12、13、14层。大于18层段的，理论是19~33层，但常规禁用楼层19、20、21、22层。 11层段的，理论可以7~11层，但常规禁用楼层为7、8、9层。</t>
  </si>
  <si>
    <t>给定小区公配</t>
  </si>
  <si>
    <t>展示区园林及售楼部完成【楼高无影响；地下室有影响，要回避地下室】。</t>
  </si>
  <si>
    <t>20000㎡</t>
  </si>
  <si>
    <t>8000㎡</t>
  </si>
  <si>
    <t>1000㎡</t>
  </si>
  <si>
    <t>28层</t>
  </si>
  <si>
    <t>总计0㎡，包含：
1.泳池更衣室0㎡
2.永久私家会所0㎡
3.凤凰优选0㎡</t>
  </si>
  <si>
    <t>180㎡户型：10%
140㎡户型：20%
115㎡户型：30%
85㎡户型：40%</t>
  </si>
  <si>
    <t>一般都是以下几种：
35㎡
34㎡
32㎡
30㎡
这个例子是35㎡。</t>
  </si>
  <si>
    <t>每户人口</t>
  </si>
  <si>
    <t>每100㎡人口</t>
  </si>
  <si>
    <t>住宅首层架空</t>
  </si>
  <si>
    <t>不架空</t>
  </si>
  <si>
    <t>&lt;=</t>
  </si>
  <si>
    <t>土地条件中沿街商铺面积      B</t>
  </si>
  <si>
    <t>&gt;=</t>
  </si>
  <si>
    <t>营销要求：沿街商铺面积(㎡)  C</t>
  </si>
  <si>
    <t>=</t>
  </si>
  <si>
    <t>判断一：若仅 B 为空或为0，则判断 C in A if true, C=C, or else C=C且“公寓”=A-C</t>
  </si>
  <si>
    <t>在A扣减公寓面积，公寓扣完之后才在C的沿街商铺继续扣面积，除非扣减后不满足上述AB条件才去住宅里面扣减</t>
  </si>
  <si>
    <t>判断二：若仅 A 为空或为0，则判断 C in B if true, C=C, or else C=B</t>
  </si>
  <si>
    <t>在C扣减商铺面积，除非扣减后不满足上述AB条件才去住宅里面扣减</t>
  </si>
  <si>
    <t>判断三：若 A和B 都为空，则 C=C</t>
  </si>
  <si>
    <t>在单元格C16中扣完商业面积后，在C扣减商铺面积，除非商铺面积不足或为0，才去住宅里面扣减</t>
  </si>
  <si>
    <t>判断四：若 A和B 都不为空，则执行下两行判断：</t>
  </si>
  <si>
    <t>C in B if true, C=C，or else C=B</t>
  </si>
  <si>
    <t>在单元格C16中扣完商业面积后，在C扣减商铺面积，除非扣减后不满足上述AB条件才去住宅里面扣减</t>
  </si>
  <si>
    <t>C in A if true, C=C, or else C=C &amp;“公寓”=A-C</t>
  </si>
  <si>
    <t>B in A if true, B=B &amp; A=A &amp; C=C, or else B=B &amp; A=A &amp; C=C &amp;“公寓”=A-C</t>
  </si>
  <si>
    <t>当C&gt;=A,商业计容=C, or else 商业计容=A</t>
  </si>
  <si>
    <t>商业计容=C</t>
  </si>
  <si>
    <t>商业计容面积（政府要求）    A</t>
  </si>
  <si>
    <t>公配名称</t>
  </si>
  <si>
    <t>计算基数(下拉选项)</t>
  </si>
  <si>
    <t>单位（下拉选项）</t>
  </si>
  <si>
    <t>系数（㎡）</t>
  </si>
  <si>
    <t>给定固定面积（㎡）</t>
  </si>
  <si>
    <t>转换为每㎡（前端页面不显示）</t>
  </si>
  <si>
    <t>公配A</t>
  </si>
  <si>
    <t>户数</t>
  </si>
  <si>
    <t>每户</t>
  </si>
  <si>
    <t>-</t>
  </si>
  <si>
    <t>根据每户x㎡公配换算</t>
  </si>
  <si>
    <t>公配B</t>
  </si>
  <si>
    <t>人</t>
  </si>
  <si>
    <t>每人</t>
  </si>
  <si>
    <t>根据每户3.2人换算</t>
  </si>
  <si>
    <t>公配C</t>
  </si>
  <si>
    <t>每千人</t>
  </si>
  <si>
    <t>根据每100㎡3.5人换算</t>
  </si>
  <si>
    <t>系数/户均面积=0.001746725</t>
  </si>
  <si>
    <t>系数/户均面积/每户人口=0.00279476</t>
  </si>
  <si>
    <t>系数/（100/每100㎡人口*1000）=0.00175</t>
  </si>
  <si>
    <t>公厕</t>
  </si>
  <si>
    <t>不含小区配套的所有计容面积</t>
  </si>
  <si>
    <t>每100㎡</t>
  </si>
  <si>
    <t>社区用房</t>
  </si>
  <si>
    <t>不含小区配套和独立公建的所有计容</t>
  </si>
  <si>
    <t>配电房</t>
  </si>
  <si>
    <t>商业计容</t>
  </si>
  <si>
    <t>安防监控室</t>
  </si>
  <si>
    <t>总计容</t>
  </si>
  <si>
    <t>每㎡</t>
  </si>
  <si>
    <t>老年人活动室</t>
  </si>
  <si>
    <t>住宅计容</t>
  </si>
  <si>
    <t>托儿所</t>
  </si>
  <si>
    <t>物管用房</t>
  </si>
  <si>
    <t>总建面</t>
  </si>
  <si>
    <t>小区某公配1</t>
  </si>
  <si>
    <t>小区某公配2</t>
  </si>
  <si>
    <t>名称（自动生成名称，任意修改）</t>
  </si>
  <si>
    <t>计算基数（下拉选项）</t>
  </si>
  <si>
    <t>系数（辆）</t>
  </si>
  <si>
    <t>地上车位率</t>
  </si>
  <si>
    <t>车位面积</t>
  </si>
  <si>
    <t>给定车位数（辆）</t>
  </si>
  <si>
    <t>停车位1</t>
  </si>
  <si>
    <t>独立公建</t>
  </si>
  <si>
    <t>停车位2</t>
  </si>
  <si>
    <t>小区公配</t>
  </si>
  <si>
    <t>停车位3</t>
  </si>
  <si>
    <t>停车位4</t>
  </si>
  <si>
    <t>停车位5 访客车位</t>
  </si>
  <si>
    <t>停车位4的另外一种入参</t>
  </si>
  <si>
    <t>住宅户数</t>
  </si>
  <si>
    <t>单位（填写项）</t>
  </si>
  <si>
    <t>停车位4的第三种入参</t>
  </si>
  <si>
    <t>住宅户数-按面积段</t>
  </si>
  <si>
    <t>每户面积120≤x</t>
  </si>
  <si>
    <t>每户面积90≤x＜120</t>
  </si>
  <si>
    <t>每户面积x＜90</t>
  </si>
  <si>
    <t>配置表（固定的配置表，用户无法更改）</t>
  </si>
  <si>
    <t>编号</t>
  </si>
  <si>
    <t>前端名称</t>
  </si>
  <si>
    <t>对应内容</t>
  </si>
  <si>
    <t>小区公配</t>
  </si>
  <si>
    <t>商业计容</t>
  </si>
  <si>
    <t>住宅计容</t>
  </si>
  <si>
    <t>居住类业态，一般指代洋房和别墅这2类</t>
  </si>
  <si>
    <t>不含小区配套的所有计容</t>
  </si>
  <si>
    <t>不含2的剩余计容面积</t>
  </si>
  <si>
    <t>不含小区配套和独立公建的所有计容</t>
  </si>
  <si>
    <t>不含1和2的剩余计容面积</t>
  </si>
  <si>
    <t>不含独立公建的所有计容</t>
  </si>
  <si>
    <t>不含1的剩余计容面积</t>
  </si>
  <si>
    <t>总建面</t>
  </si>
  <si>
    <t>总计容</t>
  </si>
  <si>
    <t>非住宅计容</t>
  </si>
  <si>
    <t>户数</t>
  </si>
  <si>
    <t>人</t>
  </si>
  <si>
    <t>非独立的商铺、酒店、写字楼、公寓等商业业态（一般只是沿街商铺和公
寓），包含给定的商业和需要换算的商业2部分</t>
  </si>
  <si>
    <t>系数/100=0.005</t>
  </si>
  <si>
    <t>系数/100=0.004</t>
  </si>
  <si>
    <t>系数/100=0.003</t>
  </si>
  <si>
    <t>系数/1=0.003</t>
  </si>
  <si>
    <t>系数/1=0.012</t>
  </si>
  <si>
    <t>系数/100=0.008</t>
  </si>
  <si>
    <t>系数/100=0.001</t>
  </si>
  <si>
    <t>填写在前端入参的独立公建，固定值，
可能属于商业计容或者教育计容等</t>
  </si>
  <si>
    <t>需要算法换算的公配，含物管，细分
类型繁多</t>
  </si>
  <si>
    <t>小区所有建筑面积（计容+不计容），
其中不计容需要换算得到</t>
  </si>
  <si>
    <t>项目总计容面积，一般满容设计的话，
则是固定值</t>
  </si>
  <si>
    <t>总计容面积-全部住宅计容面积</t>
  </si>
  <si>
    <t>每㎡计容
所需地库
车位面积
（前端不
显示）</t>
  </si>
  <si>
    <t>每㎡所需车
位数（前端
不显示）</t>
  </si>
  <si>
    <t>地下车位
率（前端
不显示）</t>
  </si>
  <si>
    <t>系数/户均面积
=0.008733624</t>
  </si>
  <si>
    <t>每㎡所需车位数*地
下停车率*车位面积
=0.27510917</t>
  </si>
  <si>
    <t>每㎡计容所需地库
车位面积（前端不
显示）</t>
  </si>
  <si>
    <t>系数/100=0.012</t>
  </si>
  <si>
    <t>系数/100=0.015</t>
  </si>
  <si>
    <t>系数/100=0.01</t>
  </si>
  <si>
    <t>每㎡所需车位数*地下停车率*车位面积=0.378</t>
  </si>
  <si>
    <t>每㎡所需车位数*地下停车率*车位面积=0.4725</t>
  </si>
  <si>
    <t>每㎡所需车位数*地下停车率*车位面积=0.315</t>
  </si>
  <si>
    <t>根据要求，初始的商业计容=2000㎡</t>
  </si>
  <si>
    <t>政府要求的商业计容和沿街商铺一定优先于营销需求</t>
  </si>
  <si>
    <t>计算基数的业态（针对业态）</t>
  </si>
  <si>
    <t>面积基数</t>
  </si>
  <si>
    <t>总计</t>
  </si>
  <si>
    <t>对应增配
的公配1</t>
  </si>
  <si>
    <t>计容（公配+
非公配）</t>
  </si>
  <si>
    <t>每㎡需增配计容公配面积系数（取自入参）</t>
  </si>
  <si>
    <t>基数*系数=40</t>
  </si>
  <si>
    <t>基数*系数=10</t>
  </si>
  <si>
    <t>基数*系数=8</t>
  </si>
  <si>
    <t>基数*系数=150</t>
  </si>
  <si>
    <t>基数+对应增配=8000+40=8040</t>
  </si>
  <si>
    <t>基数+对应增配=2000+10=2010</t>
  </si>
  <si>
    <t>基数+对应增配=2000+8=2008</t>
  </si>
  <si>
    <t>对应增配累加=208</t>
  </si>
  <si>
    <t>备注：如果入参的时候，某个小区配套的计算基数是专门针对“商业计容”的，则这项小区公配面积被打包进入基数中，例如配电房，仅由商业计容得出，所以公配+非公配为2000</t>
  </si>
  <si>
    <t>基数*系数=6
（向上取整）</t>
  </si>
  <si>
    <t>名称</t>
  </si>
  <si>
    <t>计算基数的业态</t>
  </si>
  <si>
    <t>每户增配x个车位</t>
  </si>
  <si>
    <t>地上车位率%</t>
  </si>
  <si>
    <t>地下车位率%</t>
  </si>
  <si>
    <t>每车位x㎡</t>
  </si>
  <si>
    <t>所有公配</t>
  </si>
  <si>
    <t>商业业态</t>
  </si>
  <si>
    <t>所需车位数=面积基数*每㎡所需车位数</t>
  </si>
  <si>
    <t>每㎡计容所需地库车位面积系数（取自于入参换算的）</t>
  </si>
  <si>
    <t>地上车位数量=所需车位数*地上车位率</t>
  </si>
  <si>
    <t>地下车位数量=所需车位数*地下车位率</t>
  </si>
  <si>
    <t>地下车位面积=地下车位数量*每车位x㎡</t>
  </si>
  <si>
    <t>每㎡所需车位数（取自于入参换算的）</t>
  </si>
  <si>
    <t>上述所有建面（计容+不计容地库，即已参与公配计算的所有建筑面积）</t>
  </si>
  <si>
    <t>每㎡建面需增配的公配系数（物业用房）</t>
  </si>
  <si>
    <t>对应增配的公配(物业用房)=面积基数*系数</t>
  </si>
  <si>
    <t>再次增配的地上车位数量=再次增配的
总车位数量*地上车位率</t>
  </si>
  <si>
    <t>再次增配的地
下车位数量=再次增配的
总车位数量*地下车位率</t>
  </si>
  <si>
    <t>再次增配的车
库车位面积=地下车位数量*每车位x㎡</t>
  </si>
  <si>
    <t>计算业态(商业计容+独立公建+给定的小区共配+已计算的所有公配+已计算的所有车位面积)</t>
  </si>
  <si>
    <t>固定数值业态所需增配数据</t>
  </si>
  <si>
    <t>增配总计</t>
  </si>
  <si>
    <t>总计：</t>
  </si>
  <si>
    <t>计容面积增配(含物管)=已计算的所有增配+物管面积</t>
  </si>
  <si>
    <t>不计容面积增配（车库）=已计算业态对应的车库面积+物管对应的车库面积</t>
  </si>
  <si>
    <t>地下车位数量=已
计算业态对应的地
下车位+物管对应
的地下车位</t>
  </si>
  <si>
    <t>地上车位数量=已计算业态对应的地上车位+物管对应的地上车位</t>
  </si>
  <si>
    <t>扣除上述增配后</t>
  </si>
  <si>
    <t>剩余打包=其他打包(内部分配:住宅+对应的公配)-计容面积增配(含物管)=39000-223.71628</t>
  </si>
  <si>
    <t>每㎡需增配计容公配面积系数</t>
  </si>
  <si>
    <t>住宅业态(打包内的，含公配)</t>
  </si>
  <si>
    <t>每㎡需增配计容公配
面积系数（取自于入参换算）</t>
  </si>
  <si>
    <t>每㎡计容面积中包含非物管公配</t>
  </si>
  <si>
    <t>非物管公配面积</t>
  </si>
  <si>
    <t>主营业态面积</t>
  </si>
  <si>
    <t>非物管的所有公配</t>
  </si>
  <si>
    <t>不包含物管的住宅公配(此处为了提供住宅初始值，后面计算有真实住宅面积配)</t>
  </si>
  <si>
    <t>再次增配的总车位数量=对应增配的公配*公配对应的每㎡所需车位数</t>
  </si>
  <si>
    <t>非物管公配面
积=每㎡计容面积中包含非物管公配的系数*基数</t>
  </si>
  <si>
    <t>每㎡计容面积中
包含非物管公配系数=系数/（系数+1）</t>
  </si>
  <si>
    <t>每㎡计容面积中包含主营业态面积系数=1/（系数+1）</t>
  </si>
  <si>
    <t>主营业态面积=
每㎡计容面积中
包含主营业态面
积系数*基数</t>
  </si>
  <si>
    <t>备注：这里是为
了分离出打包内
纯住宅面积给遗
传算法和高低配
参考</t>
  </si>
  <si>
    <t>每㎡需增配计容公配
面积系数（住宅各公配系数累加）</t>
  </si>
  <si>
    <t>计算初始腿数和层数（考虑住宅首层架空与否）</t>
  </si>
  <si>
    <t>理论户数(不取整）</t>
  </si>
  <si>
    <t>全盘</t>
  </si>
  <si>
    <t>户型面积段</t>
  </si>
  <si>
    <t>住宅主营业态面积/入参的户均面积=327.1131896</t>
  </si>
  <si>
    <t>理论总户数*对应户配比=32.71131896</t>
  </si>
  <si>
    <t>理论总户数*对应户配比=65.42263792</t>
  </si>
  <si>
    <t>理论总户数*对应户配比=98.13395688</t>
  </si>
  <si>
    <t>理论总户数*对应户配比=130.8452758</t>
  </si>
  <si>
    <t>标准层理论最
高层(不取整)=限高/对应面积段层高</t>
  </si>
  <si>
    <t>如果首层架空，则标准层理论最高层数减一，否则不变(不取整）</t>
  </si>
  <si>
    <t>理论腿数(不取整)
(用于遗传算法的损失函数)=对应面积段的理论户数/考虑架空后的理论最高层</t>
  </si>
  <si>
    <t>输出：选定楼型及数量</t>
  </si>
  <si>
    <t>楼型层高(前端从户型库中提取数据）</t>
  </si>
  <si>
    <t>栋数</t>
  </si>
  <si>
    <t>混拼户型1</t>
  </si>
  <si>
    <t>混拼户型2</t>
  </si>
  <si>
    <t>混拼户型3</t>
  </si>
  <si>
    <t>混拼户型4</t>
  </si>
  <si>
    <t>入参：总理论腿数、各户型理论腿数、
待选楼型</t>
  </si>
  <si>
    <t>遗传算法选楼(不改变层数)</t>
  </si>
  <si>
    <t>标准层理论最高层（向下取整）</t>
  </si>
  <si>
    <t>考虑首层是否架空后 
标准层理论最高层数(向下取整）</t>
  </si>
  <si>
    <t>高低配算法</t>
  </si>
  <si>
    <t>入参：遗传算法出来的选定楼型及数量、选定楼型的所有层段真实户型等</t>
  </si>
  <si>
    <t>输出：每栋楼层数、最终各户型户数、
最终住宅面积</t>
  </si>
  <si>
    <t>优化后层数</t>
  </si>
  <si>
    <t>按停车位换算所需面积段重新统计户数</t>
  </si>
  <si>
    <t>实际计容面积
（实际优化算法里面带入真实面积来计算，每栋楼相同户型的真实面积是不一样的，详细统计公式会比本excel复杂一些）</t>
  </si>
  <si>
    <t>户型</t>
  </si>
  <si>
    <t>120≤x</t>
  </si>
  <si>
    <t>90≤x＜120</t>
  </si>
  <si>
    <t>x＜90</t>
  </si>
  <si>
    <t>*如果有住宅首层架空，则大堂面积增量，需要从现在的15㎡每栋楼改为100㎡每栋楼；如无住宅首层架空，则维持15㎡增量的大堂面积。</t>
  </si>
  <si>
    <t>15（大堂面积）</t>
  </si>
  <si>
    <t>*如果实际住宅面积大于理论面积，则去商业面积中拿面积。如果商业面积被拿了之后，不满足土地条件的要求，则强行在实际住宅中砍掉一层让实际面积小于理论面积。</t>
  </si>
  <si>
    <t>该户型户数=累加
(该户型每层的户
数*对应的层数)</t>
  </si>
  <si>
    <t>18*2+0*2=36</t>
  </si>
  <si>
    <t>23*2+18*1=64</t>
  </si>
  <si>
    <t>24*2+23*2=96</t>
  </si>
  <si>
    <t>24*2+23*2=142</t>
  </si>
  <si>
    <t>1+1+1+1+1=4</t>
  </si>
  <si>
    <t>所有户数累加=36
+64+96+142=338</t>
  </si>
  <si>
    <t>户配百分比=
该户型户数/
总户数</t>
  </si>
  <si>
    <t>对应增配的公配1</t>
  </si>
  <si>
    <t>纯住宅业态(打包内不含公配)</t>
  </si>
  <si>
    <t>计算基数（户|人|千人）</t>
  </si>
  <si>
    <t>公配面积系数</t>
  </si>
  <si>
    <t>总户数*每户人口
=338*3.2=1081.6</t>
  </si>
  <si>
    <t>住宅面积/每100㎡
人口*3.5=1.35135</t>
  </si>
  <si>
    <t>每㎡需增配计容公配面
积系数(取自于入参)</t>
  </si>
  <si>
    <t>多余或欠缺的住宅面积（含公配）=打包面积(含公配)-高低配后实际住宅面积-高低配后实际住宅面积对应的增配面积</t>
  </si>
  <si>
    <t>备注：每户人口和每100㎡人口只能传一个，这里只是为了显示怎么算基数</t>
  </si>
  <si>
    <t>备注：每户人口和每100㎡人口只能传一个</t>
  </si>
  <si>
    <t>多余的住宅面积（含公配）</t>
  </si>
  <si>
    <t>每㎡计容面积中包
含主营业态面积</t>
  </si>
  <si>
    <t>每㎡需增配计容公配面积系数(同上住宅公配系数)</t>
  </si>
  <si>
    <t>第二批次增配的小区公配总计</t>
  </si>
  <si>
    <t>第二批次的小区计容总计</t>
  </si>
  <si>
    <t>所需车位数</t>
  </si>
  <si>
    <t>地上车位数量</t>
  </si>
  <si>
    <t>地下车位数量</t>
  </si>
  <si>
    <t>地下车位面积</t>
  </si>
  <si>
    <t>停车位2</t>
  </si>
  <si>
    <t>每㎡所需车位数</t>
  </si>
  <si>
    <t>备注：三种停车位入参只能选择一种</t>
  </si>
  <si>
    <t>所有公配=非住宅所有的增配+住宅对应的增配</t>
  </si>
  <si>
    <t>商业业态=欠缺的住宅面积（因为欠缺的插值要由商业来消化，负的话就要从之前的车位扣）</t>
  </si>
  <si>
    <t>每㎡计容所需地
库车位面积系数</t>
  </si>
  <si>
    <t>住宅实际户数</t>
  </si>
  <si>
    <t>住宅业态（不含公配）</t>
  </si>
  <si>
    <t>每户面积90≤x＜120（面积大于90、小于120的户数）</t>
  </si>
  <si>
    <t>每户面积x＜90（面积小于90的户数）</t>
  </si>
  <si>
    <t>每户面积120≤x（面积大于120的户数）</t>
  </si>
  <si>
    <t>计算业态</t>
  </si>
  <si>
    <t>每㎡建面需增配的公配
2系数（物业用房）</t>
  </si>
  <si>
    <t>对应增配的公配2
(物业用房)</t>
  </si>
  <si>
    <t>再次增配的总车位
数量</t>
  </si>
  <si>
    <t>再次增配的地
上车位数量</t>
  </si>
  <si>
    <t>再次增配的地下
车位数量</t>
  </si>
  <si>
    <t>再次增配的车库
车位面积</t>
  </si>
  <si>
    <t>上述所有建面（计容+不计容地库）=住宅打包面积+住宅对应的车位面积</t>
  </si>
  <si>
    <t>第二批次数据总结</t>
  </si>
  <si>
    <t>内部分配的计容面积对应的所有数据</t>
  </si>
  <si>
    <t>业态名称</t>
  </si>
  <si>
    <t>当前值</t>
  </si>
  <si>
    <t>校正值</t>
  </si>
  <si>
    <t>最终值</t>
  </si>
  <si>
    <t>高低配后准确的住宅业态</t>
  </si>
  <si>
    <t>非物管公配</t>
  </si>
  <si>
    <t>地下车库面积</t>
  </si>
  <si>
    <t>地上车位</t>
  </si>
  <si>
    <t>地下车位</t>
  </si>
  <si>
    <t>总车位</t>
  </si>
  <si>
    <t>备注：当多余住宅面积减去物管用房为负时，高低配后的住宅业态需要加上这个负值，否则等于它本身</t>
  </si>
  <si>
    <t>全项目换算公配面积汇总</t>
  </si>
  <si>
    <t>公配分类</t>
  </si>
  <si>
    <t>差值</t>
  </si>
  <si>
    <t>专门针对“商业计容”的公配，且打包在商业计容中的公配（不参与修正）</t>
  </si>
  <si>
    <t>参与再次校正的数据汇总</t>
  </si>
  <si>
    <t>给定的小区公配</t>
  </si>
  <si>
    <t>校正最终值（统一向上取整来校正）</t>
  </si>
  <si>
    <t>最终汇总、取整、校正</t>
  </si>
  <si>
    <t>数据汇总</t>
  </si>
  <si>
    <t>汇总数值</t>
  </si>
  <si>
    <t>总计容面积（㎡）</t>
  </si>
  <si>
    <t>C商铺面积（㎡）</t>
  </si>
  <si>
    <t>独立公建（㎡）</t>
  </si>
  <si>
    <t>全项目的所有公配（含物管和给定公配，但不含专门针对“商业计容”且打包在商业计容中的公配）（㎡）</t>
  </si>
  <si>
    <t>住宅业态（㎡）</t>
  </si>
  <si>
    <t>商业业态（㎡）</t>
  </si>
  <si>
    <t>地上车位(辆）</t>
  </si>
  <si>
    <t>地下车位(辆）</t>
  </si>
  <si>
    <t>总车位(辆）</t>
  </si>
  <si>
    <t>地下车库（㎡）</t>
  </si>
  <si>
    <t>需要向下取整</t>
  </si>
  <si>
    <t>总车位-地上车位</t>
  </si>
  <si>
    <t>需要向上取整</t>
  </si>
  <si>
    <t>总车位*每车位x㎡</t>
  </si>
  <si>
    <t>需要消化公配向上取整产生的差值，如果商业不能消化就住宅消化</t>
  </si>
  <si>
    <t>各面积段栋数</t>
  </si>
  <si>
    <t>∑（各面积段户型栋数*标准层户数*各户型面积）/（总土地面积-独立公建面积）</t>
  </si>
  <si>
    <t>裙楼建筑密度</t>
  </si>
  <si>
    <t>各裙楼建筑的投影面积/总土地面积</t>
  </si>
  <si>
    <t>建筑密度</t>
  </si>
  <si>
    <t>（各裙楼建筑的投影面积/总土地面积）+（∑（各面积段户型栋数*标准层户数*各户型面积）/总土地面积）</t>
  </si>
  <si>
    <t>混拼户型1 → 24层 → 选择19~33层楼层段的2户板楼楼型
混拼户型2 → 25层 → 选择19~33层楼层段的2户板楼楼型 
混拼户型3 → 25层 → 选择12~18层楼层段的2户板楼楼型</t>
  </si>
  <si>
    <t>混拼户型1 → 24层 → 选择19~33层楼层段的2户板楼楼型 → 标准层精确计容面积363㎡，首层因大堂面积差直预留15㎡。
混拼户型2 → 25层 → 选择19~33层楼层段的2户板楼楼型 → 标准层精确计容面积278㎡，首层因大堂面积差直预留15㎡。
混拼户型3 → 25层 → 选择12~18层楼层段的2户板楼楼型 → 标准层精确计容面积231㎡，首层因大堂面积差直预留15㎡。
备注：楼层段不同，总建面会有少许差异（一般每一层楼会有几平米差异），影响后续的精准面积计算，并且高楼层面积段的实用率会逐步下降，导致客户虽然产权面积一样，但实际使用面积会下降。这也是除了财务利息、运营周期 这个原因之外，另外一个要将楼层做矮的重要原因。</t>
  </si>
  <si>
    <t>2019.12.18
    当商业计容为零时，直接要令住宅实际面积小于住宅理论面积，因为大堂无法消化很大的差值；   
    当住宅实际面积大于住宅理论面积，在满足商业约束的情况下，商业可以减去这一值，遵循先减去商业中的公寓、再减商铺，如果仍然消化不完，则让大堂减去剩余的差值；
    当住宅实际面积小于住宅理论面积，在满足商铺约束的情况下，商铺可以加上这一差值，如果仍然消化不完，则让大堂加上剩余的差值。</t>
  </si>
  <si>
    <t xml:space="preserve">    为方便理解，设计文档一共分了三个部分，分别是入参、中间量和输出部分。在这里先简要说一下整体的流程，首先会确认输入的参数单位和系数，进行换算方便后面计算的引用，接着计算固定面积如商业计容和独立公建对应的公配，算完固定面积的公配就去算固定面积对应的车位及车位面积，这时有了第一阶段的建筑面积，因此能算第一阶段的物管用房，第一阶段对应的增配就由打包内的面积消化，然后把打包内的面积分离成纯住宅和住宅对应的公配，这里的纯住宅作为住宅理论面积，算出腿数、理论最高层数以及结合输入的户型传给遗传算法，遗传算法出来就走高低配，高低配（需要结合商业大堂消化差值）出来就是住宅实际面积，根据这个实际面积进行住宅对应的公配和车位进行计算，由此可以将打包面积与车位面积相加，可以算出第二阶段的物管用房，最后进行输出数据的汇总、取整以及校正，传给前端和排楼。</t>
  </si>
  <si>
    <t>备注1：每个楼层段都有常规禁用楼层。比如：18层段的，理论上是12~18层均可，但常规禁用楼12、13、14层。大于18层段的，理论是19~33层，但常规禁用楼层19、20、21、22层。11层段的，理论可以7~11层，但常规禁用楼层为7、8、9层。
当层高为3.15的面积段所有对应的层数会降一层，例如18层段的，理论上改为11~17层均可，但常规禁用楼11、12、13层，其他层段同理。</t>
  </si>
  <si>
    <t>备注2：当户配比出现
了10%以及更小的，则
高低配从栋数最小且
楼层面积最小的开始
降，因为比例小，说
明可能不好卖，优先降；若各户型户配比相差不大，则从栋数最大的以及楼层面积最大的开始降，因为这样先降户配比大的，不会对整体户配比改变太大。</t>
  </si>
  <si>
    <t>高低配最新逻辑：（2019.10.11）
1、每个户型的平均层数先升到所在层数段的最高楼层数，如15、16、17变为18、18、18；
2、选择栋数最少的户型先逐栋跳段下降，如18变为11；
3、一旦跳段后塔楼总面积小于目标塔楼面积，计算塔楼总面积减去目标塔楼面积的差值：
（1）若正的当前户型一层楼面积的一半&lt;差值，则保留11、11、11，并针对下一类户型进行跳段；
（2）若负的当前户型一层楼面积的一半&lt;=差值&lt;=正的当前户型一层楼面积的一半，则停止高低配，此时层数为最终层数，如户型为140的层数为11、11、11，此时差值的绝对值小于或等于140，则11、11、11为最终层数；
（3）若负的当前户型一层楼面积的一半&gt;差值，就退回11、11、18，计算此时塔楼总面积减去目标塔楼面积的差值，再把此差值除以该户型一层的面积，得出的值就是继续要降的层数，取四舍五入，如户型为140的三栋退回为11、18、18时与目标面积的差值为1600平米，则1600/（140*2）=5.71，四舍五入就是6层，同时降到15层，即没有触及禁用层。若降完层数触及禁用层且不是最后一个户型，如果不是最后一个户型，则该栋回升到18，去下一个户型进行降段降层，若不是只有一栋则先降前面两栋到禁用层，后降该户型最后一栋，直到满足情况，如果10、10、15时仍然不满足，则该户型升为11、11、18，让下一个户型户型去消化，下个户型看看要消化多少层，如总共要下降4层，则下个户型为16、17、17；若降完层数触及禁用层且是最后一个户型，则用10、10、15时的面积跟11、11、11比较，取最接近目标的那一套数据直到最接近目标面积，若该户型楼栋数量只有1栋，则比较该栋降层到11层和降到15层时的消化差值比较，小者取之；
（4）当最后降为10、10、10仍然不满足，也直接输出10、10、10。</t>
  </si>
</sst>
</file>

<file path=xl/styles.xml><?xml version="1.0" encoding="utf-8"?>
<styleSheet xmlns="http://schemas.openxmlformats.org/spreadsheetml/2006/main">
  <numFmts count="3">
    <numFmt numFmtId="0" formatCode="General"/>
    <numFmt numFmtId="9" formatCode="0%"/>
    <numFmt numFmtId="10" formatCode="0.00%"/>
  </numFmts>
  <fonts count="9">
    <font>
      <name val="宋体"/>
      <sz val="11"/>
    </font>
    <font>
      <name val="宋体"/>
      <charset val="134"/>
      <sz val="11"/>
      <color rgb="FFFF0000"/>
    </font>
    <font>
      <name val="宋体"/>
      <sz val="11"/>
      <color rgb="FF000000"/>
    </font>
    <font>
      <name val="宋体"/>
      <b/>
      <charset val="134"/>
      <sz val="11"/>
      <color rgb="FF000000"/>
    </font>
    <font>
      <name val="宋体"/>
      <charset val="134"/>
      <sz val="11"/>
    </font>
    <font>
      <name val="宋体"/>
      <b/>
      <charset val="134"/>
      <sz val="11"/>
      <color rgb="FFFF0000"/>
    </font>
    <font>
      <name val="宋体"/>
      <charset val="134"/>
      <sz val="11"/>
      <color rgb="FF7E62A1"/>
    </font>
    <font>
      <name val="宋体"/>
      <b/>
      <charset val="134"/>
      <sz val="18"/>
      <color rgb="FF000000"/>
    </font>
    <font>
      <name val="宋体"/>
      <sz val="11"/>
      <color rgb="FFFF0000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1" fillId="0" borderId="0" xfId="0" applyFont="1" applyAlignment="1">
      <alignment vertical="bottom" wrapText="1"/>
    </xf>
    <xf numFmtId="0" fontId="2" fillId="0" borderId="0" xfId="0" applyAlignment="1">
      <alignment vertical="bottom" wrapText="1"/>
    </xf>
    <xf numFmtId="0" fontId="1" fillId="0" borderId="0" xfId="0" applyFont="1" applyAlignment="1">
      <alignment vertical="bottom" wrapText="1"/>
    </xf>
    <xf numFmtId="0" fontId="2" fillId="0" borderId="0" xfId="0" applyAlignment="1">
      <alignment vertical="bottom" wrapText="1"/>
    </xf>
    <xf numFmtId="0" fontId="2" fillId="0" borderId="0" xfId="0" applyAlignment="1">
      <alignment horizontal="left" vertical="top" wrapText="1"/>
    </xf>
    <xf numFmtId="9" fontId="2" fillId="0" borderId="0" xfId="0" applyNumberFormat="1" applyAlignment="1">
      <alignment horizontal="left" vertical="top" wrapText="1"/>
    </xf>
    <xf numFmtId="0" fontId="2" fillId="0" borderId="0" xfId="0" applyAlignment="1">
      <alignment horizontal="left" vertical="top" wrapText="1"/>
    </xf>
    <xf numFmtId="0" fontId="2" fillId="0" borderId="1" xfId="0" applyBorder="1">
      <alignment vertical="center"/>
    </xf>
    <xf numFmtId="0" fontId="2" fillId="0" borderId="1" xfId="0" applyBorder="1" applyAlignment="1">
      <alignment horizontal="left" vertical="center"/>
    </xf>
    <xf numFmtId="0" fontId="2" fillId="0" borderId="2" xfId="0" applyBorder="1" applyAlignment="1">
      <alignment horizontal="left" vertical="top" wrapText="1"/>
    </xf>
    <xf numFmtId="0" fontId="2" fillId="0" borderId="1" xfId="0" applyBorder="1" applyAlignment="1">
      <alignment vertical="center" wrapText="1"/>
    </xf>
    <xf numFmtId="0" fontId="2" fillId="2" borderId="1" xfId="0" applyFill="1" applyBorder="1">
      <alignment vertical="center"/>
    </xf>
    <xf numFmtId="0" fontId="2" fillId="2" borderId="1" xfId="0" applyFill="1" applyBorder="1" applyAlignment="1">
      <alignment horizontal="left" vertical="center"/>
    </xf>
    <xf numFmtId="0" fontId="2" fillId="2" borderId="1" xfId="0" applyFill="1" applyBorder="1" applyAlignment="1">
      <alignment vertical="center" wrapText="1"/>
    </xf>
    <xf numFmtId="0" fontId="2" fillId="2" borderId="3" xfId="0" applyFill="1" applyBorder="1" applyAlignment="1">
      <alignment horizontal="left" vertical="center"/>
    </xf>
    <xf numFmtId="0" fontId="2" fillId="2" borderId="4" xfId="0" applyFill="1" applyBorder="1" applyAlignment="1">
      <alignment horizontal="left" vertical="center"/>
    </xf>
    <xf numFmtId="0" fontId="2" fillId="2" borderId="1" xfId="0" applyFill="1" applyBorder="1" applyAlignment="1">
      <alignment horizontal="left" vertical="center"/>
    </xf>
    <xf numFmtId="0" fontId="2" fillId="0" borderId="0" xfId="0">
      <alignment vertical="center"/>
    </xf>
    <xf numFmtId="0" fontId="2" fillId="3" borderId="1" xfId="0" applyFill="1" applyBorder="1" applyAlignment="1">
      <alignment horizontal="center" vertical="center"/>
    </xf>
    <xf numFmtId="0" fontId="2" fillId="4" borderId="1" xfId="0" applyFill="1" applyBorder="1">
      <alignment vertical="center"/>
    </xf>
    <xf numFmtId="0" fontId="2" fillId="3" borderId="1" xfId="0" applyFill="1" applyBorder="1">
      <alignment vertical="center"/>
    </xf>
    <xf numFmtId="0" fontId="2" fillId="3" borderId="1" xfId="0" applyFill="1" applyBorder="1" applyAlignment="1">
      <alignment horizontal="left" vertical="center"/>
    </xf>
    <xf numFmtId="9" fontId="2" fillId="0" borderId="1" xfId="0" applyNumberFormat="1" applyBorder="1" applyAlignment="1">
      <alignment horizontal="left" vertical="center"/>
    </xf>
    <xf numFmtId="0" fontId="2" fillId="3" borderId="1" xfId="0" applyFill="1" applyBorder="1" applyAlignment="1">
      <alignment horizontal="left" vertical="center" wrapText="1"/>
    </xf>
    <xf numFmtId="9" fontId="2" fillId="3" borderId="1" xfId="0" applyNumberForma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9" fontId="2" fillId="0" borderId="1" xfId="0" applyNumberFormat="1" applyBorder="1" applyAlignment="1">
      <alignment horizontal="left" vertical="center"/>
    </xf>
    <xf numFmtId="0" fontId="2" fillId="0" borderId="1" xfId="0" applyBorder="1" applyAlignment="1">
      <alignment horizontal="left" vertical="center"/>
    </xf>
    <xf numFmtId="9" fontId="2" fillId="3" borderId="3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9" fontId="2" fillId="3" borderId="4" xfId="0" applyNumberFormat="1" applyFill="1" applyBorder="1" applyAlignment="1">
      <alignment horizontal="center" vertical="center"/>
    </xf>
    <xf numFmtId="9" fontId="2" fillId="3" borderId="5" xfId="0" applyNumberFormat="1" applyFill="1" applyBorder="1" applyAlignment="1">
      <alignment horizontal="center" vertical="center"/>
    </xf>
    <xf numFmtId="0" fontId="2" fillId="3" borderId="1" xfId="0" applyFill="1" applyBorder="1" applyAlignment="1">
      <alignment horizontal="center" vertical="center" wrapText="1"/>
    </xf>
    <xf numFmtId="0" fontId="2" fillId="0" borderId="0" xfId="0" applyAlignment="1">
      <alignment vertical="top" wrapText="1"/>
    </xf>
    <xf numFmtId="0" fontId="2" fillId="0" borderId="1" xfId="0" applyBorder="1" applyAlignment="1">
      <alignment horizontal="center" vertical="center"/>
    </xf>
    <xf numFmtId="0" fontId="2" fillId="0" borderId="1" xfId="0" applyBorder="1" applyAlignment="1">
      <alignment horizontal="left" vertical="center" wrapText="1"/>
    </xf>
    <xf numFmtId="0" fontId="2" fillId="0" borderId="1" xfId="0" applyBorder="1" applyAlignment="1">
      <alignment horizontal="center" vertical="center" wrapText="1"/>
    </xf>
    <xf numFmtId="0" fontId="2" fillId="5" borderId="1" xfId="0" applyFill="1" applyBorder="1" applyAlignment="1">
      <alignment horizontal="left" vertical="center"/>
    </xf>
    <xf numFmtId="0" fontId="2" fillId="6" borderId="1" xfId="0" applyFill="1" applyBorder="1" applyAlignment="1">
      <alignment horizontal="left" vertical="center"/>
    </xf>
    <xf numFmtId="0" fontId="2" fillId="4" borderId="1" xfId="0" applyFill="1" applyBorder="1" applyAlignment="1">
      <alignment horizontal="left" vertical="center"/>
    </xf>
    <xf numFmtId="0" fontId="2" fillId="5" borderId="1" xfId="0" applyFill="1" applyBorder="1" applyAlignment="1">
      <alignment horizontal="left" vertical="center" wrapText="1"/>
    </xf>
    <xf numFmtId="0" fontId="2" fillId="0" borderId="0" xfId="0" applyBorder="1">
      <alignment vertical="center"/>
    </xf>
    <xf numFmtId="0" fontId="2" fillId="4" borderId="0" xfId="0" applyFill="1" applyBorder="1" applyAlignment="1">
      <alignment horizontal="left" vertical="center" wrapText="1"/>
    </xf>
    <xf numFmtId="0" fontId="2" fillId="3" borderId="0" xfId="0" applyFill="1" applyBorder="1" applyAlignment="1">
      <alignment horizontal="left" vertical="center"/>
    </xf>
    <xf numFmtId="0" fontId="2" fillId="5" borderId="0" xfId="0" applyFill="1" applyBorder="1" applyAlignment="1">
      <alignment horizontal="left" vertical="center" wrapText="1"/>
    </xf>
    <xf numFmtId="0" fontId="2" fillId="5" borderId="0" xfId="0" applyFill="1" applyBorder="1" applyAlignment="1">
      <alignment horizontal="left" vertical="center"/>
    </xf>
    <xf numFmtId="0" fontId="2" fillId="0" borderId="6" xfId="0" applyBorder="1" applyAlignment="1">
      <alignment horizontal="center" vertical="center"/>
    </xf>
    <xf numFmtId="0" fontId="2" fillId="0" borderId="7" xfId="0" applyBorder="1" applyAlignment="1">
      <alignment horizontal="center" vertical="center"/>
    </xf>
    <xf numFmtId="0" fontId="2" fillId="0" borderId="0" xfId="0" applyBorder="1" applyAlignment="1">
      <alignment horizontal="left" vertical="center"/>
    </xf>
    <xf numFmtId="0" fontId="2" fillId="0" borderId="1" xfId="0" applyBorder="1" applyAlignment="1">
      <alignment horizontal="center" vertical="center" wrapText="1"/>
    </xf>
    <xf numFmtId="0" fontId="2" fillId="0" borderId="1" xfId="0" applyBorder="1" applyAlignment="1">
      <alignment horizontal="left" vertical="center"/>
    </xf>
    <xf numFmtId="0" fontId="2" fillId="3" borderId="1" xfId="0" applyFill="1" applyBorder="1" applyAlignment="1" quotePrefix="1">
      <alignment horizontal="left" vertical="center"/>
    </xf>
    <xf numFmtId="0" fontId="2" fillId="0" borderId="0" xfId="0" applyBorder="1" applyAlignment="1">
      <alignment horizontal="left" vertical="center" wrapText="1"/>
    </xf>
    <xf numFmtId="0" fontId="2" fillId="0" borderId="1" xfId="0" applyBorder="1" applyAlignment="1">
      <alignment horizontal="center" vertical="center"/>
    </xf>
    <xf numFmtId="0" fontId="2" fillId="0" borderId="0" xfId="0" applyAlignment="1">
      <alignment vertical="center" wrapText="1"/>
    </xf>
    <xf numFmtId="0" fontId="2" fillId="4" borderId="1" xfId="0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2" fillId="0" borderId="1" xfId="0" applyBorder="1" applyAlignment="1">
      <alignment horizontal="left" vertical="center" wrapText="1"/>
    </xf>
    <xf numFmtId="0" fontId="2" fillId="0" borderId="3" xfId="0" applyBorder="1" applyAlignment="1">
      <alignment horizontal="left" vertical="center" wrapText="1"/>
    </xf>
    <xf numFmtId="0" fontId="2" fillId="0" borderId="8" xfId="0" applyBorder="1" applyAlignment="1">
      <alignment horizontal="left" vertical="center"/>
    </xf>
    <xf numFmtId="0" fontId="2" fillId="0" borderId="9" xfId="0" applyBorder="1" applyAlignment="1">
      <alignment horizontal="left" vertical="center"/>
    </xf>
    <xf numFmtId="0" fontId="2" fillId="0" borderId="10" xfId="0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 wrapText="1"/>
    </xf>
    <xf numFmtId="0" fontId="2" fillId="0" borderId="4" xfId="0" applyBorder="1" applyAlignment="1">
      <alignment horizontal="left" vertical="center"/>
    </xf>
    <xf numFmtId="0" fontId="2" fillId="0" borderId="11" xfId="0" applyBorder="1" applyAlignment="1">
      <alignment horizontal="left" vertical="center"/>
    </xf>
    <xf numFmtId="0" fontId="2" fillId="0" borderId="12" xfId="0" applyBorder="1" applyAlignment="1">
      <alignment horizontal="left" vertical="center"/>
    </xf>
    <xf numFmtId="0" fontId="2" fillId="0" borderId="13" xfId="0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 wrapText="1"/>
    </xf>
    <xf numFmtId="0" fontId="2" fillId="0" borderId="5" xfId="0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 wrapText="1"/>
    </xf>
    <xf numFmtId="10" fontId="2" fillId="3" borderId="1" xfId="0" applyNumberFormat="1" applyFill="1" applyBorder="1" applyAlignment="1">
      <alignment horizontal="left" vertical="center"/>
    </xf>
    <xf numFmtId="10" fontId="2" fillId="0" borderId="1" xfId="0" applyNumberForma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top" wrapText="1"/>
    </xf>
    <xf numFmtId="0" fontId="2" fillId="0" borderId="2" xfId="0" applyBorder="1" applyAlignment="1">
      <alignment horizontal="left" vertical="center" wrapText="1"/>
    </xf>
    <xf numFmtId="0" fontId="2" fillId="0" borderId="6" xfId="0" applyBorder="1" applyAlignment="1">
      <alignment horizontal="left" vertical="center"/>
    </xf>
    <xf numFmtId="0" fontId="2" fillId="0" borderId="14" xfId="0" applyBorder="1" applyAlignment="1">
      <alignment horizontal="left" vertical="center"/>
    </xf>
    <xf numFmtId="0" fontId="2" fillId="0" borderId="7" xfId="0" applyBorder="1" applyAlignment="1">
      <alignment horizontal="left" vertical="center"/>
    </xf>
    <xf numFmtId="0" fontId="2" fillId="5" borderId="6" xfId="0" applyFill="1" applyBorder="1" applyAlignment="1">
      <alignment horizontal="left" vertical="center"/>
    </xf>
    <xf numFmtId="0" fontId="2" fillId="5" borderId="7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0" borderId="14" xfId="0" applyBorder="1" applyAlignment="1">
      <alignment horizontal="center" vertical="center"/>
    </xf>
    <xf numFmtId="0" fontId="2" fillId="0" borderId="0" xfId="0" applyBorder="1" applyAlignment="1">
      <alignment horizontal="center" vertical="center"/>
    </xf>
    <xf numFmtId="9" fontId="2" fillId="4" borderId="1" xfId="0" applyNumberFormat="1" applyFill="1" applyBorder="1" applyAlignment="1">
      <alignment horizontal="left" vertical="center"/>
    </xf>
    <xf numFmtId="0" fontId="2" fillId="0" borderId="6" xfId="0" applyBorder="1" applyAlignment="1">
      <alignment horizontal="left" vertical="center"/>
    </xf>
    <xf numFmtId="0" fontId="2" fillId="0" borderId="14" xfId="0" applyBorder="1" applyAlignment="1">
      <alignment horizontal="left" vertical="center"/>
    </xf>
    <xf numFmtId="0" fontId="2" fillId="0" borderId="7" xfId="0" applyBorder="1" applyAlignment="1">
      <alignment horizontal="left" vertical="center"/>
    </xf>
    <xf numFmtId="0" fontId="2" fillId="0" borderId="6" xfId="0" applyBorder="1">
      <alignment vertical="center"/>
    </xf>
    <xf numFmtId="0" fontId="2" fillId="0" borderId="14" xfId="0" applyBorder="1">
      <alignment vertical="center"/>
    </xf>
    <xf numFmtId="0" fontId="2" fillId="0" borderId="7" xfId="0" applyBorder="1">
      <alignment vertical="center"/>
    </xf>
    <xf numFmtId="0" fontId="2" fillId="0" borderId="2" xfId="0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0" borderId="3" xfId="0" applyBorder="1" applyAlignment="1">
      <alignment horizontal="left" vertical="center"/>
    </xf>
    <xf numFmtId="0" fontId="2" fillId="0" borderId="4" xfId="0" applyBorder="1" applyAlignment="1">
      <alignment horizontal="left" vertical="center" wrapText="1"/>
    </xf>
    <xf numFmtId="0" fontId="2" fillId="0" borderId="5" xfId="0" applyBorder="1" applyAlignment="1">
      <alignment horizontal="left" vertical="center" wrapText="1"/>
    </xf>
    <xf numFmtId="0" fontId="8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0" fontId="2" fillId="0" borderId="0" xfId="0" applyNumberFormat="1" applyAlignment="1">
      <alignment horizontal="left" vertical="top" wrapText="1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37287</xdr:colOff>
      <xdr:row>106</xdr:row>
      <xdr:rowOff>164752</xdr:rowOff>
    </xdr:from>
    <xdr:to>
      <xdr:col>13</xdr:col>
      <xdr:colOff>66453</xdr:colOff>
      <xdr:row>108</xdr:row>
      <xdr:rowOff>12055</xdr:rowOff>
    </xdr:to>
    <xdr:sp macro="" textlink="">
      <xdr:nvSpPr>
        <xdr:cNvPr id="2" name="rect"/>
        <xdr:cNvSpPr/>
      </xdr:nvSpPr>
      <xdr:spPr>
        <a:xfrm>
          <a:off x="40624124" y="26755724"/>
          <a:ext cx="5467352" cy="190500"/>
        </a:xfrm>
        <a:prstGeom prst="rect">
          <a:avLst/>
        </a:prstGeom>
        <a:noFill/>
        <a:ln w="38100" cap="flat" cmpd="sng">
          <a:solidFill>
            <a:srgbClr val="000000"/>
          </a:solidFill>
          <a:prstDash val="sysDash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37287</xdr:colOff>
      <xdr:row>114</xdr:row>
      <xdr:rowOff>139303</xdr:rowOff>
    </xdr:from>
    <xdr:to>
      <xdr:col>13</xdr:col>
      <xdr:colOff>66453</xdr:colOff>
      <xdr:row>116</xdr:row>
      <xdr:rowOff>0</xdr:rowOff>
    </xdr:to>
    <xdr:sp macro="" textlink="">
      <xdr:nvSpPr>
        <xdr:cNvPr id="3" name="borderCallout3"/>
        <xdr:cNvSpPr/>
      </xdr:nvSpPr>
      <xdr:spPr>
        <a:xfrm>
          <a:off x="40624124" y="28451174"/>
          <a:ext cx="5467352" cy="190502"/>
        </a:xfrm>
        <a:prstGeom prst="borderCallout3">
          <a:avLst/>
        </a:prstGeom>
        <a:noFill/>
        <a:ln w="38100" cap="flat" cmpd="sng">
          <a:solidFill>
            <a:srgbClr val="000000"/>
          </a:solidFill>
          <a:prstDash val="sysDash"/>
          <a:miter/>
          <a:headEnd type="oval" w="med" len="med"/>
          <a:tailEnd type="triangl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26101</xdr:colOff>
      <xdr:row>110</xdr:row>
      <xdr:rowOff>0</xdr:rowOff>
    </xdr:from>
    <xdr:to>
      <xdr:col>13</xdr:col>
      <xdr:colOff>55377</xdr:colOff>
      <xdr:row>111</xdr:row>
      <xdr:rowOff>12055</xdr:rowOff>
    </xdr:to>
    <xdr:sp macro="" textlink="">
      <xdr:nvSpPr>
        <xdr:cNvPr id="4" name="borderCallout3"/>
        <xdr:cNvSpPr/>
      </xdr:nvSpPr>
      <xdr:spPr>
        <a:xfrm>
          <a:off x="40612920" y="27422472"/>
          <a:ext cx="5467912" cy="212914"/>
        </a:xfrm>
        <a:prstGeom prst="borderCallout3">
          <a:avLst/>
        </a:prstGeom>
        <a:noFill/>
        <a:ln w="38100" cap="flat" cmpd="sng">
          <a:solidFill>
            <a:srgbClr val="000000"/>
          </a:solidFill>
          <a:prstDash val="sysDash"/>
          <a:miter/>
          <a:headEnd type="oval" w="med" len="med"/>
          <a:tailEnd type="triangl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556"/>
  <sheetViews>
    <sheetView workbookViewId="0">
      <selection activeCell="C8" sqref="C8"/>
    </sheetView>
  </sheetViews>
  <sheetFormatPr defaultRowHeight="13.5" defaultColWidth="10"/>
  <cols>
    <col min="1" max="1" customWidth="1" width="31.125" style="0"/>
    <col min="2" max="2" customWidth="1" width="49.875" style="0"/>
    <col min="3" max="3" customWidth="1" width="48.125" style="0"/>
    <col min="4" max="4" customWidth="1" width="33.875" style="0"/>
    <col min="5" max="5" customWidth="1" width="16.25" style="0"/>
    <col min="6" max="6" customWidth="1" width="36.625" style="0"/>
    <col min="7" max="7" customWidth="1" width="20.125" style="0"/>
    <col min="8" max="8" customWidth="1" width="14.5" style="0"/>
    <col min="9" max="9" customWidth="1" width="8.125" style="0"/>
    <col min="10" max="10" customWidth="1" width="20.875" style="0"/>
  </cols>
  <sheetData>
    <row r="1" spans="8:8" ht="59.25" customHeight="1">
      <c r="A1" s="1" t="s">
        <v>364</v>
      </c>
      <c r="B1" s="2"/>
      <c r="C1" s="2"/>
      <c r="D1" s="2"/>
      <c r="E1" s="2"/>
      <c r="F1" s="2"/>
    </row>
    <row r="2" spans="8:8" ht="22.5" customHeight="1">
      <c r="A2" s="3"/>
      <c r="B2" s="4"/>
      <c r="C2" s="4"/>
      <c r="D2" s="4"/>
      <c r="E2" s="4"/>
      <c r="F2" s="4"/>
    </row>
    <row r="3" spans="8:8" s="5" ht="13.5" customFormat="1">
      <c r="A3" s="5" t="s">
        <v>20</v>
      </c>
      <c r="B3" s="5" t="s">
        <v>19</v>
      </c>
    </row>
    <row r="4" spans="8:8" s="5" ht="13.5" customFormat="1">
      <c r="A4" s="5" t="s">
        <v>0</v>
      </c>
      <c r="B4" s="5" t="s">
        <v>39</v>
      </c>
    </row>
    <row r="5" spans="8:8" s="5" ht="13.5" customFormat="1">
      <c r="A5" s="5" t="s">
        <v>1</v>
      </c>
      <c r="B5" s="5">
        <v>2.5</v>
      </c>
    </row>
    <row r="6" spans="8:8" s="5" ht="14.25" customFormat="1" customHeight="1">
      <c r="A6" s="5" t="s">
        <v>2</v>
      </c>
      <c r="B6" s="5" t="s">
        <v>40</v>
      </c>
    </row>
    <row r="7" spans="8:8" s="5" ht="15.0" customFormat="1" customHeight="1">
      <c r="A7" s="5" t="s">
        <v>37</v>
      </c>
      <c r="B7" s="5" t="s">
        <v>41</v>
      </c>
    </row>
    <row r="8" spans="8:8" s="5" ht="13.5" customFormat="1">
      <c r="A8" s="5" t="s">
        <v>3</v>
      </c>
      <c r="B8" s="5" t="s">
        <v>4</v>
      </c>
    </row>
    <row r="9" spans="8:8" s="5" ht="13.5" customFormat="1">
      <c r="A9" s="5" t="s">
        <v>5</v>
      </c>
      <c r="B9" s="5" t="s">
        <v>42</v>
      </c>
    </row>
    <row r="10" spans="8:8" s="5" ht="13.5" customFormat="1">
      <c r="A10" s="5" t="s">
        <v>6</v>
      </c>
      <c r="B10" s="6">
        <v>0.2</v>
      </c>
    </row>
    <row r="11" spans="8:8" s="5" ht="27.0" customFormat="1">
      <c r="A11" s="5" t="s">
        <v>7</v>
      </c>
      <c r="B11" s="5" t="s">
        <v>38</v>
      </c>
    </row>
    <row r="12" spans="8:8" s="5" ht="229.5" customFormat="1">
      <c r="A12" s="5" t="s">
        <v>8</v>
      </c>
      <c r="B12" s="5" t="s">
        <v>34</v>
      </c>
    </row>
    <row r="13" spans="8:8" s="5" ht="13.5" customFormat="1">
      <c r="A13" s="5" t="s">
        <v>9</v>
      </c>
      <c r="B13" s="5" t="s">
        <v>10</v>
      </c>
    </row>
    <row r="14" spans="8:8" s="5" ht="54.0" customFormat="1">
      <c r="A14" s="5" t="s">
        <v>11</v>
      </c>
      <c r="B14" s="5" t="s">
        <v>43</v>
      </c>
    </row>
    <row r="15" spans="8:8" s="5" ht="54.0" customFormat="1">
      <c r="A15" s="5" t="s">
        <v>12</v>
      </c>
      <c r="B15" s="5" t="s">
        <v>44</v>
      </c>
    </row>
    <row r="16" spans="8:8" s="5" ht="13.5" customFormat="1">
      <c r="A16" s="5" t="s">
        <v>13</v>
      </c>
      <c r="B16" s="5" t="s">
        <v>14</v>
      </c>
    </row>
    <row r="17" spans="8:8" s="5" ht="94.5" customFormat="1">
      <c r="A17" s="5" t="s">
        <v>15</v>
      </c>
      <c r="B17" s="5" t="s">
        <v>16</v>
      </c>
    </row>
    <row r="18" spans="8:8" s="5" ht="81.0" customFormat="1">
      <c r="A18" s="5" t="s">
        <v>17</v>
      </c>
      <c r="B18" s="5" t="s">
        <v>45</v>
      </c>
    </row>
    <row r="19" spans="8:8" s="5" ht="13.5" customFormat="1">
      <c r="A19" s="5" t="s">
        <v>46</v>
      </c>
      <c r="B19" s="5">
        <v>3.2</v>
      </c>
      <c r="C19" s="7" t="s">
        <v>288</v>
      </c>
    </row>
    <row r="20" spans="8:8" s="5" ht="13.5" customFormat="1">
      <c r="A20" s="5" t="s">
        <v>47</v>
      </c>
      <c r="B20" s="5">
        <v>3.5</v>
      </c>
      <c r="C20" s="7"/>
    </row>
    <row r="21" spans="8:8" s="5" ht="13.5" customFormat="1">
      <c r="A21" s="5" t="s">
        <v>48</v>
      </c>
      <c r="B21" s="5" t="s">
        <v>49</v>
      </c>
    </row>
    <row r="23" spans="8:8" s="5" ht="16.5" customFormat="1" customHeight="1">
      <c r="A23" s="8" t="s">
        <v>68</v>
      </c>
      <c r="B23" s="9" t="s">
        <v>50</v>
      </c>
      <c r="C23" s="9">
        <v>20000.0</v>
      </c>
      <c r="D23" s="10" t="s">
        <v>173</v>
      </c>
    </row>
    <row r="24" spans="8:8" s="5" ht="13.5" customFormat="1">
      <c r="A24" s="11" t="s">
        <v>51</v>
      </c>
      <c r="B24" s="9" t="s">
        <v>52</v>
      </c>
      <c r="C24" s="9">
        <v>2000.0</v>
      </c>
      <c r="D24" s="10"/>
    </row>
    <row r="25" spans="8:8" s="5" ht="13.5" customFormat="1">
      <c r="A25" s="8" t="s">
        <v>53</v>
      </c>
      <c r="B25" s="9" t="s">
        <v>54</v>
      </c>
      <c r="C25" s="9">
        <v>1000.0</v>
      </c>
      <c r="D25" s="5" t="s">
        <v>172</v>
      </c>
    </row>
    <row r="26" spans="8:8" s="5" ht="27.0" customFormat="1">
      <c r="A26" s="12" t="s">
        <v>55</v>
      </c>
      <c r="B26" s="13" t="s">
        <v>66</v>
      </c>
      <c r="C26" s="14" t="s">
        <v>56</v>
      </c>
    </row>
    <row r="27" spans="8:8" s="5" ht="27.0" customFormat="1">
      <c r="A27" s="12" t="s">
        <v>57</v>
      </c>
      <c r="B27" s="15" t="s">
        <v>67</v>
      </c>
      <c r="C27" s="14" t="s">
        <v>58</v>
      </c>
    </row>
    <row r="28" spans="8:8" s="5" ht="27.0" customFormat="1">
      <c r="A28" s="12" t="s">
        <v>59</v>
      </c>
      <c r="B28" s="16"/>
      <c r="C28" s="14" t="s">
        <v>60</v>
      </c>
    </row>
    <row r="29" spans="8:8" s="5" ht="13.5" customFormat="1">
      <c r="A29" s="12" t="s">
        <v>61</v>
      </c>
      <c r="B29" s="17" t="s">
        <v>66</v>
      </c>
      <c r="C29" s="12"/>
    </row>
    <row r="30" spans="8:8" s="5" ht="27.0" customFormat="1">
      <c r="A30" s="12" t="s">
        <v>62</v>
      </c>
      <c r="B30" s="17"/>
      <c r="C30" s="14" t="s">
        <v>63</v>
      </c>
    </row>
    <row r="31" spans="8:8" s="5" ht="27.0" customFormat="1">
      <c r="A31" s="12" t="s">
        <v>64</v>
      </c>
      <c r="B31" s="17"/>
      <c r="C31" s="14" t="s">
        <v>63</v>
      </c>
    </row>
    <row r="32" spans="8:8" s="5" ht="27.0" customFormat="1">
      <c r="A32" s="12" t="s">
        <v>65</v>
      </c>
      <c r="B32" s="17"/>
      <c r="C32" s="14" t="s">
        <v>56</v>
      </c>
    </row>
    <row r="33" spans="8:8" s="5" ht="13.5" customFormat="1"/>
    <row r="34" spans="8:8" s="5" ht="13.5" customFormat="1">
      <c r="A34" s="8" t="s">
        <v>69</v>
      </c>
      <c r="B34" s="8" t="s">
        <v>70</v>
      </c>
      <c r="C34" s="8" t="s">
        <v>71</v>
      </c>
      <c r="D34" s="8" t="s">
        <v>72</v>
      </c>
      <c r="E34" s="8" t="s">
        <v>73</v>
      </c>
      <c r="F34" s="8" t="s">
        <v>74</v>
      </c>
      <c r="G34" s="18"/>
    </row>
    <row r="35" spans="8:8" s="5" ht="13.5" customFormat="1">
      <c r="A35" s="8" t="s">
        <v>75</v>
      </c>
      <c r="B35" s="8" t="s">
        <v>76</v>
      </c>
      <c r="C35" s="8" t="s">
        <v>77</v>
      </c>
      <c r="D35" s="9">
        <v>0.2</v>
      </c>
      <c r="E35" s="19" t="s">
        <v>78</v>
      </c>
      <c r="F35" s="20" t="s">
        <v>87</v>
      </c>
      <c r="G35" s="21" t="s">
        <v>79</v>
      </c>
    </row>
    <row r="36" spans="8:8" s="5" ht="13.5" customFormat="1">
      <c r="A36" s="8" t="s">
        <v>80</v>
      </c>
      <c r="B36" s="8" t="s">
        <v>81</v>
      </c>
      <c r="C36" s="8" t="s">
        <v>82</v>
      </c>
      <c r="D36" s="9">
        <v>0.1</v>
      </c>
      <c r="E36" s="19" t="s">
        <v>78</v>
      </c>
      <c r="F36" s="20" t="s">
        <v>88</v>
      </c>
      <c r="G36" s="21" t="s">
        <v>83</v>
      </c>
    </row>
    <row r="37" spans="8:8" s="5" ht="13.5" customFormat="1">
      <c r="A37" s="8" t="s">
        <v>84</v>
      </c>
      <c r="B37" s="8" t="s">
        <v>81</v>
      </c>
      <c r="C37" s="8" t="s">
        <v>85</v>
      </c>
      <c r="D37" s="9">
        <v>50.0</v>
      </c>
      <c r="E37" s="19" t="s">
        <v>78</v>
      </c>
      <c r="F37" s="20" t="s">
        <v>89</v>
      </c>
      <c r="G37" s="21" t="s">
        <v>86</v>
      </c>
    </row>
    <row r="38" spans="8:8" s="5" ht="13.5" customFormat="1"/>
    <row r="39" spans="8:8" s="5" ht="13.5" customFormat="1">
      <c r="A39" s="8" t="s">
        <v>69</v>
      </c>
      <c r="B39" s="8" t="s">
        <v>70</v>
      </c>
      <c r="C39" s="8" t="s">
        <v>71</v>
      </c>
      <c r="D39" s="8" t="s">
        <v>72</v>
      </c>
      <c r="E39" s="8" t="s">
        <v>73</v>
      </c>
      <c r="F39" s="8" t="s">
        <v>74</v>
      </c>
    </row>
    <row r="40" spans="8:8" s="5" ht="13.5" customFormat="1">
      <c r="A40" s="8" t="s">
        <v>90</v>
      </c>
      <c r="B40" s="8" t="s">
        <v>91</v>
      </c>
      <c r="C40" s="8" t="s">
        <v>92</v>
      </c>
      <c r="D40" s="9">
        <v>0.5</v>
      </c>
      <c r="E40" s="19" t="s">
        <v>78</v>
      </c>
      <c r="F40" s="22" t="s">
        <v>148</v>
      </c>
    </row>
    <row r="41" spans="8:8" s="5" ht="13.5" customFormat="1">
      <c r="A41" s="8" t="s">
        <v>93</v>
      </c>
      <c r="B41" s="8" t="s">
        <v>94</v>
      </c>
      <c r="C41" s="8" t="s">
        <v>92</v>
      </c>
      <c r="D41" s="9">
        <v>0.4</v>
      </c>
      <c r="E41" s="19" t="s">
        <v>78</v>
      </c>
      <c r="F41" s="22" t="s">
        <v>149</v>
      </c>
    </row>
    <row r="42" spans="8:8" s="5" ht="13.5" customFormat="1">
      <c r="A42" s="8" t="s">
        <v>95</v>
      </c>
      <c r="B42" s="20" t="s">
        <v>96</v>
      </c>
      <c r="C42" s="8" t="s">
        <v>92</v>
      </c>
      <c r="D42" s="9">
        <v>0.3</v>
      </c>
      <c r="E42" s="19" t="s">
        <v>78</v>
      </c>
      <c r="F42" s="22" t="s">
        <v>150</v>
      </c>
    </row>
    <row r="43" spans="8:8" s="5" ht="13.5" customFormat="1">
      <c r="A43" s="8" t="s">
        <v>97</v>
      </c>
      <c r="B43" s="8" t="s">
        <v>98</v>
      </c>
      <c r="C43" s="8" t="s">
        <v>99</v>
      </c>
      <c r="D43" s="9">
        <v>0.003</v>
      </c>
      <c r="E43" s="19" t="s">
        <v>78</v>
      </c>
      <c r="F43" s="22" t="s">
        <v>151</v>
      </c>
    </row>
    <row r="44" spans="8:8" s="5" ht="13.5" customFormat="1">
      <c r="A44" s="8" t="s">
        <v>100</v>
      </c>
      <c r="B44" s="8" t="s">
        <v>101</v>
      </c>
      <c r="C44" s="8" t="s">
        <v>99</v>
      </c>
      <c r="D44" s="9">
        <v>0.012</v>
      </c>
      <c r="E44" s="19" t="s">
        <v>78</v>
      </c>
      <c r="F44" s="22" t="s">
        <v>152</v>
      </c>
    </row>
    <row r="45" spans="8:8" s="5" ht="13.5" customFormat="1">
      <c r="A45" s="8" t="s">
        <v>102</v>
      </c>
      <c r="B45" s="8" t="s">
        <v>101</v>
      </c>
      <c r="C45" s="8" t="s">
        <v>92</v>
      </c>
      <c r="D45" s="9">
        <v>0.8</v>
      </c>
      <c r="E45" s="19" t="s">
        <v>78</v>
      </c>
      <c r="F45" s="22" t="s">
        <v>153</v>
      </c>
    </row>
    <row r="46" spans="8:8" s="5" ht="13.5" customFormat="1">
      <c r="A46" s="8" t="s">
        <v>103</v>
      </c>
      <c r="B46" s="8" t="s">
        <v>104</v>
      </c>
      <c r="C46" s="8" t="s">
        <v>92</v>
      </c>
      <c r="D46" s="9">
        <v>0.1</v>
      </c>
      <c r="E46" s="19" t="s">
        <v>78</v>
      </c>
      <c r="F46" s="22" t="s">
        <v>154</v>
      </c>
    </row>
    <row r="47" spans="8:8" s="5" ht="13.5" customFormat="1">
      <c r="A47" s="8" t="s">
        <v>105</v>
      </c>
      <c r="B47" s="19" t="s">
        <v>78</v>
      </c>
      <c r="C47" s="19" t="s">
        <v>78</v>
      </c>
      <c r="D47" s="19" t="s">
        <v>78</v>
      </c>
      <c r="E47" s="9">
        <v>400.0</v>
      </c>
      <c r="F47" s="19" t="s">
        <v>78</v>
      </c>
    </row>
    <row r="48" spans="8:8" s="5" ht="13.5" customFormat="1">
      <c r="A48" s="8" t="s">
        <v>106</v>
      </c>
      <c r="B48" s="19" t="s">
        <v>78</v>
      </c>
      <c r="C48" s="19" t="s">
        <v>78</v>
      </c>
      <c r="D48" s="19" t="s">
        <v>78</v>
      </c>
      <c r="E48" s="9">
        <v>600.0</v>
      </c>
      <c r="F48" s="19" t="s">
        <v>78</v>
      </c>
    </row>
    <row r="49" spans="8:8" s="5" ht="13.5" customFormat="1"/>
    <row r="50" spans="8:8" s="5" ht="40.5" customFormat="1">
      <c r="A50" s="8" t="s">
        <v>107</v>
      </c>
      <c r="B50" s="8" t="s">
        <v>108</v>
      </c>
      <c r="C50" s="8" t="s">
        <v>71</v>
      </c>
      <c r="D50" s="8" t="s">
        <v>109</v>
      </c>
      <c r="E50" s="8" t="s">
        <v>110</v>
      </c>
      <c r="F50" s="8" t="s">
        <v>111</v>
      </c>
      <c r="G50" s="8" t="s">
        <v>112</v>
      </c>
      <c r="H50" s="11" t="s">
        <v>161</v>
      </c>
      <c r="I50" s="11" t="s">
        <v>162</v>
      </c>
      <c r="J50" s="11" t="s">
        <v>165</v>
      </c>
    </row>
    <row r="51" spans="8:8" s="5" ht="27.0" customFormat="1" customHeight="1">
      <c r="A51" s="8" t="s">
        <v>113</v>
      </c>
      <c r="B51" s="8" t="s">
        <v>114</v>
      </c>
      <c r="C51" s="8" t="s">
        <v>92</v>
      </c>
      <c r="D51" s="9">
        <v>1.2</v>
      </c>
      <c r="E51" s="23">
        <v>0.1</v>
      </c>
      <c r="F51" s="9">
        <v>35.0</v>
      </c>
      <c r="G51" s="19" t="s">
        <v>78</v>
      </c>
      <c r="H51" s="24" t="s">
        <v>166</v>
      </c>
      <c r="I51" s="25">
        <f>1-E51</f>
        <v>0.9</v>
      </c>
      <c r="J51" s="24" t="s">
        <v>169</v>
      </c>
    </row>
    <row r="52" spans="8:8" s="5" ht="27.0" customFormat="1" customHeight="1">
      <c r="A52" s="8" t="s">
        <v>115</v>
      </c>
      <c r="B52" s="8" t="s">
        <v>116</v>
      </c>
      <c r="C52" s="8" t="s">
        <v>92</v>
      </c>
      <c r="D52" s="9">
        <v>1.5</v>
      </c>
      <c r="E52" s="23">
        <v>0.1</v>
      </c>
      <c r="F52" s="9">
        <v>35.0</v>
      </c>
      <c r="G52" s="19" t="s">
        <v>78</v>
      </c>
      <c r="H52" s="24" t="s">
        <v>167</v>
      </c>
      <c r="I52" s="25">
        <f>1-E52</f>
        <v>0.9</v>
      </c>
      <c r="J52" s="24" t="s">
        <v>170</v>
      </c>
    </row>
    <row r="53" spans="8:8" s="5" ht="27.0" customFormat="1" customHeight="1">
      <c r="A53" s="8" t="s">
        <v>117</v>
      </c>
      <c r="B53" s="8" t="s">
        <v>96</v>
      </c>
      <c r="C53" s="8" t="s">
        <v>92</v>
      </c>
      <c r="D53" s="9">
        <v>1.2</v>
      </c>
      <c r="E53" s="23">
        <v>0.1</v>
      </c>
      <c r="F53" s="9">
        <v>35.0</v>
      </c>
      <c r="G53" s="19" t="s">
        <v>78</v>
      </c>
      <c r="H53" s="24" t="s">
        <v>166</v>
      </c>
      <c r="I53" s="25">
        <f>1-E53</f>
        <v>0.9</v>
      </c>
      <c r="J53" s="24" t="s">
        <v>169</v>
      </c>
    </row>
    <row r="54" spans="8:8" s="5" ht="27.0" customFormat="1">
      <c r="A54" s="8" t="s">
        <v>118</v>
      </c>
      <c r="B54" s="8" t="s">
        <v>101</v>
      </c>
      <c r="C54" s="8" t="s">
        <v>92</v>
      </c>
      <c r="D54" s="9">
        <v>1.0</v>
      </c>
      <c r="E54" s="23">
        <v>0.1</v>
      </c>
      <c r="F54" s="9">
        <v>35.0</v>
      </c>
      <c r="G54" s="19" t="s">
        <v>78</v>
      </c>
      <c r="H54" s="24" t="s">
        <v>168</v>
      </c>
      <c r="I54" s="25">
        <f>1-E54</f>
        <v>0.9</v>
      </c>
      <c r="J54" s="24" t="s">
        <v>171</v>
      </c>
    </row>
    <row r="55" spans="8:8" s="5" ht="13.5" customFormat="1">
      <c r="A55" s="8" t="s">
        <v>119</v>
      </c>
      <c r="B55" s="19" t="s">
        <v>78</v>
      </c>
      <c r="C55" s="19" t="s">
        <v>78</v>
      </c>
      <c r="D55" s="19" t="s">
        <v>78</v>
      </c>
      <c r="E55" s="23">
        <v>0.1</v>
      </c>
      <c r="F55" s="9">
        <v>35.0</v>
      </c>
      <c r="G55" s="8">
        <v>5.0</v>
      </c>
      <c r="H55" s="19" t="s">
        <v>78</v>
      </c>
      <c r="I55" s="25">
        <f>1-E55</f>
        <v>0.9</v>
      </c>
      <c r="J55" s="19" t="s">
        <v>78</v>
      </c>
    </row>
    <row r="56" spans="8:8" s="5" ht="13.5" customFormat="1"/>
    <row r="57" spans="8:8" s="5" ht="67.5" customFormat="1">
      <c r="A57" s="26" t="s">
        <v>107</v>
      </c>
      <c r="B57" s="8" t="s">
        <v>108</v>
      </c>
      <c r="C57" s="8" t="s">
        <v>71</v>
      </c>
      <c r="D57" s="8" t="s">
        <v>109</v>
      </c>
      <c r="E57" s="8" t="s">
        <v>110</v>
      </c>
      <c r="F57" s="8" t="s">
        <v>111</v>
      </c>
      <c r="G57" s="8" t="s">
        <v>112</v>
      </c>
      <c r="H57" s="11" t="s">
        <v>161</v>
      </c>
      <c r="I57" s="11" t="s">
        <v>162</v>
      </c>
      <c r="J57" s="11" t="s">
        <v>160</v>
      </c>
    </row>
    <row r="58" spans="8:8" s="5" ht="54.0" customFormat="1" customHeight="1">
      <c r="A58" s="27" t="s">
        <v>120</v>
      </c>
      <c r="B58" s="8" t="s">
        <v>121</v>
      </c>
      <c r="C58" s="9" t="s">
        <v>77</v>
      </c>
      <c r="D58" s="9">
        <v>1.0</v>
      </c>
      <c r="E58" s="23">
        <v>0.1</v>
      </c>
      <c r="F58" s="9">
        <v>35.0</v>
      </c>
      <c r="G58" s="19" t="s">
        <v>78</v>
      </c>
      <c r="H58" s="28" t="s">
        <v>163</v>
      </c>
      <c r="I58" s="25">
        <f>1-E58</f>
        <v>0.9</v>
      </c>
      <c r="J58" s="24" t="s">
        <v>164</v>
      </c>
    </row>
    <row r="59" spans="8:8" s="5" ht="13.5" customFormat="1"/>
    <row r="60" spans="8:8" s="5" ht="40.5" customFormat="1">
      <c r="A60" s="26" t="s">
        <v>107</v>
      </c>
      <c r="B60" s="8" t="s">
        <v>108</v>
      </c>
      <c r="C60" s="26" t="s">
        <v>122</v>
      </c>
      <c r="D60" s="8" t="s">
        <v>109</v>
      </c>
      <c r="E60" s="8" t="s">
        <v>110</v>
      </c>
      <c r="F60" s="8" t="s">
        <v>111</v>
      </c>
      <c r="G60" s="8" t="s">
        <v>112</v>
      </c>
      <c r="H60" s="11" t="s">
        <v>161</v>
      </c>
      <c r="I60" s="11" t="s">
        <v>162</v>
      </c>
      <c r="J60" s="11" t="s">
        <v>165</v>
      </c>
    </row>
    <row r="61" spans="8:8" s="5" ht="13.5" customFormat="1">
      <c r="A61" s="29" t="s">
        <v>123</v>
      </c>
      <c r="B61" s="8" t="s">
        <v>124</v>
      </c>
      <c r="C61" s="26" t="s">
        <v>125</v>
      </c>
      <c r="D61" s="9">
        <v>1.2</v>
      </c>
      <c r="E61" s="30">
        <v>0.1</v>
      </c>
      <c r="F61" s="31">
        <v>35.0</v>
      </c>
      <c r="G61" s="19" t="s">
        <v>78</v>
      </c>
      <c r="H61" s="19" t="s">
        <v>78</v>
      </c>
      <c r="I61" s="32">
        <f>1-E61</f>
        <v>0.9</v>
      </c>
      <c r="J61" s="19" t="s">
        <v>78</v>
      </c>
    </row>
    <row r="62" spans="8:8" s="5" ht="13.5" customFormat="1">
      <c r="A62" s="29"/>
      <c r="B62" s="8" t="s">
        <v>124</v>
      </c>
      <c r="C62" s="33" t="s">
        <v>126</v>
      </c>
      <c r="D62" s="9">
        <v>1.0</v>
      </c>
      <c r="E62" s="30"/>
      <c r="F62" s="31"/>
      <c r="G62" s="19" t="s">
        <v>78</v>
      </c>
      <c r="H62" s="19" t="s">
        <v>78</v>
      </c>
      <c r="I62" s="34"/>
      <c r="J62" s="19" t="s">
        <v>78</v>
      </c>
    </row>
    <row r="63" spans="8:8" s="5" ht="13.5" customFormat="1">
      <c r="A63" s="29"/>
      <c r="B63" s="8" t="s">
        <v>124</v>
      </c>
      <c r="C63" s="26" t="s">
        <v>127</v>
      </c>
      <c r="D63" s="9">
        <v>0.8</v>
      </c>
      <c r="E63" s="30"/>
      <c r="F63" s="31"/>
      <c r="G63" s="19" t="s">
        <v>78</v>
      </c>
      <c r="H63" s="19" t="s">
        <v>78</v>
      </c>
      <c r="I63" s="35"/>
      <c r="J63" s="19" t="s">
        <v>78</v>
      </c>
    </row>
    <row r="64" spans="8:8" s="5" ht="13.5" customFormat="1"/>
    <row r="65" spans="8:8" s="5" ht="13.5" customFormat="1">
      <c r="A65" s="36" t="s">
        <v>128</v>
      </c>
      <c r="B65" s="21" t="s">
        <v>129</v>
      </c>
      <c r="C65" s="21" t="s">
        <v>130</v>
      </c>
      <c r="D65" s="21" t="s">
        <v>131</v>
      </c>
    </row>
    <row r="66" spans="8:8" s="5" ht="27.0" customFormat="1">
      <c r="A66" s="36"/>
      <c r="B66" s="22">
        <v>1.0</v>
      </c>
      <c r="C66" s="21" t="s">
        <v>114</v>
      </c>
      <c r="D66" s="28" t="s">
        <v>155</v>
      </c>
    </row>
    <row r="67" spans="8:8" s="5" ht="27.0" customFormat="1">
      <c r="A67" s="36"/>
      <c r="B67" s="22">
        <v>2.0</v>
      </c>
      <c r="C67" s="21" t="s">
        <v>132</v>
      </c>
      <c r="D67" s="28" t="s">
        <v>156</v>
      </c>
    </row>
    <row r="68" spans="8:8" s="5" ht="54.0" customFormat="1">
      <c r="A68" s="36"/>
      <c r="B68" s="22">
        <v>3.0</v>
      </c>
      <c r="C68" s="21" t="s">
        <v>133</v>
      </c>
      <c r="D68" s="28" t="s">
        <v>147</v>
      </c>
    </row>
    <row r="69" spans="8:8" s="5" ht="13.5" customFormat="1">
      <c r="A69" s="36"/>
      <c r="B69" s="22">
        <v>4.0</v>
      </c>
      <c r="C69" s="21" t="s">
        <v>134</v>
      </c>
      <c r="D69" s="21" t="s">
        <v>135</v>
      </c>
    </row>
    <row r="70" spans="8:8" s="5" ht="13.5" customFormat="1">
      <c r="A70" s="36"/>
      <c r="B70" s="22">
        <v>5.0</v>
      </c>
      <c r="C70" s="21" t="s">
        <v>136</v>
      </c>
      <c r="D70" s="21" t="s">
        <v>137</v>
      </c>
    </row>
    <row r="71" spans="8:8" s="5" ht="13.5" customFormat="1">
      <c r="A71" s="36"/>
      <c r="B71" s="22">
        <v>6.0</v>
      </c>
      <c r="C71" s="21" t="s">
        <v>138</v>
      </c>
      <c r="D71" s="21" t="s">
        <v>139</v>
      </c>
    </row>
    <row r="72" spans="8:8" s="5" ht="13.5" customFormat="1">
      <c r="A72" s="36"/>
      <c r="B72" s="22">
        <v>7.0</v>
      </c>
      <c r="C72" s="21" t="s">
        <v>140</v>
      </c>
      <c r="D72" s="21" t="s">
        <v>141</v>
      </c>
    </row>
    <row r="73" spans="8:8" s="5" ht="27.0" customFormat="1">
      <c r="A73" s="36"/>
      <c r="B73" s="22">
        <v>8.0</v>
      </c>
      <c r="C73" s="21" t="s">
        <v>142</v>
      </c>
      <c r="D73" s="28" t="s">
        <v>157</v>
      </c>
    </row>
    <row r="74" spans="8:8" s="5" ht="27.0" customFormat="1">
      <c r="A74" s="36"/>
      <c r="B74" s="22">
        <v>9.0</v>
      </c>
      <c r="C74" s="21" t="s">
        <v>143</v>
      </c>
      <c r="D74" s="28" t="s">
        <v>158</v>
      </c>
    </row>
    <row r="75" spans="8:8" s="5" ht="13.5" customFormat="1">
      <c r="A75" s="36"/>
      <c r="B75" s="22">
        <v>10.0</v>
      </c>
      <c r="C75" s="21" t="s">
        <v>144</v>
      </c>
      <c r="D75" s="21" t="s">
        <v>159</v>
      </c>
    </row>
    <row r="76" spans="8:8" s="5" ht="13.5" customFormat="1">
      <c r="A76" s="36"/>
      <c r="B76" s="22">
        <v>11.0</v>
      </c>
      <c r="C76" s="21" t="s">
        <v>145</v>
      </c>
      <c r="D76" s="21"/>
    </row>
    <row r="77" spans="8:8" s="5" ht="13.5" customFormat="1">
      <c r="A77" s="36"/>
      <c r="B77" s="22">
        <v>12.0</v>
      </c>
      <c r="C77" s="21" t="s">
        <v>146</v>
      </c>
      <c r="D77" s="21"/>
    </row>
    <row r="78" spans="8:8" s="5" ht="13.5" customFormat="1"/>
    <row r="79" spans="8:8" s="5" ht="13.5" customFormat="1"/>
    <row r="80" spans="8:8" s="5" ht="13.5" customFormat="1"/>
    <row r="81" spans="8:8" s="5" ht="13.5" customFormat="1"/>
    <row r="82" spans="8:8" s="5" ht="13.5" customFormat="1"/>
    <row r="83" spans="8:8" s="5" ht="13.5" customFormat="1"/>
    <row r="84" spans="8:8" s="5" ht="13.5" customFormat="1"/>
    <row r="85" spans="8:8" s="5" ht="13.5" customFormat="1"/>
    <row r="86" spans="8:8" s="5" ht="13.5" customFormat="1"/>
    <row r="87" spans="8:8" s="5" ht="13.5" customFormat="1"/>
    <row r="88" spans="8:8" s="5" ht="13.5" customFormat="1"/>
    <row r="89" spans="8:8" s="5" ht="13.5" customFormat="1"/>
    <row r="90" spans="8:8" s="5" ht="13.5" customFormat="1"/>
    <row r="91" spans="8:8" s="5" ht="13.5" customFormat="1"/>
    <row r="92" spans="8:8" s="5" ht="13.5" customFormat="1"/>
    <row r="93" spans="8:8" s="5" ht="13.5" customFormat="1"/>
    <row r="94" spans="8:8" s="5" ht="13.5" customFormat="1"/>
    <row r="95" spans="8:8" s="5" ht="13.5" customFormat="1"/>
    <row r="96" spans="8:8" s="5" ht="13.5" customFormat="1"/>
    <row r="97" spans="8:8" s="5" ht="13.5" customFormat="1"/>
    <row r="98" spans="8:8" s="5" ht="13.5" customFormat="1"/>
    <row r="99" spans="8:8" s="5" ht="13.5" customFormat="1"/>
    <row r="100" spans="8:8" s="5" ht="13.5" customFormat="1"/>
    <row r="101" spans="8:8" s="5" ht="13.5" customFormat="1"/>
    <row r="102" spans="8:8" s="5" ht="13.5" customFormat="1"/>
    <row r="103" spans="8:8" s="5" ht="13.5" customFormat="1"/>
    <row r="104" spans="8:8" s="5" ht="13.5" customFormat="1"/>
    <row r="105" spans="8:8" s="5" ht="13.5" customFormat="1"/>
    <row r="106" spans="8:8" s="5" ht="13.5" customFormat="1"/>
    <row r="107" spans="8:8" s="5" ht="13.5" customFormat="1"/>
    <row r="108" spans="8:8" s="5" ht="13.5" customFormat="1"/>
    <row r="109" spans="8:8" s="5" ht="13.5" customFormat="1"/>
    <row r="110" spans="8:8" s="5" ht="13.5" customFormat="1"/>
    <row r="111" spans="8:8" s="5" ht="13.5" customFormat="1"/>
    <row r="112" spans="8:8" s="5" ht="13.5" customFormat="1"/>
    <row r="113" spans="8:8" s="5" ht="13.5" customFormat="1"/>
    <row r="114" spans="8:8" s="5" ht="13.5" customFormat="1"/>
    <row r="115" spans="8:8" s="5" ht="13.5" customFormat="1"/>
    <row r="116" spans="8:8" s="5" ht="13.5" customFormat="1"/>
    <row r="117" spans="8:8" s="5" ht="13.5" customFormat="1"/>
    <row r="118" spans="8:8" s="5" ht="13.5" customFormat="1"/>
    <row r="119" spans="8:8" s="5" ht="13.5" customFormat="1"/>
    <row r="120" spans="8:8" s="5" ht="13.5" customFormat="1"/>
    <row r="121" spans="8:8" s="5" ht="13.5" customFormat="1"/>
    <row r="122" spans="8:8" s="5" ht="13.5" customFormat="1"/>
    <row r="123" spans="8:8" s="5" ht="13.5" customFormat="1"/>
    <row r="124" spans="8:8" s="5" ht="13.5" customFormat="1"/>
    <row r="125" spans="8:8" s="5" ht="13.5" customFormat="1"/>
    <row r="126" spans="8:8" s="5" ht="13.5" customFormat="1"/>
    <row r="127" spans="8:8" s="5" ht="13.5" customFormat="1"/>
    <row r="128" spans="8:8" s="5" ht="13.5" customFormat="1"/>
    <row r="129" spans="8:8" s="5" ht="13.5" customFormat="1"/>
    <row r="130" spans="8:8" s="5" ht="13.5" customFormat="1"/>
    <row r="131" spans="8:8" s="5" ht="13.5" customFormat="1"/>
    <row r="132" spans="8:8" s="5" ht="13.5" customFormat="1"/>
    <row r="133" spans="8:8" s="5" ht="13.5" customFormat="1"/>
    <row r="134" spans="8:8" s="5" ht="13.5" customFormat="1"/>
    <row r="135" spans="8:8" s="5" ht="13.5" customFormat="1"/>
    <row r="136" spans="8:8" s="5" ht="13.5" customFormat="1"/>
    <row r="137" spans="8:8" s="5" ht="13.5" customFormat="1"/>
    <row r="138" spans="8:8" s="5" ht="13.5" customFormat="1"/>
    <row r="139" spans="8:8" s="5" ht="13.5" customFormat="1"/>
    <row r="140" spans="8:8" s="5" ht="13.5" customFormat="1"/>
    <row r="141" spans="8:8" s="5" ht="13.5" customFormat="1"/>
    <row r="142" spans="8:8" s="5" ht="13.5" customFormat="1"/>
    <row r="143" spans="8:8" s="5" ht="13.5" customFormat="1"/>
    <row r="144" spans="8:8" s="5" ht="13.5" customFormat="1"/>
    <row r="145" spans="8:8" s="5" ht="13.5" customFormat="1"/>
    <row r="146" spans="8:8" s="5" ht="13.5" customFormat="1"/>
    <row r="147" spans="8:8" s="5" ht="13.5" customFormat="1"/>
    <row r="148" spans="8:8" s="5" ht="13.5" customFormat="1"/>
    <row r="149" spans="8:8" s="5" ht="13.5" customFormat="1"/>
    <row r="150" spans="8:8" s="5" ht="13.5" customFormat="1"/>
    <row r="151" spans="8:8" s="5" ht="13.5" customFormat="1"/>
    <row r="152" spans="8:8" s="5" ht="13.5" customFormat="1"/>
    <row r="153" spans="8:8" s="5" ht="13.5" customFormat="1"/>
    <row r="154" spans="8:8" s="5" ht="13.5" customFormat="1"/>
    <row r="155" spans="8:8" s="5" ht="13.5" customFormat="1"/>
    <row r="156" spans="8:8" s="5" ht="13.5" customFormat="1"/>
    <row r="157" spans="8:8" s="5" ht="13.5" customFormat="1"/>
    <row r="158" spans="8:8" s="5" ht="13.5" customFormat="1"/>
    <row r="159" spans="8:8" s="5" ht="13.5" customFormat="1"/>
    <row r="160" spans="8:8" s="5" ht="13.5" customFormat="1"/>
    <row r="161" spans="8:8" s="5" ht="13.5" customFormat="1"/>
    <row r="162" spans="8:8" s="5" ht="13.5" customFormat="1"/>
    <row r="163" spans="8:8" s="5" ht="13.5" customFormat="1"/>
    <row r="164" spans="8:8" s="5" ht="13.5" customFormat="1"/>
    <row r="165" spans="8:8" s="5" ht="13.5" customFormat="1"/>
    <row r="166" spans="8:8" s="5" ht="13.5" customFormat="1"/>
    <row r="167" spans="8:8" s="5" ht="13.5" customFormat="1"/>
    <row r="168" spans="8:8" s="5" ht="13.5" customFormat="1"/>
    <row r="169" spans="8:8" s="5" ht="13.5" customFormat="1"/>
    <row r="170" spans="8:8" s="5" ht="13.5" customFormat="1"/>
    <row r="171" spans="8:8" s="5" ht="13.5" customFormat="1"/>
    <row r="172" spans="8:8" s="5" ht="13.5" customFormat="1"/>
    <row r="173" spans="8:8" s="5" ht="13.5" customFormat="1"/>
    <row r="174" spans="8:8" s="5" ht="13.5" customFormat="1"/>
    <row r="175" spans="8:8" s="5" ht="13.5" customFormat="1"/>
    <row r="176" spans="8:8" s="5" ht="13.5" customFormat="1"/>
    <row r="177" spans="8:8" s="5" ht="13.5" customFormat="1"/>
    <row r="178" spans="8:8" s="5" ht="13.5" customFormat="1"/>
    <row r="179" spans="8:8" s="5" ht="13.5" customFormat="1"/>
    <row r="180" spans="8:8" s="5" ht="13.5" customFormat="1"/>
    <row r="181" spans="8:8" s="5" ht="13.5" customFormat="1"/>
    <row r="182" spans="8:8" s="5" ht="13.5" customFormat="1"/>
    <row r="183" spans="8:8" s="5" ht="13.5" customFormat="1"/>
    <row r="184" spans="8:8" s="5" ht="13.5" customFormat="1"/>
    <row r="185" spans="8:8" s="5" ht="13.5" customFormat="1"/>
    <row r="186" spans="8:8" s="5" ht="13.5" customFormat="1"/>
    <row r="187" spans="8:8" s="5" ht="13.5" customFormat="1"/>
    <row r="188" spans="8:8" s="5" ht="13.5" customFormat="1"/>
    <row r="189" spans="8:8" s="5" ht="13.5" customFormat="1"/>
    <row r="190" spans="8:8" s="5" ht="13.5" customFormat="1"/>
    <row r="191" spans="8:8" s="5" ht="13.5" customFormat="1"/>
    <row r="192" spans="8:8" s="5" ht="13.5" customFormat="1"/>
    <row r="193" spans="8:8" s="5" ht="13.5" customFormat="1"/>
    <row r="194" spans="8:8" s="5" ht="13.5" customFormat="1"/>
    <row r="195" spans="8:8" s="5" ht="13.5" customFormat="1"/>
    <row r="196" spans="8:8" s="5" ht="13.5" customFormat="1"/>
    <row r="197" spans="8:8" s="5" ht="13.5" customFormat="1"/>
    <row r="198" spans="8:8" s="5" ht="13.5" customFormat="1"/>
    <row r="199" spans="8:8" s="5" ht="13.5" customFormat="1"/>
    <row r="200" spans="8:8" s="5" ht="13.5" customFormat="1"/>
    <row r="201" spans="8:8" s="5" ht="13.5" customFormat="1"/>
    <row r="202" spans="8:8" s="5" ht="13.5" customFormat="1"/>
    <row r="203" spans="8:8" s="5" ht="13.5" customFormat="1"/>
    <row r="204" spans="8:8" s="5" ht="13.5" customFormat="1"/>
    <row r="205" spans="8:8" s="5" ht="13.5" customFormat="1"/>
    <row r="206" spans="8:8" s="5" ht="13.5" customFormat="1"/>
    <row r="207" spans="8:8" s="5" ht="13.5" customFormat="1"/>
    <row r="208" spans="8:8" s="5" ht="13.5" customFormat="1"/>
    <row r="209" spans="8:8" s="5" ht="13.5" customFormat="1"/>
    <row r="210" spans="8:8" s="5" ht="13.5" customFormat="1"/>
    <row r="211" spans="8:8" s="5" ht="13.5" customFormat="1"/>
    <row r="212" spans="8:8" s="5" ht="13.5" customFormat="1"/>
    <row r="213" spans="8:8" s="5" ht="13.5" customFormat="1"/>
    <row r="214" spans="8:8" s="5" ht="13.5" customFormat="1"/>
    <row r="215" spans="8:8" s="5" ht="13.5" customFormat="1"/>
    <row r="216" spans="8:8" s="5" ht="13.5" customFormat="1"/>
    <row r="217" spans="8:8" s="5" ht="13.5" customFormat="1"/>
    <row r="218" spans="8:8" s="5" ht="13.5" customFormat="1"/>
    <row r="219" spans="8:8" s="5" ht="13.5" customFormat="1"/>
    <row r="220" spans="8:8" s="5" ht="13.5" customFormat="1"/>
    <row r="221" spans="8:8" s="5" ht="13.5" customFormat="1"/>
    <row r="222" spans="8:8" s="5" ht="13.5" customFormat="1"/>
    <row r="223" spans="8:8" s="5" ht="13.5" customFormat="1"/>
    <row r="224" spans="8:8" s="5" ht="13.5" customFormat="1"/>
    <row r="225" spans="8:8" s="5" ht="13.5" customFormat="1"/>
    <row r="226" spans="8:8" s="5" ht="13.5" customFormat="1"/>
    <row r="227" spans="8:8" s="5" ht="13.5" customFormat="1"/>
    <row r="228" spans="8:8" s="5" ht="13.5" customFormat="1"/>
    <row r="229" spans="8:8" s="5" ht="13.5" customFormat="1"/>
    <row r="230" spans="8:8" s="5" ht="13.5" customFormat="1"/>
    <row r="231" spans="8:8" s="5" ht="13.5" customFormat="1"/>
    <row r="232" spans="8:8" s="5" ht="13.5" customFormat="1"/>
    <row r="233" spans="8:8" s="5" ht="13.5" customFormat="1"/>
    <row r="234" spans="8:8" s="5" ht="13.5" customFormat="1"/>
    <row r="235" spans="8:8" s="5" ht="13.5" customFormat="1"/>
    <row r="236" spans="8:8" s="5" ht="13.5" customFormat="1"/>
    <row r="237" spans="8:8" s="5" ht="13.5" customFormat="1"/>
    <row r="238" spans="8:8" s="5" ht="13.5" customFormat="1"/>
    <row r="239" spans="8:8" s="5" ht="13.5" customFormat="1"/>
    <row r="240" spans="8:8" s="37" ht="13.5" customFormat="1"/>
    <row r="241" spans="8:8" s="37" ht="13.5" customFormat="1"/>
    <row r="242" spans="8:8" s="37" ht="13.5" customFormat="1"/>
    <row r="243" spans="8:8" s="37" ht="13.5" customFormat="1"/>
    <row r="244" spans="8:8" s="37" ht="13.5" customFormat="1"/>
    <row r="245" spans="8:8" s="37" ht="13.5" customFormat="1"/>
    <row r="246" spans="8:8" s="37" ht="13.5" customFormat="1"/>
    <row r="247" spans="8:8" s="37" ht="13.5" customFormat="1"/>
    <row r="248" spans="8:8" s="37" ht="13.5" customFormat="1"/>
    <row r="249" spans="8:8" s="37" ht="13.5" customFormat="1"/>
    <row r="250" spans="8:8" s="37" ht="13.5" customFormat="1"/>
    <row r="251" spans="8:8" s="37" ht="13.5" customFormat="1"/>
    <row r="252" spans="8:8" s="37" ht="13.5" customFormat="1"/>
    <row r="253" spans="8:8" s="37" ht="13.5" customFormat="1"/>
    <row r="254" spans="8:8" s="37" ht="13.5" customFormat="1"/>
    <row r="255" spans="8:8" s="37" ht="13.5" customFormat="1"/>
    <row r="256" spans="8:8" s="37" ht="13.5" customFormat="1"/>
    <row r="257" spans="8:8" s="37" ht="13.5" customFormat="1"/>
    <row r="258" spans="8:8" s="37" ht="13.5" customFormat="1"/>
    <row r="259" spans="8:8" s="37" ht="13.5" customFormat="1"/>
    <row r="260" spans="8:8" s="37" ht="13.5" customFormat="1"/>
    <row r="261" spans="8:8" s="37" ht="13.5" customFormat="1"/>
    <row r="262" spans="8:8" s="37" ht="13.5" customFormat="1"/>
    <row r="263" spans="8:8" s="37" ht="13.5" customFormat="1"/>
    <row r="264" spans="8:8" s="37" ht="13.5" customFormat="1"/>
    <row r="265" spans="8:8" s="37" ht="13.5" customFormat="1"/>
    <row r="266" spans="8:8" s="37" ht="13.5" customFormat="1"/>
    <row r="267" spans="8:8" s="37" ht="13.5" customFormat="1"/>
    <row r="268" spans="8:8" s="37" ht="13.5" customFormat="1"/>
    <row r="269" spans="8:8" s="37" ht="13.5" customFormat="1"/>
    <row r="270" spans="8:8" s="37" ht="13.5" customFormat="1"/>
    <row r="271" spans="8:8" s="37" ht="13.5" customFormat="1"/>
    <row r="272" spans="8:8" s="37" ht="13.5" customFormat="1"/>
    <row r="273" spans="8:8" s="37" ht="13.5" customFormat="1"/>
    <row r="274" spans="8:8" s="37" ht="13.5" customFormat="1"/>
    <row r="275" spans="8:8" s="37" ht="13.5" customFormat="1"/>
    <row r="276" spans="8:8" s="37" ht="13.5" customFormat="1"/>
    <row r="277" spans="8:8" s="37" ht="13.5" customFormat="1"/>
    <row r="278" spans="8:8" s="37" ht="13.5" customFormat="1"/>
    <row r="279" spans="8:8" s="37" ht="13.5" customFormat="1"/>
    <row r="280" spans="8:8" s="37" ht="13.5" customFormat="1"/>
    <row r="281" spans="8:8" s="37" ht="13.5" customFormat="1"/>
    <row r="282" spans="8:8" s="37" ht="13.5" customFormat="1"/>
    <row r="283" spans="8:8" s="37" ht="13.5" customFormat="1"/>
    <row r="284" spans="8:8" s="37" ht="13.5" customFormat="1"/>
    <row r="285" spans="8:8" s="37" ht="13.5" customFormat="1"/>
    <row r="286" spans="8:8" s="37" ht="13.5" customFormat="1"/>
    <row r="287" spans="8:8" s="37" ht="13.5" customFormat="1"/>
    <row r="288" spans="8:8" s="37" ht="13.5" customFormat="1"/>
    <row r="289" spans="8:8" s="37" ht="13.5" customFormat="1"/>
    <row r="290" spans="8:8" s="37" ht="13.5" customFormat="1"/>
    <row r="291" spans="8:8" s="37" ht="13.5" customFormat="1"/>
    <row r="292" spans="8:8" s="37" ht="13.5" customFormat="1"/>
    <row r="293" spans="8:8" s="37" ht="13.5" customFormat="1"/>
    <row r="294" spans="8:8" s="37" ht="13.5" customFormat="1"/>
    <row r="295" spans="8:8" s="37" ht="13.5" customFormat="1"/>
    <row r="296" spans="8:8" s="37" ht="13.5" customFormat="1"/>
    <row r="297" spans="8:8" s="37" ht="13.5" customFormat="1"/>
    <row r="298" spans="8:8" s="37" ht="13.5" customFormat="1"/>
    <row r="299" spans="8:8" s="37" ht="13.5" customFormat="1"/>
    <row r="300" spans="8:8" s="37" ht="13.5" customFormat="1"/>
    <row r="301" spans="8:8" s="37" ht="13.5" customFormat="1"/>
    <row r="302" spans="8:8" s="37" ht="13.5" customFormat="1"/>
    <row r="303" spans="8:8" s="37" ht="13.5" customFormat="1"/>
    <row r="304" spans="8:8" s="37" ht="13.5" customFormat="1"/>
    <row r="305" spans="8:8" s="37" ht="13.5" customFormat="1"/>
    <row r="306" spans="8:8" s="37" ht="13.5" customFormat="1"/>
    <row r="307" spans="8:8" s="37" ht="13.5" customFormat="1"/>
    <row r="308" spans="8:8" s="37" ht="13.5" customFormat="1"/>
    <row r="309" spans="8:8" s="37" ht="13.5" customFormat="1"/>
    <row r="310" spans="8:8" s="37" ht="13.5" customFormat="1"/>
    <row r="311" spans="8:8" s="37" ht="13.5" customFormat="1"/>
    <row r="312" spans="8:8" s="37" ht="13.5" customFormat="1"/>
    <row r="313" spans="8:8" s="37" ht="13.5" customFormat="1"/>
    <row r="314" spans="8:8" s="37" ht="13.5" customFormat="1"/>
    <row r="315" spans="8:8" s="37" ht="13.5" customFormat="1"/>
    <row r="316" spans="8:8" s="37" ht="13.5" customFormat="1"/>
    <row r="317" spans="8:8" s="37" ht="13.5" customFormat="1"/>
    <row r="318" spans="8:8" s="37" ht="13.5" customFormat="1"/>
    <row r="319" spans="8:8" s="37" ht="13.5" customFormat="1"/>
    <row r="320" spans="8:8" s="37" ht="13.5" customFormat="1"/>
    <row r="321" spans="8:8" s="37" ht="13.5" customFormat="1"/>
    <row r="322" spans="8:8" s="37" ht="13.5" customFormat="1"/>
    <row r="323" spans="8:8" s="37" ht="13.5" customFormat="1"/>
    <row r="324" spans="8:8" s="37" ht="13.5" customFormat="1"/>
    <row r="325" spans="8:8" s="37" ht="13.5" customFormat="1"/>
    <row r="326" spans="8:8" s="37" ht="13.5" customFormat="1"/>
    <row r="327" spans="8:8" s="37" ht="13.5" customFormat="1"/>
    <row r="328" spans="8:8" s="37" ht="13.5" customFormat="1"/>
    <row r="329" spans="8:8" s="37" ht="13.5" customFormat="1"/>
    <row r="330" spans="8:8" s="37" ht="13.5" customFormat="1"/>
    <row r="331" spans="8:8" s="37" ht="13.5" customFormat="1"/>
    <row r="332" spans="8:8" s="37" ht="13.5" customFormat="1"/>
    <row r="333" spans="8:8" s="37" ht="13.5" customFormat="1"/>
    <row r="334" spans="8:8" s="37" ht="13.5" customFormat="1"/>
    <row r="335" spans="8:8" s="37" ht="13.5" customFormat="1"/>
    <row r="336" spans="8:8" s="37" ht="13.5" customFormat="1"/>
    <row r="337" spans="8:8" s="37" ht="13.5" customFormat="1"/>
    <row r="338" spans="8:8" s="37" ht="13.5" customFormat="1"/>
    <row r="339" spans="8:8" s="37" ht="13.5" customFormat="1"/>
    <row r="340" spans="8:8" s="37" ht="13.5" customFormat="1"/>
    <row r="341" spans="8:8" s="37" ht="13.5" customFormat="1"/>
    <row r="342" spans="8:8" s="37" ht="13.5" customFormat="1"/>
    <row r="343" spans="8:8" s="37" ht="13.5" customFormat="1"/>
    <row r="344" spans="8:8" s="37" ht="13.5" customFormat="1"/>
    <row r="345" spans="8:8" s="37" ht="13.5" customFormat="1"/>
    <row r="346" spans="8:8" s="37" ht="13.5" customFormat="1"/>
    <row r="347" spans="8:8" s="37" ht="13.5" customFormat="1"/>
    <row r="348" spans="8:8" s="37" ht="13.5" customFormat="1"/>
    <row r="349" spans="8:8" s="37" ht="13.5" customFormat="1"/>
    <row r="350" spans="8:8" s="37" ht="13.5" customFormat="1"/>
    <row r="351" spans="8:8" s="37" ht="13.5" customFormat="1"/>
    <row r="352" spans="8:8" s="37" ht="13.5" customFormat="1"/>
    <row r="353" spans="8:8" s="37" ht="13.5" customFormat="1"/>
    <row r="354" spans="8:8" s="37" ht="13.5" customFormat="1"/>
    <row r="355" spans="8:8" s="37" ht="13.5" customFormat="1"/>
    <row r="356" spans="8:8" s="37" ht="13.5" customFormat="1"/>
    <row r="357" spans="8:8" s="37" ht="13.5" customFormat="1"/>
    <row r="358" spans="8:8" s="37" ht="13.5" customFormat="1"/>
    <row r="359" spans="8:8" s="37" ht="13.5" customFormat="1"/>
    <row r="360" spans="8:8" s="37" ht="13.5" customFormat="1"/>
    <row r="361" spans="8:8" s="37" ht="13.5" customFormat="1"/>
    <row r="362" spans="8:8" s="37" ht="13.5" customFormat="1"/>
    <row r="363" spans="8:8" s="37" ht="13.5" customFormat="1"/>
    <row r="364" spans="8:8" s="37" ht="13.5" customFormat="1"/>
    <row r="365" spans="8:8" s="37" ht="13.5" customFormat="1"/>
    <row r="366" spans="8:8" s="37" ht="13.5" customFormat="1"/>
    <row r="367" spans="8:8" s="37" ht="13.5" customFormat="1"/>
    <row r="368" spans="8:8" s="37" ht="13.5" customFormat="1"/>
    <row r="369" spans="8:8" s="37" ht="13.5" customFormat="1"/>
    <row r="370" spans="8:8" s="37" ht="13.5" customFormat="1"/>
    <row r="371" spans="8:8" s="37" ht="13.5" customFormat="1"/>
    <row r="372" spans="8:8" s="37" ht="13.5" customFormat="1"/>
    <row r="373" spans="8:8" s="37" ht="13.5" customFormat="1"/>
    <row r="374" spans="8:8" s="37" ht="13.5" customFormat="1"/>
    <row r="375" spans="8:8" s="37" ht="13.5" customFormat="1"/>
    <row r="376" spans="8:8" s="37" ht="13.5" customFormat="1"/>
    <row r="377" spans="8:8" s="37" ht="13.5" customFormat="1"/>
    <row r="378" spans="8:8" s="37" ht="13.5" customFormat="1"/>
    <row r="379" spans="8:8" s="37" ht="13.5" customFormat="1"/>
    <row r="380" spans="8:8" s="37" ht="13.5" customFormat="1"/>
    <row r="381" spans="8:8" s="37" ht="13.5" customFormat="1"/>
    <row r="382" spans="8:8" s="37" ht="13.5" customFormat="1"/>
    <row r="383" spans="8:8" s="37" ht="13.5" customFormat="1"/>
    <row r="384" spans="8:8" s="37" ht="13.5" customFormat="1"/>
    <row r="385" spans="8:8" s="37" ht="13.5" customFormat="1"/>
    <row r="386" spans="8:8" s="37" ht="13.5" customFormat="1"/>
    <row r="387" spans="8:8" s="37" ht="13.5" customFormat="1"/>
    <row r="388" spans="8:8" s="37" ht="13.5" customFormat="1"/>
    <row r="389" spans="8:8" s="37" ht="13.5" customFormat="1"/>
    <row r="390" spans="8:8" s="37" ht="13.5" customFormat="1"/>
    <row r="391" spans="8:8" s="37" ht="13.5" customFormat="1"/>
    <row r="392" spans="8:8" s="37" ht="13.5" customFormat="1"/>
    <row r="393" spans="8:8" s="37" ht="13.5" customFormat="1"/>
    <row r="394" spans="8:8" s="37" ht="13.5" customFormat="1"/>
    <row r="395" spans="8:8" s="37" ht="13.5" customFormat="1"/>
    <row r="396" spans="8:8" s="37" ht="13.5" customFormat="1"/>
    <row r="397" spans="8:8" s="37" ht="13.5" customFormat="1"/>
    <row r="398" spans="8:8" s="37" ht="13.5" customFormat="1"/>
    <row r="399" spans="8:8" s="37" ht="13.5" customFormat="1"/>
    <row r="400" spans="8:8" s="37" ht="13.5" customFormat="1"/>
    <row r="401" spans="8:8" s="37" ht="13.5" customFormat="1"/>
    <row r="402" spans="8:8" s="37" ht="13.5" customFormat="1"/>
    <row r="403" spans="8:8" s="37" ht="13.5" customFormat="1"/>
    <row r="404" spans="8:8" s="37" ht="13.5" customFormat="1"/>
    <row r="405" spans="8:8" s="37" ht="13.5" customFormat="1"/>
    <row r="406" spans="8:8" s="37" ht="13.5" customFormat="1"/>
    <row r="407" spans="8:8" s="37" ht="13.5" customFormat="1"/>
    <row r="408" spans="8:8" s="37" ht="13.5" customFormat="1"/>
    <row r="409" spans="8:8" s="37" ht="13.5" customFormat="1"/>
    <row r="410" spans="8:8" s="37" ht="13.5" customFormat="1"/>
    <row r="411" spans="8:8" s="37" ht="13.5" customFormat="1"/>
    <row r="412" spans="8:8" s="37" ht="13.5" customFormat="1"/>
    <row r="413" spans="8:8" s="37" ht="13.5" customFormat="1"/>
    <row r="414" spans="8:8" s="37" ht="13.5" customFormat="1"/>
    <row r="415" spans="8:8" s="37" ht="13.5" customFormat="1"/>
    <row r="416" spans="8:8" s="37" ht="13.5" customFormat="1"/>
    <row r="417" spans="8:8" s="37" ht="13.5" customFormat="1"/>
    <row r="418" spans="8:8" s="37" ht="13.5" customFormat="1"/>
    <row r="419" spans="8:8" s="37" ht="13.5" customFormat="1"/>
    <row r="420" spans="8:8" s="37" ht="13.5" customFormat="1"/>
    <row r="421" spans="8:8" s="37" ht="13.5" customFormat="1"/>
    <row r="422" spans="8:8" s="37" ht="13.5" customFormat="1"/>
    <row r="423" spans="8:8" s="37" ht="13.5" customFormat="1"/>
    <row r="424" spans="8:8" s="37" ht="13.5" customFormat="1"/>
    <row r="425" spans="8:8" s="37" ht="13.5" customFormat="1"/>
    <row r="426" spans="8:8" s="37" ht="13.5" customFormat="1"/>
    <row r="427" spans="8:8" s="37" ht="13.5" customFormat="1"/>
    <row r="428" spans="8:8" s="37" ht="13.5" customFormat="1"/>
    <row r="429" spans="8:8" s="37" ht="13.5" customFormat="1"/>
    <row r="430" spans="8:8" s="37" ht="13.5" customFormat="1"/>
    <row r="431" spans="8:8" s="37" ht="13.5" customFormat="1"/>
    <row r="432" spans="8:8" s="37" ht="13.5" customFormat="1"/>
    <row r="433" spans="8:8" s="37" ht="13.5" customFormat="1"/>
    <row r="434" spans="8:8" s="37" ht="13.5" customFormat="1"/>
    <row r="435" spans="8:8" s="37" ht="13.5" customFormat="1"/>
    <row r="436" spans="8:8" s="37" ht="13.5" customFormat="1"/>
    <row r="437" spans="8:8" s="37" ht="13.5" customFormat="1"/>
    <row r="438" spans="8:8" s="37" ht="13.5" customFormat="1"/>
    <row r="439" spans="8:8" s="37" ht="13.5" customFormat="1"/>
    <row r="440" spans="8:8" s="37" ht="13.5" customFormat="1"/>
    <row r="441" spans="8:8" s="37" ht="13.5" customFormat="1"/>
    <row r="442" spans="8:8" s="37" ht="13.5" customFormat="1"/>
    <row r="443" spans="8:8" s="37" ht="13.5" customFormat="1"/>
    <row r="444" spans="8:8" s="37" ht="13.5" customFormat="1"/>
    <row r="445" spans="8:8" s="37" ht="13.5" customFormat="1"/>
    <row r="446" spans="8:8" s="37" ht="13.5" customFormat="1"/>
    <row r="447" spans="8:8" s="37" ht="13.5" customFormat="1"/>
    <row r="448" spans="8:8" s="37" ht="13.5" customFormat="1"/>
    <row r="449" spans="8:8" s="37" ht="13.5" customFormat="1"/>
    <row r="450" spans="8:8" s="37" ht="13.5" customFormat="1"/>
    <row r="451" spans="8:8" s="37" ht="13.5" customFormat="1"/>
    <row r="452" spans="8:8" s="37" ht="13.5" customFormat="1"/>
    <row r="453" spans="8:8" s="37" ht="13.5" customFormat="1"/>
    <row r="454" spans="8:8" s="37" ht="13.5" customFormat="1"/>
    <row r="455" spans="8:8" s="37" ht="13.5" customFormat="1"/>
    <row r="456" spans="8:8" s="37" ht="13.5" customFormat="1"/>
    <row r="457" spans="8:8" s="37" ht="13.5" customFormat="1"/>
    <row r="458" spans="8:8" s="37" ht="13.5" customFormat="1"/>
    <row r="459" spans="8:8" s="37" ht="13.5" customFormat="1"/>
    <row r="460" spans="8:8" s="37" ht="13.5" customFormat="1"/>
    <row r="461" spans="8:8" s="37" ht="13.5" customFormat="1"/>
    <row r="462" spans="8:8" s="37" ht="13.5" customFormat="1"/>
    <row r="463" spans="8:8" s="37" ht="13.5" customFormat="1"/>
    <row r="464" spans="8:8" s="37" ht="13.5" customFormat="1"/>
    <row r="465" spans="8:8" s="37" ht="13.5" customFormat="1"/>
    <row r="466" spans="8:8" s="37" ht="13.5" customFormat="1"/>
    <row r="467" spans="8:8" s="37" ht="13.5" customFormat="1"/>
    <row r="468" spans="8:8" s="37" ht="13.5" customFormat="1"/>
    <row r="469" spans="8:8" s="37" ht="13.5" customFormat="1"/>
    <row r="470" spans="8:8" s="37" ht="13.5" customFormat="1"/>
    <row r="471" spans="8:8" s="37" ht="13.5" customFormat="1"/>
    <row r="472" spans="8:8" s="37" ht="13.5" customFormat="1"/>
    <row r="473" spans="8:8" s="37" ht="13.5" customFormat="1"/>
    <row r="474" spans="8:8" s="37" ht="13.5" customFormat="1"/>
    <row r="475" spans="8:8" s="37" ht="13.5" customFormat="1"/>
    <row r="476" spans="8:8" s="37" ht="13.5" customFormat="1"/>
    <row r="477" spans="8:8" s="37" ht="13.5" customFormat="1"/>
    <row r="478" spans="8:8" s="37" ht="13.5" customFormat="1"/>
    <row r="479" spans="8:8" s="37" ht="13.5" customFormat="1"/>
    <row r="480" spans="8:8" s="37" ht="13.5" customFormat="1"/>
    <row r="481" spans="8:8" s="37" ht="13.5" customFormat="1"/>
    <row r="482" spans="8:8" s="37" ht="13.5" customFormat="1"/>
    <row r="483" spans="8:8" s="37" ht="13.5" customFormat="1"/>
    <row r="484" spans="8:8" s="37" ht="13.5" customFormat="1"/>
    <row r="485" spans="8:8" s="37" ht="13.5" customFormat="1"/>
    <row r="486" spans="8:8" s="37" ht="13.5" customFormat="1"/>
    <row r="487" spans="8:8" s="37" ht="13.5" customFormat="1"/>
    <row r="488" spans="8:8" s="37" ht="13.5" customFormat="1"/>
    <row r="489" spans="8:8" s="37" ht="13.5" customFormat="1"/>
    <row r="490" spans="8:8" s="37" ht="13.5" customFormat="1"/>
    <row r="491" spans="8:8" s="37" ht="13.5" customFormat="1"/>
    <row r="492" spans="8:8" s="37" ht="13.5" customFormat="1"/>
    <row r="493" spans="8:8" s="37" ht="13.5" customFormat="1"/>
    <row r="494" spans="8:8" s="37" ht="13.5" customFormat="1"/>
    <row r="495" spans="8:8" s="37" ht="13.5" customFormat="1"/>
    <row r="496" spans="8:8" s="37" ht="13.5" customFormat="1"/>
    <row r="497" spans="8:8" s="37" ht="13.5" customFormat="1"/>
    <row r="498" spans="8:8" s="37" ht="13.5" customFormat="1"/>
    <row r="499" spans="8:8" s="37" ht="13.5" customFormat="1"/>
    <row r="500" spans="8:8" s="37" ht="13.5" customFormat="1"/>
    <row r="501" spans="8:8" s="37" ht="13.5" customFormat="1"/>
    <row r="502" spans="8:8" s="37" ht="13.5" customFormat="1"/>
    <row r="503" spans="8:8" s="37" ht="13.5" customFormat="1"/>
    <row r="504" spans="8:8" s="37" ht="13.5" customFormat="1"/>
    <row r="505" spans="8:8" s="37" ht="13.5" customFormat="1"/>
    <row r="506" spans="8:8" s="37" ht="13.5" customFormat="1"/>
    <row r="507" spans="8:8" s="37" ht="13.5" customFormat="1"/>
    <row r="508" spans="8:8" s="37" ht="13.5" customFormat="1"/>
    <row r="509" spans="8:8" s="37" ht="13.5" customFormat="1"/>
    <row r="510" spans="8:8" s="37" ht="13.5" customFormat="1"/>
    <row r="511" spans="8:8" s="37" ht="13.5" customFormat="1"/>
    <row r="512" spans="8:8" s="37" ht="13.5" customFormat="1"/>
    <row r="513" spans="8:8" s="37" ht="13.5" customFormat="1"/>
    <row r="514" spans="8:8" s="37" ht="13.5" customFormat="1"/>
    <row r="515" spans="8:8" s="37" ht="13.5" customFormat="1"/>
    <row r="516" spans="8:8" s="37" ht="13.5" customFormat="1"/>
    <row r="517" spans="8:8" s="37" ht="13.5" customFormat="1"/>
    <row r="518" spans="8:8" s="37" ht="13.5" customFormat="1"/>
    <row r="519" spans="8:8" s="37" ht="13.5" customFormat="1"/>
    <row r="520" spans="8:8" s="37" ht="13.5" customFormat="1"/>
    <row r="521" spans="8:8" s="37" ht="13.5" customFormat="1"/>
    <row r="522" spans="8:8" s="37" ht="13.5" customFormat="1"/>
    <row r="523" spans="8:8" s="37" ht="13.5" customFormat="1"/>
    <row r="524" spans="8:8" s="37" ht="13.5" customFormat="1"/>
    <row r="525" spans="8:8" s="37" ht="13.5" customFormat="1"/>
    <row r="526" spans="8:8" s="37" ht="13.5" customFormat="1"/>
    <row r="527" spans="8:8" s="37" ht="13.5" customFormat="1"/>
    <row r="528" spans="8:8" s="37" ht="13.5" customFormat="1"/>
    <row r="529" spans="8:8" s="37" ht="13.5" customFormat="1"/>
    <row r="530" spans="8:8" s="37" ht="13.5" customFormat="1"/>
    <row r="531" spans="8:8" s="37" ht="13.5" customFormat="1"/>
    <row r="532" spans="8:8" s="37" ht="13.5" customFormat="1"/>
    <row r="533" spans="8:8" s="37" ht="13.5" customFormat="1"/>
    <row r="534" spans="8:8" s="37" ht="13.5" customFormat="1"/>
    <row r="535" spans="8:8" s="37" ht="13.5" customFormat="1"/>
    <row r="536" spans="8:8" s="37" ht="13.5" customFormat="1"/>
    <row r="537" spans="8:8" s="37" ht="13.5" customFormat="1"/>
    <row r="538" spans="8:8" s="37" ht="13.5" customFormat="1"/>
    <row r="539" spans="8:8" s="37" ht="13.5" customFormat="1"/>
    <row r="540" spans="8:8" s="37" ht="13.5" customFormat="1"/>
    <row r="541" spans="8:8" s="37" ht="13.5" customFormat="1"/>
    <row r="542" spans="8:8" s="37" ht="13.5" customFormat="1"/>
    <row r="543" spans="8:8" s="37" ht="13.5" customFormat="1"/>
    <row r="544" spans="8:8" s="37" ht="13.5" customFormat="1"/>
    <row r="545" spans="8:8" s="37" ht="13.5" customFormat="1"/>
    <row r="546" spans="8:8" s="37" ht="13.5" customFormat="1"/>
    <row r="547" spans="8:8" s="37" ht="13.5" customFormat="1"/>
    <row r="548" spans="8:8" s="37" ht="13.5" customFormat="1"/>
    <row r="549" spans="8:8" s="37" ht="13.5" customFormat="1"/>
    <row r="550" spans="8:8" s="37" ht="13.5" customFormat="1"/>
    <row r="551" spans="8:8" s="37" ht="13.5" customFormat="1"/>
    <row r="552" spans="8:8" s="37" ht="13.5" customFormat="1"/>
    <row r="553" spans="8:8" s="37" ht="13.5" customFormat="1"/>
    <row r="554" spans="8:8" s="37" ht="13.5" customFormat="1"/>
    <row r="555" spans="8:8" s="37" ht="13.5" customFormat="1"/>
    <row r="556" spans="8:8" s="37" ht="13.5" customFormat="1"/>
  </sheetData>
  <mergeCells count="10">
    <mergeCell ref="E61:E63"/>
    <mergeCell ref="F61:F63"/>
    <mergeCell ref="I61:I63"/>
    <mergeCell ref="A65:A77"/>
    <mergeCell ref="A61:A63"/>
    <mergeCell ref="C19:C20"/>
    <mergeCell ref="A1:F1"/>
    <mergeCell ref="D23:D24"/>
    <mergeCell ref="B27:B28"/>
    <mergeCell ref="B29:B32"/>
  </mergeCells>
  <dataValidations count="6">
    <dataValidation allowBlank="1" type="list" errorStyle="stop" showInputMessage="1" showErrorMessage="1" sqref="B23:B24">
      <formula1>"&gt;=,&lt;=,="</formula1>
    </dataValidation>
    <dataValidation allowBlank="1" type="list" errorStyle="stop" showInputMessage="1" showErrorMessage="1" sqref="B35:B37">
      <formula1>$AD$17:$AD$29</formula1>
    </dataValidation>
    <dataValidation allowBlank="1" type="list" errorStyle="stop" showInputMessage="1" showErrorMessage="1" sqref="B40:B46">
      <formula1>$AD$17:$AD$29</formula1>
    </dataValidation>
    <dataValidation allowBlank="1" type="list" errorStyle="stop" showInputMessage="1" showErrorMessage="1" sqref="B51:B54">
      <formula1>"独立公建,小区公配,商业计容,住宅计容,住宅户数,住宅户数-按面积段"</formula1>
    </dataValidation>
    <dataValidation allowBlank="1" type="list" errorStyle="stop" showInputMessage="1" showErrorMessage="1" sqref="B58">
      <formula1>"独立公建,小区公配,商业计容,住宅计容,住宅户数,住宅户数-按面积段"</formula1>
    </dataValidation>
    <dataValidation allowBlank="1" type="list" errorStyle="stop" showInputMessage="1" showErrorMessage="1" sqref="B61:B63">
      <formula1>"独立公建,小区公配,商业计容,住宅计容,住宅户数,住宅户数-按面积段"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N135"/>
  <sheetViews>
    <sheetView tabSelected="1" workbookViewId="0" topLeftCell="D73">
      <selection activeCell="E73" sqref="E73"/>
    </sheetView>
  </sheetViews>
  <sheetFormatPr defaultRowHeight="13.5" defaultColWidth="10"/>
  <cols>
    <col min="1" max="1" customWidth="1" width="33.75" style="5"/>
    <col min="2" max="2" customWidth="1" width="77.0" style="5"/>
    <col min="3" max="3" customWidth="1" width="16.5" style="5"/>
    <col min="4" max="4" customWidth="1" width="19.75" style="0"/>
    <col min="5" max="5" customWidth="1" width="16.0" style="0"/>
    <col min="6" max="6" customWidth="1" width="19.0" style="0"/>
    <col min="7" max="7" customWidth="1" width="12.125" style="0"/>
    <col min="8" max="9" customWidth="1" width="13.75" style="0"/>
    <col min="10" max="10" customWidth="1" width="12.625" style="0"/>
    <col min="11" max="11" customWidth="1" width="12.5" style="0"/>
    <col min="12" max="12" customWidth="1" width="12.25" style="0"/>
    <col min="13" max="13" customWidth="1" width="12.625" style="0"/>
  </cols>
  <sheetData>
    <row r="1" spans="8:8">
      <c r="A1" s="5" t="s">
        <v>18</v>
      </c>
    </row>
    <row r="2" spans="8:8" ht="27.0">
      <c r="A2" s="38" t="s">
        <v>69</v>
      </c>
      <c r="B2" s="9" t="s">
        <v>174</v>
      </c>
      <c r="C2" s="9" t="s">
        <v>175</v>
      </c>
      <c r="D2" s="39" t="s">
        <v>179</v>
      </c>
      <c r="E2" s="40" t="s">
        <v>177</v>
      </c>
      <c r="F2" s="40" t="s">
        <v>178</v>
      </c>
    </row>
    <row r="3" spans="8:8" ht="27.0">
      <c r="A3" s="8" t="s">
        <v>90</v>
      </c>
      <c r="B3" s="9" t="s">
        <v>114</v>
      </c>
      <c r="C3" s="22">
        <v>8000.0</v>
      </c>
      <c r="D3" s="22">
        <v>0.005</v>
      </c>
      <c r="E3" s="22" t="s">
        <v>180</v>
      </c>
      <c r="F3" s="24" t="s">
        <v>184</v>
      </c>
    </row>
    <row r="4" spans="8:8" ht="27.0">
      <c r="A4" s="8" t="s">
        <v>90</v>
      </c>
      <c r="B4" s="9" t="s">
        <v>133</v>
      </c>
      <c r="C4" s="22">
        <v>2000.0</v>
      </c>
      <c r="D4" s="22">
        <v>0.005</v>
      </c>
      <c r="E4" s="22" t="s">
        <v>181</v>
      </c>
      <c r="F4" s="24" t="s">
        <v>185</v>
      </c>
    </row>
    <row r="5" spans="8:8" ht="27.0">
      <c r="A5" s="8" t="s">
        <v>93</v>
      </c>
      <c r="B5" s="9" t="s">
        <v>133</v>
      </c>
      <c r="C5" s="22">
        <v>2000.0</v>
      </c>
      <c r="D5" s="22">
        <v>0.004</v>
      </c>
      <c r="E5" s="22" t="s">
        <v>182</v>
      </c>
      <c r="F5" s="24" t="s">
        <v>186</v>
      </c>
    </row>
    <row r="6" spans="8:8">
      <c r="A6" s="8" t="s">
        <v>97</v>
      </c>
      <c r="B6" s="9" t="s">
        <v>143</v>
      </c>
      <c r="C6" s="22">
        <v>50000.0</v>
      </c>
      <c r="D6" s="22">
        <v>0.003</v>
      </c>
      <c r="E6" s="22" t="s">
        <v>183</v>
      </c>
      <c r="F6" s="41">
        <f>C6</f>
        <v>50000.0</v>
      </c>
    </row>
    <row r="7" spans="8:8">
      <c r="A7" s="8"/>
      <c r="B7" s="9"/>
      <c r="C7" s="8"/>
      <c r="D7" s="8"/>
      <c r="E7" s="22" t="s">
        <v>187</v>
      </c>
      <c r="F7" s="8"/>
    </row>
    <row r="8" spans="8:8">
      <c r="A8" s="8"/>
      <c r="B8" s="9"/>
      <c r="C8" s="8"/>
      <c r="D8" s="8"/>
      <c r="E8" s="42"/>
      <c r="F8" s="8"/>
    </row>
    <row r="9" spans="8:8" ht="27.0">
      <c r="A9" s="8" t="s">
        <v>95</v>
      </c>
      <c r="B9" s="43" t="s">
        <v>133</v>
      </c>
      <c r="C9" s="22">
        <v>2000.0</v>
      </c>
      <c r="D9" s="22">
        <v>0.003</v>
      </c>
      <c r="E9" s="44" t="s">
        <v>189</v>
      </c>
      <c r="F9" s="41">
        <f>C9</f>
        <v>2000.0</v>
      </c>
    </row>
    <row r="10" spans="8:8" ht="27.0">
      <c r="A10" s="45"/>
      <c r="B10" s="46" t="s">
        <v>188</v>
      </c>
      <c r="C10" s="47"/>
      <c r="D10" s="47"/>
      <c r="E10" s="48"/>
      <c r="F10" s="49"/>
    </row>
    <row r="11" spans="8:8">
      <c r="A11" s="45"/>
      <c r="B11" s="45"/>
      <c r="C11" s="45"/>
      <c r="D11" s="45"/>
      <c r="E11" s="45"/>
      <c r="F11" s="45"/>
    </row>
    <row r="12" spans="8:8" ht="54.0">
      <c r="A12" s="8" t="s">
        <v>190</v>
      </c>
      <c r="B12" s="8" t="s">
        <v>191</v>
      </c>
      <c r="C12" s="8" t="s">
        <v>175</v>
      </c>
      <c r="D12" s="9" t="s">
        <v>192</v>
      </c>
      <c r="E12" s="9" t="s">
        <v>193</v>
      </c>
      <c r="F12" s="9" t="s">
        <v>194</v>
      </c>
      <c r="G12" s="9" t="s">
        <v>195</v>
      </c>
      <c r="H12" s="39" t="s">
        <v>203</v>
      </c>
      <c r="I12" s="39" t="s">
        <v>199</v>
      </c>
      <c r="J12" s="39" t="s">
        <v>198</v>
      </c>
      <c r="K12" s="39" t="s">
        <v>200</v>
      </c>
      <c r="L12" s="39" t="s">
        <v>201</v>
      </c>
      <c r="M12" s="39" t="s">
        <v>202</v>
      </c>
    </row>
    <row r="13" spans="8:8">
      <c r="A13" s="8" t="s">
        <v>113</v>
      </c>
      <c r="B13" s="8" t="s">
        <v>114</v>
      </c>
      <c r="C13" s="22">
        <v>8000.0</v>
      </c>
      <c r="D13" s="9" t="s">
        <v>78</v>
      </c>
      <c r="E13" s="25">
        <v>0.1</v>
      </c>
      <c r="F13" s="25">
        <v>0.9</v>
      </c>
      <c r="G13" s="22">
        <v>35.0</v>
      </c>
      <c r="H13" s="22">
        <v>0.012</v>
      </c>
      <c r="I13" s="22">
        <v>0.378</v>
      </c>
      <c r="J13" s="22">
        <f>H13*C13</f>
        <v>96.0</v>
      </c>
      <c r="K13" s="22">
        <f>E13*J13</f>
        <v>9.600000000000001</v>
      </c>
      <c r="L13" s="22">
        <f>F13*J13</f>
        <v>86.4</v>
      </c>
      <c r="M13" s="22">
        <f>L13*G13</f>
        <v>3024.0</v>
      </c>
    </row>
    <row r="14" spans="8:8">
      <c r="A14" s="8" t="s">
        <v>115</v>
      </c>
      <c r="B14" s="8" t="s">
        <v>196</v>
      </c>
      <c r="C14" s="41">
        <v>1208.0</v>
      </c>
      <c r="D14" s="9" t="s">
        <v>78</v>
      </c>
      <c r="E14" s="25">
        <v>0.1</v>
      </c>
      <c r="F14" s="25">
        <v>0.9</v>
      </c>
      <c r="G14" s="22">
        <v>35.0</v>
      </c>
      <c r="H14" s="22">
        <v>0.015</v>
      </c>
      <c r="I14" s="22">
        <v>0.4725</v>
      </c>
      <c r="J14" s="22">
        <f>H14*C14</f>
        <v>18.12</v>
      </c>
      <c r="K14" s="22">
        <f>E14*J14</f>
        <v>1.8120000000000003</v>
      </c>
      <c r="L14" s="22">
        <f>F14*J14</f>
        <v>16.308</v>
      </c>
      <c r="M14" s="22">
        <f>L14*G14</f>
        <v>570.78</v>
      </c>
    </row>
    <row r="15" spans="8:8">
      <c r="A15" s="8" t="s">
        <v>117</v>
      </c>
      <c r="B15" s="8" t="s">
        <v>197</v>
      </c>
      <c r="C15" s="22">
        <v>2000.0</v>
      </c>
      <c r="D15" s="9" t="s">
        <v>78</v>
      </c>
      <c r="E15" s="25">
        <v>0.1</v>
      </c>
      <c r="F15" s="25">
        <v>0.9</v>
      </c>
      <c r="G15" s="22">
        <v>35.0</v>
      </c>
      <c r="H15" s="22">
        <v>0.012</v>
      </c>
      <c r="I15" s="22">
        <v>0.378</v>
      </c>
      <c r="J15" s="22">
        <f>H15*C15</f>
        <v>24.0</v>
      </c>
      <c r="K15" s="22">
        <f>E15*J15</f>
        <v>2.4000000000000004</v>
      </c>
      <c r="L15" s="22">
        <f>F15*J15</f>
        <v>21.6</v>
      </c>
      <c r="M15" s="22">
        <f>L15*G15</f>
        <v>756.0</v>
      </c>
    </row>
    <row r="16" spans="8:8">
      <c r="A16" s="8" t="s">
        <v>119</v>
      </c>
      <c r="B16" s="19" t="s">
        <v>78</v>
      </c>
      <c r="C16" s="22" t="s">
        <v>78</v>
      </c>
      <c r="D16" s="22" t="s">
        <v>78</v>
      </c>
      <c r="E16" s="25">
        <v>0.1</v>
      </c>
      <c r="F16" s="25">
        <v>0.9</v>
      </c>
      <c r="G16" s="22">
        <v>35.0</v>
      </c>
      <c r="H16" s="22" t="s">
        <v>78</v>
      </c>
      <c r="I16" s="22" t="s">
        <v>78</v>
      </c>
      <c r="J16" s="41">
        <v>5.0</v>
      </c>
      <c r="K16" s="22">
        <f>E16*J16</f>
        <v>0.5</v>
      </c>
      <c r="L16" s="22">
        <f>F16*J16</f>
        <v>4.5</v>
      </c>
      <c r="M16" s="22">
        <f>L16*G16</f>
        <v>157.5</v>
      </c>
    </row>
    <row r="17" spans="8:8">
      <c r="A17" s="50" t="s">
        <v>176</v>
      </c>
      <c r="B17" s="51"/>
      <c r="C17" s="22">
        <f>SUM(C13:C16)</f>
        <v>11208.0</v>
      </c>
      <c r="D17" s="9"/>
      <c r="E17" s="23"/>
      <c r="F17" s="23"/>
      <c r="G17" s="9"/>
      <c r="H17" s="9"/>
      <c r="I17" s="9"/>
      <c r="J17" s="9"/>
      <c r="K17" s="22">
        <f>SUM(K13:K16)</f>
        <v>14.312000000000003</v>
      </c>
      <c r="L17" s="22">
        <f>SUM(L13:L16)</f>
        <v>128.808</v>
      </c>
      <c r="M17" s="22">
        <f>SUM(M13:M16)</f>
        <v>4508.28</v>
      </c>
    </row>
    <row r="18" spans="8:8">
      <c r="A18" s="45"/>
      <c r="B18" s="45"/>
      <c r="C18" s="45"/>
      <c r="D18" s="45"/>
      <c r="E18" s="45"/>
      <c r="F18" s="45"/>
    </row>
    <row r="19" spans="8:8" ht="67.5">
      <c r="A19" s="8" t="s">
        <v>69</v>
      </c>
      <c r="B19" s="9" t="s">
        <v>210</v>
      </c>
      <c r="C19" s="9" t="s">
        <v>175</v>
      </c>
      <c r="D19" s="39" t="s">
        <v>205</v>
      </c>
      <c r="E19" s="39" t="s">
        <v>206</v>
      </c>
      <c r="F19" s="39" t="s">
        <v>228</v>
      </c>
      <c r="G19" s="39" t="s">
        <v>207</v>
      </c>
      <c r="H19" s="39" t="s">
        <v>208</v>
      </c>
      <c r="I19" s="39" t="s">
        <v>209</v>
      </c>
    </row>
    <row r="20" spans="8:8">
      <c r="A20" s="8" t="s">
        <v>103</v>
      </c>
      <c r="B20" s="9" t="s">
        <v>204</v>
      </c>
      <c r="C20" s="22">
        <v>15716.28</v>
      </c>
      <c r="D20" s="22">
        <v>0.001</v>
      </c>
      <c r="E20" s="22">
        <f>D20*C20</f>
        <v>15.716280000000001</v>
      </c>
      <c r="F20" s="43">
        <v>0.2357442</v>
      </c>
      <c r="G20" s="22">
        <v>0.02357442</v>
      </c>
      <c r="H20" s="22">
        <v>0.21216978</v>
      </c>
      <c r="I20" s="22">
        <v>7.4259423</v>
      </c>
    </row>
    <row r="21" spans="8:8">
      <c r="A21" s="45"/>
      <c r="B21" s="52"/>
      <c r="C21" s="52"/>
      <c r="D21" s="52"/>
      <c r="E21" s="52"/>
      <c r="F21" s="52"/>
      <c r="G21" s="52"/>
      <c r="H21" s="52"/>
      <c r="I21" s="52"/>
    </row>
    <row r="22" spans="8:8" ht="54.0">
      <c r="A22" s="53" t="s">
        <v>211</v>
      </c>
      <c r="B22" s="8" t="s">
        <v>212</v>
      </c>
      <c r="C22" s="39" t="s">
        <v>214</v>
      </c>
      <c r="D22" s="39" t="s">
        <v>215</v>
      </c>
      <c r="E22" s="39" t="s">
        <v>216</v>
      </c>
      <c r="F22" s="39" t="s">
        <v>217</v>
      </c>
      <c r="G22" s="52"/>
      <c r="H22" s="52"/>
      <c r="I22" s="52"/>
    </row>
    <row r="23" spans="8:8">
      <c r="A23" s="53"/>
      <c r="B23" s="8" t="s">
        <v>213</v>
      </c>
      <c r="C23" s="22">
        <v>223.71628</v>
      </c>
      <c r="D23" s="22">
        <v>4515.705942</v>
      </c>
      <c r="E23" s="22">
        <v>129.0201698</v>
      </c>
      <c r="F23" s="22">
        <v>14.33557442</v>
      </c>
      <c r="G23" s="52"/>
      <c r="H23" s="52"/>
      <c r="I23" s="52"/>
    </row>
    <row r="24" spans="8:8">
      <c r="A24" s="45"/>
      <c r="B24" s="52"/>
      <c r="C24" s="52"/>
      <c r="D24" s="52"/>
      <c r="E24" s="52"/>
      <c r="F24" s="52"/>
      <c r="G24" s="52"/>
      <c r="H24" s="52"/>
      <c r="I24" s="52"/>
    </row>
    <row r="25" spans="8:8">
      <c r="A25" s="8" t="s">
        <v>218</v>
      </c>
      <c r="B25" s="9" t="s">
        <v>219</v>
      </c>
      <c r="C25" s="22">
        <v>38776.28372</v>
      </c>
      <c r="D25" s="52"/>
      <c r="E25" s="52"/>
      <c r="F25" s="52"/>
      <c r="G25" s="52"/>
      <c r="H25" s="52"/>
      <c r="I25" s="52"/>
    </row>
    <row r="26" spans="8:8">
      <c r="A26" s="45"/>
      <c r="B26" s="52"/>
      <c r="C26" s="52"/>
      <c r="D26" s="52"/>
      <c r="E26" s="52"/>
      <c r="F26" s="52"/>
      <c r="G26" s="52"/>
      <c r="H26" s="52"/>
      <c r="I26" s="52"/>
    </row>
    <row r="27" spans="8:8" ht="40.5">
      <c r="A27" s="54" t="s">
        <v>69</v>
      </c>
      <c r="B27" s="54" t="s">
        <v>174</v>
      </c>
      <c r="C27" s="54" t="s">
        <v>175</v>
      </c>
      <c r="D27" s="39" t="s">
        <v>222</v>
      </c>
      <c r="E27" s="52"/>
      <c r="F27" s="52"/>
      <c r="G27" s="52"/>
      <c r="H27" s="52"/>
      <c r="I27" s="52"/>
    </row>
    <row r="28" spans="8:8">
      <c r="A28" s="54" t="s">
        <v>90</v>
      </c>
      <c r="B28" s="54" t="s">
        <v>221</v>
      </c>
      <c r="C28" s="22">
        <v>38776.28372</v>
      </c>
      <c r="D28" s="55">
        <v>0.005</v>
      </c>
      <c r="E28" s="52"/>
      <c r="F28" s="52"/>
      <c r="G28" s="52"/>
      <c r="H28" s="52"/>
      <c r="I28" s="52"/>
    </row>
    <row r="29" spans="8:8">
      <c r="A29" s="54" t="s">
        <v>93</v>
      </c>
      <c r="B29" s="54" t="s">
        <v>221</v>
      </c>
      <c r="C29" s="22">
        <v>38776.28372</v>
      </c>
      <c r="D29" s="55">
        <v>0.004</v>
      </c>
      <c r="E29" s="52"/>
      <c r="F29" s="52"/>
      <c r="G29" s="52"/>
      <c r="H29" s="52"/>
      <c r="I29" s="52"/>
    </row>
    <row r="30" spans="8:8">
      <c r="A30" s="54" t="s">
        <v>100</v>
      </c>
      <c r="B30" s="54" t="s">
        <v>221</v>
      </c>
      <c r="C30" s="22">
        <v>38776.28372</v>
      </c>
      <c r="D30" s="55">
        <v>0.012</v>
      </c>
      <c r="E30" s="52"/>
      <c r="F30" s="52"/>
      <c r="G30" s="52"/>
      <c r="H30" s="52"/>
      <c r="I30" s="52"/>
    </row>
    <row r="31" spans="8:8">
      <c r="A31" s="54" t="s">
        <v>102</v>
      </c>
      <c r="B31" s="54" t="s">
        <v>221</v>
      </c>
      <c r="C31" s="22">
        <v>38776.28372</v>
      </c>
      <c r="D31" s="55">
        <v>0.008</v>
      </c>
      <c r="E31" s="52"/>
      <c r="F31" s="52"/>
      <c r="G31" s="52"/>
      <c r="H31" s="52"/>
      <c r="I31" s="52"/>
    </row>
    <row r="32" spans="8:8">
      <c r="A32" s="54" t="s">
        <v>75</v>
      </c>
      <c r="B32" s="54" t="s">
        <v>221</v>
      </c>
      <c r="C32" s="22">
        <v>38776.28372</v>
      </c>
      <c r="D32" s="22">
        <v>0.001746725</v>
      </c>
      <c r="E32" s="52"/>
      <c r="F32" s="52"/>
      <c r="G32" s="52"/>
      <c r="H32" s="52"/>
      <c r="I32" s="52"/>
    </row>
    <row r="33" spans="8:8">
      <c r="A33" s="54" t="s">
        <v>80</v>
      </c>
      <c r="B33" s="54" t="s">
        <v>221</v>
      </c>
      <c r="C33" s="22">
        <v>38776.28372</v>
      </c>
      <c r="D33" s="22">
        <v>0.00279476</v>
      </c>
      <c r="E33" s="52"/>
      <c r="F33" s="52"/>
      <c r="G33" s="52"/>
      <c r="H33" s="52"/>
      <c r="I33" s="52"/>
    </row>
    <row r="34" spans="8:8">
      <c r="A34" s="54" t="s">
        <v>84</v>
      </c>
      <c r="B34" s="54" t="s">
        <v>221</v>
      </c>
      <c r="C34" s="22">
        <v>38776.28372</v>
      </c>
      <c r="D34" s="22">
        <v>0.00175</v>
      </c>
      <c r="E34" s="52"/>
      <c r="F34" s="52"/>
      <c r="G34" s="52"/>
      <c r="H34" s="52"/>
      <c r="I34" s="52"/>
    </row>
    <row r="35" spans="8:8">
      <c r="A35" s="52"/>
      <c r="B35" s="52"/>
      <c r="C35" s="52"/>
      <c r="D35" s="52"/>
      <c r="E35" s="52"/>
      <c r="F35" s="52"/>
      <c r="G35" s="52"/>
      <c r="H35" s="52"/>
      <c r="I35" s="52"/>
    </row>
    <row r="36" spans="8:8" ht="67.5">
      <c r="A36" s="54" t="s">
        <v>69</v>
      </c>
      <c r="B36" s="54" t="s">
        <v>174</v>
      </c>
      <c r="C36" s="54" t="s">
        <v>175</v>
      </c>
      <c r="D36" s="39" t="s">
        <v>234</v>
      </c>
      <c r="E36" s="39" t="s">
        <v>230</v>
      </c>
      <c r="F36" s="39" t="s">
        <v>231</v>
      </c>
      <c r="G36" s="39" t="s">
        <v>229</v>
      </c>
      <c r="H36" s="39" t="s">
        <v>232</v>
      </c>
      <c r="I36" s="56" t="s">
        <v>233</v>
      </c>
    </row>
    <row r="37" spans="8:8" ht="27.0">
      <c r="A37" s="39" t="s">
        <v>227</v>
      </c>
      <c r="B37" s="54" t="s">
        <v>221</v>
      </c>
      <c r="C37" s="22">
        <v>38776.28372</v>
      </c>
      <c r="D37" s="55">
        <v>0.035291485</v>
      </c>
      <c r="E37" s="41">
        <f>D37/(1+D37)</f>
        <v>0.03408845287663117</v>
      </c>
      <c r="F37" s="41">
        <f>1/(1+D37)</f>
        <v>0.9659115471233689</v>
      </c>
      <c r="G37" s="22">
        <f>E37*C37</f>
        <v>1321.8235203201004</v>
      </c>
      <c r="H37" s="22">
        <f>F37*C37</f>
        <v>37454.4601996799</v>
      </c>
      <c r="I37" s="52"/>
    </row>
    <row r="38" spans="8:8">
      <c r="A38" s="52"/>
      <c r="B38" s="52"/>
      <c r="C38" s="52"/>
      <c r="D38" s="52"/>
      <c r="E38" s="52"/>
      <c r="F38" s="52"/>
      <c r="G38" s="52"/>
      <c r="H38" s="52"/>
      <c r="I38" s="52"/>
    </row>
    <row r="39" spans="8:8">
      <c r="A39" s="57" t="s">
        <v>235</v>
      </c>
      <c r="B39" s="57"/>
      <c r="C39" s="57"/>
      <c r="D39" s="57"/>
      <c r="E39" s="57"/>
      <c r="F39" s="52"/>
      <c r="G39" s="52"/>
      <c r="H39" s="52"/>
      <c r="I39" s="52"/>
    </row>
    <row r="40" spans="8:8" ht="81.0">
      <c r="A40" s="54" t="s">
        <v>238</v>
      </c>
      <c r="B40" s="54" t="s">
        <v>236</v>
      </c>
      <c r="C40" s="39" t="s">
        <v>244</v>
      </c>
      <c r="D40" s="39" t="s">
        <v>245</v>
      </c>
      <c r="E40" s="39" t="s">
        <v>246</v>
      </c>
      <c r="F40" s="52"/>
      <c r="G40" s="52"/>
      <c r="H40" s="52"/>
      <c r="I40" s="52"/>
    </row>
    <row r="41" spans="8:8">
      <c r="A41" s="54" t="s">
        <v>237</v>
      </c>
      <c r="B41" s="41" t="s">
        <v>239</v>
      </c>
      <c r="C41" s="54" t="s">
        <v>78</v>
      </c>
      <c r="D41" s="54" t="s">
        <v>78</v>
      </c>
      <c r="E41" s="41">
        <v>11.85785312</v>
      </c>
      <c r="F41" s="52"/>
      <c r="G41" s="52"/>
      <c r="H41" s="52"/>
      <c r="I41" s="52"/>
    </row>
    <row r="42" spans="8:8">
      <c r="A42" s="22">
        <v>180.0</v>
      </c>
      <c r="B42" s="22" t="s">
        <v>240</v>
      </c>
      <c r="C42" s="22">
        <v>25.3968254</v>
      </c>
      <c r="D42" s="22">
        <f>IF($C$26="架空",C42-1,C42)</f>
        <v>25.3968254</v>
      </c>
      <c r="E42" s="22">
        <v>1.288008184</v>
      </c>
      <c r="F42" s="52"/>
      <c r="G42" s="52"/>
      <c r="H42" s="52"/>
      <c r="I42" s="52"/>
    </row>
    <row r="43" spans="8:8">
      <c r="A43" s="22">
        <v>140.0</v>
      </c>
      <c r="B43" s="22" t="s">
        <v>241</v>
      </c>
      <c r="C43" s="22">
        <v>27.11864407</v>
      </c>
      <c r="D43" s="22">
        <f t="shared" si="0" ref="D43:D45">IF($C$26="架空",C43-1,C43)</f>
        <v>27.11864407</v>
      </c>
      <c r="E43" s="22">
        <v>2.412459773</v>
      </c>
      <c r="F43" s="52"/>
      <c r="G43" s="52"/>
      <c r="H43" s="52"/>
      <c r="I43" s="52"/>
    </row>
    <row r="44" spans="8:8">
      <c r="A44" s="22">
        <v>115.0</v>
      </c>
      <c r="B44" s="22" t="s">
        <v>242</v>
      </c>
      <c r="C44" s="22">
        <v>27.5862069</v>
      </c>
      <c r="D44" s="22">
        <f t="shared" si="0"/>
        <v>27.5862069</v>
      </c>
      <c r="E44" s="22">
        <v>3.557355937</v>
      </c>
      <c r="F44" s="52"/>
      <c r="G44" s="52"/>
      <c r="H44" s="52"/>
      <c r="I44" s="52"/>
    </row>
    <row r="45" spans="8:8">
      <c r="A45" s="22">
        <v>85.0</v>
      </c>
      <c r="B45" s="22" t="s">
        <v>243</v>
      </c>
      <c r="C45" s="22">
        <v>27.5862069</v>
      </c>
      <c r="D45" s="22">
        <f t="shared" si="0"/>
        <v>27.5862069</v>
      </c>
      <c r="E45" s="22">
        <v>4.743441249</v>
      </c>
      <c r="F45" s="52"/>
      <c r="G45" s="52"/>
      <c r="H45" s="52"/>
      <c r="I45" s="52"/>
    </row>
    <row r="46" spans="8:8">
      <c r="A46" s="52"/>
      <c r="B46" s="52"/>
      <c r="C46" s="52"/>
      <c r="D46" s="52"/>
      <c r="E46" s="52"/>
      <c r="F46" s="52"/>
      <c r="G46" s="52"/>
      <c r="H46" s="52"/>
      <c r="I46" s="52"/>
    </row>
    <row r="47" spans="8:8">
      <c r="A47" s="52" t="s">
        <v>255</v>
      </c>
      <c r="B47" s="52"/>
      <c r="C47" s="52"/>
      <c r="D47" s="52"/>
      <c r="E47" s="52"/>
      <c r="F47" s="52"/>
      <c r="G47" s="52"/>
      <c r="H47" s="52"/>
      <c r="I47" s="52"/>
    </row>
    <row r="48" spans="8:8" ht="27.0">
      <c r="A48" s="58" t="s">
        <v>254</v>
      </c>
      <c r="B48" s="18"/>
      <c r="C48" s="18"/>
      <c r="D48" s="18"/>
      <c r="E48" s="18"/>
      <c r="F48" s="52"/>
      <c r="G48" s="52"/>
      <c r="H48" s="52"/>
      <c r="I48" s="52"/>
    </row>
    <row r="49" spans="8:8">
      <c r="A49" s="18" t="s">
        <v>247</v>
      </c>
      <c r="B49" s="18"/>
      <c r="C49" s="18"/>
      <c r="D49" s="18"/>
      <c r="E49" s="18"/>
      <c r="F49" s="52"/>
      <c r="G49" s="52"/>
      <c r="H49" s="52"/>
      <c r="I49" s="52"/>
    </row>
    <row r="50" spans="8:8">
      <c r="A50" s="43" t="s">
        <v>248</v>
      </c>
      <c r="B50" s="54">
        <v>2.9</v>
      </c>
      <c r="C50" s="54">
        <v>3.0</v>
      </c>
      <c r="D50" s="54">
        <v>3.15</v>
      </c>
      <c r="E50" s="54">
        <v>3.15</v>
      </c>
      <c r="F50" s="52"/>
      <c r="G50" s="52"/>
      <c r="H50" s="52"/>
      <c r="I50" s="52"/>
    </row>
    <row r="51" spans="8:8">
      <c r="A51" s="43" t="s">
        <v>256</v>
      </c>
      <c r="B51" s="43">
        <v>27.0</v>
      </c>
      <c r="C51" s="43">
        <v>26.0</v>
      </c>
      <c r="D51" s="43">
        <v>25.0</v>
      </c>
      <c r="E51" s="43">
        <v>25.0</v>
      </c>
      <c r="F51" s="52"/>
      <c r="G51" s="52"/>
      <c r="H51" s="52"/>
      <c r="I51" s="52"/>
    </row>
    <row r="52" spans="8:8" ht="27.0">
      <c r="A52" s="59" t="s">
        <v>257</v>
      </c>
      <c r="B52" s="43">
        <f>IF($C$26="架空",B51-1,B51)</f>
        <v>27.0</v>
      </c>
      <c r="C52" s="43">
        <f t="shared" si="1" ref="C52:E52">IF($C$26="架空",C51-1,C51)</f>
        <v>26.0</v>
      </c>
      <c r="D52" s="43">
        <f t="shared" si="1"/>
        <v>25.0</v>
      </c>
      <c r="E52" s="43">
        <f t="shared" si="1"/>
        <v>25.0</v>
      </c>
      <c r="F52" s="52"/>
      <c r="G52" s="52"/>
      <c r="H52" s="52"/>
      <c r="I52" s="52"/>
    </row>
    <row r="53" spans="8:8">
      <c r="A53" s="54" t="s">
        <v>249</v>
      </c>
      <c r="B53" s="43">
        <v>2.0</v>
      </c>
      <c r="C53" s="43">
        <v>1.0</v>
      </c>
      <c r="D53" s="43">
        <v>1.0</v>
      </c>
      <c r="E53" s="43">
        <v>0.0</v>
      </c>
      <c r="F53" s="52"/>
      <c r="G53" s="52"/>
      <c r="H53" s="52"/>
      <c r="I53" s="52"/>
    </row>
    <row r="54" spans="8:8">
      <c r="A54" s="54"/>
      <c r="B54" s="54" t="s">
        <v>250</v>
      </c>
      <c r="C54" s="54" t="s">
        <v>251</v>
      </c>
      <c r="D54" s="54" t="s">
        <v>252</v>
      </c>
      <c r="E54" s="54" t="s">
        <v>253</v>
      </c>
      <c r="F54" s="52"/>
      <c r="G54" s="52"/>
      <c r="H54" s="52"/>
      <c r="I54" s="52"/>
    </row>
    <row r="55" spans="8:8">
      <c r="A55" s="22">
        <v>180.0</v>
      </c>
      <c r="B55" s="54"/>
      <c r="C55" s="54"/>
      <c r="D55" s="54">
        <v>2.0</v>
      </c>
      <c r="E55" s="54">
        <v>2.0</v>
      </c>
      <c r="F55" s="52"/>
      <c r="G55" s="52"/>
      <c r="H55" s="52"/>
      <c r="I55" s="52"/>
    </row>
    <row r="56" spans="8:8">
      <c r="A56" s="22">
        <v>140.0</v>
      </c>
      <c r="B56" s="54"/>
      <c r="C56" s="54">
        <v>2.0</v>
      </c>
      <c r="D56" s="54">
        <v>1.0</v>
      </c>
      <c r="E56" s="54"/>
      <c r="F56" s="52"/>
      <c r="G56" s="52"/>
      <c r="H56" s="52"/>
      <c r="I56" s="52"/>
    </row>
    <row r="57" spans="8:8">
      <c r="A57" s="22">
        <v>115.0</v>
      </c>
      <c r="B57" s="54">
        <v>2.0</v>
      </c>
      <c r="C57" s="54"/>
      <c r="D57" s="54"/>
      <c r="E57" s="54">
        <v>1.0</v>
      </c>
      <c r="F57" s="52"/>
      <c r="G57" s="52"/>
      <c r="H57" s="52"/>
      <c r="I57" s="52"/>
    </row>
    <row r="58" spans="8:8">
      <c r="A58" s="22">
        <v>85.0</v>
      </c>
      <c r="B58" s="54">
        <v>2.0</v>
      </c>
      <c r="C58" s="54">
        <v>2.0</v>
      </c>
      <c r="D58" s="54"/>
      <c r="E58" s="54"/>
      <c r="F58" s="52"/>
      <c r="G58" s="52"/>
      <c r="H58" s="52"/>
      <c r="I58" s="52"/>
    </row>
    <row r="59" spans="8:8">
      <c r="A59" s="52"/>
      <c r="B59" s="52"/>
      <c r="C59" s="52"/>
      <c r="D59" s="52"/>
      <c r="E59" s="52"/>
      <c r="F59" s="52"/>
      <c r="G59" s="52"/>
      <c r="H59" s="52"/>
      <c r="I59" s="52"/>
    </row>
    <row r="60" spans="8:8">
      <c r="A60" s="52" t="s">
        <v>258</v>
      </c>
      <c r="B60" s="52"/>
      <c r="C60" s="52"/>
      <c r="D60" s="52"/>
      <c r="E60" s="52"/>
      <c r="F60" s="52"/>
      <c r="G60" s="52"/>
      <c r="H60" s="52"/>
      <c r="I60" s="52"/>
    </row>
    <row r="61" spans="8:8" ht="27.0">
      <c r="A61" s="56" t="s">
        <v>259</v>
      </c>
      <c r="B61" s="52"/>
      <c r="C61" s="52"/>
      <c r="D61" s="52"/>
      <c r="E61" s="52"/>
      <c r="F61" s="52"/>
      <c r="G61" s="52"/>
      <c r="H61" s="52"/>
      <c r="I61" s="52"/>
    </row>
    <row r="62" spans="8:8" ht="27.0">
      <c r="A62" s="56" t="s">
        <v>260</v>
      </c>
      <c r="B62" s="52"/>
      <c r="C62" s="52"/>
      <c r="D62" s="52"/>
      <c r="E62" s="52"/>
      <c r="F62" s="52"/>
      <c r="G62" s="52"/>
      <c r="H62" s="52"/>
      <c r="I62" s="52"/>
    </row>
    <row r="63" spans="8:8">
      <c r="A63" s="54" t="s">
        <v>261</v>
      </c>
      <c r="B63" s="60">
        <v>24.0</v>
      </c>
      <c r="C63" s="60">
        <v>23.0</v>
      </c>
      <c r="D63" s="60">
        <v>18.0</v>
      </c>
      <c r="E63" s="60">
        <v>0.0</v>
      </c>
      <c r="F63" s="61" t="s">
        <v>271</v>
      </c>
      <c r="G63" s="62" t="s">
        <v>278</v>
      </c>
      <c r="H63" s="63" t="s">
        <v>262</v>
      </c>
      <c r="I63" s="64"/>
      <c r="J63" s="65"/>
      <c r="K63" s="66" t="s">
        <v>263</v>
      </c>
    </row>
    <row r="64" spans="8:8">
      <c r="A64" s="54" t="s">
        <v>249</v>
      </c>
      <c r="B64" s="22">
        <v>2.0</v>
      </c>
      <c r="C64" s="22">
        <v>1.0</v>
      </c>
      <c r="D64" s="22">
        <v>1.0</v>
      </c>
      <c r="E64" s="22">
        <v>0.0</v>
      </c>
      <c r="F64" s="31"/>
      <c r="G64" s="67"/>
      <c r="H64" s="68"/>
      <c r="I64" s="69"/>
      <c r="J64" s="70"/>
      <c r="K64" s="71"/>
    </row>
    <row r="65" spans="8:8">
      <c r="A65" s="54" t="s">
        <v>264</v>
      </c>
      <c r="B65" s="54" t="s">
        <v>250</v>
      </c>
      <c r="C65" s="54" t="s">
        <v>251</v>
      </c>
      <c r="D65" s="54" t="s">
        <v>252</v>
      </c>
      <c r="E65" s="54" t="s">
        <v>253</v>
      </c>
      <c r="F65" s="31"/>
      <c r="G65" s="72"/>
      <c r="H65" s="54" t="s">
        <v>265</v>
      </c>
      <c r="I65" s="54" t="s">
        <v>266</v>
      </c>
      <c r="J65" s="54" t="s">
        <v>267</v>
      </c>
      <c r="K65" s="73"/>
    </row>
    <row r="66" spans="8:8">
      <c r="A66" s="22">
        <v>180.0</v>
      </c>
      <c r="B66" s="54"/>
      <c r="C66" s="54"/>
      <c r="D66" s="22">
        <v>2.0</v>
      </c>
      <c r="E66" s="22">
        <v>2.0</v>
      </c>
      <c r="F66" s="22" t="s">
        <v>272</v>
      </c>
      <c r="G66" s="74">
        <v>0.1065</v>
      </c>
      <c r="H66" s="22" t="str">
        <f>IF(A66&gt;=120,F66,0)</f>
        <v>18*2+0*2=36</v>
      </c>
      <c r="I66" s="22">
        <f>IF(AND(A66&gt;=90,A66&lt;120),F66,0)</f>
        <v>0.0</v>
      </c>
      <c r="J66" s="22">
        <f>IF(A66&lt;90,F66,0)</f>
        <v>0.0</v>
      </c>
      <c r="K66" s="41">
        <v>6480.0</v>
      </c>
    </row>
    <row r="67" spans="8:8">
      <c r="A67" s="22">
        <v>140.0</v>
      </c>
      <c r="B67" s="54"/>
      <c r="C67" s="22">
        <v>2.0</v>
      </c>
      <c r="D67" s="22">
        <v>1.0</v>
      </c>
      <c r="E67" s="54"/>
      <c r="F67" s="22" t="s">
        <v>273</v>
      </c>
      <c r="G67" s="74">
        <v>0.1893</v>
      </c>
      <c r="H67" s="22" t="str">
        <f>IF(A67&gt;=120,F67,0)</f>
        <v>23*2+18*1=64</v>
      </c>
      <c r="I67" s="22">
        <f>IF(AND(A67&gt;=90,A67&lt;120),F67,0)</f>
        <v>0.0</v>
      </c>
      <c r="J67" s="22">
        <f>IF(A67&lt;90,F67,0)</f>
        <v>0.0</v>
      </c>
      <c r="K67" s="41">
        <v>8960.0</v>
      </c>
    </row>
    <row r="68" spans="8:8">
      <c r="A68" s="22">
        <v>115.0</v>
      </c>
      <c r="B68" s="22">
        <v>2.0</v>
      </c>
      <c r="C68" s="54"/>
      <c r="D68" s="54"/>
      <c r="E68" s="22">
        <v>1.0</v>
      </c>
      <c r="F68" s="22" t="s">
        <v>274</v>
      </c>
      <c r="G68" s="74">
        <v>0.284</v>
      </c>
      <c r="H68" s="22">
        <f>IF(A68&gt;=120,F68,0)</f>
        <v>0.0</v>
      </c>
      <c r="I68" s="22" t="str">
        <f>IF(AND(A68&gt;=90,A68&lt;120),F68,0)</f>
        <v>24*2+23*2=96</v>
      </c>
      <c r="J68" s="22">
        <f>IF(A68&lt;90,F68,0)</f>
        <v>0.0</v>
      </c>
      <c r="K68" s="41">
        <v>11040.0</v>
      </c>
    </row>
    <row r="69" spans="8:8">
      <c r="A69" s="22">
        <v>85.0</v>
      </c>
      <c r="B69" s="22">
        <v>2.0</v>
      </c>
      <c r="C69" s="22">
        <v>2.0</v>
      </c>
      <c r="D69" s="54"/>
      <c r="E69" s="54"/>
      <c r="F69" s="22" t="s">
        <v>275</v>
      </c>
      <c r="G69" s="74">
        <v>0.4201</v>
      </c>
      <c r="H69" s="22">
        <f>IF(A69&gt;=120,F69,0)</f>
        <v>0.0</v>
      </c>
      <c r="I69" s="22">
        <f>IF(AND(A69&gt;=90,A69&lt;120),F69,0)</f>
        <v>0.0</v>
      </c>
      <c r="J69" s="22" t="str">
        <f>IF(A69&lt;90,F69,0)</f>
        <v>24*2+23*2=142</v>
      </c>
      <c r="K69" s="41">
        <v>12070.0</v>
      </c>
    </row>
    <row r="70" spans="8:8">
      <c r="A70" s="41" t="s">
        <v>269</v>
      </c>
      <c r="B70" s="41">
        <v>1.0</v>
      </c>
      <c r="C70" s="41">
        <v>1.0</v>
      </c>
      <c r="D70" s="41">
        <v>1.0</v>
      </c>
      <c r="E70" s="41">
        <v>1.0</v>
      </c>
      <c r="F70" s="41" t="s">
        <v>276</v>
      </c>
      <c r="G70" s="75"/>
      <c r="H70" s="54"/>
      <c r="I70" s="54"/>
      <c r="J70" s="54"/>
      <c r="K70" s="41">
        <v>60.0</v>
      </c>
    </row>
    <row r="71" spans="8:8" ht="27.0">
      <c r="A71" s="76" t="s">
        <v>268</v>
      </c>
      <c r="B71" s="77"/>
      <c r="C71" s="77"/>
      <c r="D71" s="77"/>
      <c r="E71" s="54" t="s">
        <v>176</v>
      </c>
      <c r="F71" s="24" t="s">
        <v>277</v>
      </c>
      <c r="G71" s="74">
        <f>SUM(G66:G69)</f>
        <v>0.9999</v>
      </c>
      <c r="H71" s="22">
        <f>SUM(H66:H69)</f>
        <v>0.0</v>
      </c>
      <c r="I71" s="22">
        <f>SUM(I66:I69)</f>
        <v>0.0</v>
      </c>
      <c r="J71" s="22">
        <f>SUM(J66:J69)</f>
        <v>0.0</v>
      </c>
      <c r="K71" s="78">
        <f>SUM(K66:K70)</f>
        <v>38610.0</v>
      </c>
    </row>
    <row r="72" spans="8:8">
      <c r="A72" s="79" t="s">
        <v>270</v>
      </c>
      <c r="B72" s="18"/>
      <c r="C72" s="18"/>
      <c r="D72" s="18"/>
      <c r="E72" s="18"/>
      <c r="F72" s="52"/>
      <c r="G72" s="52"/>
      <c r="H72" s="52"/>
      <c r="I72" s="52"/>
    </row>
    <row r="73" spans="8:8" ht="409.5">
      <c r="A73" s="5" t="s">
        <v>28</v>
      </c>
      <c r="B73" s="5" t="s">
        <v>25</v>
      </c>
      <c r="C73" s="80" t="s">
        <v>36</v>
      </c>
      <c r="D73" s="4" t="s">
        <v>367</v>
      </c>
      <c r="E73" s="58" t="s">
        <v>365</v>
      </c>
      <c r="F73" s="56" t="s">
        <v>366</v>
      </c>
      <c r="G73" s="52"/>
      <c r="H73" s="52"/>
      <c r="I73" s="52"/>
    </row>
    <row r="74" spans="8:8">
      <c r="A74" s="79"/>
      <c r="B74" s="18"/>
      <c r="C74" s="18"/>
      <c r="D74" s="18"/>
      <c r="E74" s="18"/>
      <c r="F74" s="52"/>
      <c r="G74" s="52"/>
      <c r="H74" s="52"/>
      <c r="I74" s="52"/>
    </row>
    <row r="75" spans="8:8" ht="27.0">
      <c r="A75" s="54" t="s">
        <v>69</v>
      </c>
      <c r="B75" s="54" t="s">
        <v>174</v>
      </c>
      <c r="C75" s="54" t="s">
        <v>175</v>
      </c>
      <c r="D75" s="39" t="s">
        <v>285</v>
      </c>
      <c r="E75" s="54" t="s">
        <v>279</v>
      </c>
      <c r="F75" s="52"/>
      <c r="G75" s="52"/>
      <c r="H75" s="52"/>
      <c r="I75" s="52"/>
    </row>
    <row r="76" spans="8:8">
      <c r="A76" s="54" t="s">
        <v>90</v>
      </c>
      <c r="B76" s="54" t="s">
        <v>280</v>
      </c>
      <c r="C76" s="22">
        <v>38610.0</v>
      </c>
      <c r="D76" s="55">
        <v>0.005</v>
      </c>
      <c r="E76" s="22">
        <f>D76*C76</f>
        <v>193.05</v>
      </c>
      <c r="F76" s="52"/>
      <c r="G76" s="52"/>
      <c r="H76" s="52"/>
      <c r="I76" s="52"/>
    </row>
    <row r="77" spans="8:8">
      <c r="A77" s="54" t="s">
        <v>93</v>
      </c>
      <c r="B77" s="54" t="s">
        <v>280</v>
      </c>
      <c r="C77" s="22">
        <v>38610.0</v>
      </c>
      <c r="D77" s="55">
        <v>0.004</v>
      </c>
      <c r="E77" s="22">
        <f>D77*C77</f>
        <v>154.44</v>
      </c>
      <c r="F77" s="52"/>
      <c r="G77" s="52"/>
      <c r="H77" s="52"/>
      <c r="I77" s="52"/>
    </row>
    <row r="78" spans="8:8">
      <c r="A78" s="54" t="s">
        <v>100</v>
      </c>
      <c r="B78" s="54" t="s">
        <v>280</v>
      </c>
      <c r="C78" s="22">
        <v>38610.0</v>
      </c>
      <c r="D78" s="55">
        <v>0.012</v>
      </c>
      <c r="E78" s="22">
        <f>D78*C78</f>
        <v>463.32</v>
      </c>
      <c r="F78" s="52"/>
      <c r="G78" s="52"/>
      <c r="H78" s="52"/>
      <c r="I78" s="52"/>
    </row>
    <row r="79" spans="8:8">
      <c r="A79" s="54" t="s">
        <v>102</v>
      </c>
      <c r="B79" s="54" t="s">
        <v>280</v>
      </c>
      <c r="C79" s="22">
        <v>38610.0</v>
      </c>
      <c r="D79" s="55">
        <v>0.008</v>
      </c>
      <c r="E79" s="22">
        <f>D79*C79</f>
        <v>308.88</v>
      </c>
      <c r="F79" s="52"/>
      <c r="G79" s="52"/>
      <c r="H79" s="52"/>
      <c r="I79" s="52"/>
    </row>
    <row r="80" spans="8:8" ht="27.0">
      <c r="A80" s="41" t="s">
        <v>69</v>
      </c>
      <c r="B80" s="41" t="s">
        <v>174</v>
      </c>
      <c r="C80" s="44" t="s">
        <v>281</v>
      </c>
      <c r="D80" s="41" t="s">
        <v>282</v>
      </c>
      <c r="E80" s="41" t="s">
        <v>279</v>
      </c>
      <c r="F80" s="52"/>
      <c r="G80" s="52"/>
      <c r="H80" s="52"/>
      <c r="I80" s="52"/>
    </row>
    <row r="81" spans="8:8" ht="20.25" customHeight="1">
      <c r="A81" s="54" t="s">
        <v>75</v>
      </c>
      <c r="B81" s="54" t="s">
        <v>280</v>
      </c>
      <c r="C81" s="41">
        <v>338.0</v>
      </c>
      <c r="D81" s="41">
        <v>0.2</v>
      </c>
      <c r="E81" s="22">
        <f>C81*D81</f>
        <v>67.60000000000001</v>
      </c>
      <c r="F81" s="52"/>
      <c r="G81" s="52"/>
      <c r="H81" s="52"/>
      <c r="I81" s="52"/>
    </row>
    <row r="82" spans="8:8" ht="33.0" customHeight="1">
      <c r="A82" s="54" t="s">
        <v>80</v>
      </c>
      <c r="B82" s="54" t="s">
        <v>280</v>
      </c>
      <c r="C82" s="44" t="s">
        <v>283</v>
      </c>
      <c r="D82" s="41">
        <v>0.1</v>
      </c>
      <c r="E82" s="22">
        <v>108.16</v>
      </c>
      <c r="F82" s="81" t="s">
        <v>287</v>
      </c>
      <c r="G82" s="52"/>
      <c r="H82" s="52"/>
      <c r="I82" s="52"/>
    </row>
    <row r="83" spans="8:8" ht="27.0">
      <c r="A83" s="54" t="s">
        <v>84</v>
      </c>
      <c r="B83" s="54" t="s">
        <v>280</v>
      </c>
      <c r="C83" s="44" t="s">
        <v>284</v>
      </c>
      <c r="D83" s="41">
        <v>50.0</v>
      </c>
      <c r="E83" s="22">
        <v>67.5675</v>
      </c>
      <c r="F83" s="81"/>
      <c r="G83" s="52"/>
      <c r="H83" s="52"/>
      <c r="I83" s="52"/>
    </row>
    <row r="84" spans="8:8">
      <c r="A84" s="82" t="s">
        <v>176</v>
      </c>
      <c r="B84" s="83"/>
      <c r="C84" s="83"/>
      <c r="D84" s="84"/>
      <c r="E84" s="22">
        <v>1363.0175</v>
      </c>
      <c r="F84" s="52"/>
      <c r="G84" s="52"/>
      <c r="H84" s="52"/>
      <c r="I84" s="52"/>
    </row>
    <row r="85" spans="8:8">
      <c r="A85" s="52"/>
      <c r="B85" s="52"/>
      <c r="C85" s="52"/>
      <c r="D85" s="52"/>
      <c r="E85" s="52"/>
      <c r="F85" s="52"/>
      <c r="G85" s="52"/>
      <c r="H85" s="52"/>
      <c r="I85" s="52"/>
    </row>
    <row r="86" spans="8:8">
      <c r="A86" s="85" t="s">
        <v>286</v>
      </c>
      <c r="B86" s="86"/>
      <c r="C86" s="41">
        <v>-1196.73378</v>
      </c>
      <c r="D86" s="52"/>
      <c r="E86" s="52"/>
      <c r="F86" s="52"/>
      <c r="G86" s="52"/>
      <c r="H86" s="52"/>
      <c r="I86" s="52"/>
    </row>
    <row r="87" spans="8:8">
      <c r="A87" s="52"/>
      <c r="B87" s="52"/>
      <c r="C87" s="52"/>
      <c r="D87" s="52"/>
      <c r="E87" s="52"/>
      <c r="F87" s="52"/>
      <c r="G87" s="52"/>
      <c r="H87" s="52"/>
      <c r="I87" s="52"/>
    </row>
    <row r="88" spans="8:8" ht="40.5">
      <c r="A88" s="54" t="s">
        <v>69</v>
      </c>
      <c r="B88" s="54" t="s">
        <v>174</v>
      </c>
      <c r="C88" s="54" t="s">
        <v>175</v>
      </c>
      <c r="D88" s="39" t="s">
        <v>291</v>
      </c>
      <c r="E88" s="39" t="s">
        <v>223</v>
      </c>
      <c r="F88" s="39" t="s">
        <v>290</v>
      </c>
      <c r="G88" s="39" t="s">
        <v>224</v>
      </c>
      <c r="H88" s="54" t="s">
        <v>225</v>
      </c>
      <c r="I88" s="52"/>
    </row>
    <row r="89" spans="8:8">
      <c r="A89" s="39" t="s">
        <v>226</v>
      </c>
      <c r="B89" s="43" t="s">
        <v>289</v>
      </c>
      <c r="C89" s="41">
        <f>IF((C86)&gt;0,C86,0)</f>
        <v>0.0</v>
      </c>
      <c r="D89" s="43">
        <v>0.035291485</v>
      </c>
      <c r="E89" s="41">
        <v>0.034088453</v>
      </c>
      <c r="F89" s="41">
        <v>0.965911547</v>
      </c>
      <c r="G89" s="22">
        <f>E89*C89</f>
        <v>0.0</v>
      </c>
      <c r="H89" s="87">
        <f>F89*C89</f>
        <v>0.0</v>
      </c>
      <c r="I89" s="52"/>
    </row>
    <row r="90" spans="8:8">
      <c r="A90" s="52"/>
      <c r="B90" s="52"/>
      <c r="C90" s="52"/>
      <c r="D90" s="52"/>
      <c r="E90" s="52"/>
      <c r="F90" s="52"/>
      <c r="G90" s="52"/>
      <c r="H90" s="52"/>
      <c r="I90" s="52"/>
    </row>
    <row r="91" spans="8:8">
      <c r="A91" s="54" t="s">
        <v>69</v>
      </c>
      <c r="B91" s="54" t="s">
        <v>174</v>
      </c>
      <c r="C91" s="54" t="s">
        <v>175</v>
      </c>
      <c r="D91" s="54" t="s">
        <v>220</v>
      </c>
      <c r="E91" s="54" t="s">
        <v>279</v>
      </c>
      <c r="F91" s="52"/>
      <c r="G91" s="52"/>
      <c r="H91" s="52"/>
      <c r="I91" s="52"/>
    </row>
    <row r="92" spans="8:8">
      <c r="A92" s="54" t="s">
        <v>90</v>
      </c>
      <c r="B92" s="54" t="s">
        <v>221</v>
      </c>
      <c r="C92" s="22" t="str">
        <f>H88</f>
        <v>主营业态面积</v>
      </c>
      <c r="D92" s="55">
        <v>0.005</v>
      </c>
      <c r="E92" s="22">
        <v>0.0</v>
      </c>
      <c r="F92" s="52"/>
      <c r="G92" s="52"/>
      <c r="H92" s="52"/>
      <c r="I92" s="52"/>
    </row>
    <row r="93" spans="8:8">
      <c r="A93" s="54" t="s">
        <v>93</v>
      </c>
      <c r="B93" s="54" t="s">
        <v>221</v>
      </c>
      <c r="C93" s="22" t="str">
        <f>H88</f>
        <v>主营业态面积</v>
      </c>
      <c r="D93" s="55">
        <v>0.004</v>
      </c>
      <c r="E93" s="22">
        <v>0.0</v>
      </c>
      <c r="F93" s="52"/>
      <c r="G93" s="52"/>
      <c r="H93" s="52"/>
      <c r="I93" s="52"/>
    </row>
    <row r="94" spans="8:8">
      <c r="A94" s="54" t="s">
        <v>100</v>
      </c>
      <c r="B94" s="54" t="s">
        <v>221</v>
      </c>
      <c r="C94" s="22" t="str">
        <f>H88</f>
        <v>主营业态面积</v>
      </c>
      <c r="D94" s="55">
        <v>0.012</v>
      </c>
      <c r="E94" s="22">
        <v>0.0</v>
      </c>
      <c r="F94" s="52"/>
      <c r="G94" s="52"/>
      <c r="H94" s="52"/>
      <c r="I94" s="52"/>
    </row>
    <row r="95" spans="8:8">
      <c r="A95" s="54" t="s">
        <v>102</v>
      </c>
      <c r="B95" s="54" t="s">
        <v>221</v>
      </c>
      <c r="C95" s="22" t="str">
        <f>H88</f>
        <v>主营业态面积</v>
      </c>
      <c r="D95" s="55">
        <v>0.008</v>
      </c>
      <c r="E95" s="22">
        <v>0.0</v>
      </c>
      <c r="F95" s="52"/>
      <c r="G95" s="52"/>
      <c r="H95" s="52"/>
      <c r="I95" s="52"/>
    </row>
    <row r="96" spans="8:8">
      <c r="A96" s="54" t="s">
        <v>75</v>
      </c>
      <c r="B96" s="54" t="s">
        <v>221</v>
      </c>
      <c r="C96" s="22" t="str">
        <f>H88</f>
        <v>主营业态面积</v>
      </c>
      <c r="D96" s="22">
        <v>0.001746725</v>
      </c>
      <c r="E96" s="22">
        <v>0.0</v>
      </c>
      <c r="F96" s="52"/>
      <c r="G96" s="52"/>
      <c r="H96" s="52"/>
      <c r="I96" s="52"/>
    </row>
    <row r="97" spans="8:8">
      <c r="A97" s="54" t="s">
        <v>80</v>
      </c>
      <c r="B97" s="54" t="s">
        <v>221</v>
      </c>
      <c r="C97" s="22" t="str">
        <f>H88</f>
        <v>主营业态面积</v>
      </c>
      <c r="D97" s="22">
        <v>0.00279476</v>
      </c>
      <c r="E97" s="22">
        <v>0.0</v>
      </c>
      <c r="F97" s="52"/>
      <c r="G97" s="52"/>
      <c r="H97" s="52"/>
      <c r="I97" s="52"/>
    </row>
    <row r="98" spans="8:8">
      <c r="A98" s="54" t="s">
        <v>84</v>
      </c>
      <c r="B98" s="54" t="s">
        <v>221</v>
      </c>
      <c r="C98" s="22" t="str">
        <f>H88</f>
        <v>主营业态面积</v>
      </c>
      <c r="D98" s="22">
        <v>0.00175</v>
      </c>
      <c r="E98" s="22">
        <v>0.0</v>
      </c>
      <c r="F98" s="52"/>
      <c r="G98" s="52"/>
      <c r="H98" s="52"/>
      <c r="I98" s="52"/>
    </row>
    <row r="99" spans="8:8">
      <c r="A99" s="52"/>
      <c r="B99" s="52"/>
      <c r="C99" s="52"/>
      <c r="D99" s="52"/>
      <c r="E99" s="52"/>
      <c r="F99" s="52"/>
      <c r="G99" s="52"/>
      <c r="H99" s="52"/>
      <c r="I99" s="52"/>
    </row>
    <row r="100" spans="8:8">
      <c r="A100" s="50" t="s">
        <v>292</v>
      </c>
      <c r="B100" s="88"/>
      <c r="C100" s="88"/>
      <c r="D100" s="51"/>
      <c r="E100" s="87">
        <v>1363.0175</v>
      </c>
      <c r="F100" s="52"/>
      <c r="G100" s="52"/>
      <c r="H100" s="52"/>
      <c r="I100" s="52"/>
    </row>
    <row r="101" spans="8:8">
      <c r="A101" s="18"/>
      <c r="B101" s="18"/>
      <c r="C101" s="18"/>
      <c r="D101" s="18"/>
      <c r="E101" s="77"/>
      <c r="F101" s="52"/>
      <c r="G101" s="52"/>
      <c r="H101" s="52"/>
      <c r="I101" s="52"/>
    </row>
    <row r="102" spans="8:8">
      <c r="A102" s="50" t="s">
        <v>293</v>
      </c>
      <c r="B102" s="88"/>
      <c r="C102" s="88"/>
      <c r="D102" s="51"/>
      <c r="E102" s="87">
        <v>38610.0</v>
      </c>
      <c r="F102" s="52"/>
      <c r="G102" s="52"/>
      <c r="H102" s="52"/>
      <c r="I102" s="52"/>
    </row>
    <row r="103" spans="8:8">
      <c r="A103" s="89"/>
      <c r="B103" s="89"/>
      <c r="C103" s="89"/>
      <c r="D103" s="89"/>
      <c r="E103" s="52"/>
      <c r="F103" s="52"/>
      <c r="G103" s="52"/>
      <c r="H103" s="52"/>
      <c r="I103" s="52"/>
    </row>
    <row r="104" spans="8:8">
      <c r="A104" s="52" t="s">
        <v>300</v>
      </c>
      <c r="B104" s="52"/>
      <c r="C104" s="52"/>
      <c r="D104" s="52"/>
      <c r="E104" s="52"/>
      <c r="F104" s="52"/>
      <c r="G104" s="52"/>
      <c r="H104" s="52"/>
      <c r="I104" s="52"/>
    </row>
    <row r="105" spans="8:8" ht="27.0">
      <c r="A105" s="54" t="s">
        <v>190</v>
      </c>
      <c r="B105" s="54" t="s">
        <v>191</v>
      </c>
      <c r="C105" s="54" t="s">
        <v>175</v>
      </c>
      <c r="D105" s="54" t="s">
        <v>192</v>
      </c>
      <c r="E105" s="54" t="s">
        <v>193</v>
      </c>
      <c r="F105" s="54" t="s">
        <v>194</v>
      </c>
      <c r="G105" s="54" t="s">
        <v>195</v>
      </c>
      <c r="H105" s="54" t="s">
        <v>299</v>
      </c>
      <c r="I105" s="39" t="s">
        <v>303</v>
      </c>
      <c r="J105" s="54" t="s">
        <v>294</v>
      </c>
      <c r="K105" s="54" t="s">
        <v>295</v>
      </c>
      <c r="L105" s="54" t="s">
        <v>296</v>
      </c>
      <c r="M105" s="54" t="s">
        <v>297</v>
      </c>
    </row>
    <row r="106" spans="8:8">
      <c r="A106" s="54" t="s">
        <v>298</v>
      </c>
      <c r="B106" s="54" t="s">
        <v>301</v>
      </c>
      <c r="C106" s="22">
        <v>1586.73378</v>
      </c>
      <c r="D106" s="54" t="s">
        <v>78</v>
      </c>
      <c r="E106" s="25">
        <v>0.1</v>
      </c>
      <c r="F106" s="25">
        <v>0.9</v>
      </c>
      <c r="G106" s="22">
        <v>35.0</v>
      </c>
      <c r="H106" s="22">
        <v>0.015</v>
      </c>
      <c r="I106" s="22">
        <v>0.4725</v>
      </c>
      <c r="J106" s="22">
        <f>H106*C106</f>
        <v>23.8010067</v>
      </c>
      <c r="K106" s="22">
        <f>E106*J106</f>
        <v>2.38010067</v>
      </c>
      <c r="L106" s="22">
        <f>F106*J106</f>
        <v>21.420906029999998</v>
      </c>
      <c r="M106" s="22">
        <f>L106*G106</f>
        <v>749.73171105</v>
      </c>
    </row>
    <row r="107" spans="8:8">
      <c r="A107" s="43" t="s">
        <v>117</v>
      </c>
      <c r="B107" s="43" t="s">
        <v>302</v>
      </c>
      <c r="C107" s="43">
        <v>-1196.73378</v>
      </c>
      <c r="D107" s="43" t="s">
        <v>78</v>
      </c>
      <c r="E107" s="90">
        <v>0.1</v>
      </c>
      <c r="F107" s="90">
        <v>0.9</v>
      </c>
      <c r="G107" s="43">
        <v>35.0</v>
      </c>
      <c r="H107" s="43">
        <v>0.012</v>
      </c>
      <c r="I107" s="43">
        <v>0.378</v>
      </c>
      <c r="J107" s="43">
        <f>H107*C107</f>
        <v>-14.36080536</v>
      </c>
      <c r="K107" s="43">
        <f>E107*J107</f>
        <v>-1.4360805360000002</v>
      </c>
      <c r="L107" s="43">
        <f>F107*J107</f>
        <v>-12.924724824</v>
      </c>
      <c r="M107" s="43">
        <f>L107*G107</f>
        <v>-452.36536884000003</v>
      </c>
    </row>
    <row r="108" spans="8:8">
      <c r="A108" s="54" t="s">
        <v>118</v>
      </c>
      <c r="B108" s="54" t="s">
        <v>305</v>
      </c>
      <c r="C108" s="22">
        <v>38610.0</v>
      </c>
      <c r="D108" s="54" t="s">
        <v>78</v>
      </c>
      <c r="E108" s="25">
        <v>0.1</v>
      </c>
      <c r="F108" s="25">
        <v>0.9</v>
      </c>
      <c r="G108" s="22">
        <v>35.0</v>
      </c>
      <c r="H108" s="22">
        <v>0.01</v>
      </c>
      <c r="I108" s="22">
        <v>0.315</v>
      </c>
      <c r="J108" s="22">
        <f>H108*C108</f>
        <v>386.1</v>
      </c>
      <c r="K108" s="22">
        <f>E108*J108</f>
        <v>38.61000000000001</v>
      </c>
      <c r="L108" s="22">
        <f>F108*J108</f>
        <v>347.49</v>
      </c>
      <c r="M108" s="22">
        <f>L108*G108</f>
        <v>12162.15</v>
      </c>
    </row>
    <row r="109" spans="8:8">
      <c r="A109" s="82" t="s">
        <v>176</v>
      </c>
      <c r="B109" s="84"/>
      <c r="C109" s="91"/>
      <c r="D109" s="92"/>
      <c r="E109" s="92"/>
      <c r="F109" s="92"/>
      <c r="G109" s="92"/>
      <c r="H109" s="92"/>
      <c r="I109" s="93"/>
      <c r="J109" s="22">
        <f>SUM(J106:J108)</f>
        <v>395.54020134</v>
      </c>
      <c r="K109" s="22">
        <f>SUM(K106:K108)</f>
        <v>39.554020134000005</v>
      </c>
      <c r="L109" s="22">
        <f>SUM(L106:L108)</f>
        <v>355.986181206</v>
      </c>
      <c r="M109" s="87">
        <f>SUM(M106:M108)</f>
        <v>12459.51634221</v>
      </c>
    </row>
    <row r="110" spans="8:8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</row>
    <row r="111" spans="8:8">
      <c r="A111" s="33" t="s">
        <v>120</v>
      </c>
      <c r="B111" s="54" t="s">
        <v>304</v>
      </c>
      <c r="C111" s="22">
        <v>338.0</v>
      </c>
      <c r="D111" s="22">
        <v>1.0</v>
      </c>
      <c r="E111" s="25">
        <v>0.1</v>
      </c>
      <c r="F111" s="25">
        <v>0.9</v>
      </c>
      <c r="G111" s="22">
        <v>35.0</v>
      </c>
      <c r="H111" s="54" t="s">
        <v>78</v>
      </c>
      <c r="I111" s="54" t="s">
        <v>78</v>
      </c>
      <c r="J111" s="22">
        <f>D111*C111</f>
        <v>338.0</v>
      </c>
      <c r="K111" s="22">
        <f>E111*J111</f>
        <v>33.800000000000004</v>
      </c>
      <c r="L111" s="22">
        <f>F111*J111</f>
        <v>304.2</v>
      </c>
      <c r="M111" s="22">
        <f>L111*G111</f>
        <v>10647.0</v>
      </c>
    </row>
    <row r="112" spans="8:8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</row>
    <row r="113" spans="8:8">
      <c r="A113" s="31" t="s">
        <v>123</v>
      </c>
      <c r="B113" s="33" t="s">
        <v>308</v>
      </c>
      <c r="C113" s="22">
        <v>100.0</v>
      </c>
      <c r="D113" s="22">
        <v>1.2</v>
      </c>
      <c r="E113" s="25">
        <v>0.1</v>
      </c>
      <c r="F113" s="25">
        <v>0.9</v>
      </c>
      <c r="G113" s="22">
        <v>35.0</v>
      </c>
      <c r="H113" s="54" t="s">
        <v>78</v>
      </c>
      <c r="I113" s="54" t="s">
        <v>78</v>
      </c>
      <c r="J113" s="22">
        <f>D113*C113</f>
        <v>120.0</v>
      </c>
      <c r="K113" s="22">
        <f>E113*J113</f>
        <v>12.0</v>
      </c>
      <c r="L113" s="22">
        <f>F113*J113</f>
        <v>108.0</v>
      </c>
      <c r="M113" s="22">
        <f>L113*G113</f>
        <v>3780.0</v>
      </c>
    </row>
    <row r="114" spans="8:8">
      <c r="A114" s="31"/>
      <c r="B114" s="33" t="s">
        <v>306</v>
      </c>
      <c r="C114" s="22">
        <v>96.0</v>
      </c>
      <c r="D114" s="22">
        <v>1.0</v>
      </c>
      <c r="E114" s="25">
        <v>0.1</v>
      </c>
      <c r="F114" s="25">
        <v>0.9</v>
      </c>
      <c r="G114" s="22">
        <v>35.0</v>
      </c>
      <c r="H114" s="54" t="s">
        <v>78</v>
      </c>
      <c r="I114" s="54" t="s">
        <v>78</v>
      </c>
      <c r="J114" s="22">
        <f>D114*C114</f>
        <v>96.0</v>
      </c>
      <c r="K114" s="22">
        <f>E114*J114</f>
        <v>9.600000000000001</v>
      </c>
      <c r="L114" s="22">
        <f>F114*J114</f>
        <v>86.4</v>
      </c>
      <c r="M114" s="22">
        <f>L114*G114</f>
        <v>3024.0</v>
      </c>
    </row>
    <row r="115" spans="8:8">
      <c r="A115" s="31"/>
      <c r="B115" s="33" t="s">
        <v>307</v>
      </c>
      <c r="C115" s="22">
        <v>142.0</v>
      </c>
      <c r="D115" s="22">
        <v>0.8</v>
      </c>
      <c r="E115" s="25">
        <v>0.1</v>
      </c>
      <c r="F115" s="25">
        <v>0.9</v>
      </c>
      <c r="G115" s="22">
        <v>35.0</v>
      </c>
      <c r="H115" s="54" t="s">
        <v>78</v>
      </c>
      <c r="I115" s="54" t="s">
        <v>78</v>
      </c>
      <c r="J115" s="22">
        <f>D115*C115</f>
        <v>113.60000000000001</v>
      </c>
      <c r="K115" s="22">
        <f>E115*J115</f>
        <v>11.360000000000001</v>
      </c>
      <c r="L115" s="22">
        <f>F115*J115</f>
        <v>102.24000000000001</v>
      </c>
      <c r="M115" s="22">
        <f>L115*G115</f>
        <v>3578.4000000000005</v>
      </c>
    </row>
    <row r="116" spans="8:8">
      <c r="A116" s="50" t="s">
        <v>176</v>
      </c>
      <c r="B116" s="51"/>
      <c r="C116" s="94"/>
      <c r="D116" s="95"/>
      <c r="E116" s="95"/>
      <c r="F116" s="95"/>
      <c r="G116" s="95"/>
      <c r="H116" s="95"/>
      <c r="I116" s="96"/>
      <c r="J116" s="19">
        <f>SUM(J113:J115)</f>
        <v>329.6</v>
      </c>
      <c r="K116" s="19">
        <f>SUM(K113:K115)</f>
        <v>32.96</v>
      </c>
      <c r="L116" s="19">
        <f>SUM(L113:L115)</f>
        <v>296.64</v>
      </c>
      <c r="M116" s="19">
        <f>SUM(M113:M115)</f>
        <v>10382.400000000001</v>
      </c>
    </row>
    <row r="117" spans="8:8">
      <c r="A117" s="52"/>
      <c r="B117" s="52"/>
      <c r="C117" s="52"/>
      <c r="D117" s="52"/>
      <c r="E117" s="52"/>
      <c r="F117" s="52"/>
      <c r="G117" s="52"/>
      <c r="H117" s="52"/>
      <c r="I117" s="52"/>
    </row>
    <row r="118" spans="8:8" ht="27.0">
      <c r="A118" s="54" t="s">
        <v>69</v>
      </c>
      <c r="B118" s="54" t="s">
        <v>309</v>
      </c>
      <c r="C118" s="54" t="s">
        <v>175</v>
      </c>
      <c r="D118" s="39" t="s">
        <v>310</v>
      </c>
      <c r="E118" s="39" t="s">
        <v>311</v>
      </c>
      <c r="F118" s="39" t="s">
        <v>312</v>
      </c>
      <c r="G118" s="39" t="s">
        <v>313</v>
      </c>
      <c r="H118" s="39" t="s">
        <v>314</v>
      </c>
      <c r="I118" s="39" t="s">
        <v>315</v>
      </c>
    </row>
    <row r="119" spans="8:8">
      <c r="A119" s="54" t="s">
        <v>103</v>
      </c>
      <c r="B119" s="54" t="s">
        <v>316</v>
      </c>
      <c r="C119" s="22">
        <v>51235.80006</v>
      </c>
      <c r="D119" s="22">
        <v>0.001</v>
      </c>
      <c r="E119" s="22">
        <f>D119*C119</f>
        <v>51.23580006</v>
      </c>
      <c r="F119" s="43">
        <v>0.768537001</v>
      </c>
      <c r="G119" s="22">
        <v>0.0768537</v>
      </c>
      <c r="H119" s="22">
        <v>0.691683301</v>
      </c>
      <c r="I119" s="22">
        <v>24.20891553</v>
      </c>
    </row>
    <row r="120" spans="8:8">
      <c r="A120" s="52"/>
      <c r="B120" s="52"/>
      <c r="C120" s="52"/>
      <c r="D120" s="52"/>
      <c r="E120" s="52"/>
      <c r="F120" s="52"/>
      <c r="G120" s="52"/>
      <c r="H120" s="52"/>
      <c r="I120" s="52"/>
    </row>
    <row r="121" spans="8:8">
      <c r="A121" s="57" t="s">
        <v>317</v>
      </c>
      <c r="B121" s="57"/>
      <c r="C121" s="57"/>
      <c r="D121" s="57"/>
      <c r="E121" s="57"/>
      <c r="F121" s="52"/>
      <c r="G121" s="52"/>
      <c r="H121" s="52"/>
      <c r="I121" s="52"/>
    </row>
    <row r="122" spans="8:8" customHeight="1">
      <c r="A122" s="53" t="s">
        <v>318</v>
      </c>
      <c r="B122" s="38" t="s">
        <v>319</v>
      </c>
      <c r="C122" s="38" t="s">
        <v>320</v>
      </c>
      <c r="D122" s="38" t="s">
        <v>321</v>
      </c>
      <c r="E122" s="38" t="s">
        <v>322</v>
      </c>
      <c r="F122" s="52"/>
      <c r="G122" s="52"/>
      <c r="H122" s="52"/>
      <c r="I122" s="52"/>
    </row>
    <row r="123" spans="8:8" ht="27.0" customHeight="1">
      <c r="A123" s="53"/>
      <c r="B123" s="8" t="s">
        <v>103</v>
      </c>
      <c r="C123" s="21">
        <v>51.23580006</v>
      </c>
      <c r="D123" s="38" t="s">
        <v>78</v>
      </c>
      <c r="E123" s="21">
        <f>C123</f>
        <v>51.23580006</v>
      </c>
      <c r="F123" s="81" t="s">
        <v>329</v>
      </c>
      <c r="G123" s="52"/>
      <c r="H123" s="52"/>
      <c r="I123" s="52"/>
    </row>
    <row r="124" spans="8:8" ht="21.0" customHeight="1">
      <c r="A124" s="53"/>
      <c r="B124" s="43" t="s">
        <v>289</v>
      </c>
      <c r="C124" s="20">
        <v>0.0</v>
      </c>
      <c r="D124" s="21">
        <f>IF(C124-C123&gt;=0,C124-C123,0)</f>
        <v>0.0</v>
      </c>
      <c r="E124" s="21">
        <f>D124</f>
        <v>0.0</v>
      </c>
      <c r="F124" s="97"/>
      <c r="G124" s="52"/>
      <c r="H124" s="52"/>
      <c r="I124" s="52"/>
    </row>
    <row r="125" spans="8:8" ht="18.75" customHeight="1">
      <c r="A125" s="53"/>
      <c r="B125" s="20" t="s">
        <v>323</v>
      </c>
      <c r="C125" s="20">
        <v>38610.0</v>
      </c>
      <c r="D125" s="21">
        <f>IF(C124-C123&gt;=0,C125,C125+(C124-C123))</f>
        <v>38558.76419994</v>
      </c>
      <c r="E125" s="21">
        <f>D125</f>
        <v>38558.76419994</v>
      </c>
      <c r="F125" s="97"/>
      <c r="G125" s="52"/>
      <c r="H125" s="52"/>
      <c r="I125" s="52"/>
    </row>
    <row r="126" spans="8:8">
      <c r="A126" s="53"/>
      <c r="B126" s="8" t="s">
        <v>324</v>
      </c>
      <c r="C126" s="20">
        <v>1363.0175</v>
      </c>
      <c r="D126" s="38" t="s">
        <v>78</v>
      </c>
      <c r="E126" s="21">
        <f>C126</f>
        <v>1363.0175</v>
      </c>
      <c r="F126" s="52"/>
      <c r="G126" s="52"/>
      <c r="H126" s="52"/>
      <c r="I126" s="52"/>
    </row>
    <row r="127" spans="8:8">
      <c r="A127" s="53"/>
      <c r="B127" s="8" t="s">
        <v>325</v>
      </c>
      <c r="C127" s="21">
        <v>12483.72526</v>
      </c>
      <c r="D127" s="38" t="s">
        <v>78</v>
      </c>
      <c r="E127" s="21">
        <f>C127</f>
        <v>12483.72526</v>
      </c>
      <c r="F127" s="52"/>
      <c r="G127" s="52"/>
      <c r="H127" s="52"/>
      <c r="I127" s="52"/>
    </row>
    <row r="128" spans="8:8">
      <c r="A128" s="53"/>
      <c r="B128" s="8" t="s">
        <v>326</v>
      </c>
      <c r="C128" s="21">
        <v>39.63087383</v>
      </c>
      <c r="D128" s="38" t="s">
        <v>78</v>
      </c>
      <c r="E128" s="21">
        <f>C128</f>
        <v>39.63087383</v>
      </c>
      <c r="F128" s="52"/>
      <c r="G128" s="52"/>
      <c r="H128" s="52"/>
      <c r="I128" s="52"/>
    </row>
    <row r="129" spans="8:8">
      <c r="A129" s="53"/>
      <c r="B129" s="8" t="s">
        <v>327</v>
      </c>
      <c r="C129" s="21">
        <v>356.6778645</v>
      </c>
      <c r="D129" s="38" t="s">
        <v>78</v>
      </c>
      <c r="E129" s="21">
        <f t="shared" si="2" ref="E129:E130">C129</f>
        <v>356.6778645</v>
      </c>
      <c r="F129" s="52"/>
      <c r="G129" s="52"/>
      <c r="H129" s="52"/>
      <c r="I129" s="52"/>
    </row>
    <row r="130" spans="8:8">
      <c r="A130" s="53"/>
      <c r="B130" s="8" t="s">
        <v>328</v>
      </c>
      <c r="C130" s="21">
        <f>C128+C129</f>
        <v>396.30873833</v>
      </c>
      <c r="D130" s="38" t="s">
        <v>78</v>
      </c>
      <c r="E130" s="21">
        <f t="shared" si="2"/>
        <v>396.30873833</v>
      </c>
      <c r="F130" s="52"/>
      <c r="G130" s="52"/>
      <c r="H130" s="52"/>
      <c r="I130" s="52"/>
    </row>
    <row r="131" spans="8:8">
      <c r="A131" s="52"/>
      <c r="B131" s="52"/>
      <c r="C131" s="52"/>
      <c r="D131" s="52"/>
      <c r="E131" s="52"/>
      <c r="F131" s="52"/>
      <c r="G131" s="52"/>
      <c r="H131" s="52"/>
      <c r="I131" s="52"/>
    </row>
    <row r="132" spans="8:8">
      <c r="A132" s="52"/>
      <c r="B132" s="52"/>
      <c r="C132" s="52"/>
      <c r="D132" s="52"/>
      <c r="E132" s="52"/>
      <c r="F132" s="52"/>
      <c r="G132" s="52"/>
      <c r="H132" s="52"/>
      <c r="I132" s="52"/>
    </row>
    <row r="133" spans="8:8">
      <c r="A133" s="52"/>
      <c r="B133" s="52"/>
      <c r="C133" s="52"/>
      <c r="D133" s="52"/>
      <c r="E133" s="52"/>
      <c r="F133" s="52"/>
      <c r="G133" s="52"/>
      <c r="H133" s="52"/>
      <c r="I133" s="52"/>
    </row>
    <row r="134" spans="8:8">
      <c r="A134" s="52"/>
      <c r="B134" s="52"/>
      <c r="C134" s="52"/>
      <c r="D134" s="52"/>
      <c r="E134" s="52"/>
      <c r="F134" s="52"/>
      <c r="G134" s="52"/>
      <c r="H134" s="52"/>
      <c r="I134" s="52"/>
    </row>
    <row r="135" spans="8:8">
      <c r="A135" s="52"/>
      <c r="B135" s="52"/>
      <c r="C135" s="52"/>
      <c r="D135" s="52"/>
      <c r="E135" s="52"/>
      <c r="F135" s="52"/>
      <c r="G135" s="52"/>
      <c r="H135" s="52"/>
      <c r="I135" s="52"/>
    </row>
  </sheetData>
  <mergeCells count="18">
    <mergeCell ref="A109:B109"/>
    <mergeCell ref="G63:G65"/>
    <mergeCell ref="A84:D84"/>
    <mergeCell ref="A86:B86"/>
    <mergeCell ref="A100:D100"/>
    <mergeCell ref="F63:F65"/>
    <mergeCell ref="A17:B17"/>
    <mergeCell ref="A22:A23"/>
    <mergeCell ref="A113:A115"/>
    <mergeCell ref="A116:B116"/>
    <mergeCell ref="A121:E121"/>
    <mergeCell ref="K63:K65"/>
    <mergeCell ref="A39:E39"/>
    <mergeCell ref="A122:A130"/>
    <mergeCell ref="F82:F83"/>
    <mergeCell ref="H63:J64"/>
    <mergeCell ref="A102:D102"/>
    <mergeCell ref="F123:F125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G39"/>
  <sheetViews>
    <sheetView workbookViewId="0" topLeftCell="A37">
      <selection activeCell="D39" sqref="D39"/>
    </sheetView>
  </sheetViews>
  <sheetFormatPr defaultRowHeight="13.5" defaultColWidth="10"/>
  <cols>
    <col min="1" max="1" customWidth="1" width="17.625" style="5"/>
    <col min="2" max="2" customWidth="1" width="51.125" style="5"/>
    <col min="3" max="3" customWidth="1" width="55.625" style="5"/>
    <col min="4" max="4" customWidth="1" width="39.5" style="0"/>
    <col min="6" max="6" customWidth="1" width="55.125" style="0"/>
  </cols>
  <sheetData>
    <row r="1" spans="8:8">
      <c r="A1" s="5" t="s">
        <v>21</v>
      </c>
    </row>
    <row r="2" spans="8:8" ht="22.5">
      <c r="A2" s="98" t="s">
        <v>330</v>
      </c>
      <c r="B2" s="98"/>
      <c r="C2" s="98"/>
      <c r="D2" s="98"/>
      <c r="E2" s="98"/>
    </row>
    <row r="3" spans="8:8">
      <c r="A3" s="99" t="s">
        <v>331</v>
      </c>
      <c r="B3" s="54" t="s">
        <v>69</v>
      </c>
      <c r="C3" s="54" t="s">
        <v>320</v>
      </c>
      <c r="D3" s="54" t="s">
        <v>336</v>
      </c>
      <c r="E3" s="54" t="s">
        <v>332</v>
      </c>
    </row>
    <row r="4" spans="8:8" ht="54.0">
      <c r="A4" s="59" t="s">
        <v>333</v>
      </c>
      <c r="B4" s="43" t="s">
        <v>95</v>
      </c>
      <c r="C4" s="43">
        <v>6.0</v>
      </c>
      <c r="D4" s="43">
        <v>6.0</v>
      </c>
      <c r="E4" s="43" t="s">
        <v>78</v>
      </c>
    </row>
    <row r="5" spans="8:8">
      <c r="A5" s="62" t="s">
        <v>334</v>
      </c>
      <c r="B5" s="54" t="s">
        <v>90</v>
      </c>
      <c r="C5" s="22">
        <v>243.05</v>
      </c>
      <c r="D5" s="22">
        <f t="shared" si="0" ref="D5:D14">ROUNDUP(C5,0)</f>
        <v>244.0</v>
      </c>
      <c r="E5" s="22" t="s">
        <v>78</v>
      </c>
    </row>
    <row r="6" spans="8:8">
      <c r="A6" s="100"/>
      <c r="B6" s="54" t="s">
        <v>93</v>
      </c>
      <c r="C6" s="22">
        <v>162.44</v>
      </c>
      <c r="D6" s="22">
        <f t="shared" si="0"/>
        <v>163.0</v>
      </c>
      <c r="E6" s="22" t="s">
        <v>78</v>
      </c>
    </row>
    <row r="7" spans="8:8">
      <c r="A7" s="100"/>
      <c r="B7" s="54" t="s">
        <v>100</v>
      </c>
      <c r="C7" s="22">
        <v>463.32</v>
      </c>
      <c r="D7" s="22">
        <f t="shared" si="0"/>
        <v>464.0</v>
      </c>
      <c r="E7" s="22" t="s">
        <v>78</v>
      </c>
    </row>
    <row r="8" spans="8:8">
      <c r="A8" s="100"/>
      <c r="B8" s="54" t="s">
        <v>102</v>
      </c>
      <c r="C8" s="22">
        <v>308.88</v>
      </c>
      <c r="D8" s="22">
        <f t="shared" si="0"/>
        <v>309.0</v>
      </c>
      <c r="E8" s="22" t="s">
        <v>78</v>
      </c>
    </row>
    <row r="9" spans="8:8">
      <c r="A9" s="100"/>
      <c r="B9" s="54" t="s">
        <v>97</v>
      </c>
      <c r="C9" s="22">
        <v>150.0</v>
      </c>
      <c r="D9" s="22">
        <f t="shared" si="0"/>
        <v>150.0</v>
      </c>
      <c r="E9" s="22" t="s">
        <v>78</v>
      </c>
    </row>
    <row r="10" spans="8:8">
      <c r="A10" s="100"/>
      <c r="B10" s="54" t="s">
        <v>103</v>
      </c>
      <c r="C10" s="22">
        <v>66.95208006</v>
      </c>
      <c r="D10" s="22">
        <f t="shared" si="0"/>
        <v>67.0</v>
      </c>
      <c r="E10" s="22" t="s">
        <v>78</v>
      </c>
    </row>
    <row r="11" spans="8:8">
      <c r="A11" s="100"/>
      <c r="B11" s="54" t="s">
        <v>335</v>
      </c>
      <c r="C11" s="22">
        <v>1000.0</v>
      </c>
      <c r="D11" s="22">
        <f t="shared" si="0"/>
        <v>1000.0</v>
      </c>
      <c r="E11" s="22" t="s">
        <v>78</v>
      </c>
    </row>
    <row r="12" spans="8:8">
      <c r="A12" s="100"/>
      <c r="B12" s="54" t="s">
        <v>75</v>
      </c>
      <c r="C12" s="22">
        <v>67.6</v>
      </c>
      <c r="D12" s="22">
        <f t="shared" si="0"/>
        <v>68.0</v>
      </c>
      <c r="E12" s="22"/>
    </row>
    <row r="13" spans="8:8">
      <c r="A13" s="100"/>
      <c r="B13" s="54" t="s">
        <v>80</v>
      </c>
      <c r="C13" s="22">
        <v>108.16</v>
      </c>
      <c r="D13" s="22">
        <f t="shared" si="0"/>
        <v>109.0</v>
      </c>
      <c r="E13" s="22"/>
    </row>
    <row r="14" spans="8:8">
      <c r="A14" s="101"/>
      <c r="B14" s="54" t="s">
        <v>84</v>
      </c>
      <c r="C14" s="22">
        <v>67.5675</v>
      </c>
      <c r="D14" s="22">
        <f t="shared" si="0"/>
        <v>68.0</v>
      </c>
      <c r="E14" s="22"/>
    </row>
    <row r="15" spans="8:8">
      <c r="A15" s="31" t="s">
        <v>176</v>
      </c>
      <c r="B15" s="31"/>
      <c r="C15" s="22">
        <f>SUM(C5:C14)</f>
        <v>2637.9695800599998</v>
      </c>
      <c r="D15" s="22">
        <f>SUM(D5:D14)</f>
        <v>2642.0</v>
      </c>
      <c r="E15" s="22">
        <f>D15-C15</f>
        <v>4.030419939999774</v>
      </c>
    </row>
    <row r="17" spans="8:8" ht="22.5">
      <c r="A17" s="18"/>
      <c r="B17" s="98" t="s">
        <v>337</v>
      </c>
      <c r="C17" s="98"/>
      <c r="D17" s="98"/>
      <c r="E17" s="98"/>
    </row>
    <row r="18" spans="8:8">
      <c r="A18" s="31" t="s">
        <v>338</v>
      </c>
      <c r="B18" s="54" t="s">
        <v>319</v>
      </c>
      <c r="C18" s="54" t="s">
        <v>339</v>
      </c>
      <c r="D18" s="54" t="s">
        <v>321</v>
      </c>
      <c r="E18" s="54" t="s">
        <v>322</v>
      </c>
    </row>
    <row r="19" spans="8:8">
      <c r="A19" s="31"/>
      <c r="B19" s="54" t="s">
        <v>340</v>
      </c>
      <c r="C19" s="22">
        <v>50000.0</v>
      </c>
      <c r="D19" s="54" t="s">
        <v>78</v>
      </c>
      <c r="E19" s="22">
        <f>C19</f>
        <v>50000.0</v>
      </c>
    </row>
    <row r="20" spans="8:8">
      <c r="A20" s="31"/>
      <c r="B20" s="43" t="s">
        <v>341</v>
      </c>
      <c r="C20" s="22">
        <v>2000.0</v>
      </c>
      <c r="D20" s="54" t="s">
        <v>78</v>
      </c>
      <c r="E20" s="22">
        <f>C20</f>
        <v>2000.0</v>
      </c>
    </row>
    <row r="21" spans="8:8">
      <c r="A21" s="31"/>
      <c r="B21" s="54" t="s">
        <v>342</v>
      </c>
      <c r="C21" s="22">
        <v>8000.0</v>
      </c>
      <c r="D21" s="54" t="s">
        <v>78</v>
      </c>
      <c r="E21" s="22">
        <f t="shared" si="1" ref="E21:E22">C21</f>
        <v>8000.0</v>
      </c>
    </row>
    <row r="22" spans="8:8" ht="27.0">
      <c r="A22" s="31"/>
      <c r="B22" s="39" t="s">
        <v>343</v>
      </c>
      <c r="C22" s="22">
        <f>D15</f>
        <v>2642.0</v>
      </c>
      <c r="D22" s="54" t="s">
        <v>78</v>
      </c>
      <c r="E22" s="22">
        <f t="shared" si="1"/>
        <v>2642.0</v>
      </c>
    </row>
    <row r="23" spans="8:8">
      <c r="A23" s="31"/>
      <c r="B23" s="54" t="s">
        <v>344</v>
      </c>
      <c r="C23" s="22">
        <v>38558.7642</v>
      </c>
      <c r="D23" s="41">
        <f>ROUNDDOWN(C23,0)</f>
        <v>38558.0</v>
      </c>
      <c r="E23" s="22">
        <f t="shared" si="2" ref="E23:E28">D23</f>
        <v>38558.0</v>
      </c>
      <c r="F23" t="s">
        <v>350</v>
      </c>
    </row>
    <row r="24" spans="8:8">
      <c r="A24" s="31"/>
      <c r="B24" s="54" t="s">
        <v>345</v>
      </c>
      <c r="C24" s="22">
        <v>0.0</v>
      </c>
      <c r="D24" s="41">
        <f>C24+MOD(C23,1)-E15</f>
        <v>-3.26621994000197</v>
      </c>
      <c r="E24" s="22">
        <f t="shared" si="2"/>
        <v>-3.26621994000197</v>
      </c>
      <c r="F24" t="s">
        <v>354</v>
      </c>
    </row>
    <row r="25" spans="8:8">
      <c r="A25" s="31"/>
      <c r="B25" s="54" t="s">
        <v>346</v>
      </c>
      <c r="C25" s="22">
        <v>53.96644825</v>
      </c>
      <c r="D25" s="41">
        <f>ROUNDDOWN(C25,0)</f>
        <v>53.0</v>
      </c>
      <c r="E25" s="22">
        <f t="shared" si="2"/>
        <v>53.0</v>
      </c>
      <c r="F25" t="s">
        <v>350</v>
      </c>
    </row>
    <row r="26" spans="8:8">
      <c r="A26" s="31"/>
      <c r="B26" s="54" t="s">
        <v>347</v>
      </c>
      <c r="C26" s="22">
        <v>485.6980343</v>
      </c>
      <c r="D26" s="41">
        <f>D27-D25</f>
        <v>487.0</v>
      </c>
      <c r="E26" s="22">
        <f t="shared" si="2"/>
        <v>487.0</v>
      </c>
      <c r="F26" t="s">
        <v>351</v>
      </c>
    </row>
    <row r="27" spans="8:8">
      <c r="A27" s="31"/>
      <c r="B27" s="54" t="s">
        <v>348</v>
      </c>
      <c r="C27" s="22">
        <f>C25+C26</f>
        <v>539.66448255</v>
      </c>
      <c r="D27" s="41">
        <f>ROUNDUP(C27,0)</f>
        <v>540.0</v>
      </c>
      <c r="E27" s="22">
        <f t="shared" si="2"/>
        <v>540.0</v>
      </c>
      <c r="F27" t="s">
        <v>352</v>
      </c>
    </row>
    <row r="28" spans="8:8">
      <c r="A28" s="31"/>
      <c r="B28" s="54" t="s">
        <v>349</v>
      </c>
      <c r="C28" s="22">
        <v>16999.4312</v>
      </c>
      <c r="D28" s="41">
        <v>17045.0</v>
      </c>
      <c r="E28" s="22">
        <f t="shared" si="2"/>
        <v>17045.0</v>
      </c>
      <c r="F28" t="s">
        <v>353</v>
      </c>
    </row>
    <row r="30" spans="8:8">
      <c r="A30" s="54" t="s">
        <v>355</v>
      </c>
      <c r="B30" s="43">
        <v>2.0</v>
      </c>
      <c r="C30" s="43">
        <v>1.0</v>
      </c>
      <c r="D30" s="43">
        <v>1.0</v>
      </c>
      <c r="E30" s="43">
        <v>0.0</v>
      </c>
    </row>
    <row r="31" spans="8:8">
      <c r="A31" s="54"/>
      <c r="B31" s="54" t="s">
        <v>250</v>
      </c>
      <c r="C31" s="54" t="s">
        <v>251</v>
      </c>
      <c r="D31" s="54" t="s">
        <v>252</v>
      </c>
      <c r="E31" s="54" t="s">
        <v>253</v>
      </c>
    </row>
    <row r="33" spans="8:8" ht="67.5">
      <c r="A33" s="102" t="s">
        <v>26</v>
      </c>
      <c r="B33" s="103" t="s">
        <v>22</v>
      </c>
      <c r="C33" s="103" t="s">
        <v>23</v>
      </c>
    </row>
    <row r="34" spans="8:8" ht="54.0">
      <c r="A34" s="102" t="s">
        <v>33</v>
      </c>
      <c r="B34" s="103" t="s">
        <v>32</v>
      </c>
      <c r="C34" s="103" t="s">
        <v>31</v>
      </c>
    </row>
    <row r="35" spans="8:8">
      <c r="A35" s="5" t="s">
        <v>357</v>
      </c>
      <c r="B35" s="5" t="s">
        <v>358</v>
      </c>
      <c r="C35" s="103"/>
    </row>
    <row r="36" spans="8:8" ht="27.0">
      <c r="A36" s="5" t="s">
        <v>27</v>
      </c>
      <c r="B36" s="5" t="s">
        <v>356</v>
      </c>
      <c r="C36" s="104">
        <v>0.095</v>
      </c>
    </row>
    <row r="37" spans="8:8" ht="27.0">
      <c r="A37" s="5" t="s">
        <v>359</v>
      </c>
      <c r="B37" s="5" t="s">
        <v>360</v>
      </c>
      <c r="C37" s="104"/>
    </row>
    <row r="38" spans="8:8" ht="189.0">
      <c r="A38" s="5" t="s">
        <v>29</v>
      </c>
      <c r="B38" s="5" t="s">
        <v>362</v>
      </c>
      <c r="C38" s="5" t="s">
        <v>361</v>
      </c>
    </row>
    <row r="39" spans="8:8" ht="162.0">
      <c r="A39" s="5" t="s">
        <v>30</v>
      </c>
      <c r="B39" s="5" t="s">
        <v>24</v>
      </c>
      <c r="C39" s="5" t="s">
        <v>35</v>
      </c>
      <c r="D39" s="5" t="s">
        <v>363</v>
      </c>
    </row>
  </sheetData>
  <mergeCells count="5">
    <mergeCell ref="A2:E2"/>
    <mergeCell ref="A5:A14"/>
    <mergeCell ref="A15:B15"/>
    <mergeCell ref="B17:E17"/>
    <mergeCell ref="A18:A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JKM-AL00b</dc:creator>
  <dcterms:created xsi:type="dcterms:W3CDTF">2006-09-15T16:00:00Z</dcterms:created>
  <dcterms:modified xsi:type="dcterms:W3CDTF">2019-12-23T02:01:10Z</dcterms:modified>
</cp:coreProperties>
</file>