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bias\Desktop\"/>
    </mc:Choice>
  </mc:AlternateContent>
  <bookViews>
    <workbookView xWindow="0" yWindow="0" windowWidth="19200" windowHeight="12435" activeTab="4"/>
  </bookViews>
  <sheets>
    <sheet name="Parametros" sheetId="1" r:id="rId1"/>
    <sheet name="Eventos" sheetId="2" r:id="rId2"/>
    <sheet name="Eventos_Abs" sheetId="3" r:id="rId3"/>
    <sheet name="Eventos_Turnover" sheetId="4" r:id="rId4"/>
    <sheet name="Caso_Montado" sheetId="5" r:id="rId5"/>
  </sheets>
  <externalReferences>
    <externalReference r:id="rId6"/>
  </externalReferences>
  <definedNames>
    <definedName name="Ano_Inicial">[1]Configs!$D$2:$D$2</definedName>
    <definedName name="Anos_a_Serem_Simulados">[1]Configs!$A$2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4" i="5" l="1"/>
  <c r="X4" i="5"/>
  <c r="Y4" i="5"/>
  <c r="W5" i="5"/>
  <c r="X5" i="5"/>
  <c r="Y5" i="5"/>
  <c r="W6" i="5"/>
  <c r="X6" i="5"/>
  <c r="Y6" i="5"/>
  <c r="W7" i="5"/>
  <c r="X7" i="5"/>
  <c r="Y7" i="5"/>
  <c r="W8" i="5"/>
  <c r="X8" i="5"/>
  <c r="Y8" i="5"/>
  <c r="W9" i="5"/>
  <c r="X9" i="5"/>
  <c r="Y9" i="5"/>
  <c r="W10" i="5"/>
  <c r="X10" i="5"/>
  <c r="Y10" i="5"/>
  <c r="W11" i="5"/>
  <c r="X11" i="5"/>
  <c r="Y11" i="5"/>
  <c r="W12" i="5"/>
  <c r="X12" i="5"/>
  <c r="Y12" i="5"/>
  <c r="W13" i="5"/>
  <c r="X13" i="5"/>
  <c r="Y13" i="5"/>
  <c r="W14" i="5"/>
  <c r="X14" i="5"/>
  <c r="Y14" i="5"/>
  <c r="W15" i="5"/>
  <c r="X15" i="5"/>
  <c r="Y15" i="5"/>
  <c r="W16" i="5"/>
  <c r="X16" i="5"/>
  <c r="Y16" i="5"/>
  <c r="W17" i="5"/>
  <c r="X17" i="5"/>
  <c r="Y17" i="5"/>
  <c r="W18" i="5"/>
  <c r="X18" i="5"/>
  <c r="Y18" i="5"/>
  <c r="W19" i="5"/>
  <c r="X19" i="5"/>
  <c r="Y19" i="5"/>
  <c r="V5" i="5"/>
  <c r="V6" i="5"/>
  <c r="V7" i="5"/>
  <c r="V8" i="5"/>
  <c r="V9" i="5"/>
  <c r="V10" i="5"/>
  <c r="V11" i="5"/>
  <c r="V12" i="5"/>
  <c r="V13" i="5"/>
  <c r="V14" i="5"/>
  <c r="V15" i="5"/>
  <c r="V16" i="5"/>
  <c r="V17" i="5"/>
  <c r="V18" i="5"/>
  <c r="V19" i="5"/>
  <c r="V4" i="5"/>
  <c r="W20" i="5"/>
  <c r="X20" i="5"/>
  <c r="Y20" i="5"/>
  <c r="V20" i="5"/>
  <c r="AK35" i="5"/>
  <c r="AD17" i="5"/>
  <c r="Q4" i="5"/>
  <c r="R4" i="5"/>
  <c r="S4" i="5"/>
  <c r="Q5" i="5"/>
  <c r="R5" i="5"/>
  <c r="S5" i="5"/>
  <c r="Q6" i="5"/>
  <c r="R6" i="5"/>
  <c r="S6" i="5"/>
  <c r="Q7" i="5"/>
  <c r="R7" i="5"/>
  <c r="S7" i="5"/>
  <c r="Q8" i="5"/>
  <c r="R8" i="5"/>
  <c r="S8" i="5"/>
  <c r="Q9" i="5"/>
  <c r="R9" i="5"/>
  <c r="S9" i="5"/>
  <c r="Q10" i="5"/>
  <c r="R10" i="5"/>
  <c r="S10" i="5"/>
  <c r="Q11" i="5"/>
  <c r="R11" i="5"/>
  <c r="S11" i="5"/>
  <c r="Q12" i="5"/>
  <c r="R12" i="5"/>
  <c r="S12" i="5"/>
  <c r="Q13" i="5"/>
  <c r="R13" i="5"/>
  <c r="S13" i="5"/>
  <c r="Q14" i="5"/>
  <c r="R14" i="5"/>
  <c r="S14" i="5"/>
  <c r="Q15" i="5"/>
  <c r="R15" i="5"/>
  <c r="S15" i="5"/>
  <c r="Q16" i="5"/>
  <c r="R16" i="5"/>
  <c r="S16" i="5"/>
  <c r="Q17" i="5"/>
  <c r="R17" i="5"/>
  <c r="S17" i="5"/>
  <c r="Q18" i="5"/>
  <c r="R18" i="5"/>
  <c r="S18" i="5"/>
  <c r="Q19" i="5"/>
  <c r="R19" i="5"/>
  <c r="S19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4" i="5"/>
  <c r="P38" i="5"/>
  <c r="P39" i="5"/>
  <c r="P37" i="5"/>
  <c r="P36" i="5"/>
  <c r="P34" i="5"/>
  <c r="P35" i="5" s="1"/>
  <c r="P33" i="5"/>
  <c r="P32" i="5"/>
  <c r="P30" i="5"/>
  <c r="P31" i="5" s="1"/>
  <c r="P29" i="5"/>
  <c r="P28" i="5"/>
  <c r="P26" i="5"/>
  <c r="P27" i="5" s="1"/>
  <c r="P25" i="5"/>
  <c r="S22" i="5"/>
  <c r="R22" i="5"/>
  <c r="AF62" i="5"/>
  <c r="AD62" i="5"/>
  <c r="AL35" i="5"/>
  <c r="AG40" i="5"/>
  <c r="AG41" i="5" s="1"/>
  <c r="AM6" i="5" s="1"/>
  <c r="AM21" i="5" s="1"/>
  <c r="AF40" i="5"/>
  <c r="AF41" i="5" s="1"/>
  <c r="AL6" i="5" s="1"/>
  <c r="AL21" i="5" s="1"/>
  <c r="AE40" i="5"/>
  <c r="AE41" i="5" s="1"/>
  <c r="AK6" i="5" s="1"/>
  <c r="AK21" i="5" s="1"/>
  <c r="AD40" i="5"/>
  <c r="AD41" i="5" s="1"/>
  <c r="AJ6" i="5" l="1"/>
  <c r="AJ21" i="5" s="1"/>
  <c r="AJ35" i="5" s="1"/>
  <c r="AJ23" i="5"/>
  <c r="AK23" i="5"/>
  <c r="AL23" i="5"/>
  <c r="AM23" i="5"/>
  <c r="AJ41" i="5" l="1"/>
  <c r="AJ47" i="5" s="1"/>
  <c r="A5" i="5"/>
  <c r="A6" i="5" s="1"/>
  <c r="AG27" i="5" l="1"/>
  <c r="AG19" i="5"/>
  <c r="AE17" i="5"/>
  <c r="AF27" i="5"/>
  <c r="AF11" i="5"/>
  <c r="AF7" i="5"/>
  <c r="AF20" i="5"/>
  <c r="AF19" i="5"/>
  <c r="AF18" i="5"/>
  <c r="AG11" i="5"/>
  <c r="AG7" i="5"/>
  <c r="AG20" i="5"/>
  <c r="AG18" i="5"/>
  <c r="AF17" i="5"/>
  <c r="AE27" i="5"/>
  <c r="AE11" i="5"/>
  <c r="AE7" i="5"/>
  <c r="AE20" i="5"/>
  <c r="AE19" i="5"/>
  <c r="AE18" i="5"/>
  <c r="AG17" i="5"/>
  <c r="AD27" i="5"/>
  <c r="AD11" i="5"/>
  <c r="AD7" i="5"/>
  <c r="AD20" i="5"/>
  <c r="AD19" i="5"/>
  <c r="AD18" i="5"/>
  <c r="AG5" i="5" l="1"/>
  <c r="AG51" i="5"/>
  <c r="AF9" i="5"/>
  <c r="AF60" i="5"/>
  <c r="AE5" i="5"/>
  <c r="AE51" i="5"/>
  <c r="AE9" i="5"/>
  <c r="AE60" i="5"/>
  <c r="AG9" i="5"/>
  <c r="AG60" i="5"/>
  <c r="AF6" i="5"/>
  <c r="AF52" i="5"/>
  <c r="AF10" i="5"/>
  <c r="AF61" i="5"/>
  <c r="AG8" i="5"/>
  <c r="AG59" i="5"/>
  <c r="AF5" i="5"/>
  <c r="AF51" i="5"/>
  <c r="AE6" i="5"/>
  <c r="AE52" i="5"/>
  <c r="AE10" i="5"/>
  <c r="AE61" i="5"/>
  <c r="AG4" i="5"/>
  <c r="AG50" i="5"/>
  <c r="AG10" i="5"/>
  <c r="AG61" i="5"/>
  <c r="AE4" i="5"/>
  <c r="AE50" i="5"/>
  <c r="AE8" i="5"/>
  <c r="AE59" i="5"/>
  <c r="AF4" i="5"/>
  <c r="AF50" i="5"/>
  <c r="AF8" i="5"/>
  <c r="AF59" i="5"/>
  <c r="AG6" i="5"/>
  <c r="AG52" i="5"/>
  <c r="AD10" i="5"/>
  <c r="AD61" i="5"/>
  <c r="AD9" i="5"/>
  <c r="AD60" i="5"/>
  <c r="AD8" i="5"/>
  <c r="AD59" i="5"/>
  <c r="AD5" i="5"/>
  <c r="AD51" i="5"/>
  <c r="AD6" i="5"/>
  <c r="AD52" i="5"/>
  <c r="AD4" i="5"/>
  <c r="AD50" i="5"/>
  <c r="AD21" i="5"/>
  <c r="AD26" i="5" s="1"/>
  <c r="AD28" i="5" s="1"/>
  <c r="AJ5" i="5" s="1"/>
  <c r="AJ20" i="5" s="1"/>
  <c r="AG21" i="5"/>
  <c r="AG26" i="5" s="1"/>
  <c r="AG28" i="5" s="1"/>
  <c r="AM5" i="5" s="1"/>
  <c r="AM20" i="5" s="1"/>
  <c r="AF21" i="5"/>
  <c r="AF26" i="5" s="1"/>
  <c r="AF28" i="5" s="1"/>
  <c r="AL5" i="5" s="1"/>
  <c r="AL20" i="5" s="1"/>
  <c r="AE21" i="5"/>
  <c r="AE26" i="5" s="1"/>
  <c r="AE28" i="5" s="1"/>
  <c r="AK5" i="5" s="1"/>
  <c r="AK20" i="5" s="1"/>
  <c r="F30" i="2"/>
  <c r="F26" i="2"/>
  <c r="F22" i="2"/>
  <c r="F18" i="2"/>
  <c r="F14" i="2"/>
  <c r="F10" i="2"/>
  <c r="F6" i="2"/>
  <c r="F2" i="2"/>
  <c r="D33" i="2"/>
  <c r="C33" i="2"/>
  <c r="D32" i="2"/>
  <c r="C32" i="2"/>
  <c r="D31" i="2"/>
  <c r="C31" i="2"/>
  <c r="D30" i="2"/>
  <c r="C30" i="2"/>
  <c r="D29" i="2"/>
  <c r="C29" i="2"/>
  <c r="D28" i="2"/>
  <c r="C28" i="2"/>
  <c r="D27" i="2"/>
  <c r="C27" i="2"/>
  <c r="D26" i="2"/>
  <c r="C26" i="2"/>
  <c r="D25" i="2"/>
  <c r="C25" i="2"/>
  <c r="D24" i="2"/>
  <c r="C24" i="2"/>
  <c r="D23" i="2"/>
  <c r="C23" i="2"/>
  <c r="D22" i="2"/>
  <c r="C22" i="2"/>
  <c r="D21" i="2"/>
  <c r="C21" i="2"/>
  <c r="D20" i="2"/>
  <c r="C20" i="2"/>
  <c r="D19" i="2"/>
  <c r="C19" i="2"/>
  <c r="D18" i="2"/>
  <c r="C18" i="2"/>
  <c r="D17" i="2"/>
  <c r="C17" i="2"/>
  <c r="D16" i="2"/>
  <c r="C16" i="2"/>
  <c r="D15" i="2"/>
  <c r="C15" i="2"/>
  <c r="D14" i="2"/>
  <c r="C14" i="2"/>
  <c r="D13" i="2"/>
  <c r="C13" i="2"/>
  <c r="D12" i="2"/>
  <c r="C12" i="2"/>
  <c r="D11" i="2"/>
  <c r="C11" i="2"/>
  <c r="D10" i="2"/>
  <c r="C10" i="2"/>
  <c r="D9" i="2"/>
  <c r="C9" i="2"/>
  <c r="D8" i="2"/>
  <c r="C8" i="2"/>
  <c r="D7" i="2"/>
  <c r="C7" i="2"/>
  <c r="D6" i="2"/>
  <c r="C6" i="2"/>
  <c r="D5" i="2"/>
  <c r="C5" i="2"/>
  <c r="D4" i="2"/>
  <c r="C4" i="2"/>
  <c r="D3" i="2"/>
  <c r="C3" i="2"/>
  <c r="D2" i="2"/>
  <c r="C2" i="2"/>
  <c r="B3" i="1"/>
  <c r="A2" i="1"/>
  <c r="A3" i="1" s="1"/>
  <c r="AE12" i="5" l="1"/>
  <c r="AK4" i="5" s="1"/>
  <c r="AK19" i="5" s="1"/>
  <c r="AG12" i="5"/>
  <c r="AM4" i="5" s="1"/>
  <c r="AM19" i="5" s="1"/>
  <c r="AF12" i="5"/>
  <c r="AL4" i="5" s="1"/>
  <c r="AL19" i="5" s="1"/>
  <c r="AD53" i="5"/>
  <c r="AD58" i="5" s="1"/>
  <c r="AF53" i="5"/>
  <c r="AF58" i="5" s="1"/>
  <c r="AE53" i="5"/>
  <c r="AE58" i="5" s="1"/>
  <c r="AG53" i="5"/>
  <c r="AG58" i="5" s="1"/>
  <c r="AD12" i="5"/>
  <c r="AJ4" i="5" s="1"/>
  <c r="AJ19" i="5" s="1"/>
  <c r="AJ33" i="5" s="1"/>
  <c r="AK34" i="5"/>
  <c r="AJ34" i="5"/>
  <c r="F2" i="1"/>
  <c r="F3" i="1"/>
  <c r="E2" i="1"/>
  <c r="E3" i="1"/>
  <c r="AF63" i="5" l="1"/>
  <c r="AD63" i="5"/>
  <c r="AL34" i="5"/>
  <c r="AK33" i="5"/>
  <c r="AF67" i="5" l="1"/>
  <c r="AF68" i="5" s="1"/>
  <c r="AL7" i="5" s="1"/>
  <c r="AL22" i="5" s="1"/>
  <c r="AG63" i="5"/>
  <c r="AG67" i="5" s="1"/>
  <c r="AG68" i="5" s="1"/>
  <c r="AM7" i="5" s="1"/>
  <c r="AM22" i="5" s="1"/>
  <c r="AD67" i="5"/>
  <c r="AD68" i="5" s="1"/>
  <c r="AJ7" i="5" s="1"/>
  <c r="AJ22" i="5" s="1"/>
  <c r="AE63" i="5"/>
  <c r="AE67" i="5" s="1"/>
  <c r="AE68" i="5" s="1"/>
  <c r="AK7" i="5" s="1"/>
  <c r="AK22" i="5" s="1"/>
  <c r="AL33" i="5"/>
  <c r="AK36" i="5" l="1"/>
  <c r="AK37" i="5"/>
  <c r="AJ36" i="5"/>
  <c r="AL36" i="5" l="1"/>
  <c r="AJ37" i="5"/>
  <c r="AL37" i="5"/>
  <c r="AJ46" i="5" s="1"/>
  <c r="AJ48" i="5" s="1"/>
</calcChain>
</file>

<file path=xl/sharedStrings.xml><?xml version="1.0" encoding="utf-8"?>
<sst xmlns="http://schemas.openxmlformats.org/spreadsheetml/2006/main" count="327" uniqueCount="123">
  <si>
    <t>Ano</t>
  </si>
  <si>
    <t>Funcionarios</t>
  </si>
  <si>
    <t>HorasPorDia</t>
  </si>
  <si>
    <t>CustoMDO</t>
  </si>
  <si>
    <t>DespesaAbsenteísmo Sem Iniciativa</t>
  </si>
  <si>
    <t>DespesaAbsenteísmo Com Iniciativa</t>
  </si>
  <si>
    <t>Nev_Afmenor15_Tipico</t>
  </si>
  <si>
    <t>Nev_Afmaior15_Tipico</t>
  </si>
  <si>
    <t>Nev_Safast_Tipico</t>
  </si>
  <si>
    <t>Nev_Obito_Tipico</t>
  </si>
  <si>
    <t>Nev_Afmenor15_Trajeto</t>
  </si>
  <si>
    <t>Nev_Afmaior15_Trajeto</t>
  </si>
  <si>
    <t>Nev_Safast_Trajeto</t>
  </si>
  <si>
    <t>Nev_Obito_Trajeto</t>
  </si>
  <si>
    <t>Nev_Afmenor15_DoenOcup</t>
  </si>
  <si>
    <t>Nev_Afmaior15_DoenOcup</t>
  </si>
  <si>
    <t>Nev_Safast_DoenOcup</t>
  </si>
  <si>
    <t>Nev_Obito_DoenOcup</t>
  </si>
  <si>
    <t>Nev_Afmenor15_NRelac</t>
  </si>
  <si>
    <t>Nev_Afmaior15_NRelac</t>
  </si>
  <si>
    <t>Nev_Safast_NRelac</t>
  </si>
  <si>
    <t>Nev_Obito_NRelac</t>
  </si>
  <si>
    <t>Com Iniciativa</t>
  </si>
  <si>
    <t>Sem Iniciativa</t>
  </si>
  <si>
    <t>Variavel</t>
  </si>
  <si>
    <t>Categoria</t>
  </si>
  <si>
    <t>Absenteísmo</t>
  </si>
  <si>
    <t>EventosAbsenteismo Sem Iniciativa</t>
  </si>
  <si>
    <t>EventosAbsenteismo Com Iniciativa</t>
  </si>
  <si>
    <t>Absenteísmo?</t>
  </si>
  <si>
    <t>DiasMedAfast Sem Iniciativa</t>
  </si>
  <si>
    <t>Nfalta</t>
  </si>
  <si>
    <t>NFalta</t>
  </si>
  <si>
    <t>Equações</t>
  </si>
  <si>
    <t>Despesas Turnover = ( EventosTurnover * CustoSubstituição )</t>
  </si>
  <si>
    <t xml:space="preserve">Despesas Absenteísmo = Horas trabalhadas por dia * Custo MDO * Dias Absenteísmo </t>
  </si>
  <si>
    <t>EventosTurnover = Número de afastamentos maior que 15 dias + Número de óbitos</t>
  </si>
  <si>
    <t xml:space="preserve">Dias Absenteísmo = ( Número de afastamentos menor que 15 dias * Dias Médio de Afastamento ) + Número de Faltas </t>
  </si>
  <si>
    <t>Variável</t>
  </si>
  <si>
    <t>Turnover</t>
  </si>
  <si>
    <t>Número de Afasmentos menor que 15 dias_Típico</t>
  </si>
  <si>
    <t>Número de Afasmentos menor que 15 dias_Trajeto</t>
  </si>
  <si>
    <t xml:space="preserve">Número de Afasmentos menor que 15 dias_Doença Ocupacional </t>
  </si>
  <si>
    <t xml:space="preserve">Número de Afasmentos menor que 15 dias_Não Relacionado </t>
  </si>
  <si>
    <t>Número de Afastamentos maior que 15 dias_Típico</t>
  </si>
  <si>
    <t>Número de Afastamentos maior que 15 dias_Trajeto</t>
  </si>
  <si>
    <t xml:space="preserve">Número de Afastamentos maior que 15 dias_Doença Ocupacional </t>
  </si>
  <si>
    <t xml:space="preserve">Número de Afastamentos maior que 15 dias_Não Relacionado </t>
  </si>
  <si>
    <t>Número Sem Afastamento_Típico</t>
  </si>
  <si>
    <t>Número Sem Afastamento_Trajeto</t>
  </si>
  <si>
    <t xml:space="preserve">Número Sem Afastamento_Doença Ocupacional </t>
  </si>
  <si>
    <t>Número Sem Afastamento_Não Relacionado ao trabalho</t>
  </si>
  <si>
    <t>Número de óbitos_Típico</t>
  </si>
  <si>
    <t>Número de óbitos_Trajeto</t>
  </si>
  <si>
    <t xml:space="preserve">Número de óbitos_Doença Ocupacional </t>
  </si>
  <si>
    <t>Número de óbitos_Não Relacionado ao trabalho</t>
  </si>
  <si>
    <t>Nome amigável</t>
  </si>
  <si>
    <t xml:space="preserve">Caso montado </t>
  </si>
  <si>
    <t>Eventos</t>
  </si>
  <si>
    <t>Eventos Turnover</t>
  </si>
  <si>
    <t xml:space="preserve">Número de Faltas </t>
  </si>
  <si>
    <t>Eventos Absenteísmo</t>
  </si>
  <si>
    <t>Total eventos absenteísmo</t>
  </si>
  <si>
    <t xml:space="preserve">Dias de Absenteísmo </t>
  </si>
  <si>
    <t>Total eventos absenteísmo * Dias médio absenteísmo</t>
  </si>
  <si>
    <t>Número de Faltas</t>
  </si>
  <si>
    <t xml:space="preserve">Total de dias de absenteísmo </t>
  </si>
  <si>
    <t>Despesa Turnover</t>
  </si>
  <si>
    <t>Despesa Absenteísmo</t>
  </si>
  <si>
    <t>Custo Médio Substituição</t>
  </si>
  <si>
    <t>Custo Médio MDO</t>
  </si>
  <si>
    <t>Dias Médio de Afastamento</t>
  </si>
  <si>
    <t>Total eventos turnover</t>
  </si>
  <si>
    <t>Horas Trabalhadas Por Dia</t>
  </si>
  <si>
    <t>Com iniciativa</t>
  </si>
  <si>
    <t>Cenário 0</t>
  </si>
  <si>
    <t>Cenário 1</t>
  </si>
  <si>
    <t>Custo iniciativa</t>
  </si>
  <si>
    <t>Valor descontado</t>
  </si>
  <si>
    <t>Despesa Turnover descontado</t>
  </si>
  <si>
    <t>Despesa Absenteísmo descontado</t>
  </si>
  <si>
    <t>Custo iniciativa descontado</t>
  </si>
  <si>
    <t>Equação</t>
  </si>
  <si>
    <t>Despesa Turnover descontado = Despesa Turnover / ( 1 + i) ^ T - 2017</t>
  </si>
  <si>
    <t xml:space="preserve">Absenteísmo </t>
  </si>
  <si>
    <t>Despesa Total</t>
  </si>
  <si>
    <t xml:space="preserve">Cenário 0 </t>
  </si>
  <si>
    <t>Benefício</t>
  </si>
  <si>
    <t>Benefício Absenteísmo = Despesta total_cenário 1 - Despesa total_cenário 0</t>
  </si>
  <si>
    <t>Total</t>
  </si>
  <si>
    <t>Razão Benefício / Custo</t>
  </si>
  <si>
    <t xml:space="preserve">Custo total iniciativa </t>
  </si>
  <si>
    <t xml:space="preserve">Benefício total </t>
  </si>
  <si>
    <t>Probabilidades</t>
  </si>
  <si>
    <t xml:space="preserve">Custo </t>
  </si>
  <si>
    <t>Fator crise</t>
  </si>
  <si>
    <t>Sem iniciativa</t>
  </si>
  <si>
    <t>Número de multas</t>
  </si>
  <si>
    <t>Custo Médio da Multa Lei 1</t>
  </si>
  <si>
    <t>Número médio de multas a priori</t>
  </si>
  <si>
    <t>Crise</t>
  </si>
  <si>
    <t xml:space="preserve">Sem Iniciativa </t>
  </si>
  <si>
    <t xml:space="preserve">Atendimento legislação </t>
  </si>
  <si>
    <t xml:space="preserve">Número de multas arredondado </t>
  </si>
  <si>
    <t>Despesas Multas</t>
  </si>
  <si>
    <t>Multas</t>
  </si>
  <si>
    <t>Número de multas = (1 - Atendimento legislação) * Número médio de multas a priori * (1 + (crise * Fator Crise))</t>
  </si>
  <si>
    <t>Despesas multas = Número de multas arredonda * Custo Médio da Lei 1</t>
  </si>
  <si>
    <t>Número acumulados ação regressiva</t>
  </si>
  <si>
    <t>Total acumulados ação regressiva</t>
  </si>
  <si>
    <t>Total evento ação regressiva * probabilidade invalidez</t>
  </si>
  <si>
    <t>Probabilidade invalidez afastamento maior que 15 dias</t>
  </si>
  <si>
    <t>Eventos afastamento ação regressiva</t>
  </si>
  <si>
    <t>Total evento afastamento ação regressiva</t>
  </si>
  <si>
    <t>Probabilidade ação regressiva</t>
  </si>
  <si>
    <t>Número de ações regressiva efetivas</t>
  </si>
  <si>
    <t>Número de ações regressivas efetivas arrendonda</t>
  </si>
  <si>
    <t>Número de ações regressivas efetivas = Total acumulado ação regressiva * Probabilidade ação regressiva * (1 + (crise * Fator crise))</t>
  </si>
  <si>
    <t>Despesas ações regressivas inss</t>
  </si>
  <si>
    <t>Custo médio ação regressiva inss</t>
  </si>
  <si>
    <t>Ações regressivas inss</t>
  </si>
  <si>
    <t>Número de ações regressiva inicial</t>
  </si>
  <si>
    <t>Número de ações regressiva iniciais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</si>
</sst>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&quot;R$&quot;\ * #,##0.00_-;\-&quot;R$&quot;\ * #,##0.00_-;_-&quot;R$&quot;\ * &quot;-&quot;??_-;_-@_-"/>
    <numFmt numFmtId="165" formatCode="0.000"/>
    <numFmt numFmtId="166" formatCode="&quot;R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12121"/>
      <name val="Segoe U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Font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left"/>
    </xf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0" fontId="0" fillId="0" borderId="2" xfId="0" applyBorder="1" applyAlignment="1">
      <alignment horizontal="center"/>
    </xf>
    <xf numFmtId="2" fontId="0" fillId="0" borderId="2" xfId="0" applyNumberFormat="1" applyBorder="1"/>
    <xf numFmtId="164" fontId="2" fillId="0" borderId="4" xfId="1" applyFont="1" applyBorder="1" applyAlignment="1">
      <alignment horizontal="center"/>
    </xf>
    <xf numFmtId="0" fontId="0" fillId="0" borderId="4" xfId="0" applyBorder="1"/>
    <xf numFmtId="0" fontId="0" fillId="0" borderId="2" xfId="0" applyBorder="1" applyAlignment="1"/>
    <xf numFmtId="0" fontId="2" fillId="0" borderId="2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5" fontId="0" fillId="0" borderId="2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166" fontId="0" fillId="0" borderId="2" xfId="0" applyNumberFormat="1" applyBorder="1"/>
    <xf numFmtId="166" fontId="0" fillId="0" borderId="0" xfId="0" applyNumberFormat="1"/>
    <xf numFmtId="166" fontId="0" fillId="0" borderId="3" xfId="0" applyNumberFormat="1" applyBorder="1"/>
    <xf numFmtId="0" fontId="0" fillId="0" borderId="14" xfId="0" applyFill="1" applyBorder="1"/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/>
    <xf numFmtId="164" fontId="2" fillId="0" borderId="2" xfId="1" applyFont="1" applyFill="1" applyBorder="1" applyAlignment="1">
      <alignment horizontal="center"/>
    </xf>
    <xf numFmtId="166" fontId="0" fillId="0" borderId="15" xfId="0" applyNumberFormat="1" applyBorder="1"/>
    <xf numFmtId="0" fontId="2" fillId="0" borderId="2" xfId="0" applyFont="1" applyFill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3" fillId="0" borderId="8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ev\oshcba\data\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_de_Parâmetros"/>
      <sheetName val="Configs"/>
      <sheetName val="Dados_Projetados"/>
      <sheetName val="Cenarios"/>
      <sheetName val="Parametros"/>
      <sheetName val="Funcoes_Inputs"/>
      <sheetName val="Funcoes_Outputs"/>
      <sheetName val="Distribuições"/>
      <sheetName val="Categorias"/>
      <sheetName val="Custos"/>
      <sheetName val="Benefícios_Capturados"/>
    </sheetNames>
    <sheetDataSet>
      <sheetData sheetId="0" refreshError="1"/>
      <sheetData sheetId="1" refreshError="1">
        <row r="2">
          <cell r="A2">
            <v>5</v>
          </cell>
          <cell r="D2">
            <v>2017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8" sqref="A8:A14"/>
    </sheetView>
  </sheetViews>
  <sheetFormatPr defaultRowHeight="15" x14ac:dyDescent="0.25"/>
  <cols>
    <col min="2" max="2" width="12.28515625" bestFit="1" customWidth="1"/>
    <col min="3" max="3" width="13.42578125" bestFit="1" customWidth="1"/>
    <col min="4" max="4" width="13.140625" customWidth="1"/>
    <col min="5" max="5" width="34.7109375" bestFit="1" customWidth="1"/>
    <col min="6" max="8" width="34.7109375" customWidth="1"/>
    <col min="9" max="9" width="33.42578125" bestFit="1" customWidth="1"/>
    <col min="10" max="10" width="33.5703125" bestFit="1" customWidth="1"/>
    <col min="11" max="11" width="30.28515625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3" t="s">
        <v>3</v>
      </c>
      <c r="E1" s="3" t="s">
        <v>27</v>
      </c>
      <c r="F1" s="3" t="s">
        <v>28</v>
      </c>
      <c r="G1" s="3" t="s">
        <v>30</v>
      </c>
      <c r="H1" s="3" t="s">
        <v>30</v>
      </c>
      <c r="I1" t="s">
        <v>4</v>
      </c>
      <c r="J1" t="s">
        <v>5</v>
      </c>
    </row>
    <row r="2" spans="1:10" x14ac:dyDescent="0.25">
      <c r="A2" s="2">
        <f>Ano_Inicial</f>
        <v>2017</v>
      </c>
      <c r="B2" s="2">
        <v>3000</v>
      </c>
      <c r="C2" s="4">
        <v>8</v>
      </c>
      <c r="D2" s="4">
        <v>20</v>
      </c>
      <c r="E2" s="4">
        <f ca="1">SUMIFS(Eventos!$D:$D,Eventos!$F:$F,TRUE,Eventos!$E:$E,Parametros!$A2)</f>
        <v>13</v>
      </c>
      <c r="F2" s="4">
        <f ca="1">SUMIFS(Eventos!$C:$C,Eventos!$F:$F,TRUE,Eventos!$E:$E,Parametros!$A2)</f>
        <v>28</v>
      </c>
      <c r="G2" s="4"/>
      <c r="H2" s="4"/>
    </row>
    <row r="3" spans="1:10" x14ac:dyDescent="0.25">
      <c r="A3" s="2">
        <f t="shared" ref="A3" si="0">IFERROR(IF(A2+1&lt;=Anos_a_Serem_Simulados+Ano_Inicial-1,A2+1,""),"")</f>
        <v>2018</v>
      </c>
      <c r="B3" s="2">
        <f>ROUND(B2*1.005,0)</f>
        <v>3015</v>
      </c>
      <c r="C3" s="4">
        <v>8</v>
      </c>
      <c r="D3" s="4">
        <v>20</v>
      </c>
      <c r="E3" s="4">
        <f ca="1">SUMIFS(Eventos!$D:$D,Eventos!$F:$F,TRUE,Eventos!$E:$E,Parametros!$A3)</f>
        <v>26</v>
      </c>
      <c r="F3" s="4">
        <f ca="1">SUMIFS(Eventos!$C:$C,Eventos!$F:$F,TRUE,Eventos!$E:$E,Parametros!$A3)</f>
        <v>18</v>
      </c>
      <c r="G3" s="4"/>
      <c r="H3" s="4"/>
    </row>
    <row r="8" spans="1:10" x14ac:dyDescent="0.25">
      <c r="A8" t="s">
        <v>33</v>
      </c>
    </row>
    <row r="10" spans="1:10" x14ac:dyDescent="0.25">
      <c r="A10" t="s">
        <v>34</v>
      </c>
    </row>
    <row r="11" spans="1:10" x14ac:dyDescent="0.25">
      <c r="A11" t="s">
        <v>36</v>
      </c>
    </row>
    <row r="13" spans="1:10" x14ac:dyDescent="0.25">
      <c r="A13" t="s">
        <v>35</v>
      </c>
    </row>
    <row r="14" spans="1:10" x14ac:dyDescent="0.25">
      <c r="A14" t="s">
        <v>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5" zoomScaleNormal="85" workbookViewId="0">
      <selection activeCell="A2" sqref="A2"/>
    </sheetView>
  </sheetViews>
  <sheetFormatPr defaultRowHeight="15" x14ac:dyDescent="0.25"/>
  <cols>
    <col min="1" max="1" width="64" bestFit="1" customWidth="1"/>
    <col min="2" max="2" width="27.42578125" customWidth="1"/>
    <col min="3" max="3" width="22.140625" bestFit="1" customWidth="1"/>
    <col min="4" max="4" width="21.42578125" bestFit="1" customWidth="1"/>
    <col min="5" max="5" width="7.5703125" bestFit="1" customWidth="1"/>
    <col min="6" max="6" width="17" bestFit="1" customWidth="1"/>
    <col min="7" max="7" width="23.140625" bestFit="1" customWidth="1"/>
    <col min="8" max="8" width="22.42578125" bestFit="1" customWidth="1"/>
    <col min="9" max="9" width="18.42578125" bestFit="1" customWidth="1"/>
    <col min="10" max="10" width="18.140625" bestFit="1" customWidth="1"/>
    <col min="11" max="11" width="26.28515625" bestFit="1" customWidth="1"/>
    <col min="12" max="12" width="25.5703125" bestFit="1" customWidth="1"/>
    <col min="13" max="13" width="21.5703125" bestFit="1" customWidth="1"/>
    <col min="14" max="14" width="21.140625" bestFit="1" customWidth="1"/>
    <col min="15" max="15" width="23" bestFit="1" customWidth="1"/>
    <col min="16" max="16" width="22.28515625" bestFit="1" customWidth="1"/>
    <col min="17" max="17" width="18.28515625" bestFit="1" customWidth="1"/>
    <col min="18" max="18" width="18" bestFit="1" customWidth="1"/>
  </cols>
  <sheetData>
    <row r="1" spans="1:6" x14ac:dyDescent="0.25">
      <c r="A1" t="s">
        <v>56</v>
      </c>
      <c r="B1" t="s">
        <v>24</v>
      </c>
      <c r="C1" t="s">
        <v>22</v>
      </c>
      <c r="D1" t="s">
        <v>23</v>
      </c>
      <c r="E1" t="s">
        <v>0</v>
      </c>
      <c r="F1" t="s">
        <v>29</v>
      </c>
    </row>
    <row r="2" spans="1:6" x14ac:dyDescent="0.25">
      <c r="A2" t="s">
        <v>40</v>
      </c>
      <c r="B2" t="s">
        <v>6</v>
      </c>
      <c r="C2">
        <f t="shared" ref="C2:D33" ca="1" si="0">RANDBETWEEN(0,10)</f>
        <v>9</v>
      </c>
      <c r="D2">
        <f t="shared" ca="1" si="0"/>
        <v>3</v>
      </c>
      <c r="E2" s="5">
        <v>2017</v>
      </c>
      <c r="F2" t="b">
        <f>TRUE</f>
        <v>1</v>
      </c>
    </row>
    <row r="3" spans="1:6" x14ac:dyDescent="0.25">
      <c r="A3" t="s">
        <v>41</v>
      </c>
      <c r="B3" t="s">
        <v>7</v>
      </c>
      <c r="C3">
        <f t="shared" ca="1" si="0"/>
        <v>1</v>
      </c>
      <c r="D3">
        <f t="shared" ca="1" si="0"/>
        <v>10</v>
      </c>
      <c r="E3" s="5">
        <v>2017</v>
      </c>
    </row>
    <row r="4" spans="1:6" x14ac:dyDescent="0.25">
      <c r="A4" t="s">
        <v>42</v>
      </c>
      <c r="B4" t="s">
        <v>8</v>
      </c>
      <c r="C4">
        <f t="shared" ca="1" si="0"/>
        <v>1</v>
      </c>
      <c r="D4">
        <f t="shared" ca="1" si="0"/>
        <v>7</v>
      </c>
      <c r="E4" s="5">
        <v>2017</v>
      </c>
    </row>
    <row r="5" spans="1:6" x14ac:dyDescent="0.25">
      <c r="A5" t="s">
        <v>43</v>
      </c>
      <c r="B5" t="s">
        <v>9</v>
      </c>
      <c r="C5">
        <f t="shared" ca="1" si="0"/>
        <v>8</v>
      </c>
      <c r="D5">
        <f t="shared" ca="1" si="0"/>
        <v>7</v>
      </c>
      <c r="E5" s="5">
        <v>2017</v>
      </c>
    </row>
    <row r="6" spans="1:6" x14ac:dyDescent="0.25">
      <c r="A6" t="s">
        <v>44</v>
      </c>
      <c r="B6" t="s">
        <v>10</v>
      </c>
      <c r="C6">
        <f t="shared" ca="1" si="0"/>
        <v>3</v>
      </c>
      <c r="D6">
        <f t="shared" ca="1" si="0"/>
        <v>2</v>
      </c>
      <c r="E6" s="5">
        <v>2017</v>
      </c>
      <c r="F6" t="b">
        <f>TRUE</f>
        <v>1</v>
      </c>
    </row>
    <row r="7" spans="1:6" x14ac:dyDescent="0.25">
      <c r="A7" t="s">
        <v>45</v>
      </c>
      <c r="B7" t="s">
        <v>11</v>
      </c>
      <c r="C7">
        <f t="shared" ca="1" si="0"/>
        <v>3</v>
      </c>
      <c r="D7">
        <f t="shared" ca="1" si="0"/>
        <v>8</v>
      </c>
      <c r="E7" s="5">
        <v>2017</v>
      </c>
    </row>
    <row r="8" spans="1:6" x14ac:dyDescent="0.25">
      <c r="A8" t="s">
        <v>46</v>
      </c>
      <c r="B8" t="s">
        <v>12</v>
      </c>
      <c r="C8">
        <f t="shared" ca="1" si="0"/>
        <v>1</v>
      </c>
      <c r="D8">
        <f t="shared" ca="1" si="0"/>
        <v>8</v>
      </c>
      <c r="E8" s="5">
        <v>2017</v>
      </c>
    </row>
    <row r="9" spans="1:6" x14ac:dyDescent="0.25">
      <c r="A9" t="s">
        <v>47</v>
      </c>
      <c r="B9" t="s">
        <v>13</v>
      </c>
      <c r="C9">
        <f t="shared" ca="1" si="0"/>
        <v>1</v>
      </c>
      <c r="D9">
        <f t="shared" ca="1" si="0"/>
        <v>10</v>
      </c>
      <c r="E9" s="5">
        <v>2017</v>
      </c>
    </row>
    <row r="10" spans="1:6" x14ac:dyDescent="0.25">
      <c r="A10" t="s">
        <v>48</v>
      </c>
      <c r="B10" t="s">
        <v>14</v>
      </c>
      <c r="C10">
        <f t="shared" ca="1" si="0"/>
        <v>9</v>
      </c>
      <c r="D10">
        <f t="shared" ca="1" si="0"/>
        <v>2</v>
      </c>
      <c r="E10" s="5">
        <v>2017</v>
      </c>
      <c r="F10" t="b">
        <f>TRUE</f>
        <v>1</v>
      </c>
    </row>
    <row r="11" spans="1:6" x14ac:dyDescent="0.25">
      <c r="A11" t="s">
        <v>49</v>
      </c>
      <c r="B11" t="s">
        <v>15</v>
      </c>
      <c r="C11">
        <f t="shared" ca="1" si="0"/>
        <v>10</v>
      </c>
      <c r="D11">
        <f t="shared" ca="1" si="0"/>
        <v>1</v>
      </c>
      <c r="E11" s="5">
        <v>2017</v>
      </c>
    </row>
    <row r="12" spans="1:6" x14ac:dyDescent="0.25">
      <c r="A12" t="s">
        <v>50</v>
      </c>
      <c r="B12" t="s">
        <v>16</v>
      </c>
      <c r="C12">
        <f t="shared" ca="1" si="0"/>
        <v>0</v>
      </c>
      <c r="D12">
        <f t="shared" ca="1" si="0"/>
        <v>5</v>
      </c>
      <c r="E12" s="5">
        <v>2017</v>
      </c>
    </row>
    <row r="13" spans="1:6" x14ac:dyDescent="0.25">
      <c r="A13" t="s">
        <v>51</v>
      </c>
      <c r="B13" t="s">
        <v>17</v>
      </c>
      <c r="C13">
        <f t="shared" ca="1" si="0"/>
        <v>4</v>
      </c>
      <c r="D13">
        <f t="shared" ca="1" si="0"/>
        <v>0</v>
      </c>
      <c r="E13" s="5">
        <v>2017</v>
      </c>
    </row>
    <row r="14" spans="1:6" x14ac:dyDescent="0.25">
      <c r="A14" t="s">
        <v>52</v>
      </c>
      <c r="B14" t="s">
        <v>18</v>
      </c>
      <c r="C14">
        <f t="shared" ca="1" si="0"/>
        <v>7</v>
      </c>
      <c r="D14">
        <f t="shared" ca="1" si="0"/>
        <v>6</v>
      </c>
      <c r="E14" s="5">
        <v>2017</v>
      </c>
      <c r="F14" t="b">
        <f>TRUE</f>
        <v>1</v>
      </c>
    </row>
    <row r="15" spans="1:6" x14ac:dyDescent="0.25">
      <c r="A15" t="s">
        <v>53</v>
      </c>
      <c r="B15" t="s">
        <v>19</v>
      </c>
      <c r="C15">
        <f t="shared" ca="1" si="0"/>
        <v>9</v>
      </c>
      <c r="D15">
        <f t="shared" ca="1" si="0"/>
        <v>9</v>
      </c>
      <c r="E15" s="5">
        <v>2017</v>
      </c>
    </row>
    <row r="16" spans="1:6" x14ac:dyDescent="0.25">
      <c r="A16" t="s">
        <v>54</v>
      </c>
      <c r="B16" t="s">
        <v>20</v>
      </c>
      <c r="C16">
        <f t="shared" ca="1" si="0"/>
        <v>1</v>
      </c>
      <c r="D16">
        <f t="shared" ca="1" si="0"/>
        <v>5</v>
      </c>
      <c r="E16" s="5">
        <v>2017</v>
      </c>
    </row>
    <row r="17" spans="1:6" x14ac:dyDescent="0.25">
      <c r="A17" t="s">
        <v>55</v>
      </c>
      <c r="B17" t="s">
        <v>21</v>
      </c>
      <c r="C17">
        <f t="shared" ca="1" si="0"/>
        <v>9</v>
      </c>
      <c r="D17">
        <f t="shared" ca="1" si="0"/>
        <v>2</v>
      </c>
      <c r="E17" s="5">
        <v>2017</v>
      </c>
    </row>
    <row r="18" spans="1:6" x14ac:dyDescent="0.25">
      <c r="B18" t="s">
        <v>6</v>
      </c>
      <c r="C18">
        <f t="shared" ca="1" si="0"/>
        <v>3</v>
      </c>
      <c r="D18">
        <f t="shared" ca="1" si="0"/>
        <v>5</v>
      </c>
      <c r="E18" s="5">
        <v>2018</v>
      </c>
      <c r="F18" t="b">
        <f>TRUE</f>
        <v>1</v>
      </c>
    </row>
    <row r="19" spans="1:6" x14ac:dyDescent="0.25">
      <c r="B19" t="s">
        <v>7</v>
      </c>
      <c r="C19">
        <f t="shared" ca="1" si="0"/>
        <v>5</v>
      </c>
      <c r="D19">
        <f t="shared" ca="1" si="0"/>
        <v>0</v>
      </c>
      <c r="E19" s="5">
        <v>2018</v>
      </c>
    </row>
    <row r="20" spans="1:6" x14ac:dyDescent="0.25">
      <c r="B20" t="s">
        <v>8</v>
      </c>
      <c r="C20">
        <f t="shared" ca="1" si="0"/>
        <v>1</v>
      </c>
      <c r="D20">
        <f t="shared" ca="1" si="0"/>
        <v>9</v>
      </c>
      <c r="E20" s="5">
        <v>2018</v>
      </c>
    </row>
    <row r="21" spans="1:6" x14ac:dyDescent="0.25">
      <c r="B21" t="s">
        <v>9</v>
      </c>
      <c r="C21">
        <f t="shared" ca="1" si="0"/>
        <v>4</v>
      </c>
      <c r="D21">
        <f t="shared" ca="1" si="0"/>
        <v>2</v>
      </c>
      <c r="E21" s="5">
        <v>2018</v>
      </c>
    </row>
    <row r="22" spans="1:6" x14ac:dyDescent="0.25">
      <c r="B22" t="s">
        <v>10</v>
      </c>
      <c r="C22">
        <f t="shared" ca="1" si="0"/>
        <v>6</v>
      </c>
      <c r="D22">
        <f t="shared" ca="1" si="0"/>
        <v>5</v>
      </c>
      <c r="E22" s="5">
        <v>2018</v>
      </c>
      <c r="F22" t="b">
        <f>TRUE</f>
        <v>1</v>
      </c>
    </row>
    <row r="23" spans="1:6" x14ac:dyDescent="0.25">
      <c r="B23" t="s">
        <v>11</v>
      </c>
      <c r="C23">
        <f t="shared" ca="1" si="0"/>
        <v>0</v>
      </c>
      <c r="D23">
        <f t="shared" ca="1" si="0"/>
        <v>2</v>
      </c>
      <c r="E23" s="5">
        <v>2018</v>
      </c>
    </row>
    <row r="24" spans="1:6" x14ac:dyDescent="0.25">
      <c r="B24" t="s">
        <v>12</v>
      </c>
      <c r="C24">
        <f t="shared" ca="1" si="0"/>
        <v>8</v>
      </c>
      <c r="D24">
        <f t="shared" ca="1" si="0"/>
        <v>1</v>
      </c>
      <c r="E24" s="5">
        <v>2018</v>
      </c>
    </row>
    <row r="25" spans="1:6" x14ac:dyDescent="0.25">
      <c r="B25" t="s">
        <v>13</v>
      </c>
      <c r="C25">
        <f t="shared" ca="1" si="0"/>
        <v>10</v>
      </c>
      <c r="D25">
        <f t="shared" ca="1" si="0"/>
        <v>7</v>
      </c>
      <c r="E25" s="5">
        <v>2018</v>
      </c>
    </row>
    <row r="26" spans="1:6" x14ac:dyDescent="0.25">
      <c r="B26" t="s">
        <v>14</v>
      </c>
      <c r="C26">
        <f t="shared" ca="1" si="0"/>
        <v>6</v>
      </c>
      <c r="D26">
        <f t="shared" ca="1" si="0"/>
        <v>9</v>
      </c>
      <c r="E26" s="5">
        <v>2018</v>
      </c>
      <c r="F26" t="b">
        <f>TRUE</f>
        <v>1</v>
      </c>
    </row>
    <row r="27" spans="1:6" x14ac:dyDescent="0.25">
      <c r="B27" t="s">
        <v>15</v>
      </c>
      <c r="C27">
        <f t="shared" ca="1" si="0"/>
        <v>7</v>
      </c>
      <c r="D27">
        <f t="shared" ca="1" si="0"/>
        <v>9</v>
      </c>
      <c r="E27" s="5">
        <v>2018</v>
      </c>
    </row>
    <row r="28" spans="1:6" x14ac:dyDescent="0.25">
      <c r="B28" t="s">
        <v>16</v>
      </c>
      <c r="C28">
        <f t="shared" ca="1" si="0"/>
        <v>3</v>
      </c>
      <c r="D28">
        <f t="shared" ca="1" si="0"/>
        <v>3</v>
      </c>
      <c r="E28" s="5">
        <v>2018</v>
      </c>
    </row>
    <row r="29" spans="1:6" x14ac:dyDescent="0.25">
      <c r="B29" t="s">
        <v>17</v>
      </c>
      <c r="C29">
        <f t="shared" ca="1" si="0"/>
        <v>6</v>
      </c>
      <c r="D29">
        <f t="shared" ca="1" si="0"/>
        <v>8</v>
      </c>
      <c r="E29" s="5">
        <v>2018</v>
      </c>
    </row>
    <row r="30" spans="1:6" x14ac:dyDescent="0.25">
      <c r="B30" t="s">
        <v>18</v>
      </c>
      <c r="C30">
        <f t="shared" ca="1" si="0"/>
        <v>3</v>
      </c>
      <c r="D30">
        <f t="shared" ca="1" si="0"/>
        <v>7</v>
      </c>
      <c r="E30" s="5">
        <v>2018</v>
      </c>
      <c r="F30" t="b">
        <f>TRUE</f>
        <v>1</v>
      </c>
    </row>
    <row r="31" spans="1:6" x14ac:dyDescent="0.25">
      <c r="B31" t="s">
        <v>19</v>
      </c>
      <c r="C31">
        <f t="shared" ca="1" si="0"/>
        <v>3</v>
      </c>
      <c r="D31">
        <f t="shared" ca="1" si="0"/>
        <v>2</v>
      </c>
      <c r="E31" s="5">
        <v>2018</v>
      </c>
    </row>
    <row r="32" spans="1:6" x14ac:dyDescent="0.25">
      <c r="B32" t="s">
        <v>20</v>
      </c>
      <c r="C32">
        <f t="shared" ca="1" si="0"/>
        <v>2</v>
      </c>
      <c r="D32">
        <f t="shared" ca="1" si="0"/>
        <v>2</v>
      </c>
      <c r="E32" s="5">
        <v>2018</v>
      </c>
    </row>
    <row r="33" spans="2:5" x14ac:dyDescent="0.25">
      <c r="B33" t="s">
        <v>21</v>
      </c>
      <c r="C33">
        <f t="shared" ca="1" si="0"/>
        <v>0</v>
      </c>
      <c r="D33">
        <f t="shared" ca="1" si="0"/>
        <v>1</v>
      </c>
      <c r="E33" s="5">
        <v>2018</v>
      </c>
    </row>
    <row r="34" spans="2:5" x14ac:dyDescent="0.25">
      <c r="E34" s="5"/>
    </row>
    <row r="35" spans="2:5" x14ac:dyDescent="0.25">
      <c r="E35" s="5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12" sqref="B12"/>
    </sheetView>
  </sheetViews>
  <sheetFormatPr defaultRowHeight="15" x14ac:dyDescent="0.25"/>
  <cols>
    <col min="1" max="1" width="26.28515625" bestFit="1" customWidth="1"/>
    <col min="2" max="2" width="13" customWidth="1"/>
    <col min="3" max="3" width="7.7109375" customWidth="1"/>
    <col min="4" max="4" width="13.5703125" bestFit="1" customWidth="1"/>
    <col min="5" max="5" width="13.42578125" bestFit="1" customWidth="1"/>
  </cols>
  <sheetData>
    <row r="1" spans="1:5" x14ac:dyDescent="0.25">
      <c r="A1" t="s">
        <v>24</v>
      </c>
      <c r="B1" t="s">
        <v>25</v>
      </c>
      <c r="C1" t="s">
        <v>0</v>
      </c>
      <c r="D1" t="s">
        <v>22</v>
      </c>
      <c r="E1" t="s">
        <v>23</v>
      </c>
    </row>
    <row r="2" spans="1:5" x14ac:dyDescent="0.25">
      <c r="A2" t="s">
        <v>6</v>
      </c>
      <c r="B2" t="s">
        <v>26</v>
      </c>
      <c r="C2">
        <v>2017</v>
      </c>
    </row>
    <row r="3" spans="1:5" x14ac:dyDescent="0.25">
      <c r="A3" t="s">
        <v>10</v>
      </c>
      <c r="B3" t="s">
        <v>26</v>
      </c>
      <c r="C3">
        <v>2017</v>
      </c>
    </row>
    <row r="4" spans="1:5" x14ac:dyDescent="0.25">
      <c r="A4" t="s">
        <v>14</v>
      </c>
      <c r="B4" t="s">
        <v>26</v>
      </c>
      <c r="C4">
        <v>2017</v>
      </c>
    </row>
    <row r="5" spans="1:5" x14ac:dyDescent="0.25">
      <c r="A5" t="s">
        <v>18</v>
      </c>
      <c r="B5" t="s">
        <v>26</v>
      </c>
      <c r="C5">
        <v>2017</v>
      </c>
    </row>
    <row r="6" spans="1:5" x14ac:dyDescent="0.25">
      <c r="A6" t="s">
        <v>31</v>
      </c>
      <c r="B6" t="s">
        <v>26</v>
      </c>
      <c r="C6">
        <v>2017</v>
      </c>
    </row>
    <row r="7" spans="1:5" x14ac:dyDescent="0.25">
      <c r="A7" t="s">
        <v>6</v>
      </c>
      <c r="B7" t="s">
        <v>26</v>
      </c>
      <c r="C7">
        <v>2018</v>
      </c>
    </row>
    <row r="8" spans="1:5" x14ac:dyDescent="0.25">
      <c r="A8" t="s">
        <v>10</v>
      </c>
      <c r="B8" t="s">
        <v>26</v>
      </c>
      <c r="C8">
        <v>2018</v>
      </c>
    </row>
    <row r="9" spans="1:5" x14ac:dyDescent="0.25">
      <c r="A9" t="s">
        <v>14</v>
      </c>
      <c r="B9" t="s">
        <v>26</v>
      </c>
      <c r="C9">
        <v>2018</v>
      </c>
    </row>
    <row r="10" spans="1:5" x14ac:dyDescent="0.25">
      <c r="A10" t="s">
        <v>18</v>
      </c>
      <c r="B10" t="s">
        <v>26</v>
      </c>
      <c r="C10">
        <v>2018</v>
      </c>
    </row>
    <row r="11" spans="1:5" x14ac:dyDescent="0.25">
      <c r="A11" t="s">
        <v>32</v>
      </c>
      <c r="B11" t="s">
        <v>26</v>
      </c>
      <c r="C11">
        <v>2018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A18" sqref="A18:XFD18"/>
    </sheetView>
  </sheetViews>
  <sheetFormatPr defaultRowHeight="15" x14ac:dyDescent="0.25"/>
  <cols>
    <col min="1" max="1" width="25.5703125" bestFit="1" customWidth="1"/>
    <col min="4" max="4" width="13.42578125" bestFit="1" customWidth="1"/>
    <col min="5" max="5" width="13.5703125" bestFit="1" customWidth="1"/>
  </cols>
  <sheetData>
    <row r="1" spans="1:5" x14ac:dyDescent="0.25">
      <c r="A1" t="s">
        <v>38</v>
      </c>
      <c r="B1" t="s">
        <v>25</v>
      </c>
      <c r="C1" t="s">
        <v>0</v>
      </c>
      <c r="D1" t="s">
        <v>23</v>
      </c>
      <c r="E1" t="s">
        <v>22</v>
      </c>
    </row>
    <row r="2" spans="1:5" x14ac:dyDescent="0.25">
      <c r="A2" t="s">
        <v>7</v>
      </c>
      <c r="B2" t="s">
        <v>39</v>
      </c>
      <c r="C2">
        <v>2017</v>
      </c>
    </row>
    <row r="3" spans="1:5" x14ac:dyDescent="0.25">
      <c r="A3" t="s">
        <v>9</v>
      </c>
      <c r="B3" t="s">
        <v>39</v>
      </c>
      <c r="C3">
        <v>2017</v>
      </c>
    </row>
    <row r="4" spans="1:5" x14ac:dyDescent="0.25">
      <c r="A4" t="s">
        <v>11</v>
      </c>
      <c r="B4" t="s">
        <v>39</v>
      </c>
      <c r="C4">
        <v>2017</v>
      </c>
    </row>
    <row r="5" spans="1:5" x14ac:dyDescent="0.25">
      <c r="A5" t="s">
        <v>13</v>
      </c>
      <c r="B5" t="s">
        <v>39</v>
      </c>
      <c r="C5">
        <v>2017</v>
      </c>
    </row>
    <row r="6" spans="1:5" x14ac:dyDescent="0.25">
      <c r="A6" t="s">
        <v>15</v>
      </c>
      <c r="B6" t="s">
        <v>39</v>
      </c>
      <c r="C6">
        <v>2017</v>
      </c>
    </row>
    <row r="7" spans="1:5" x14ac:dyDescent="0.25">
      <c r="A7" t="s">
        <v>17</v>
      </c>
      <c r="B7" t="s">
        <v>39</v>
      </c>
      <c r="C7">
        <v>2017</v>
      </c>
    </row>
    <row r="8" spans="1:5" x14ac:dyDescent="0.25">
      <c r="A8" t="s">
        <v>19</v>
      </c>
      <c r="B8" t="s">
        <v>39</v>
      </c>
      <c r="C8">
        <v>2017</v>
      </c>
    </row>
    <row r="9" spans="1:5" x14ac:dyDescent="0.25">
      <c r="A9" t="s">
        <v>21</v>
      </c>
      <c r="B9" t="s">
        <v>39</v>
      </c>
      <c r="C9">
        <v>2017</v>
      </c>
    </row>
    <row r="10" spans="1:5" x14ac:dyDescent="0.25">
      <c r="A10" t="s">
        <v>7</v>
      </c>
      <c r="B10" t="s">
        <v>39</v>
      </c>
      <c r="C10">
        <v>2018</v>
      </c>
    </row>
    <row r="11" spans="1:5" x14ac:dyDescent="0.25">
      <c r="A11" t="s">
        <v>9</v>
      </c>
      <c r="B11" t="s">
        <v>39</v>
      </c>
      <c r="C11">
        <v>2018</v>
      </c>
    </row>
    <row r="12" spans="1:5" x14ac:dyDescent="0.25">
      <c r="A12" t="s">
        <v>11</v>
      </c>
      <c r="B12" t="s">
        <v>39</v>
      </c>
      <c r="C12">
        <v>2018</v>
      </c>
    </row>
    <row r="13" spans="1:5" x14ac:dyDescent="0.25">
      <c r="A13" t="s">
        <v>13</v>
      </c>
      <c r="B13" t="s">
        <v>39</v>
      </c>
      <c r="C13">
        <v>2018</v>
      </c>
    </row>
    <row r="14" spans="1:5" x14ac:dyDescent="0.25">
      <c r="A14" t="s">
        <v>15</v>
      </c>
      <c r="B14" t="s">
        <v>39</v>
      </c>
      <c r="C14">
        <v>2018</v>
      </c>
    </row>
    <row r="15" spans="1:5" x14ac:dyDescent="0.25">
      <c r="A15" t="s">
        <v>17</v>
      </c>
      <c r="B15" t="s">
        <v>39</v>
      </c>
      <c r="C15">
        <v>2018</v>
      </c>
    </row>
    <row r="16" spans="1:5" x14ac:dyDescent="0.25">
      <c r="A16" t="s">
        <v>19</v>
      </c>
      <c r="B16" t="s">
        <v>39</v>
      </c>
      <c r="C16">
        <v>2018</v>
      </c>
    </row>
    <row r="17" spans="1:3" x14ac:dyDescent="0.25">
      <c r="A17" t="s">
        <v>21</v>
      </c>
      <c r="B17" t="s">
        <v>39</v>
      </c>
      <c r="C17">
        <v>2018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0"/>
  <sheetViews>
    <sheetView tabSelected="1" topLeftCell="AA36" zoomScaleNormal="100" workbookViewId="0">
      <selection activeCell="AN50" sqref="AN50"/>
    </sheetView>
  </sheetViews>
  <sheetFormatPr defaultRowHeight="15" x14ac:dyDescent="0.25"/>
  <cols>
    <col min="1" max="1" width="14.140625" bestFit="1" customWidth="1"/>
    <col min="2" max="2" width="12.28515625" bestFit="1" customWidth="1"/>
    <col min="3" max="3" width="25.7109375" bestFit="1" customWidth="1"/>
    <col min="4" max="4" width="19" bestFit="1" customWidth="1"/>
    <col min="5" max="5" width="25.5703125" bestFit="1" customWidth="1"/>
    <col min="6" max="6" width="27.5703125" bestFit="1" customWidth="1"/>
    <col min="7" max="7" width="32.42578125" bestFit="1" customWidth="1"/>
    <col min="8" max="8" width="11.5703125" bestFit="1" customWidth="1"/>
    <col min="9" max="9" width="27" bestFit="1" customWidth="1"/>
    <col min="10" max="10" width="6.85546875" bestFit="1" customWidth="1"/>
    <col min="11" max="11" width="52.140625" bestFit="1" customWidth="1"/>
    <col min="12" max="12" width="37.7109375" bestFit="1" customWidth="1"/>
    <col min="13" max="14" width="37.7109375" customWidth="1"/>
    <col min="15" max="15" width="60.5703125" bestFit="1" customWidth="1"/>
    <col min="16" max="16" width="14.5703125" customWidth="1"/>
    <col min="17" max="17" width="14" customWidth="1"/>
    <col min="18" max="18" width="14.28515625" customWidth="1"/>
    <col min="19" max="19" width="13.5703125" customWidth="1"/>
    <col min="21" max="21" width="60.5703125" bestFit="1" customWidth="1"/>
    <col min="22" max="23" width="13.42578125" bestFit="1" customWidth="1"/>
    <col min="24" max="24" width="15" customWidth="1"/>
    <col min="25" max="25" width="14.85546875" customWidth="1"/>
    <col min="29" max="29" width="61.5703125" customWidth="1"/>
    <col min="30" max="31" width="13.42578125" bestFit="1" customWidth="1"/>
    <col min="32" max="32" width="13.7109375" customWidth="1"/>
    <col min="33" max="33" width="13.5703125" bestFit="1" customWidth="1"/>
    <col min="34" max="34" width="10.42578125" bestFit="1" customWidth="1"/>
    <col min="35" max="35" width="31.85546875" customWidth="1"/>
    <col min="36" max="37" width="15" customWidth="1"/>
    <col min="38" max="38" width="14.85546875" customWidth="1"/>
    <col min="39" max="39" width="14.7109375" bestFit="1" customWidth="1"/>
  </cols>
  <sheetData>
    <row r="1" spans="1:39" x14ac:dyDescent="0.25">
      <c r="P1" s="33" t="s">
        <v>75</v>
      </c>
      <c r="Q1" s="33"/>
      <c r="R1" s="33" t="s">
        <v>76</v>
      </c>
      <c r="S1" s="33"/>
      <c r="V1" s="33" t="s">
        <v>75</v>
      </c>
      <c r="W1" s="33"/>
      <c r="X1" s="33" t="s">
        <v>76</v>
      </c>
      <c r="Y1" s="33"/>
      <c r="AC1" s="9"/>
      <c r="AD1" s="33" t="s">
        <v>75</v>
      </c>
      <c r="AE1" s="33"/>
      <c r="AF1" s="33" t="s">
        <v>76</v>
      </c>
      <c r="AG1" s="33"/>
      <c r="AI1" s="9"/>
      <c r="AJ1" s="33" t="s">
        <v>75</v>
      </c>
      <c r="AK1" s="33"/>
      <c r="AL1" s="33" t="s">
        <v>76</v>
      </c>
      <c r="AM1" s="33"/>
    </row>
    <row r="2" spans="1:39" x14ac:dyDescent="0.25">
      <c r="A2" t="s">
        <v>57</v>
      </c>
      <c r="O2" s="31" t="s">
        <v>93</v>
      </c>
      <c r="P2" s="16" t="s">
        <v>23</v>
      </c>
      <c r="Q2" s="16" t="s">
        <v>23</v>
      </c>
      <c r="R2" s="16" t="s">
        <v>74</v>
      </c>
      <c r="S2" s="16" t="s">
        <v>74</v>
      </c>
      <c r="T2" s="6"/>
      <c r="U2" s="31" t="s">
        <v>58</v>
      </c>
      <c r="V2" s="16" t="s">
        <v>23</v>
      </c>
      <c r="W2" s="16" t="s">
        <v>23</v>
      </c>
      <c r="X2" s="16" t="s">
        <v>74</v>
      </c>
      <c r="Y2" s="16" t="s">
        <v>74</v>
      </c>
      <c r="Z2" s="6"/>
      <c r="AA2" s="6"/>
      <c r="AC2" s="9"/>
      <c r="AD2" s="9" t="s">
        <v>23</v>
      </c>
      <c r="AE2" s="9" t="s">
        <v>23</v>
      </c>
      <c r="AF2" s="9" t="s">
        <v>74</v>
      </c>
      <c r="AG2" s="9" t="s">
        <v>74</v>
      </c>
      <c r="AI2" s="9"/>
      <c r="AJ2" s="9" t="s">
        <v>23</v>
      </c>
      <c r="AK2" s="9" t="s">
        <v>23</v>
      </c>
      <c r="AL2" s="9" t="s">
        <v>74</v>
      </c>
      <c r="AM2" s="9" t="s">
        <v>74</v>
      </c>
    </row>
    <row r="3" spans="1:39" x14ac:dyDescent="0.25">
      <c r="O3" s="32"/>
      <c r="P3" s="9">
        <v>2017</v>
      </c>
      <c r="Q3" s="9">
        <v>2018</v>
      </c>
      <c r="R3" s="9">
        <v>2017</v>
      </c>
      <c r="S3" s="9">
        <v>2018</v>
      </c>
      <c r="U3" s="32"/>
      <c r="V3" s="9">
        <v>2017</v>
      </c>
      <c r="W3" s="9">
        <v>2018</v>
      </c>
      <c r="X3" s="9">
        <v>2017</v>
      </c>
      <c r="Y3" s="9">
        <v>2018</v>
      </c>
      <c r="AC3" s="9" t="s">
        <v>59</v>
      </c>
      <c r="AD3" s="9">
        <v>2017</v>
      </c>
      <c r="AE3" s="9">
        <v>2018</v>
      </c>
      <c r="AF3" s="9">
        <v>2017</v>
      </c>
      <c r="AG3" s="9">
        <v>2018</v>
      </c>
      <c r="AI3" s="9"/>
      <c r="AJ3" s="9">
        <v>2017</v>
      </c>
      <c r="AK3" s="9">
        <v>2018</v>
      </c>
      <c r="AL3" s="9">
        <v>2017</v>
      </c>
      <c r="AM3" s="9">
        <v>2018</v>
      </c>
    </row>
    <row r="4" spans="1:39" x14ac:dyDescent="0.25">
      <c r="A4" s="10" t="s">
        <v>0</v>
      </c>
      <c r="B4" s="10" t="s">
        <v>1</v>
      </c>
      <c r="C4" s="11" t="s">
        <v>73</v>
      </c>
      <c r="D4" s="11" t="s">
        <v>70</v>
      </c>
      <c r="E4" s="11" t="s">
        <v>69</v>
      </c>
      <c r="F4" s="14" t="s">
        <v>71</v>
      </c>
      <c r="G4" s="14" t="s">
        <v>99</v>
      </c>
      <c r="H4" s="14" t="s">
        <v>95</v>
      </c>
      <c r="I4" s="11" t="s">
        <v>98</v>
      </c>
      <c r="J4" s="36" t="s">
        <v>100</v>
      </c>
      <c r="K4" s="36" t="s">
        <v>111</v>
      </c>
      <c r="L4" s="36" t="s">
        <v>122</v>
      </c>
      <c r="M4" s="36" t="s">
        <v>119</v>
      </c>
      <c r="N4" s="36" t="s">
        <v>114</v>
      </c>
      <c r="O4" s="9" t="s">
        <v>40</v>
      </c>
      <c r="P4" s="23">
        <f>P$22*$P24</f>
        <v>2E-3</v>
      </c>
      <c r="Q4" s="23">
        <f t="shared" ref="Q4:S4" si="0">Q$22*$P24</f>
        <v>2E-3</v>
      </c>
      <c r="R4" s="23">
        <f t="shared" si="0"/>
        <v>1.2000000000000001E-3</v>
      </c>
      <c r="S4" s="23">
        <f t="shared" si="0"/>
        <v>1.2000000000000001E-3</v>
      </c>
      <c r="U4" s="9" t="s">
        <v>40</v>
      </c>
      <c r="V4" s="9">
        <f>ROUNDUP(P4*$B$5,0)</f>
        <v>6</v>
      </c>
      <c r="W4" s="9">
        <f t="shared" ref="W4:Y19" si="1">ROUNDUP(Q4*$B$5,0)</f>
        <v>6</v>
      </c>
      <c r="X4" s="9">
        <f t="shared" si="1"/>
        <v>4</v>
      </c>
      <c r="Y4" s="9">
        <f t="shared" si="1"/>
        <v>4</v>
      </c>
      <c r="AC4" s="9" t="s">
        <v>44</v>
      </c>
      <c r="AD4" s="9">
        <f>V8</f>
        <v>5</v>
      </c>
      <c r="AE4" s="9">
        <f t="shared" ref="AE4:AG4" si="2">W8</f>
        <v>5</v>
      </c>
      <c r="AF4" s="9">
        <f t="shared" si="2"/>
        <v>3</v>
      </c>
      <c r="AG4" s="9">
        <f t="shared" si="2"/>
        <v>3</v>
      </c>
      <c r="AI4" s="9" t="s">
        <v>67</v>
      </c>
      <c r="AJ4" s="27">
        <f>AD12*-E5</f>
        <v>-28000</v>
      </c>
      <c r="AK4" s="27">
        <f>AE12*-E6</f>
        <v>-28000</v>
      </c>
      <c r="AL4" s="27">
        <f>AF12*-E5</f>
        <v>-16000</v>
      </c>
      <c r="AM4" s="27">
        <f>AG12*-E6</f>
        <v>-16000</v>
      </c>
    </row>
    <row r="5" spans="1:39" x14ac:dyDescent="0.25">
      <c r="A5" s="12">
        <f>Ano_Inicial</f>
        <v>2017</v>
      </c>
      <c r="B5" s="12">
        <v>3000</v>
      </c>
      <c r="C5" s="13">
        <v>8</v>
      </c>
      <c r="D5" s="13">
        <v>15</v>
      </c>
      <c r="E5" s="9">
        <v>1000</v>
      </c>
      <c r="F5" s="15">
        <v>5</v>
      </c>
      <c r="G5" s="15">
        <v>2</v>
      </c>
      <c r="H5" s="15">
        <v>0.1</v>
      </c>
      <c r="I5" s="42">
        <v>1000</v>
      </c>
      <c r="J5" s="9">
        <v>1</v>
      </c>
      <c r="K5" s="9">
        <v>0.5</v>
      </c>
      <c r="L5" s="9">
        <v>10</v>
      </c>
      <c r="M5" s="27">
        <v>15000</v>
      </c>
      <c r="N5" s="9">
        <v>0.1</v>
      </c>
      <c r="O5" s="9" t="s">
        <v>41</v>
      </c>
      <c r="P5" s="23">
        <f t="shared" ref="P5:S19" si="3">P$22*$P25</f>
        <v>2E-3</v>
      </c>
      <c r="Q5" s="23">
        <f t="shared" si="3"/>
        <v>2E-3</v>
      </c>
      <c r="R5" s="23">
        <f t="shared" si="3"/>
        <v>1.2000000000000001E-3</v>
      </c>
      <c r="S5" s="23">
        <f t="shared" si="3"/>
        <v>1.2000000000000001E-3</v>
      </c>
      <c r="U5" s="9" t="s">
        <v>41</v>
      </c>
      <c r="V5" s="9">
        <f t="shared" ref="V5:V19" si="4">ROUNDUP(P5*$B$5,0)</f>
        <v>6</v>
      </c>
      <c r="W5" s="9">
        <f t="shared" si="1"/>
        <v>6</v>
      </c>
      <c r="X5" s="9">
        <f t="shared" si="1"/>
        <v>4</v>
      </c>
      <c r="Y5" s="9">
        <f t="shared" si="1"/>
        <v>4</v>
      </c>
      <c r="AC5" s="9" t="s">
        <v>45</v>
      </c>
      <c r="AD5" s="9">
        <f t="shared" ref="AD5:AD7" si="5">V9</f>
        <v>5</v>
      </c>
      <c r="AE5" s="9">
        <f t="shared" ref="AE5:AE7" si="6">W9</f>
        <v>5</v>
      </c>
      <c r="AF5" s="9">
        <f t="shared" ref="AF5:AF7" si="7">X9</f>
        <v>3</v>
      </c>
      <c r="AG5" s="9">
        <f t="shared" ref="AG5:AG7" si="8">Y9</f>
        <v>3</v>
      </c>
      <c r="AI5" s="9" t="s">
        <v>68</v>
      </c>
      <c r="AJ5" s="27">
        <f>C5*-D5*AD28</f>
        <v>-1814400</v>
      </c>
      <c r="AK5" s="27">
        <f>C6*-D6*AE28</f>
        <v>-1814400</v>
      </c>
      <c r="AL5" s="27">
        <f>C5*-D5*AF28</f>
        <v>-1449600</v>
      </c>
      <c r="AM5" s="27">
        <f>C6*-D6*AG28</f>
        <v>-1449600</v>
      </c>
    </row>
    <row r="6" spans="1:39" x14ac:dyDescent="0.25">
      <c r="A6" s="12">
        <f t="shared" ref="A6" si="9">IFERROR(IF(A5+1&lt;=Anos_a_Serem_Simulados+Ano_Inicial-1,A5+1,""),"")</f>
        <v>2018</v>
      </c>
      <c r="B6" s="12">
        <v>3000</v>
      </c>
      <c r="C6" s="13">
        <v>8</v>
      </c>
      <c r="D6" s="13">
        <v>15</v>
      </c>
      <c r="E6" s="9">
        <v>1000</v>
      </c>
      <c r="F6" s="15">
        <v>5</v>
      </c>
      <c r="G6" s="15">
        <v>2</v>
      </c>
      <c r="H6" s="15">
        <v>0.1</v>
      </c>
      <c r="I6" s="42">
        <v>1000</v>
      </c>
      <c r="J6" s="9">
        <v>1</v>
      </c>
      <c r="K6" s="9">
        <v>0.5</v>
      </c>
      <c r="L6" s="9">
        <v>10</v>
      </c>
      <c r="M6" s="27">
        <v>15000</v>
      </c>
      <c r="N6" s="9">
        <v>0.1</v>
      </c>
      <c r="O6" s="9" t="s">
        <v>42</v>
      </c>
      <c r="P6" s="23">
        <f t="shared" si="3"/>
        <v>2E-3</v>
      </c>
      <c r="Q6" s="23">
        <f t="shared" si="3"/>
        <v>2E-3</v>
      </c>
      <c r="R6" s="23">
        <f t="shared" si="3"/>
        <v>1.2000000000000001E-3</v>
      </c>
      <c r="S6" s="23">
        <f t="shared" si="3"/>
        <v>1.2000000000000001E-3</v>
      </c>
      <c r="U6" s="9" t="s">
        <v>42</v>
      </c>
      <c r="V6" s="9">
        <f t="shared" si="4"/>
        <v>6</v>
      </c>
      <c r="W6" s="9">
        <f t="shared" si="1"/>
        <v>6</v>
      </c>
      <c r="X6" s="9">
        <f t="shared" si="1"/>
        <v>4</v>
      </c>
      <c r="Y6" s="9">
        <f t="shared" si="1"/>
        <v>4</v>
      </c>
      <c r="AC6" s="9" t="s">
        <v>46</v>
      </c>
      <c r="AD6" s="9">
        <f t="shared" si="5"/>
        <v>5</v>
      </c>
      <c r="AE6" s="9">
        <f t="shared" si="6"/>
        <v>5</v>
      </c>
      <c r="AF6" s="9">
        <f t="shared" si="7"/>
        <v>3</v>
      </c>
      <c r="AG6" s="9">
        <f t="shared" si="8"/>
        <v>3</v>
      </c>
      <c r="AI6" s="9" t="s">
        <v>104</v>
      </c>
      <c r="AJ6" s="27">
        <f xml:space="preserve"> AE41 * -I6</f>
        <v>-2000</v>
      </c>
      <c r="AK6" s="27">
        <f xml:space="preserve"> AE41 * -I6</f>
        <v>-2000</v>
      </c>
      <c r="AL6" s="27">
        <f>AF41*I5</f>
        <v>0</v>
      </c>
      <c r="AM6" s="27">
        <f>AG41*I6</f>
        <v>0</v>
      </c>
    </row>
    <row r="7" spans="1:39" x14ac:dyDescent="0.25">
      <c r="O7" s="9" t="s">
        <v>43</v>
      </c>
      <c r="P7" s="23">
        <f t="shared" si="3"/>
        <v>2E-3</v>
      </c>
      <c r="Q7" s="23">
        <f t="shared" si="3"/>
        <v>2E-3</v>
      </c>
      <c r="R7" s="23">
        <f t="shared" si="3"/>
        <v>1.2000000000000001E-3</v>
      </c>
      <c r="S7" s="23">
        <f t="shared" si="3"/>
        <v>1.2000000000000001E-3</v>
      </c>
      <c r="U7" s="9" t="s">
        <v>43</v>
      </c>
      <c r="V7" s="9">
        <f t="shared" si="4"/>
        <v>6</v>
      </c>
      <c r="W7" s="9">
        <f t="shared" si="1"/>
        <v>6</v>
      </c>
      <c r="X7" s="9">
        <f t="shared" si="1"/>
        <v>4</v>
      </c>
      <c r="Y7" s="9">
        <f t="shared" si="1"/>
        <v>4</v>
      </c>
      <c r="AC7" s="9" t="s">
        <v>47</v>
      </c>
      <c r="AD7" s="9">
        <f t="shared" si="5"/>
        <v>5</v>
      </c>
      <c r="AE7" s="9">
        <f t="shared" si="6"/>
        <v>5</v>
      </c>
      <c r="AF7" s="9">
        <f t="shared" si="7"/>
        <v>3</v>
      </c>
      <c r="AG7" s="9">
        <f t="shared" si="8"/>
        <v>3</v>
      </c>
      <c r="AI7" s="30" t="s">
        <v>118</v>
      </c>
      <c r="AJ7" s="28">
        <f>AD68*-M5</f>
        <v>-45000</v>
      </c>
      <c r="AK7" s="28">
        <f>AE68*-M6</f>
        <v>-60000</v>
      </c>
      <c r="AL7" s="28">
        <f>AF68*-M5</f>
        <v>-30000</v>
      </c>
      <c r="AM7" s="28">
        <f>AG68*-M6</f>
        <v>-45000</v>
      </c>
    </row>
    <row r="8" spans="1:39" x14ac:dyDescent="0.25">
      <c r="O8" s="9" t="s">
        <v>44</v>
      </c>
      <c r="P8" s="23">
        <f t="shared" si="3"/>
        <v>1.5000000000000002E-3</v>
      </c>
      <c r="Q8" s="23">
        <f t="shared" si="3"/>
        <v>1.5000000000000002E-3</v>
      </c>
      <c r="R8" s="23">
        <f t="shared" si="3"/>
        <v>9.0000000000000019E-4</v>
      </c>
      <c r="S8" s="23">
        <f t="shared" si="3"/>
        <v>9.0000000000000019E-4</v>
      </c>
      <c r="U8" s="9" t="s">
        <v>44</v>
      </c>
      <c r="V8" s="9">
        <f t="shared" si="4"/>
        <v>5</v>
      </c>
      <c r="W8" s="9">
        <f t="shared" si="1"/>
        <v>5</v>
      </c>
      <c r="X8" s="9">
        <f t="shared" si="1"/>
        <v>3</v>
      </c>
      <c r="Y8" s="9">
        <f t="shared" si="1"/>
        <v>3</v>
      </c>
      <c r="AC8" s="9" t="s">
        <v>52</v>
      </c>
      <c r="AD8" s="9">
        <f>V16</f>
        <v>2</v>
      </c>
      <c r="AE8" s="9">
        <f t="shared" ref="AE8:AG8" si="10">W16</f>
        <v>2</v>
      </c>
      <c r="AF8" s="9">
        <f t="shared" si="10"/>
        <v>1</v>
      </c>
      <c r="AG8" s="9">
        <f t="shared" si="10"/>
        <v>1</v>
      </c>
      <c r="AI8" s="9" t="s">
        <v>77</v>
      </c>
      <c r="AJ8" s="27">
        <v>0</v>
      </c>
      <c r="AK8" s="27">
        <v>0</v>
      </c>
      <c r="AL8" s="27">
        <v>50000</v>
      </c>
      <c r="AM8" s="27">
        <v>50000</v>
      </c>
    </row>
    <row r="9" spans="1:39" x14ac:dyDescent="0.25">
      <c r="O9" s="9" t="s">
        <v>45</v>
      </c>
      <c r="P9" s="23">
        <f t="shared" si="3"/>
        <v>1.5000000000000002E-3</v>
      </c>
      <c r="Q9" s="23">
        <f t="shared" si="3"/>
        <v>1.5000000000000002E-3</v>
      </c>
      <c r="R9" s="23">
        <f t="shared" si="3"/>
        <v>9.0000000000000019E-4</v>
      </c>
      <c r="S9" s="23">
        <f t="shared" si="3"/>
        <v>9.0000000000000019E-4</v>
      </c>
      <c r="U9" s="9" t="s">
        <v>45</v>
      </c>
      <c r="V9" s="9">
        <f t="shared" si="4"/>
        <v>5</v>
      </c>
      <c r="W9" s="9">
        <f t="shared" si="1"/>
        <v>5</v>
      </c>
      <c r="X9" s="9">
        <f t="shared" si="1"/>
        <v>3</v>
      </c>
      <c r="Y9" s="9">
        <f t="shared" si="1"/>
        <v>3</v>
      </c>
      <c r="AC9" s="9" t="s">
        <v>53</v>
      </c>
      <c r="AD9" s="9">
        <f t="shared" ref="AD9:AD11" si="11">V17</f>
        <v>2</v>
      </c>
      <c r="AE9" s="9">
        <f t="shared" ref="AE9:AE11" si="12">W17</f>
        <v>2</v>
      </c>
      <c r="AF9" s="9">
        <f t="shared" ref="AF9:AF11" si="13">X17</f>
        <v>1</v>
      </c>
      <c r="AG9" s="9">
        <f t="shared" ref="AG9:AG11" si="14">Y17</f>
        <v>1</v>
      </c>
      <c r="AI9" s="24" t="s">
        <v>33</v>
      </c>
      <c r="AJ9" s="25"/>
      <c r="AK9" s="25"/>
      <c r="AL9" s="25"/>
      <c r="AM9" s="26"/>
    </row>
    <row r="10" spans="1:39" x14ac:dyDescent="0.25">
      <c r="O10" s="9" t="s">
        <v>46</v>
      </c>
      <c r="P10" s="23">
        <f t="shared" si="3"/>
        <v>1.5000000000000002E-3</v>
      </c>
      <c r="Q10" s="23">
        <f t="shared" si="3"/>
        <v>1.5000000000000002E-3</v>
      </c>
      <c r="R10" s="23">
        <f t="shared" si="3"/>
        <v>9.0000000000000019E-4</v>
      </c>
      <c r="S10" s="23">
        <f t="shared" si="3"/>
        <v>9.0000000000000019E-4</v>
      </c>
      <c r="U10" s="9" t="s">
        <v>46</v>
      </c>
      <c r="V10" s="9">
        <f t="shared" si="4"/>
        <v>5</v>
      </c>
      <c r="W10" s="9">
        <f t="shared" si="1"/>
        <v>5</v>
      </c>
      <c r="X10" s="9">
        <f t="shared" si="1"/>
        <v>3</v>
      </c>
      <c r="Y10" s="9">
        <f t="shared" si="1"/>
        <v>3</v>
      </c>
      <c r="AC10" s="9" t="s">
        <v>54</v>
      </c>
      <c r="AD10" s="9">
        <f t="shared" si="11"/>
        <v>2</v>
      </c>
      <c r="AE10" s="9">
        <f t="shared" si="12"/>
        <v>2</v>
      </c>
      <c r="AF10" s="9">
        <f t="shared" si="13"/>
        <v>1</v>
      </c>
      <c r="AG10" s="9">
        <f t="shared" si="14"/>
        <v>1</v>
      </c>
      <c r="AI10" s="18" t="s">
        <v>34</v>
      </c>
      <c r="AJ10" s="7"/>
      <c r="AK10" s="7"/>
      <c r="AL10" s="7"/>
      <c r="AM10" s="19"/>
    </row>
    <row r="11" spans="1:39" x14ac:dyDescent="0.25">
      <c r="O11" s="9" t="s">
        <v>47</v>
      </c>
      <c r="P11" s="23">
        <f t="shared" si="3"/>
        <v>1.5000000000000002E-3</v>
      </c>
      <c r="Q11" s="23">
        <f t="shared" si="3"/>
        <v>1.5000000000000002E-3</v>
      </c>
      <c r="R11" s="23">
        <f t="shared" si="3"/>
        <v>9.0000000000000019E-4</v>
      </c>
      <c r="S11" s="23">
        <f t="shared" si="3"/>
        <v>9.0000000000000019E-4</v>
      </c>
      <c r="U11" s="9" t="s">
        <v>47</v>
      </c>
      <c r="V11" s="9">
        <f t="shared" si="4"/>
        <v>5</v>
      </c>
      <c r="W11" s="9">
        <f t="shared" si="1"/>
        <v>5</v>
      </c>
      <c r="X11" s="9">
        <f t="shared" si="1"/>
        <v>3</v>
      </c>
      <c r="Y11" s="9">
        <f t="shared" si="1"/>
        <v>3</v>
      </c>
      <c r="AC11" s="9" t="s">
        <v>55</v>
      </c>
      <c r="AD11" s="9">
        <f t="shared" si="11"/>
        <v>2</v>
      </c>
      <c r="AE11" s="9">
        <f t="shared" si="12"/>
        <v>2</v>
      </c>
      <c r="AF11" s="9">
        <f t="shared" si="13"/>
        <v>1</v>
      </c>
      <c r="AG11" s="9">
        <f t="shared" si="14"/>
        <v>1</v>
      </c>
      <c r="AI11" s="18" t="s">
        <v>35</v>
      </c>
      <c r="AJ11" s="7"/>
      <c r="AK11" s="7"/>
      <c r="AL11" s="7"/>
      <c r="AM11" s="19"/>
    </row>
    <row r="12" spans="1:39" x14ac:dyDescent="0.25">
      <c r="O12" s="9" t="s">
        <v>48</v>
      </c>
      <c r="P12" s="23">
        <f t="shared" si="3"/>
        <v>1.0000000000000002E-3</v>
      </c>
      <c r="Q12" s="23">
        <f t="shared" si="3"/>
        <v>1.0000000000000002E-3</v>
      </c>
      <c r="R12" s="23">
        <f t="shared" si="3"/>
        <v>6.0000000000000016E-4</v>
      </c>
      <c r="S12" s="23">
        <f t="shared" si="3"/>
        <v>6.0000000000000016E-4</v>
      </c>
      <c r="U12" s="9" t="s">
        <v>48</v>
      </c>
      <c r="V12" s="9">
        <f t="shared" si="4"/>
        <v>3</v>
      </c>
      <c r="W12" s="9">
        <f t="shared" si="1"/>
        <v>3</v>
      </c>
      <c r="X12" s="9">
        <f t="shared" si="1"/>
        <v>2</v>
      </c>
      <c r="Y12" s="9">
        <f t="shared" si="1"/>
        <v>2</v>
      </c>
      <c r="AC12" s="17" t="s">
        <v>72</v>
      </c>
      <c r="AD12" s="9">
        <f>SUM(AD4:AD11)</f>
        <v>28</v>
      </c>
      <c r="AE12" s="9">
        <f t="shared" ref="AE12:AG12" si="15">SUM(AE4:AE11)</f>
        <v>28</v>
      </c>
      <c r="AF12" s="9">
        <f t="shared" si="15"/>
        <v>16</v>
      </c>
      <c r="AG12" s="9">
        <f t="shared" si="15"/>
        <v>16</v>
      </c>
      <c r="AI12" s="20" t="s">
        <v>107</v>
      </c>
      <c r="AJ12" s="7"/>
      <c r="AK12" s="7"/>
      <c r="AL12" s="7"/>
      <c r="AM12" s="19"/>
    </row>
    <row r="13" spans="1:39" x14ac:dyDescent="0.25">
      <c r="O13" s="9" t="s">
        <v>49</v>
      </c>
      <c r="P13" s="23">
        <f t="shared" si="3"/>
        <v>1.0000000000000002E-3</v>
      </c>
      <c r="Q13" s="23">
        <f t="shared" si="3"/>
        <v>1.0000000000000002E-3</v>
      </c>
      <c r="R13" s="23">
        <f t="shared" si="3"/>
        <v>6.0000000000000016E-4</v>
      </c>
      <c r="S13" s="23">
        <f t="shared" si="3"/>
        <v>6.0000000000000016E-4</v>
      </c>
      <c r="U13" s="9" t="s">
        <v>49</v>
      </c>
      <c r="V13" s="9">
        <f t="shared" si="4"/>
        <v>3</v>
      </c>
      <c r="W13" s="9">
        <f t="shared" si="1"/>
        <v>3</v>
      </c>
      <c r="X13" s="9">
        <f t="shared" si="1"/>
        <v>2</v>
      </c>
      <c r="Y13" s="9">
        <f t="shared" si="1"/>
        <v>2</v>
      </c>
      <c r="AI13" s="20"/>
      <c r="AJ13" s="21"/>
      <c r="AK13" s="21"/>
      <c r="AL13" s="21"/>
      <c r="AM13" s="22"/>
    </row>
    <row r="14" spans="1:39" x14ac:dyDescent="0.25">
      <c r="O14" s="9" t="s">
        <v>50</v>
      </c>
      <c r="P14" s="23">
        <f t="shared" si="3"/>
        <v>1.0000000000000002E-3</v>
      </c>
      <c r="Q14" s="23">
        <f t="shared" si="3"/>
        <v>1.0000000000000002E-3</v>
      </c>
      <c r="R14" s="23">
        <f t="shared" si="3"/>
        <v>6.0000000000000016E-4</v>
      </c>
      <c r="S14" s="23">
        <f t="shared" si="3"/>
        <v>6.0000000000000016E-4</v>
      </c>
      <c r="U14" s="9" t="s">
        <v>50</v>
      </c>
      <c r="V14" s="9">
        <f t="shared" si="4"/>
        <v>3</v>
      </c>
      <c r="W14" s="9">
        <f t="shared" si="1"/>
        <v>3</v>
      </c>
      <c r="X14" s="9">
        <f t="shared" si="1"/>
        <v>2</v>
      </c>
      <c r="Y14" s="9">
        <f t="shared" si="1"/>
        <v>2</v>
      </c>
      <c r="AD14" s="33" t="s">
        <v>75</v>
      </c>
      <c r="AE14" s="33"/>
      <c r="AF14" s="33" t="s">
        <v>76</v>
      </c>
      <c r="AG14" s="33"/>
    </row>
    <row r="15" spans="1:39" x14ac:dyDescent="0.25">
      <c r="O15" s="9" t="s">
        <v>51</v>
      </c>
      <c r="P15" s="23">
        <f t="shared" si="3"/>
        <v>1.0000000000000002E-3</v>
      </c>
      <c r="Q15" s="23">
        <f t="shared" si="3"/>
        <v>1.0000000000000002E-3</v>
      </c>
      <c r="R15" s="23">
        <f t="shared" si="3"/>
        <v>6.0000000000000016E-4</v>
      </c>
      <c r="S15" s="23">
        <f t="shared" si="3"/>
        <v>6.0000000000000016E-4</v>
      </c>
      <c r="U15" s="9" t="s">
        <v>51</v>
      </c>
      <c r="V15" s="9">
        <f t="shared" si="4"/>
        <v>3</v>
      </c>
      <c r="W15" s="9">
        <f t="shared" si="1"/>
        <v>3</v>
      </c>
      <c r="X15" s="9">
        <f t="shared" si="1"/>
        <v>2</v>
      </c>
      <c r="Y15" s="9">
        <f t="shared" si="1"/>
        <v>2</v>
      </c>
      <c r="AC15" s="9"/>
      <c r="AD15" s="9" t="s">
        <v>23</v>
      </c>
      <c r="AE15" s="9" t="s">
        <v>23</v>
      </c>
      <c r="AF15" s="9" t="s">
        <v>74</v>
      </c>
      <c r="AG15" s="9" t="s">
        <v>74</v>
      </c>
    </row>
    <row r="16" spans="1:39" x14ac:dyDescent="0.25">
      <c r="O16" s="9" t="s">
        <v>52</v>
      </c>
      <c r="P16" s="23">
        <f t="shared" si="3"/>
        <v>5.0000000000000023E-4</v>
      </c>
      <c r="Q16" s="23">
        <f t="shared" si="3"/>
        <v>5.0000000000000023E-4</v>
      </c>
      <c r="R16" s="23">
        <f t="shared" si="3"/>
        <v>3.0000000000000008E-4</v>
      </c>
      <c r="S16" s="23">
        <f t="shared" si="3"/>
        <v>3.0000000000000008E-4</v>
      </c>
      <c r="U16" s="9" t="s">
        <v>52</v>
      </c>
      <c r="V16" s="9">
        <f t="shared" si="4"/>
        <v>2</v>
      </c>
      <c r="W16" s="9">
        <f t="shared" si="1"/>
        <v>2</v>
      </c>
      <c r="X16" s="9">
        <f t="shared" si="1"/>
        <v>1</v>
      </c>
      <c r="Y16" s="9">
        <f t="shared" si="1"/>
        <v>1</v>
      </c>
      <c r="AC16" s="9" t="s">
        <v>61</v>
      </c>
      <c r="AD16" s="9">
        <v>2017</v>
      </c>
      <c r="AE16" s="9">
        <v>2018</v>
      </c>
      <c r="AF16" s="9">
        <v>2017</v>
      </c>
      <c r="AG16" s="9">
        <v>2018</v>
      </c>
      <c r="AI16" s="9"/>
      <c r="AJ16" s="33" t="s">
        <v>75</v>
      </c>
      <c r="AK16" s="33"/>
      <c r="AL16" s="33" t="s">
        <v>76</v>
      </c>
      <c r="AM16" s="33"/>
    </row>
    <row r="17" spans="15:39" x14ac:dyDescent="0.25">
      <c r="O17" s="9" t="s">
        <v>53</v>
      </c>
      <c r="P17" s="23">
        <f t="shared" si="3"/>
        <v>5.0000000000000023E-4</v>
      </c>
      <c r="Q17" s="23">
        <f t="shared" si="3"/>
        <v>5.0000000000000023E-4</v>
      </c>
      <c r="R17" s="23">
        <f t="shared" si="3"/>
        <v>3.0000000000000008E-4</v>
      </c>
      <c r="S17" s="23">
        <f t="shared" si="3"/>
        <v>3.0000000000000008E-4</v>
      </c>
      <c r="U17" s="9" t="s">
        <v>53</v>
      </c>
      <c r="V17" s="9">
        <f t="shared" si="4"/>
        <v>2</v>
      </c>
      <c r="W17" s="9">
        <f t="shared" si="1"/>
        <v>2</v>
      </c>
      <c r="X17" s="9">
        <f t="shared" si="1"/>
        <v>1</v>
      </c>
      <c r="Y17" s="9">
        <f t="shared" si="1"/>
        <v>1</v>
      </c>
      <c r="AC17" s="9" t="s">
        <v>40</v>
      </c>
      <c r="AD17" s="9">
        <f>V4</f>
        <v>6</v>
      </c>
      <c r="AE17" s="9">
        <f t="shared" ref="AD17:AG20" si="16">W4</f>
        <v>6</v>
      </c>
      <c r="AF17" s="9">
        <f t="shared" si="16"/>
        <v>4</v>
      </c>
      <c r="AG17" s="9">
        <f t="shared" si="16"/>
        <v>4</v>
      </c>
      <c r="AI17" s="9"/>
      <c r="AJ17" s="9" t="s">
        <v>23</v>
      </c>
      <c r="AK17" s="9" t="s">
        <v>23</v>
      </c>
      <c r="AL17" s="9" t="s">
        <v>74</v>
      </c>
      <c r="AM17" s="9" t="s">
        <v>74</v>
      </c>
    </row>
    <row r="18" spans="15:39" x14ac:dyDescent="0.25">
      <c r="O18" s="9" t="s">
        <v>54</v>
      </c>
      <c r="P18" s="23">
        <f t="shared" si="3"/>
        <v>5.0000000000000023E-4</v>
      </c>
      <c r="Q18" s="23">
        <f t="shared" si="3"/>
        <v>5.0000000000000023E-4</v>
      </c>
      <c r="R18" s="23">
        <f t="shared" si="3"/>
        <v>3.0000000000000008E-4</v>
      </c>
      <c r="S18" s="23">
        <f t="shared" si="3"/>
        <v>3.0000000000000008E-4</v>
      </c>
      <c r="U18" s="9" t="s">
        <v>54</v>
      </c>
      <c r="V18" s="9">
        <f t="shared" si="4"/>
        <v>2</v>
      </c>
      <c r="W18" s="9">
        <f t="shared" si="1"/>
        <v>2</v>
      </c>
      <c r="X18" s="9">
        <f t="shared" si="1"/>
        <v>1</v>
      </c>
      <c r="Y18" s="9">
        <f t="shared" si="1"/>
        <v>1</v>
      </c>
      <c r="AC18" s="9" t="s">
        <v>41</v>
      </c>
      <c r="AD18" s="9">
        <f t="shared" si="16"/>
        <v>6</v>
      </c>
      <c r="AE18" s="9">
        <f t="shared" si="16"/>
        <v>6</v>
      </c>
      <c r="AF18" s="9">
        <f t="shared" si="16"/>
        <v>4</v>
      </c>
      <c r="AG18" s="9">
        <f t="shared" si="16"/>
        <v>4</v>
      </c>
      <c r="AI18" s="9" t="s">
        <v>78</v>
      </c>
      <c r="AJ18" s="9">
        <v>2017</v>
      </c>
      <c r="AK18" s="9">
        <v>2018</v>
      </c>
      <c r="AL18" s="9">
        <v>2017</v>
      </c>
      <c r="AM18" s="9">
        <v>2018</v>
      </c>
    </row>
    <row r="19" spans="15:39" x14ac:dyDescent="0.25">
      <c r="O19" s="9" t="s">
        <v>55</v>
      </c>
      <c r="P19" s="23">
        <f t="shared" si="3"/>
        <v>5.0000000000000023E-4</v>
      </c>
      <c r="Q19" s="23">
        <f t="shared" si="3"/>
        <v>5.0000000000000023E-4</v>
      </c>
      <c r="R19" s="23">
        <f t="shared" si="3"/>
        <v>3.0000000000000008E-4</v>
      </c>
      <c r="S19" s="23">
        <f t="shared" si="3"/>
        <v>3.0000000000000008E-4</v>
      </c>
      <c r="U19" s="9" t="s">
        <v>55</v>
      </c>
      <c r="V19" s="9">
        <f t="shared" si="4"/>
        <v>2</v>
      </c>
      <c r="W19" s="9">
        <f t="shared" si="1"/>
        <v>2</v>
      </c>
      <c r="X19" s="9">
        <f t="shared" si="1"/>
        <v>1</v>
      </c>
      <c r="Y19" s="9">
        <f t="shared" si="1"/>
        <v>1</v>
      </c>
      <c r="AC19" s="9" t="s">
        <v>42</v>
      </c>
      <c r="AD19" s="9">
        <f t="shared" si="16"/>
        <v>6</v>
      </c>
      <c r="AE19" s="9">
        <f t="shared" si="16"/>
        <v>6</v>
      </c>
      <c r="AF19" s="9">
        <f t="shared" si="16"/>
        <v>4</v>
      </c>
      <c r="AG19" s="9">
        <f t="shared" si="16"/>
        <v>4</v>
      </c>
      <c r="AI19" s="9" t="s">
        <v>79</v>
      </c>
      <c r="AJ19" s="27">
        <f>AJ4/((1+0.1)^(AJ$18-2017))</f>
        <v>-28000</v>
      </c>
      <c r="AK19" s="27">
        <f>AK4/((1+0.1)^(AK$18-2017))</f>
        <v>-25454.545454545452</v>
      </c>
      <c r="AL19" s="27">
        <f>AL4/((1+0.1)^(AL$18-2017))</f>
        <v>-16000</v>
      </c>
      <c r="AM19" s="27">
        <f>AM4/((1+0.1)^(AM$18-2017))</f>
        <v>-14545.454545454544</v>
      </c>
    </row>
    <row r="20" spans="15:39" x14ac:dyDescent="0.25">
      <c r="O20" s="9" t="s">
        <v>60</v>
      </c>
      <c r="P20" s="23">
        <v>5</v>
      </c>
      <c r="Q20" s="23">
        <v>5</v>
      </c>
      <c r="R20" s="23">
        <v>4</v>
      </c>
      <c r="S20" s="23">
        <v>4</v>
      </c>
      <c r="U20" s="9" t="s">
        <v>60</v>
      </c>
      <c r="V20" s="9">
        <f>ROUND(P20*$B$5,0)</f>
        <v>15000</v>
      </c>
      <c r="W20" s="9">
        <f t="shared" ref="W20" si="17">ROUND(Q20*$B$5,0)</f>
        <v>15000</v>
      </c>
      <c r="X20" s="9">
        <f t="shared" ref="X5:X20" si="18">ROUND(R20*$B$5,0)</f>
        <v>12000</v>
      </c>
      <c r="Y20" s="9">
        <f t="shared" ref="Y20" si="19">ROUND(S20*$B$5,0)</f>
        <v>12000</v>
      </c>
      <c r="AC20" s="9" t="s">
        <v>43</v>
      </c>
      <c r="AD20" s="9">
        <f t="shared" si="16"/>
        <v>6</v>
      </c>
      <c r="AE20" s="9">
        <f t="shared" si="16"/>
        <v>6</v>
      </c>
      <c r="AF20" s="9">
        <f t="shared" si="16"/>
        <v>4</v>
      </c>
      <c r="AG20" s="9">
        <f t="shared" si="16"/>
        <v>4</v>
      </c>
      <c r="AI20" s="9" t="s">
        <v>80</v>
      </c>
      <c r="AJ20" s="27">
        <f>AJ5/((1+0.1)^(AJ$18-2017))</f>
        <v>-1814400</v>
      </c>
      <c r="AK20" s="27">
        <f>AK5/((1+0.1)^(AK$18-2017))</f>
        <v>-1649454.5454545454</v>
      </c>
      <c r="AL20" s="27">
        <f>AL5/((1+0.1)^(AL$18-2017))</f>
        <v>-1449600</v>
      </c>
      <c r="AM20" s="27">
        <f>AM5/((1+0.1)^(AM$18-2017))</f>
        <v>-1317818.1818181816</v>
      </c>
    </row>
    <row r="21" spans="15:39" x14ac:dyDescent="0.25">
      <c r="AC21" s="17" t="s">
        <v>62</v>
      </c>
      <c r="AD21" s="9">
        <f>SUM(AD17:AD20)</f>
        <v>24</v>
      </c>
      <c r="AE21" s="9">
        <f t="shared" ref="AE21:AG21" si="20">SUM(AE17:AE20)</f>
        <v>24</v>
      </c>
      <c r="AF21" s="9">
        <f t="shared" si="20"/>
        <v>16</v>
      </c>
      <c r="AG21" s="9">
        <f t="shared" si="20"/>
        <v>16</v>
      </c>
      <c r="AI21" s="9" t="s">
        <v>104</v>
      </c>
      <c r="AJ21" s="27">
        <f>AJ6/((1+0.1)^(AJ$18-2017))</f>
        <v>-2000</v>
      </c>
      <c r="AK21" s="27">
        <f>AK6/((1+0.1)^(AK$18-2017))</f>
        <v>-1818.181818181818</v>
      </c>
      <c r="AL21" s="27">
        <f>AL6/((1+0.1)^(AL$18-2017))</f>
        <v>0</v>
      </c>
      <c r="AM21" s="27">
        <f>AM6/((1+0.1)^(AM$18-2017))</f>
        <v>0</v>
      </c>
    </row>
    <row r="22" spans="15:39" x14ac:dyDescent="0.25">
      <c r="P22">
        <v>5.0000000000000001E-3</v>
      </c>
      <c r="Q22">
        <v>5.0000000000000001E-3</v>
      </c>
      <c r="R22">
        <f>P22-0.002</f>
        <v>3.0000000000000001E-3</v>
      </c>
      <c r="S22">
        <f>Q22-0.002</f>
        <v>3.0000000000000001E-3</v>
      </c>
      <c r="U22" s="7"/>
      <c r="V22" s="7"/>
      <c r="W22" s="7"/>
      <c r="X22" s="7"/>
      <c r="Y22" s="7"/>
      <c r="AI22" s="30" t="s">
        <v>118</v>
      </c>
      <c r="AJ22" s="27">
        <f>AJ7/((1+0.1)^(AJ$18-2017))</f>
        <v>-45000</v>
      </c>
      <c r="AK22" s="27">
        <f t="shared" ref="AK22:AM22" si="21">AK7/((1+0.1)^(AK$18-2017))</f>
        <v>-54545.454545454544</v>
      </c>
      <c r="AL22" s="27">
        <f t="shared" si="21"/>
        <v>-30000</v>
      </c>
      <c r="AM22" s="27">
        <f t="shared" si="21"/>
        <v>-40909.090909090904</v>
      </c>
    </row>
    <row r="23" spans="15:39" x14ac:dyDescent="0.25">
      <c r="U23" s="7"/>
      <c r="V23" s="7"/>
      <c r="W23" s="7"/>
      <c r="X23" s="7"/>
      <c r="Y23" s="7"/>
      <c r="AD23" s="33" t="s">
        <v>75</v>
      </c>
      <c r="AE23" s="33"/>
      <c r="AF23" s="33" t="s">
        <v>76</v>
      </c>
      <c r="AG23" s="33"/>
      <c r="AI23" s="9" t="s">
        <v>81</v>
      </c>
      <c r="AJ23" s="27">
        <f>AJ8/((1+0.1)^(AJ$18-2017))</f>
        <v>0</v>
      </c>
      <c r="AK23" s="27">
        <f>AK8/((1+0.1)^(AK$18-2017))</f>
        <v>0</v>
      </c>
      <c r="AL23" s="27">
        <f>AL8/((1+0.1)^(AL$18-2017))</f>
        <v>50000</v>
      </c>
      <c r="AM23" s="27">
        <f>AM8/((1+0.1)^(AM$18-2017))</f>
        <v>45454.545454545449</v>
      </c>
    </row>
    <row r="24" spans="15:39" x14ac:dyDescent="0.25">
      <c r="P24">
        <v>0.4</v>
      </c>
      <c r="R24">
        <v>0.4</v>
      </c>
      <c r="U24" s="7"/>
      <c r="V24" s="7"/>
      <c r="W24" s="7"/>
      <c r="X24" s="7"/>
      <c r="Y24" s="7"/>
      <c r="AC24" s="9"/>
      <c r="AD24" s="9" t="s">
        <v>23</v>
      </c>
      <c r="AE24" s="9" t="s">
        <v>23</v>
      </c>
      <c r="AF24" s="9" t="s">
        <v>74</v>
      </c>
      <c r="AG24" s="9" t="s">
        <v>74</v>
      </c>
      <c r="AI24" s="18" t="s">
        <v>82</v>
      </c>
      <c r="AJ24" s="7"/>
      <c r="AK24" s="7"/>
      <c r="AL24" s="7"/>
      <c r="AM24" s="19"/>
    </row>
    <row r="25" spans="15:39" x14ac:dyDescent="0.25">
      <c r="P25">
        <f>P24</f>
        <v>0.4</v>
      </c>
      <c r="R25">
        <v>0.3</v>
      </c>
      <c r="U25" s="7"/>
      <c r="V25" s="7"/>
      <c r="W25" s="7"/>
      <c r="X25" s="7"/>
      <c r="Y25" s="7"/>
      <c r="AC25" s="9" t="s">
        <v>63</v>
      </c>
      <c r="AD25" s="9">
        <v>2017</v>
      </c>
      <c r="AE25" s="9">
        <v>2018</v>
      </c>
      <c r="AF25" s="9">
        <v>2017</v>
      </c>
      <c r="AG25" s="9">
        <v>2018</v>
      </c>
      <c r="AI25" s="20" t="s">
        <v>83</v>
      </c>
      <c r="AJ25" s="21"/>
      <c r="AK25" s="21"/>
      <c r="AL25" s="21"/>
      <c r="AM25" s="22"/>
    </row>
    <row r="26" spans="15:39" x14ac:dyDescent="0.25">
      <c r="P26">
        <f t="shared" ref="P26:P39" si="22">P25</f>
        <v>0.4</v>
      </c>
      <c r="R26">
        <v>0.2</v>
      </c>
      <c r="U26" s="7"/>
      <c r="V26" s="7"/>
      <c r="W26" s="7"/>
      <c r="X26" s="7"/>
      <c r="Y26" s="7"/>
      <c r="AC26" s="9" t="s">
        <v>64</v>
      </c>
      <c r="AD26" s="9">
        <f>AD21*F5</f>
        <v>120</v>
      </c>
      <c r="AE26" s="9">
        <f>AE21*F6</f>
        <v>120</v>
      </c>
      <c r="AF26" s="9">
        <f>AF21*F5</f>
        <v>80</v>
      </c>
      <c r="AG26" s="9">
        <f>AG21*F6</f>
        <v>80</v>
      </c>
    </row>
    <row r="27" spans="15:39" x14ac:dyDescent="0.25">
      <c r="P27">
        <f t="shared" si="22"/>
        <v>0.4</v>
      </c>
      <c r="R27">
        <v>0.1</v>
      </c>
      <c r="U27" s="7"/>
      <c r="V27" s="7"/>
      <c r="W27" s="7"/>
      <c r="X27" s="7"/>
      <c r="Y27" s="7"/>
      <c r="AC27" s="9" t="s">
        <v>65</v>
      </c>
      <c r="AD27" s="9">
        <f>V20</f>
        <v>15000</v>
      </c>
      <c r="AE27" s="9">
        <f>W20</f>
        <v>15000</v>
      </c>
      <c r="AF27" s="9">
        <f>X20</f>
        <v>12000</v>
      </c>
      <c r="AG27" s="9">
        <f>Y20</f>
        <v>12000</v>
      </c>
    </row>
    <row r="28" spans="15:39" x14ac:dyDescent="0.25">
      <c r="P28">
        <f>P27-0.1</f>
        <v>0.30000000000000004</v>
      </c>
      <c r="U28" s="7"/>
      <c r="V28" s="7"/>
      <c r="W28" s="7"/>
      <c r="X28" s="7"/>
      <c r="Y28" s="7"/>
      <c r="AC28" s="17" t="s">
        <v>66</v>
      </c>
      <c r="AD28" s="9">
        <f>SUM(AD26:AD27)</f>
        <v>15120</v>
      </c>
      <c r="AE28" s="9">
        <f t="shared" ref="AE28:AG28" si="23">SUM(AE26:AE27)</f>
        <v>15120</v>
      </c>
      <c r="AF28" s="9">
        <f t="shared" si="23"/>
        <v>12080</v>
      </c>
      <c r="AG28" s="9">
        <f t="shared" si="23"/>
        <v>12080</v>
      </c>
    </row>
    <row r="29" spans="15:39" x14ac:dyDescent="0.25">
      <c r="P29">
        <f t="shared" si="22"/>
        <v>0.30000000000000004</v>
      </c>
      <c r="U29" s="7"/>
      <c r="V29" s="7"/>
      <c r="W29" s="7"/>
      <c r="X29" s="7"/>
      <c r="Y29" s="7"/>
    </row>
    <row r="30" spans="15:39" x14ac:dyDescent="0.25">
      <c r="P30">
        <f t="shared" si="22"/>
        <v>0.30000000000000004</v>
      </c>
      <c r="U30" s="7"/>
      <c r="V30" s="7"/>
      <c r="W30" s="7"/>
      <c r="X30" s="7"/>
      <c r="Y30" s="7"/>
    </row>
    <row r="31" spans="15:39" x14ac:dyDescent="0.25">
      <c r="P31">
        <f t="shared" si="22"/>
        <v>0.30000000000000004</v>
      </c>
      <c r="U31" s="7"/>
      <c r="V31" s="7"/>
      <c r="W31" s="7"/>
      <c r="X31" s="7"/>
      <c r="Y31" s="7"/>
      <c r="AD31" s="33" t="s">
        <v>75</v>
      </c>
      <c r="AE31" s="33"/>
      <c r="AF31" s="33" t="s">
        <v>76</v>
      </c>
      <c r="AG31" s="33"/>
      <c r="AI31" s="9"/>
      <c r="AJ31" s="33" t="s">
        <v>85</v>
      </c>
      <c r="AK31" s="33"/>
      <c r="AL31" s="34" t="s">
        <v>87</v>
      </c>
    </row>
    <row r="32" spans="15:39" x14ac:dyDescent="0.25">
      <c r="P32">
        <f>P31-0.1</f>
        <v>0.20000000000000004</v>
      </c>
      <c r="U32" s="35"/>
      <c r="V32" s="7"/>
      <c r="W32" s="7"/>
      <c r="X32" s="7"/>
      <c r="Y32" s="7"/>
      <c r="AC32" s="9"/>
      <c r="AD32" s="9" t="s">
        <v>101</v>
      </c>
      <c r="AE32" s="9" t="s">
        <v>96</v>
      </c>
      <c r="AF32" s="9" t="s">
        <v>74</v>
      </c>
      <c r="AG32" s="9" t="s">
        <v>74</v>
      </c>
      <c r="AI32" s="9"/>
      <c r="AJ32" s="9" t="s">
        <v>86</v>
      </c>
      <c r="AK32" s="9" t="s">
        <v>76</v>
      </c>
      <c r="AL32" s="34"/>
    </row>
    <row r="33" spans="16:38" x14ac:dyDescent="0.25">
      <c r="P33">
        <f t="shared" si="22"/>
        <v>0.20000000000000004</v>
      </c>
      <c r="U33" s="7"/>
      <c r="V33" s="7"/>
      <c r="W33" s="7"/>
      <c r="X33" s="7"/>
      <c r="Y33" s="7"/>
      <c r="AC33" s="9"/>
      <c r="AD33" s="9">
        <v>2017</v>
      </c>
      <c r="AE33" s="9">
        <v>2018</v>
      </c>
      <c r="AF33" s="9">
        <v>2017</v>
      </c>
      <c r="AG33" s="9">
        <v>2018</v>
      </c>
      <c r="AI33" s="9" t="s">
        <v>39</v>
      </c>
      <c r="AJ33" s="27">
        <f>SUM(AJ19:AK19)</f>
        <v>-53454.545454545456</v>
      </c>
      <c r="AK33" s="27">
        <f>SUM(AL19:AM19)</f>
        <v>-30545.454545454544</v>
      </c>
      <c r="AL33" s="27">
        <f>AK33-AJ33</f>
        <v>22909.090909090912</v>
      </c>
    </row>
    <row r="34" spans="16:38" x14ac:dyDescent="0.25">
      <c r="P34">
        <f t="shared" si="22"/>
        <v>0.20000000000000004</v>
      </c>
      <c r="U34" s="7"/>
      <c r="V34" s="7"/>
      <c r="W34" s="7"/>
      <c r="X34" s="7"/>
      <c r="Y34" s="7"/>
      <c r="AC34" s="17" t="s">
        <v>102</v>
      </c>
      <c r="AD34" s="9">
        <v>0</v>
      </c>
      <c r="AE34" s="9">
        <v>0</v>
      </c>
      <c r="AF34" s="9">
        <v>1</v>
      </c>
      <c r="AG34" s="9">
        <v>1</v>
      </c>
      <c r="AI34" s="9" t="s">
        <v>84</v>
      </c>
      <c r="AJ34" s="27">
        <f>SUM(AJ20:AK20)</f>
        <v>-3463854.5454545454</v>
      </c>
      <c r="AK34" s="27">
        <f>SUM(AL20:AM20)</f>
        <v>-2767418.1818181816</v>
      </c>
      <c r="AL34" s="27">
        <f t="shared" ref="AL34:AL37" si="24">AK34-AJ34</f>
        <v>696436.36363636376</v>
      </c>
    </row>
    <row r="35" spans="16:38" x14ac:dyDescent="0.25">
      <c r="P35">
        <f t="shared" si="22"/>
        <v>0.20000000000000004</v>
      </c>
      <c r="U35" s="7"/>
      <c r="V35" s="7"/>
      <c r="W35" s="7"/>
      <c r="X35" s="7"/>
      <c r="Y35" s="7"/>
      <c r="AI35" s="9" t="s">
        <v>105</v>
      </c>
      <c r="AJ35" s="27">
        <f>SUM(AJ21:AK21)</f>
        <v>-3818.181818181818</v>
      </c>
      <c r="AK35" s="27">
        <f t="shared" ref="AK35:AK36" si="25">SUM(AL21:AM21)</f>
        <v>0</v>
      </c>
      <c r="AL35" s="27">
        <f t="shared" si="24"/>
        <v>3818.181818181818</v>
      </c>
    </row>
    <row r="36" spans="16:38" x14ac:dyDescent="0.25">
      <c r="P36">
        <f>P35-0.1</f>
        <v>0.10000000000000003</v>
      </c>
      <c r="U36" s="7"/>
      <c r="V36" s="7"/>
      <c r="W36" s="7"/>
      <c r="X36" s="7"/>
      <c r="Y36" s="7"/>
      <c r="AI36" s="30" t="s">
        <v>120</v>
      </c>
      <c r="AJ36" s="27">
        <f>SUM(AJ22:AK22)</f>
        <v>-99545.454545454544</v>
      </c>
      <c r="AK36" s="27">
        <f t="shared" si="25"/>
        <v>-70909.090909090912</v>
      </c>
      <c r="AL36" s="27">
        <f>AK36-AJ36</f>
        <v>28636.363636363632</v>
      </c>
    </row>
    <row r="37" spans="16:38" x14ac:dyDescent="0.25">
      <c r="P37">
        <f t="shared" si="22"/>
        <v>0.10000000000000003</v>
      </c>
      <c r="U37" s="7"/>
      <c r="V37" s="7"/>
      <c r="W37" s="7"/>
      <c r="X37" s="7"/>
      <c r="Y37" s="7"/>
      <c r="AD37" s="33" t="s">
        <v>75</v>
      </c>
      <c r="AE37" s="33"/>
      <c r="AF37" s="33" t="s">
        <v>76</v>
      </c>
      <c r="AG37" s="33"/>
      <c r="AI37" s="9" t="s">
        <v>89</v>
      </c>
      <c r="AJ37" s="27">
        <f>SUM(AJ33:AJ36)</f>
        <v>-3620672.7272727271</v>
      </c>
      <c r="AK37" s="27">
        <f>SUM(AK33:AK36)</f>
        <v>-2868872.7272727271</v>
      </c>
      <c r="AL37" s="27">
        <f t="shared" si="24"/>
        <v>751800</v>
      </c>
    </row>
    <row r="38" spans="16:38" x14ac:dyDescent="0.25">
      <c r="P38">
        <f t="shared" si="22"/>
        <v>0.10000000000000003</v>
      </c>
      <c r="U38" s="7"/>
      <c r="V38" s="7"/>
      <c r="W38" s="7"/>
      <c r="X38" s="7"/>
      <c r="Y38" s="7"/>
      <c r="AC38" s="9"/>
      <c r="AD38" s="9" t="s">
        <v>101</v>
      </c>
      <c r="AE38" s="9" t="s">
        <v>96</v>
      </c>
      <c r="AF38" s="9" t="s">
        <v>74</v>
      </c>
      <c r="AG38" s="9" t="s">
        <v>74</v>
      </c>
      <c r="AI38" s="18" t="s">
        <v>82</v>
      </c>
      <c r="AJ38" s="7"/>
      <c r="AK38" s="7"/>
      <c r="AL38" s="19"/>
    </row>
    <row r="39" spans="16:38" x14ac:dyDescent="0.25">
      <c r="P39">
        <f t="shared" si="22"/>
        <v>0.10000000000000003</v>
      </c>
      <c r="U39" s="7"/>
      <c r="V39" s="7"/>
      <c r="W39" s="7"/>
      <c r="X39" s="7"/>
      <c r="Y39" s="7"/>
      <c r="AC39" s="9"/>
      <c r="AD39" s="9">
        <v>2017</v>
      </c>
      <c r="AE39" s="9">
        <v>2018</v>
      </c>
      <c r="AF39" s="9">
        <v>2017</v>
      </c>
      <c r="AG39" s="9">
        <v>2018</v>
      </c>
      <c r="AI39" s="20" t="s">
        <v>88</v>
      </c>
      <c r="AJ39" s="21"/>
      <c r="AK39" s="21"/>
      <c r="AL39" s="22"/>
    </row>
    <row r="40" spans="16:38" x14ac:dyDescent="0.25">
      <c r="AC40" s="9" t="s">
        <v>97</v>
      </c>
      <c r="AD40" s="9">
        <f xml:space="preserve"> (1 - AD34) * G5 * (1 + (J5*H5))</f>
        <v>2.2000000000000002</v>
      </c>
      <c r="AE40" s="9">
        <f xml:space="preserve"> ( 1 - AE34) * G6 * (1 + (J6*H6))</f>
        <v>2.2000000000000002</v>
      </c>
      <c r="AF40" s="9">
        <f xml:space="preserve"> (1 - AF34) * G5 * (1 + (J5*H5))</f>
        <v>0</v>
      </c>
      <c r="AG40" s="9">
        <f xml:space="preserve"> ( 1 - AG34) * G6 * (1 + (J6*H6))</f>
        <v>0</v>
      </c>
    </row>
    <row r="41" spans="16:38" x14ac:dyDescent="0.25">
      <c r="AC41" s="17" t="s">
        <v>103</v>
      </c>
      <c r="AD41" s="9">
        <f>ROUND(AD40,0)</f>
        <v>2</v>
      </c>
      <c r="AE41" s="9">
        <f t="shared" ref="AE41:AG41" si="26">ROUND(AE40,0)</f>
        <v>2</v>
      </c>
      <c r="AF41" s="9">
        <f t="shared" si="26"/>
        <v>0</v>
      </c>
      <c r="AG41" s="9">
        <f t="shared" si="26"/>
        <v>0</v>
      </c>
      <c r="AI41" s="15" t="s">
        <v>94</v>
      </c>
      <c r="AJ41" s="37">
        <f>SUM(AL23:AM23)</f>
        <v>95454.545454545441</v>
      </c>
    </row>
    <row r="42" spans="16:38" x14ac:dyDescent="0.25">
      <c r="AC42" s="24"/>
      <c r="AD42" s="25"/>
      <c r="AE42" s="25"/>
      <c r="AF42" s="25"/>
      <c r="AG42" s="26"/>
    </row>
    <row r="43" spans="16:38" x14ac:dyDescent="0.25">
      <c r="AC43" s="18" t="s">
        <v>82</v>
      </c>
      <c r="AD43" s="7"/>
      <c r="AE43" s="7"/>
      <c r="AF43" s="7"/>
      <c r="AG43" s="19"/>
    </row>
    <row r="44" spans="16:38" x14ac:dyDescent="0.25">
      <c r="AC44" s="20" t="s">
        <v>106</v>
      </c>
      <c r="AD44" s="21"/>
      <c r="AE44" s="21"/>
      <c r="AF44" s="21"/>
      <c r="AG44" s="22"/>
    </row>
    <row r="46" spans="16:38" x14ac:dyDescent="0.25">
      <c r="AI46" s="9" t="s">
        <v>92</v>
      </c>
      <c r="AJ46" s="27">
        <f>AL37</f>
        <v>751800</v>
      </c>
    </row>
    <row r="47" spans="16:38" ht="15.75" thickBot="1" x14ac:dyDescent="0.3">
      <c r="AD47" s="33" t="s">
        <v>75</v>
      </c>
      <c r="AE47" s="33"/>
      <c r="AF47" s="33" t="s">
        <v>76</v>
      </c>
      <c r="AG47" s="33"/>
      <c r="AI47" s="9" t="s">
        <v>91</v>
      </c>
      <c r="AJ47" s="29">
        <f>AJ41</f>
        <v>95454.545454545441</v>
      </c>
    </row>
    <row r="48" spans="16:38" ht="15.75" thickBot="1" x14ac:dyDescent="0.3">
      <c r="AD48" s="9" t="s">
        <v>101</v>
      </c>
      <c r="AE48" s="9" t="s">
        <v>96</v>
      </c>
      <c r="AF48" s="9" t="s">
        <v>74</v>
      </c>
      <c r="AG48" s="9" t="s">
        <v>74</v>
      </c>
      <c r="AI48" s="15" t="s">
        <v>90</v>
      </c>
      <c r="AJ48" s="8">
        <f>AJ46/AJ47</f>
        <v>7.8760000000000012</v>
      </c>
    </row>
    <row r="49" spans="29:33" x14ac:dyDescent="0.25">
      <c r="AC49" s="9" t="s">
        <v>112</v>
      </c>
      <c r="AD49" s="9">
        <v>2017</v>
      </c>
      <c r="AE49" s="9">
        <v>2018</v>
      </c>
      <c r="AF49" s="9">
        <v>2017</v>
      </c>
      <c r="AG49" s="9">
        <v>2018</v>
      </c>
    </row>
    <row r="50" spans="29:33" x14ac:dyDescent="0.25">
      <c r="AC50" s="9" t="s">
        <v>44</v>
      </c>
      <c r="AD50" s="9">
        <f>V8</f>
        <v>5</v>
      </c>
      <c r="AE50" s="9">
        <f>W8</f>
        <v>5</v>
      </c>
      <c r="AF50" s="9">
        <f>X8</f>
        <v>3</v>
      </c>
      <c r="AG50" s="9">
        <f>Y8</f>
        <v>3</v>
      </c>
    </row>
    <row r="51" spans="29:33" x14ac:dyDescent="0.25">
      <c r="AC51" s="9" t="s">
        <v>45</v>
      </c>
      <c r="AD51" s="9">
        <f>V9</f>
        <v>5</v>
      </c>
      <c r="AE51" s="9">
        <f>W9</f>
        <v>5</v>
      </c>
      <c r="AF51" s="9">
        <f>X9</f>
        <v>3</v>
      </c>
      <c r="AG51" s="9">
        <f>Y9</f>
        <v>3</v>
      </c>
    </row>
    <row r="52" spans="29:33" x14ac:dyDescent="0.25">
      <c r="AC52" s="9" t="s">
        <v>46</v>
      </c>
      <c r="AD52" s="9">
        <f>V10</f>
        <v>5</v>
      </c>
      <c r="AE52" s="9">
        <f>W10</f>
        <v>5</v>
      </c>
      <c r="AF52" s="9">
        <f>X10</f>
        <v>3</v>
      </c>
      <c r="AG52" s="9">
        <f>Y10</f>
        <v>3</v>
      </c>
    </row>
    <row r="53" spans="29:33" x14ac:dyDescent="0.25">
      <c r="AC53" s="38" t="s">
        <v>113</v>
      </c>
      <c r="AD53" s="9">
        <f>SUM(AD50:AD52)</f>
        <v>15</v>
      </c>
      <c r="AE53" s="9">
        <f t="shared" ref="AE53:AG53" si="27">SUM(AE50:AE52)</f>
        <v>15</v>
      </c>
      <c r="AF53" s="9">
        <f t="shared" si="27"/>
        <v>9</v>
      </c>
      <c r="AG53" s="9">
        <f t="shared" si="27"/>
        <v>9</v>
      </c>
    </row>
    <row r="55" spans="29:33" x14ac:dyDescent="0.25">
      <c r="AD55" s="39" t="s">
        <v>75</v>
      </c>
      <c r="AE55" s="40"/>
      <c r="AF55" s="39" t="s">
        <v>76</v>
      </c>
      <c r="AG55" s="40"/>
    </row>
    <row r="56" spans="29:33" x14ac:dyDescent="0.25">
      <c r="AD56" s="9" t="s">
        <v>101</v>
      </c>
      <c r="AE56" s="9" t="s">
        <v>96</v>
      </c>
      <c r="AF56" s="9" t="s">
        <v>74</v>
      </c>
      <c r="AG56" s="9" t="s">
        <v>74</v>
      </c>
    </row>
    <row r="57" spans="29:33" x14ac:dyDescent="0.25">
      <c r="AC57" s="9" t="s">
        <v>108</v>
      </c>
      <c r="AD57" s="9">
        <v>2017</v>
      </c>
      <c r="AE57" s="9">
        <v>2018</v>
      </c>
      <c r="AF57" s="9">
        <v>2017</v>
      </c>
      <c r="AG57" s="9">
        <v>2018</v>
      </c>
    </row>
    <row r="58" spans="29:33" x14ac:dyDescent="0.25">
      <c r="AC58" s="9" t="s">
        <v>110</v>
      </c>
      <c r="AD58" s="9">
        <f>AD53*K5</f>
        <v>7.5</v>
      </c>
      <c r="AE58" s="9">
        <f>AE53*K6</f>
        <v>7.5</v>
      </c>
      <c r="AF58" s="9">
        <f>AF53*K5</f>
        <v>4.5</v>
      </c>
      <c r="AG58" s="9">
        <f>AG53*K6</f>
        <v>4.5</v>
      </c>
    </row>
    <row r="59" spans="29:33" x14ac:dyDescent="0.25">
      <c r="AC59" s="9" t="s">
        <v>52</v>
      </c>
      <c r="AD59" s="9">
        <f>V16</f>
        <v>2</v>
      </c>
      <c r="AE59" s="9">
        <f>W16</f>
        <v>2</v>
      </c>
      <c r="AF59" s="9">
        <f>X16</f>
        <v>1</v>
      </c>
      <c r="AG59" s="9">
        <f>Y16</f>
        <v>1</v>
      </c>
    </row>
    <row r="60" spans="29:33" x14ac:dyDescent="0.25">
      <c r="AC60" s="9" t="s">
        <v>53</v>
      </c>
      <c r="AD60" s="9">
        <f>V17</f>
        <v>2</v>
      </c>
      <c r="AE60" s="9">
        <f>W17</f>
        <v>2</v>
      </c>
      <c r="AF60" s="9">
        <f>X17</f>
        <v>1</v>
      </c>
      <c r="AG60" s="9">
        <f>Y17</f>
        <v>1</v>
      </c>
    </row>
    <row r="61" spans="29:33" x14ac:dyDescent="0.25">
      <c r="AC61" s="9" t="s">
        <v>54</v>
      </c>
      <c r="AD61" s="9">
        <f>V18</f>
        <v>2</v>
      </c>
      <c r="AE61" s="9">
        <f>W18</f>
        <v>2</v>
      </c>
      <c r="AF61" s="9">
        <f>X18</f>
        <v>1</v>
      </c>
      <c r="AG61" s="9">
        <f>Y18</f>
        <v>1</v>
      </c>
    </row>
    <row r="62" spans="29:33" x14ac:dyDescent="0.25">
      <c r="AC62" t="s">
        <v>121</v>
      </c>
      <c r="AD62">
        <f>L5</f>
        <v>10</v>
      </c>
      <c r="AF62">
        <f>L5</f>
        <v>10</v>
      </c>
    </row>
    <row r="63" spans="29:33" x14ac:dyDescent="0.25">
      <c r="AC63" s="38" t="s">
        <v>109</v>
      </c>
      <c r="AD63" s="9">
        <f>ROUND(SUM(AD58:AD62),0)</f>
        <v>24</v>
      </c>
      <c r="AE63" s="9">
        <f>ROUND(SUM(AE58:AE62),0)+AD63</f>
        <v>38</v>
      </c>
      <c r="AF63" s="9">
        <f t="shared" ref="AE63:AG63" si="28">ROUND(SUM(AF58:AF62),0)</f>
        <v>18</v>
      </c>
      <c r="AG63" s="9">
        <f>ROUND(SUM(AG58:AG62),0)+AF63</f>
        <v>26</v>
      </c>
    </row>
    <row r="64" spans="29:33" x14ac:dyDescent="0.25">
      <c r="AD64" s="33" t="s">
        <v>75</v>
      </c>
      <c r="AE64" s="33"/>
      <c r="AF64" s="33" t="s">
        <v>76</v>
      </c>
      <c r="AG64" s="33"/>
    </row>
    <row r="65" spans="29:33" x14ac:dyDescent="0.25">
      <c r="AC65" s="9"/>
      <c r="AD65" s="9" t="s">
        <v>101</v>
      </c>
      <c r="AE65" s="9" t="s">
        <v>96</v>
      </c>
      <c r="AF65" s="9" t="s">
        <v>74</v>
      </c>
      <c r="AG65" s="9" t="s">
        <v>74</v>
      </c>
    </row>
    <row r="66" spans="29:33" x14ac:dyDescent="0.25">
      <c r="AC66" s="9"/>
      <c r="AD66" s="9">
        <v>2017</v>
      </c>
      <c r="AE66" s="9">
        <v>2018</v>
      </c>
      <c r="AF66" s="9">
        <v>2017</v>
      </c>
      <c r="AG66" s="9">
        <v>2018</v>
      </c>
    </row>
    <row r="67" spans="29:33" x14ac:dyDescent="0.25">
      <c r="AC67" s="9" t="s">
        <v>115</v>
      </c>
      <c r="AD67" s="9">
        <f>AD63*N5*(1+(J5*H5))</f>
        <v>2.6400000000000006</v>
      </c>
      <c r="AE67" s="9">
        <f>AE63*N6*(1+(J6*H6))</f>
        <v>4.1800000000000006</v>
      </c>
      <c r="AF67" s="9">
        <f>AF63*N5*(1+(J5*H5))</f>
        <v>1.9800000000000002</v>
      </c>
      <c r="AG67" s="9">
        <f>AG63*N6*(1+(J6*H6))</f>
        <v>2.8600000000000003</v>
      </c>
    </row>
    <row r="68" spans="29:33" x14ac:dyDescent="0.25">
      <c r="AC68" s="17" t="s">
        <v>116</v>
      </c>
      <c r="AD68" s="9">
        <f>ROUND(AD67,0)</f>
        <v>3</v>
      </c>
      <c r="AE68" s="9">
        <f t="shared" ref="AE68:AG68" si="29">ROUND(AE67,0)</f>
        <v>4</v>
      </c>
      <c r="AF68" s="9">
        <f t="shared" si="29"/>
        <v>2</v>
      </c>
      <c r="AG68" s="9">
        <f t="shared" si="29"/>
        <v>3</v>
      </c>
    </row>
    <row r="69" spans="29:33" x14ac:dyDescent="0.25">
      <c r="AC69" s="24" t="s">
        <v>82</v>
      </c>
      <c r="AD69" s="25"/>
      <c r="AE69" s="25"/>
      <c r="AF69" s="25"/>
      <c r="AG69" s="26"/>
    </row>
    <row r="70" spans="29:33" ht="16.5" x14ac:dyDescent="0.3">
      <c r="AC70" s="41" t="s">
        <v>117</v>
      </c>
      <c r="AD70" s="21"/>
      <c r="AE70" s="21"/>
      <c r="AF70" s="21"/>
      <c r="AG70" s="22"/>
    </row>
  </sheetData>
  <mergeCells count="28">
    <mergeCell ref="AD47:AE47"/>
    <mergeCell ref="AF47:AG47"/>
    <mergeCell ref="AD55:AE55"/>
    <mergeCell ref="AF55:AG55"/>
    <mergeCell ref="AD64:AE64"/>
    <mergeCell ref="AF64:AG64"/>
    <mergeCell ref="AD31:AE31"/>
    <mergeCell ref="AF31:AG31"/>
    <mergeCell ref="AD37:AE37"/>
    <mergeCell ref="AF37:AG37"/>
    <mergeCell ref="V1:W1"/>
    <mergeCell ref="X1:Y1"/>
    <mergeCell ref="O2:O3"/>
    <mergeCell ref="AL1:AM1"/>
    <mergeCell ref="AJ16:AK16"/>
    <mergeCell ref="AL16:AM16"/>
    <mergeCell ref="AL31:AL32"/>
    <mergeCell ref="AJ31:AK31"/>
    <mergeCell ref="U2:U3"/>
    <mergeCell ref="AD1:AE1"/>
    <mergeCell ref="AF1:AG1"/>
    <mergeCell ref="AJ1:AK1"/>
    <mergeCell ref="AD14:AE14"/>
    <mergeCell ref="AF14:AG14"/>
    <mergeCell ref="AD23:AE23"/>
    <mergeCell ref="AF23:AG23"/>
    <mergeCell ref="P1:Q1"/>
    <mergeCell ref="R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Parametros</vt:lpstr>
      <vt:lpstr>Eventos</vt:lpstr>
      <vt:lpstr>Eventos_Abs</vt:lpstr>
      <vt:lpstr>Eventos_Turnover</vt:lpstr>
      <vt:lpstr>Caso_Montado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Lima</dc:creator>
  <cp:lastModifiedBy>Tobias</cp:lastModifiedBy>
  <dcterms:created xsi:type="dcterms:W3CDTF">2017-07-18T20:31:17Z</dcterms:created>
  <dcterms:modified xsi:type="dcterms:W3CDTF">2017-07-19T23:24:14Z</dcterms:modified>
</cp:coreProperties>
</file>