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 Baker\Dropbox\SAFS\Forage Fish V2 with Chris\Data for Chris\"/>
    </mc:Choice>
  </mc:AlternateContent>
  <bookViews>
    <workbookView xWindow="0" yWindow="0" windowWidth="28800" windowHeight="12330"/>
  </bookViews>
  <sheets>
    <sheet name="Data" sheetId="2" r:id="rId1"/>
    <sheet name="working" sheetId="7" r:id="rId2"/>
    <sheet name="references" sheetId="6" r:id="rId3"/>
    <sheet name="Species key" sheetId="4" r:id="rId4"/>
    <sheet name="Location key" sheetId="5" r:id="rId5"/>
  </sheets>
  <definedNames>
    <definedName name="_xlnm._FilterDatabase" localSheetId="0" hidden="1">Data!$A$1:$X$251</definedName>
    <definedName name="_xlnm._FilterDatabase" localSheetId="3" hidden="1">'Species key'!$A$1:$B$38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7" l="1"/>
  <c r="G61" i="7"/>
  <c r="G56" i="7"/>
  <c r="G51" i="7"/>
  <c r="G46" i="7"/>
  <c r="G42" i="7"/>
  <c r="G39" i="7"/>
  <c r="G33" i="7"/>
  <c r="G28" i="7"/>
  <c r="G24" i="7"/>
  <c r="G22" i="7"/>
  <c r="G21" i="7"/>
  <c r="G17" i="7"/>
  <c r="G12" i="7"/>
  <c r="F12" i="7"/>
  <c r="G7" i="7"/>
  <c r="G64" i="7"/>
  <c r="F64" i="7"/>
  <c r="F63" i="7"/>
  <c r="G62" i="7"/>
  <c r="F62" i="7"/>
  <c r="F61" i="7"/>
  <c r="G57" i="7"/>
  <c r="G58" i="7"/>
  <c r="G59" i="7"/>
  <c r="G60" i="7"/>
  <c r="F60" i="7"/>
  <c r="F59" i="7"/>
  <c r="F58" i="7"/>
  <c r="F57" i="7"/>
  <c r="F56" i="7"/>
  <c r="G52" i="7"/>
  <c r="G53" i="7"/>
  <c r="G54" i="7"/>
  <c r="G55" i="7"/>
  <c r="F55" i="7"/>
  <c r="F54" i="7"/>
  <c r="F53" i="7"/>
  <c r="F52" i="7"/>
  <c r="G50" i="7"/>
  <c r="F50" i="7"/>
  <c r="F49" i="7"/>
  <c r="F47" i="7"/>
  <c r="F45" i="7"/>
  <c r="F44" i="7"/>
  <c r="F43" i="7"/>
  <c r="G43" i="7"/>
  <c r="F41" i="7"/>
  <c r="G41" i="7"/>
  <c r="F40" i="7"/>
  <c r="F38" i="7"/>
  <c r="G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3" i="7"/>
  <c r="F22" i="7"/>
  <c r="F21" i="7"/>
  <c r="F20" i="7"/>
  <c r="G20" i="7"/>
  <c r="F19" i="7"/>
  <c r="F18" i="7"/>
  <c r="F17" i="7"/>
  <c r="F16" i="7"/>
  <c r="F15" i="7"/>
  <c r="F14" i="7"/>
  <c r="F13" i="7"/>
  <c r="F11" i="7"/>
  <c r="F10" i="7"/>
  <c r="F9" i="7"/>
  <c r="F8" i="7"/>
  <c r="V30" i="2"/>
  <c r="V28" i="2"/>
  <c r="V27" i="2"/>
  <c r="V26" i="2"/>
  <c r="V25" i="2"/>
  <c r="V24" i="2"/>
  <c r="V21" i="2"/>
  <c r="V20" i="2"/>
  <c r="V18" i="2"/>
  <c r="V17" i="2"/>
  <c r="V22" i="2"/>
  <c r="V19" i="2"/>
  <c r="V16" i="2"/>
  <c r="V14" i="2"/>
  <c r="V13" i="2"/>
  <c r="V12" i="2"/>
  <c r="V11" i="2"/>
  <c r="V10" i="2"/>
  <c r="V9" i="2"/>
  <c r="V8" i="2"/>
  <c r="V7" i="2"/>
  <c r="V6" i="2"/>
  <c r="V5" i="2"/>
  <c r="V4" i="2"/>
  <c r="V3" i="2"/>
  <c r="G44" i="7"/>
  <c r="G49" i="7"/>
  <c r="G45" i="7"/>
  <c r="G48" i="7"/>
  <c r="G47" i="7"/>
  <c r="G40" i="7"/>
  <c r="G26" i="7"/>
  <c r="G37" i="7"/>
  <c r="G31" i="7"/>
  <c r="G23" i="7"/>
  <c r="G32" i="7"/>
  <c r="G27" i="7"/>
  <c r="G35" i="7"/>
  <c r="G36" i="7"/>
  <c r="G29" i="7"/>
  <c r="G25" i="7"/>
  <c r="G34" i="7"/>
  <c r="G30" i="7"/>
  <c r="G10" i="7"/>
  <c r="G14" i="7"/>
  <c r="G18" i="7"/>
  <c r="G16" i="7"/>
  <c r="G9" i="7"/>
  <c r="G11" i="7"/>
  <c r="G15" i="7"/>
  <c r="G19" i="7"/>
  <c r="G8" i="7"/>
  <c r="G13" i="7"/>
  <c r="O146" i="2"/>
  <c r="O147" i="2"/>
  <c r="O148" i="2"/>
  <c r="O149" i="2"/>
  <c r="O150" i="2"/>
  <c r="O151" i="2"/>
  <c r="O152" i="2"/>
  <c r="O145" i="2"/>
</calcChain>
</file>

<file path=xl/sharedStrings.xml><?xml version="1.0" encoding="utf-8"?>
<sst xmlns="http://schemas.openxmlformats.org/spreadsheetml/2006/main" count="2957" uniqueCount="387">
  <si>
    <t>Peru</t>
  </si>
  <si>
    <t>Norway</t>
  </si>
  <si>
    <t>North Sea</t>
  </si>
  <si>
    <t>by mass</t>
  </si>
  <si>
    <t>Hernyken</t>
  </si>
  <si>
    <t>Jun-Jul</t>
  </si>
  <si>
    <t>Ammodytes marinus</t>
  </si>
  <si>
    <t>Sterna paradisaea</t>
  </si>
  <si>
    <t>Rissa tridactyla</t>
  </si>
  <si>
    <t>Stercorarius parasiticus</t>
  </si>
  <si>
    <t>Uria aalge</t>
  </si>
  <si>
    <t>Isle of May</t>
  </si>
  <si>
    <t>1981-2003</t>
  </si>
  <si>
    <t>36-165</t>
  </si>
  <si>
    <t>30-80</t>
  </si>
  <si>
    <t>Phalacrocorax aristotelis</t>
  </si>
  <si>
    <t>European shag</t>
  </si>
  <si>
    <t>Alca torda</t>
  </si>
  <si>
    <t>Farne Islands</t>
  </si>
  <si>
    <t>Feb-Apr</t>
  </si>
  <si>
    <t>Shetland</t>
  </si>
  <si>
    <t>year</t>
  </si>
  <si>
    <t>Peterhead</t>
  </si>
  <si>
    <t>Fratercula arctica</t>
  </si>
  <si>
    <t>Furness and Tasker 2000 Table 2</t>
  </si>
  <si>
    <t>median across yr, study and colony (Tasker and Furness 1996, Furness and Tasker 1999, Wanless et al 1998)</t>
  </si>
  <si>
    <t>by weight</t>
  </si>
  <si>
    <t>by number</t>
  </si>
  <si>
    <t>1979-2003</t>
  </si>
  <si>
    <t>Anker-Nilssen and Aarvak 2006 Tabell 3.2</t>
  </si>
  <si>
    <t>1988-2003</t>
  </si>
  <si>
    <t>mean, and not specificed adult or chicks</t>
  </si>
  <si>
    <t>Anker-Nilssen and Aarvak 2006 Tabell 3.4</t>
  </si>
  <si>
    <t>Rost</t>
  </si>
  <si>
    <t>Anker-Nilssen 2010 Figure 3</t>
  </si>
  <si>
    <t>Blanchard et al 2002 Table 8</t>
  </si>
  <si>
    <t>Barents Sea</t>
  </si>
  <si>
    <t>2+</t>
  </si>
  <si>
    <t>1-3</t>
  </si>
  <si>
    <t>4+</t>
  </si>
  <si>
    <t>Mackinson and Daskalov 2007 Table 3.4</t>
  </si>
  <si>
    <t>Jan</t>
  </si>
  <si>
    <t>Mar</t>
  </si>
  <si>
    <t>Apr</t>
  </si>
  <si>
    <t>Phalacrocorax bougainvillii</t>
  </si>
  <si>
    <t>Sula variegate</t>
  </si>
  <si>
    <t>Pelecanus thagus</t>
  </si>
  <si>
    <t>Engraulis ringens</t>
  </si>
  <si>
    <t>Jan-Aug</t>
  </si>
  <si>
    <t>% is for each size value, mean did not reflect bimodial distribution</t>
  </si>
  <si>
    <t>77-85</t>
  </si>
  <si>
    <t>Sarda chiliensis chiliensis</t>
  </si>
  <si>
    <t>Scomber japonicus</t>
  </si>
  <si>
    <t>% of stomach content weight</t>
  </si>
  <si>
    <t>% of total weight composition</t>
  </si>
  <si>
    <t>Chimbote</t>
  </si>
  <si>
    <t>Trachurus murphyi</t>
  </si>
  <si>
    <t>Punta San Juan</t>
  </si>
  <si>
    <t>Grupo Pescadores</t>
  </si>
  <si>
    <t>Scotland</t>
  </si>
  <si>
    <t>Konchina 1982 pdf p8</t>
  </si>
  <si>
    <t>% by weight</t>
  </si>
  <si>
    <t>weighted average, range 30-190</t>
  </si>
  <si>
    <t>Jan-Mar</t>
  </si>
  <si>
    <t>Apr-Jun</t>
  </si>
  <si>
    <t>Oct-Dec</t>
  </si>
  <si>
    <t>Daan 1989 Table 8C4</t>
  </si>
  <si>
    <t>Trisopterus esmarkii</t>
  </si>
  <si>
    <t>Daan 1989 Table 8E</t>
  </si>
  <si>
    <t>Sprattus sprattus</t>
  </si>
  <si>
    <t>1983-1985</t>
  </si>
  <si>
    <t>Du Buit 1996 Figure 4</t>
  </si>
  <si>
    <t>Celtic Sea</t>
  </si>
  <si>
    <t>John Dory</t>
  </si>
  <si>
    <t>diet matrix</t>
  </si>
  <si>
    <t>Norwegian Sea</t>
  </si>
  <si>
    <t>relative contribution by weight</t>
  </si>
  <si>
    <t>Olsen and Holst 2001</t>
  </si>
  <si>
    <t>1999-2000</t>
  </si>
  <si>
    <t>average over all size classes of predator</t>
  </si>
  <si>
    <t>de Gee and Kikkert 1993 Table 10</t>
  </si>
  <si>
    <t>sort_orig</t>
  </si>
  <si>
    <t>ff_common</t>
  </si>
  <si>
    <t>ff_scientific</t>
  </si>
  <si>
    <t>pred_common</t>
  </si>
  <si>
    <t>pred_scientific</t>
  </si>
  <si>
    <t>season</t>
  </si>
  <si>
    <t>n</t>
  </si>
  <si>
    <t>n_units</t>
  </si>
  <si>
    <t>source</t>
  </si>
  <si>
    <t>location</t>
  </si>
  <si>
    <t>country</t>
  </si>
  <si>
    <t>ff_eaten_mm</t>
  </si>
  <si>
    <t>ff_eaten_yr</t>
  </si>
  <si>
    <t>ff_diet_perc</t>
  </si>
  <si>
    <t>ff_diet_perc_units</t>
  </si>
  <si>
    <t>notes</t>
  </si>
  <si>
    <t>common_name</t>
  </si>
  <si>
    <t>species</t>
  </si>
  <si>
    <t>Razorbill</t>
  </si>
  <si>
    <t>Lesser sand-eel</t>
  </si>
  <si>
    <t>Sandeel spp.</t>
  </si>
  <si>
    <t>Ammodytidae spp.</t>
  </si>
  <si>
    <t>Common minke whale</t>
  </si>
  <si>
    <t>Balaenoptera acutorostrata</t>
  </si>
  <si>
    <t>Atlantic herring</t>
  </si>
  <si>
    <t>Clupea harengus</t>
  </si>
  <si>
    <t>Atlantic herring (spring spawning)</t>
  </si>
  <si>
    <t>European bass</t>
  </si>
  <si>
    <t>Dicentrarchus labrax</t>
  </si>
  <si>
    <t>Anchoveta</t>
  </si>
  <si>
    <t>Grey gurnard</t>
  </si>
  <si>
    <t>Eutrigla gurnardus</t>
  </si>
  <si>
    <t>Atlantic puffin</t>
  </si>
  <si>
    <t>Atlantic cod</t>
  </si>
  <si>
    <t>Gadus morhua</t>
  </si>
  <si>
    <t>Megrim</t>
  </si>
  <si>
    <t>Lepidorhombus whiffiagonis</t>
  </si>
  <si>
    <t>Large crabs</t>
  </si>
  <si>
    <t>Majidae spp</t>
  </si>
  <si>
    <t>Capelin</t>
  </si>
  <si>
    <t>Mallotus villosus</t>
  </si>
  <si>
    <t>Whiting</t>
  </si>
  <si>
    <t>Merlangius merlangus</t>
  </si>
  <si>
    <t>Whiting (juvenile)</t>
  </si>
  <si>
    <t>European hake</t>
  </si>
  <si>
    <t>Merluccius merluccius</t>
  </si>
  <si>
    <t>Blue whiting</t>
  </si>
  <si>
    <t>Micromesistius poutassou</t>
  </si>
  <si>
    <t>Harp seal</t>
  </si>
  <si>
    <t>Pagophilus groenlandicus</t>
  </si>
  <si>
    <t>Peruvian pelican</t>
  </si>
  <si>
    <t>Guanay cormorant</t>
  </si>
  <si>
    <t>Saithe</t>
  </si>
  <si>
    <t>Pollachius virens</t>
  </si>
  <si>
    <t>Black-legged kittiwake</t>
  </si>
  <si>
    <t>Eastern Pacific bonito</t>
  </si>
  <si>
    <t>Chub mackerel</t>
  </si>
  <si>
    <t>Mackerel</t>
  </si>
  <si>
    <t>Scomber scombrus</t>
  </si>
  <si>
    <t>European sprat</t>
  </si>
  <si>
    <t>Arctic skua</t>
  </si>
  <si>
    <t>Arctic tern</t>
  </si>
  <si>
    <t>Booby</t>
  </si>
  <si>
    <t>Sula spp.</t>
  </si>
  <si>
    <t>Peruvian booby</t>
  </si>
  <si>
    <t>Chilean jack mackerel</t>
  </si>
  <si>
    <t>Horse mackerel</t>
  </si>
  <si>
    <t>Trachurus trachurus</t>
  </si>
  <si>
    <t>Norway pout</t>
  </si>
  <si>
    <t>Common guillemot</t>
  </si>
  <si>
    <t>Zeus faber</t>
  </si>
  <si>
    <t>Breeding</t>
  </si>
  <si>
    <t>Jan-Feb</t>
  </si>
  <si>
    <t>Jul</t>
  </si>
  <si>
    <t>Jul-Nov</t>
  </si>
  <si>
    <t>Jul-Sep</t>
  </si>
  <si>
    <t>sort_cmf</t>
  </si>
  <si>
    <t>year_orig</t>
  </si>
  <si>
    <t>stocklong</t>
  </si>
  <si>
    <t>ecoregion</t>
  </si>
  <si>
    <t>island group</t>
  </si>
  <si>
    <t xml:space="preserve">Du Buit </t>
  </si>
  <si>
    <t>diet of hake in the celtic sea</t>
  </si>
  <si>
    <t>fisheries research</t>
  </si>
  <si>
    <t>Standord and Pitcher</t>
  </si>
  <si>
    <t>ecosystem simulations of the english channel: climate and trade-offs</t>
  </si>
  <si>
    <t>fisheries centre research reports</t>
  </si>
  <si>
    <t>Notes</t>
  </si>
  <si>
    <t>size data is not presented at the area level</t>
  </si>
  <si>
    <t>diet matrix from an ecopath model (used to get original sources)</t>
  </si>
  <si>
    <t>predator</t>
  </si>
  <si>
    <t>prey</t>
  </si>
  <si>
    <t>hake</t>
  </si>
  <si>
    <t>sprat</t>
  </si>
  <si>
    <t>bass</t>
  </si>
  <si>
    <t>sandeel</t>
  </si>
  <si>
    <t xml:space="preserve">Kelley </t>
  </si>
  <si>
    <t>english channel</t>
  </si>
  <si>
    <t>food of bass in UK waters</t>
  </si>
  <si>
    <t>journal of marine bio assoc of the UK</t>
  </si>
  <si>
    <t>requested from UW; will have detailed info; better than kelly 1953 which was used in the ecopath model</t>
  </si>
  <si>
    <t>red means requested from the library and not entered into database yet</t>
  </si>
  <si>
    <t>Daan</t>
  </si>
  <si>
    <t>database report of the stomach sampling project 1981</t>
  </si>
  <si>
    <t>cooperative research report</t>
  </si>
  <si>
    <t>north sea</t>
  </si>
  <si>
    <t>whiting</t>
  </si>
  <si>
    <t>norway pout</t>
  </si>
  <si>
    <t>Ammodytidae</t>
  </si>
  <si>
    <t>Trisopterus esmarki</t>
  </si>
  <si>
    <t>percents are averaged across age classes of the predator</t>
  </si>
  <si>
    <t>Daan 1989 Table 8C1</t>
  </si>
  <si>
    <t>Daan 1989 Table 8C2</t>
  </si>
  <si>
    <t>Daan 1989 Table 8C3</t>
  </si>
  <si>
    <t>mackerel</t>
  </si>
  <si>
    <t>Daan 1989 Table 8D1</t>
  </si>
  <si>
    <t>Daan 1989 Table 8D2</t>
  </si>
  <si>
    <t>Daan 1989 Table 8D3</t>
  </si>
  <si>
    <t>Daan 1989 Table 8D4</t>
  </si>
  <si>
    <t>saithe</t>
  </si>
  <si>
    <t>Oct-Mar</t>
  </si>
  <si>
    <t>Apr-Sep</t>
  </si>
  <si>
    <t>average stomach content weight (g) per 1000 predator individuals</t>
  </si>
  <si>
    <t>Predator</t>
  </si>
  <si>
    <t>Prey</t>
  </si>
  <si>
    <t>Quarter</t>
  </si>
  <si>
    <t>Area</t>
  </si>
  <si>
    <t>Prey Size (mm)</t>
  </si>
  <si>
    <t>grams prey/1000 predator ind</t>
  </si>
  <si>
    <t>10-15</t>
  </si>
  <si>
    <t>50-70</t>
  </si>
  <si>
    <t>70-100</t>
  </si>
  <si>
    <t>100-150</t>
  </si>
  <si>
    <t>150-200</t>
  </si>
  <si>
    <t>200-250</t>
  </si>
  <si>
    <t>40-50</t>
  </si>
  <si>
    <t>percent composition by size</t>
  </si>
  <si>
    <t>percent composition by spp (% in diet)</t>
  </si>
  <si>
    <t>weight is summed over all predator size classes</t>
  </si>
  <si>
    <t>30-40</t>
  </si>
  <si>
    <t>from Daan 1989 Table 10C (pdf page 98)</t>
  </si>
  <si>
    <t>weight is summed over all predator size classes; were some unk sizes</t>
  </si>
  <si>
    <t>region=all, so cant go into more detail with % than ecoregion</t>
  </si>
  <si>
    <t>1980-1983</t>
  </si>
  <si>
    <t>1980-1982</t>
  </si>
  <si>
    <t>has size data I can enter after chris confirms</t>
  </si>
  <si>
    <t>pout</t>
  </si>
  <si>
    <t>England</t>
  </si>
  <si>
    <t>North Shields and Marsden</t>
  </si>
  <si>
    <t>black legged kittiwake</t>
  </si>
  <si>
    <t>Coulston and Thomas 1985 Table 4</t>
  </si>
  <si>
    <t>Pearson 1968 in Coulston and Thomas 1985</t>
  </si>
  <si>
    <t>Galbraith 1983 in Coulston and Thomas 1985</t>
  </si>
  <si>
    <t>1968-1973</t>
  </si>
  <si>
    <t>converted to weight using Peason 1968 data</t>
  </si>
  <si>
    <t>1961-1963</t>
  </si>
  <si>
    <t>guillemot</t>
  </si>
  <si>
    <t>May-Aug</t>
  </si>
  <si>
    <t>Furness (1983, 1989) in Furness 1990</t>
  </si>
  <si>
    <t>Mar-Aug</t>
  </si>
  <si>
    <t>Blake et al 1985 in Furness 1990</t>
  </si>
  <si>
    <t>Tasker et al 1987 in Furness 1990</t>
  </si>
  <si>
    <t>fulmar</t>
  </si>
  <si>
    <t>Jun-Aug</t>
  </si>
  <si>
    <t>Furness and Todd 1984 in Furness 1990</t>
  </si>
  <si>
    <t>Jun</t>
  </si>
  <si>
    <t>Fowler and Dye 1987 in Furness 1990</t>
  </si>
  <si>
    <t>puffin</t>
  </si>
  <si>
    <t>Martin 1989 in Furness 1990</t>
  </si>
  <si>
    <t>gannet</t>
  </si>
  <si>
    <t>shag</t>
  </si>
  <si>
    <t>Apr-Aug</t>
  </si>
  <si>
    <t>kittiwake</t>
  </si>
  <si>
    <t>May-Jul</t>
  </si>
  <si>
    <t>razorbill</t>
  </si>
  <si>
    <t>great black back gull</t>
  </si>
  <si>
    <t>Jul-Aug</t>
  </si>
  <si>
    <t>Furness 1990</t>
  </si>
  <si>
    <t>Beaman 1978 in Furness 1990</t>
  </si>
  <si>
    <t>great skua</t>
  </si>
  <si>
    <t>May-Jun</t>
  </si>
  <si>
    <t>Furness (1983, 1989) in Furness 1990; Furness and Hislop 1981</t>
  </si>
  <si>
    <t>black guillemot</t>
  </si>
  <si>
    <t>arctic tern</t>
  </si>
  <si>
    <t>Furness (1983, 1989) in Furness 1990; Ewins 1985a in Furness 1990</t>
  </si>
  <si>
    <t>herring gull</t>
  </si>
  <si>
    <t>Hudson 1986 in Furness 1990</t>
  </si>
  <si>
    <t>1975-1983</t>
  </si>
  <si>
    <t>Fulmarus glaciulis</t>
  </si>
  <si>
    <t>Sula bassana</t>
  </si>
  <si>
    <t>Aka torda</t>
  </si>
  <si>
    <t>Catharacta skua</t>
  </si>
  <si>
    <t>Cepphus grylle</t>
  </si>
  <si>
    <t>Larus marinus</t>
  </si>
  <si>
    <t>140-170</t>
  </si>
  <si>
    <t>60-120</t>
  </si>
  <si>
    <t>80-120</t>
  </si>
  <si>
    <t>80-100</t>
  </si>
  <si>
    <t>60-80</t>
  </si>
  <si>
    <t>80-140</t>
  </si>
  <si>
    <t>100-140</t>
  </si>
  <si>
    <t>100-180</t>
  </si>
  <si>
    <t>60-140</t>
  </si>
  <si>
    <t>size=modal length in Jun-Jul</t>
  </si>
  <si>
    <t>Hermaness</t>
  </si>
  <si>
    <t>Heubeck ed 1989 pdf page 34</t>
  </si>
  <si>
    <t>size=average size</t>
  </si>
  <si>
    <t>Heubeck</t>
  </si>
  <si>
    <t>seabirds and sandeels</t>
  </si>
  <si>
    <t>also have % by number available</t>
  </si>
  <si>
    <t>Rindorf et al 2000 Figure 6</t>
  </si>
  <si>
    <t>message sent to Anna re: units of percentages in diet</t>
  </si>
  <si>
    <t>Rindorf et al</t>
  </si>
  <si>
    <t xml:space="preserve">changes in sandeel availability~reproductive output </t>
  </si>
  <si>
    <t>MEPS</t>
  </si>
  <si>
    <t>"In only 1 year (1996) did any of the samples taken contain 0 group sandeels": AKA fishery rarely catches age 0</t>
  </si>
  <si>
    <t>Year</t>
  </si>
  <si>
    <t>Percent</t>
  </si>
  <si>
    <t>Resulting "yr"</t>
  </si>
  <si>
    <t>% age 1+ sandeels in the diet, used to determine age=1 or 0 in column ff_eaten_yr</t>
  </si>
  <si>
    <t>Wanless et al</t>
  </si>
  <si>
    <t>low energy values of fish = breeding failure in N Sea</t>
  </si>
  <si>
    <t>Wanless et al 2005 Table 1</t>
  </si>
  <si>
    <t>mean percent</t>
  </si>
  <si>
    <t>95% CI=40-65</t>
  </si>
  <si>
    <t>95% CI=28-51</t>
  </si>
  <si>
    <t>37-98</t>
  </si>
  <si>
    <t>Wanless et al 2005 Table 1; Table 2</t>
  </si>
  <si>
    <t>1993b</t>
  </si>
  <si>
    <t>factors including food load size of shags</t>
  </si>
  <si>
    <t>Ibis</t>
  </si>
  <si>
    <t>Wanless et al 1993b Figure 1</t>
  </si>
  <si>
    <t>July</t>
  </si>
  <si>
    <t>Mackinson and Saskalov</t>
  </si>
  <si>
    <t>ecosystem model of N Sea</t>
  </si>
  <si>
    <t>science series tech report</t>
  </si>
  <si>
    <r>
      <t xml:space="preserve">requested </t>
    </r>
    <r>
      <rPr>
        <sz val="11"/>
        <color rgb="FFFF0000"/>
        <rFont val="Calibri"/>
        <family val="2"/>
        <scheme val="minor"/>
      </rPr>
      <t>Harris and Wanless 1985</t>
    </r>
    <r>
      <rPr>
        <sz val="11"/>
        <color theme="1"/>
        <rFont val="Calibri"/>
        <family val="2"/>
        <scheme val="minor"/>
      </rPr>
      <t xml:space="preserve"> to get season of sampling, assume Jun</t>
    </r>
  </si>
  <si>
    <t>by biomass</t>
  </si>
  <si>
    <t>ff_eaten_yr = % sandeels age 1+.  If &gt;50%, age=1</t>
  </si>
  <si>
    <r>
      <t>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-10° S</t>
    </r>
  </si>
  <si>
    <t>Vildoso 1955 in Pauly and Tsukayama 1987 pdf p 270</t>
  </si>
  <si>
    <t>Canal 1974 in Pauly and Tsukayama 1987 pdf p270</t>
  </si>
  <si>
    <t>1967-1972</t>
  </si>
  <si>
    <t>120-140</t>
  </si>
  <si>
    <t>sent email to IMARPE biblioteca for ref</t>
  </si>
  <si>
    <t>Jordan 1959 in Muck and Pauly in Pauly and Tsukayama 1987 pdf p230 Figure 1</t>
  </si>
  <si>
    <r>
      <rPr>
        <sz val="11"/>
        <color theme="1"/>
        <rFont val="Calibri"/>
        <family val="2"/>
      </rPr>
      <t>6°</t>
    </r>
    <r>
      <rPr>
        <sz val="11"/>
        <color theme="1"/>
        <rFont val="Calibri"/>
        <family val="2"/>
        <scheme val="minor"/>
      </rPr>
      <t>-14° S</t>
    </r>
  </si>
  <si>
    <t>1954-1958</t>
  </si>
  <si>
    <t>Jordan 1967 and Avila 1954 in Muck and Pauly in Pauly and Tsukayama 1987 pdf p232 Table 1</t>
  </si>
  <si>
    <t>1965-1978</t>
  </si>
  <si>
    <t>Muck and Pauly in Pauly and Tsukayama 1987 pdf p230 Figure 2</t>
  </si>
  <si>
    <t>Jordan 1967 in Muck and Pauly in Pauly and Tsukayama 1987 pdf p232 Table 1</t>
  </si>
  <si>
    <t>Mar-Oct</t>
  </si>
  <si>
    <t>Muck and Sanchez in Pauly and Tsukayama 1987 pdf p290 Table 3</t>
  </si>
  <si>
    <t>Paita</t>
  </si>
  <si>
    <t>Callao</t>
  </si>
  <si>
    <t>Pisco</t>
  </si>
  <si>
    <t>Ilo</t>
  </si>
  <si>
    <t>horse mackerel</t>
  </si>
  <si>
    <t>of stomach weight</t>
  </si>
  <si>
    <t>Humboldt</t>
  </si>
  <si>
    <t>Muck and Sanchez in Pauly and Tsukayama 1987 pdf p288 Figure 1</t>
  </si>
  <si>
    <t>Muck and Sanchez in Pauly and Tsukayama 1987 pdf p 287 (Table 1) and pdf p 288 (Figure 2)</t>
  </si>
  <si>
    <t>Boyd 2012 pdf p 188 Table A.5.1</t>
  </si>
  <si>
    <t>Muck and Sanchez in Pauly and Tsukayama 1987 pdf p287 Table 1</t>
  </si>
  <si>
    <t>Pauly et al in Pauly and Tsukayama 1987 pdf p268 Figure 7</t>
  </si>
  <si>
    <t xml:space="preserve">Muck and Sanchez in Pauly and Tsukayama 1987 pdf p290 Table 3 </t>
  </si>
  <si>
    <t>Pauly et al 1989 pg 394 Figure 5</t>
  </si>
  <si>
    <t>have diet data for other spp for these years</t>
  </si>
  <si>
    <t>Zavalaga and Paredes 1999 Table 1</t>
  </si>
  <si>
    <r>
      <t>12.6</t>
    </r>
    <r>
      <rPr>
        <sz val="11"/>
        <color theme="1"/>
        <rFont val="Calibri"/>
        <family val="2"/>
      </rPr>
      <t>±0.3</t>
    </r>
  </si>
  <si>
    <t>Hake</t>
  </si>
  <si>
    <t>90-160</t>
  </si>
  <si>
    <t>age</t>
  </si>
  <si>
    <t>3-7</t>
  </si>
  <si>
    <t>adults</t>
  </si>
  <si>
    <t>chicks</t>
  </si>
  <si>
    <t>age class</t>
  </si>
  <si>
    <t>max size of anchoveta</t>
  </si>
  <si>
    <t>&lt;30</t>
  </si>
  <si>
    <t>size is weighted mean by %</t>
  </si>
  <si>
    <t>28-64</t>
  </si>
  <si>
    <t xml:space="preserve">&gt;30 </t>
  </si>
  <si>
    <t>&gt;30</t>
  </si>
  <si>
    <t>juvenile</t>
  </si>
  <si>
    <t>NE</t>
  </si>
  <si>
    <t>S and SE</t>
  </si>
  <si>
    <t>year of high capelin abundance</t>
  </si>
  <si>
    <t>year of low capelin abundance</t>
  </si>
  <si>
    <t>Anker-Nilssen and Aarvak 2006 Tabell 3.2 (%) and Tabell 3.4 (size)</t>
  </si>
  <si>
    <t>mean size, not specificed adult or chicks</t>
  </si>
  <si>
    <t>frequency of occurrence</t>
  </si>
  <si>
    <t>Wanless et al 1993 pdf p 10</t>
  </si>
  <si>
    <t>SD=5.7</t>
  </si>
  <si>
    <t>SD=5.6</t>
  </si>
  <si>
    <t>SD=8.3</t>
  </si>
  <si>
    <t>0+</t>
  </si>
  <si>
    <t>1+</t>
  </si>
  <si>
    <t>weighted mean; no other prey items</t>
  </si>
  <si>
    <t>no other prey items</t>
  </si>
  <si>
    <t>Jahncke and Goya 1997 in Goya 2000 Tabla 2</t>
  </si>
  <si>
    <t>Jahncke and Goya 1997 in Goya 2000 Tabla 1</t>
  </si>
  <si>
    <t>length; mm</t>
  </si>
  <si>
    <t>length; cm</t>
  </si>
  <si>
    <t>predator stage</t>
  </si>
  <si>
    <t>stage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</si>
</sst>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2" fontId="0" fillId="0" borderId="0" xfId="0" applyNumberFormat="1"/>
    <xf numFmtId="0" fontId="6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2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8.85546875" defaultRowHeight="15" x14ac:dyDescent="0.25"/>
  <cols>
    <col min="1" max="1" width="8.85546875" style="10"/>
    <col min="2" max="2" width="10.7109375" style="10" bestFit="1" customWidth="1"/>
    <col min="3" max="4" width="15.140625" style="10" bestFit="1" customWidth="1"/>
    <col min="5" max="5" width="26.85546875" style="10" bestFit="1" customWidth="1"/>
    <col min="6" max="6" width="27.85546875" style="10" bestFit="1" customWidth="1"/>
    <col min="7" max="7" width="22.42578125" style="10" bestFit="1" customWidth="1"/>
    <col min="8" max="8" width="39.5703125" style="10" customWidth="1"/>
    <col min="9" max="10" width="26.28515625" style="10" customWidth="1"/>
    <col min="11" max="11" width="35.5703125" style="10" customWidth="1"/>
    <col min="12" max="12" width="9.42578125" style="10" bestFit="1" customWidth="1"/>
    <col min="13" max="13" width="87.85546875" style="10" bestFit="1" customWidth="1"/>
    <col min="14" max="14" width="11" style="10" bestFit="1" customWidth="1"/>
    <col min="15" max="15" width="7.140625" style="10" bestFit="1" customWidth="1"/>
    <col min="16" max="16" width="12.140625" style="10" bestFit="1" customWidth="1"/>
    <col min="17" max="17" width="22.85546875" style="10" customWidth="1"/>
    <col min="18" max="18" width="26.140625" style="10" bestFit="1" customWidth="1"/>
    <col min="19" max="19" width="20.42578125" style="10" bestFit="1" customWidth="1"/>
    <col min="20" max="20" width="19.85546875" style="10" bestFit="1" customWidth="1"/>
    <col min="21" max="21" width="18.140625" style="10" bestFit="1" customWidth="1"/>
    <col min="22" max="22" width="13" style="10" bestFit="1" customWidth="1"/>
    <col min="23" max="23" width="31.7109375" style="10" customWidth="1"/>
    <col min="24" max="24" width="54.7109375" style="10" customWidth="1"/>
    <col min="25" max="16384" width="8.85546875" style="10"/>
  </cols>
  <sheetData>
    <row r="1" spans="1:24" s="12" customFormat="1" x14ac:dyDescent="0.25">
      <c r="A1" s="12" t="s">
        <v>157</v>
      </c>
      <c r="B1" s="12" t="s">
        <v>81</v>
      </c>
      <c r="C1" s="12" t="s">
        <v>160</v>
      </c>
      <c r="D1" s="12" t="s">
        <v>91</v>
      </c>
      <c r="E1" s="12" t="s">
        <v>161</v>
      </c>
      <c r="F1" s="12" t="s">
        <v>90</v>
      </c>
      <c r="G1" s="12" t="s">
        <v>84</v>
      </c>
      <c r="H1" s="12" t="s">
        <v>85</v>
      </c>
      <c r="I1" s="12" t="s">
        <v>385</v>
      </c>
      <c r="J1" s="12" t="s">
        <v>386</v>
      </c>
      <c r="K1" s="12" t="s">
        <v>159</v>
      </c>
      <c r="L1" s="12" t="s">
        <v>86</v>
      </c>
      <c r="M1" s="12" t="s">
        <v>89</v>
      </c>
      <c r="N1" s="12" t="s">
        <v>158</v>
      </c>
      <c r="O1" s="12" t="s">
        <v>21</v>
      </c>
      <c r="P1" s="12" t="s">
        <v>87</v>
      </c>
      <c r="Q1" s="12" t="s">
        <v>88</v>
      </c>
      <c r="R1" s="12" t="s">
        <v>82</v>
      </c>
      <c r="S1" s="12" t="s">
        <v>83</v>
      </c>
      <c r="T1" s="12" t="s">
        <v>92</v>
      </c>
      <c r="U1" s="12" t="s">
        <v>93</v>
      </c>
      <c r="V1" s="12" t="s">
        <v>94</v>
      </c>
      <c r="W1" s="12" t="s">
        <v>95</v>
      </c>
      <c r="X1" s="12" t="s">
        <v>96</v>
      </c>
    </row>
    <row r="2" spans="1:24" x14ac:dyDescent="0.25">
      <c r="C2" s="10" t="s">
        <v>72</v>
      </c>
      <c r="G2" s="10" t="s">
        <v>125</v>
      </c>
      <c r="H2" s="10" t="s">
        <v>126</v>
      </c>
      <c r="M2" s="10" t="s">
        <v>71</v>
      </c>
      <c r="N2" s="10" t="s">
        <v>70</v>
      </c>
      <c r="O2" s="10">
        <v>1984</v>
      </c>
      <c r="R2" s="10" t="s">
        <v>140</v>
      </c>
      <c r="S2" s="10" t="s">
        <v>69</v>
      </c>
      <c r="T2" s="10" t="s">
        <v>353</v>
      </c>
    </row>
    <row r="3" spans="1:24" x14ac:dyDescent="0.25">
      <c r="C3" s="10" t="s">
        <v>2</v>
      </c>
      <c r="G3" s="10" t="s">
        <v>187</v>
      </c>
      <c r="H3" s="10" t="s">
        <v>126</v>
      </c>
      <c r="L3" s="10" t="s">
        <v>63</v>
      </c>
      <c r="M3" s="10" t="s">
        <v>192</v>
      </c>
      <c r="N3" s="10">
        <v>1981</v>
      </c>
      <c r="R3" s="10" t="s">
        <v>176</v>
      </c>
      <c r="S3" s="10" t="s">
        <v>189</v>
      </c>
      <c r="V3" s="13">
        <f>(20.23+6.27+4.77+3.64+3.96+4.13)/6</f>
        <v>7.166666666666667</v>
      </c>
      <c r="W3" s="10" t="s">
        <v>26</v>
      </c>
      <c r="X3" s="10" t="s">
        <v>191</v>
      </c>
    </row>
    <row r="4" spans="1:24" x14ac:dyDescent="0.25">
      <c r="C4" s="10" t="s">
        <v>2</v>
      </c>
      <c r="G4" s="10" t="s">
        <v>187</v>
      </c>
      <c r="H4" s="10" t="s">
        <v>126</v>
      </c>
      <c r="L4" s="10" t="s">
        <v>63</v>
      </c>
      <c r="M4" s="10" t="s">
        <v>192</v>
      </c>
      <c r="N4" s="10">
        <v>1981</v>
      </c>
      <c r="R4" s="10" t="s">
        <v>174</v>
      </c>
      <c r="S4" s="10" t="s">
        <v>69</v>
      </c>
      <c r="V4" s="13">
        <f>(15.91+28.6+21.28+14.26+11.78+7.38)/6</f>
        <v>16.535</v>
      </c>
      <c r="W4" s="10" t="s">
        <v>26</v>
      </c>
      <c r="X4" s="10" t="s">
        <v>191</v>
      </c>
    </row>
    <row r="5" spans="1:24" x14ac:dyDescent="0.25">
      <c r="C5" s="10" t="s">
        <v>2</v>
      </c>
      <c r="G5" s="10" t="s">
        <v>187</v>
      </c>
      <c r="H5" s="10" t="s">
        <v>126</v>
      </c>
      <c r="L5" s="10" t="s">
        <v>63</v>
      </c>
      <c r="M5" s="10" t="s">
        <v>192</v>
      </c>
      <c r="N5" s="10">
        <v>1981</v>
      </c>
      <c r="R5" s="10" t="s">
        <v>188</v>
      </c>
      <c r="S5" s="10" t="s">
        <v>190</v>
      </c>
      <c r="V5" s="13">
        <f>(3.18+5.5+21.01+30.58+29.4+36.56)/6</f>
        <v>21.03833333333333</v>
      </c>
      <c r="W5" s="10" t="s">
        <v>26</v>
      </c>
      <c r="X5" s="10" t="s">
        <v>191</v>
      </c>
    </row>
    <row r="6" spans="1:24" x14ac:dyDescent="0.25">
      <c r="C6" s="10" t="s">
        <v>2</v>
      </c>
      <c r="G6" s="10" t="s">
        <v>187</v>
      </c>
      <c r="H6" s="10" t="s">
        <v>126</v>
      </c>
      <c r="L6" s="10" t="s">
        <v>64</v>
      </c>
      <c r="M6" s="10" t="s">
        <v>193</v>
      </c>
      <c r="N6" s="10">
        <v>1981</v>
      </c>
      <c r="R6" s="10" t="s">
        <v>176</v>
      </c>
      <c r="S6" s="10" t="s">
        <v>189</v>
      </c>
      <c r="V6" s="13">
        <f>(48.1+61.97+54.4+38.27+32.25+45.55)/6</f>
        <v>46.756666666666668</v>
      </c>
      <c r="W6" s="10" t="s">
        <v>26</v>
      </c>
      <c r="X6" s="10" t="s">
        <v>191</v>
      </c>
    </row>
    <row r="7" spans="1:24" x14ac:dyDescent="0.25">
      <c r="C7" s="10" t="s">
        <v>2</v>
      </c>
      <c r="G7" s="10" t="s">
        <v>187</v>
      </c>
      <c r="H7" s="10" t="s">
        <v>126</v>
      </c>
      <c r="L7" s="10" t="s">
        <v>64</v>
      </c>
      <c r="M7" s="10" t="s">
        <v>193</v>
      </c>
      <c r="N7" s="10">
        <v>1981</v>
      </c>
      <c r="R7" s="10" t="s">
        <v>174</v>
      </c>
      <c r="S7" s="10" t="s">
        <v>69</v>
      </c>
      <c r="V7" s="13">
        <f>(2.25+2.27+1.31+6.24+4.67+2.2)/6</f>
        <v>3.1566666666666667</v>
      </c>
      <c r="W7" s="10" t="s">
        <v>26</v>
      </c>
      <c r="X7" s="10" t="s">
        <v>191</v>
      </c>
    </row>
    <row r="8" spans="1:24" x14ac:dyDescent="0.25">
      <c r="C8" s="10" t="s">
        <v>2</v>
      </c>
      <c r="G8" s="10" t="s">
        <v>187</v>
      </c>
      <c r="H8" s="10" t="s">
        <v>126</v>
      </c>
      <c r="L8" s="10" t="s">
        <v>64</v>
      </c>
      <c r="M8" s="10" t="s">
        <v>193</v>
      </c>
      <c r="N8" s="10">
        <v>1981</v>
      </c>
      <c r="R8" s="10" t="s">
        <v>188</v>
      </c>
      <c r="S8" s="10" t="s">
        <v>190</v>
      </c>
      <c r="V8" s="13">
        <f>(0.42+7.4+17.69+20.37+31.88+16.79)/6</f>
        <v>15.758333333333335</v>
      </c>
      <c r="W8" s="10" t="s">
        <v>26</v>
      </c>
      <c r="X8" s="10" t="s">
        <v>191</v>
      </c>
    </row>
    <row r="9" spans="1:24" x14ac:dyDescent="0.25">
      <c r="C9" s="10" t="s">
        <v>2</v>
      </c>
      <c r="G9" s="10" t="s">
        <v>187</v>
      </c>
      <c r="H9" s="10" t="s">
        <v>126</v>
      </c>
      <c r="L9" s="10" t="s">
        <v>156</v>
      </c>
      <c r="M9" s="10" t="s">
        <v>194</v>
      </c>
      <c r="N9" s="10">
        <v>1981</v>
      </c>
      <c r="R9" s="10" t="s">
        <v>176</v>
      </c>
      <c r="S9" s="10" t="s">
        <v>189</v>
      </c>
      <c r="V9" s="13">
        <f>(39.61+16.14+12.09+7.83+3.32+9.02)/6</f>
        <v>14.668333333333331</v>
      </c>
      <c r="W9" s="10" t="s">
        <v>26</v>
      </c>
      <c r="X9" s="10" t="s">
        <v>191</v>
      </c>
    </row>
    <row r="10" spans="1:24" x14ac:dyDescent="0.25">
      <c r="C10" s="10" t="s">
        <v>2</v>
      </c>
      <c r="G10" s="10" t="s">
        <v>187</v>
      </c>
      <c r="H10" s="10" t="s">
        <v>126</v>
      </c>
      <c r="L10" s="10" t="s">
        <v>156</v>
      </c>
      <c r="M10" s="10" t="s">
        <v>194</v>
      </c>
      <c r="N10" s="10">
        <v>1981</v>
      </c>
      <c r="R10" s="10" t="s">
        <v>174</v>
      </c>
      <c r="S10" s="10" t="s">
        <v>69</v>
      </c>
      <c r="V10" s="13">
        <f>(3.05+7.74+9.72+30.37+44.66+31.19)/6</f>
        <v>21.121666666666666</v>
      </c>
      <c r="W10" s="10" t="s">
        <v>26</v>
      </c>
      <c r="X10" s="10" t="s">
        <v>191</v>
      </c>
    </row>
    <row r="11" spans="1:24" x14ac:dyDescent="0.25">
      <c r="C11" s="10" t="s">
        <v>2</v>
      </c>
      <c r="G11" s="10" t="s">
        <v>187</v>
      </c>
      <c r="H11" s="10" t="s">
        <v>126</v>
      </c>
      <c r="L11" s="10" t="s">
        <v>156</v>
      </c>
      <c r="M11" s="10" t="s">
        <v>194</v>
      </c>
      <c r="N11" s="10">
        <v>1981</v>
      </c>
      <c r="R11" s="10" t="s">
        <v>188</v>
      </c>
      <c r="S11" s="10" t="s">
        <v>190</v>
      </c>
      <c r="V11" s="13">
        <f>(5.02+8.35+13.2+8.38+5.62+5.47)/6</f>
        <v>7.6733333333333329</v>
      </c>
      <c r="W11" s="10" t="s">
        <v>26</v>
      </c>
      <c r="X11" s="10" t="s">
        <v>191</v>
      </c>
    </row>
    <row r="12" spans="1:24" x14ac:dyDescent="0.25">
      <c r="C12" s="10" t="s">
        <v>2</v>
      </c>
      <c r="G12" s="10" t="s">
        <v>187</v>
      </c>
      <c r="H12" s="10" t="s">
        <v>126</v>
      </c>
      <c r="L12" s="10" t="s">
        <v>65</v>
      </c>
      <c r="M12" s="10" t="s">
        <v>66</v>
      </c>
      <c r="N12" s="10">
        <v>1981</v>
      </c>
      <c r="R12" s="10" t="s">
        <v>176</v>
      </c>
      <c r="S12" s="10" t="s">
        <v>189</v>
      </c>
      <c r="V12" s="13">
        <f>(24.99+22.48+15.02+9.04+8.24+5.51)/6</f>
        <v>14.213333333333333</v>
      </c>
      <c r="W12" s="10" t="s">
        <v>26</v>
      </c>
      <c r="X12" s="10" t="s">
        <v>191</v>
      </c>
    </row>
    <row r="13" spans="1:24" x14ac:dyDescent="0.25">
      <c r="C13" s="10" t="s">
        <v>2</v>
      </c>
      <c r="G13" s="10" t="s">
        <v>187</v>
      </c>
      <c r="H13" s="10" t="s">
        <v>126</v>
      </c>
      <c r="L13" s="10" t="s">
        <v>65</v>
      </c>
      <c r="M13" s="10" t="s">
        <v>66</v>
      </c>
      <c r="N13" s="10">
        <v>1981</v>
      </c>
      <c r="R13" s="10" t="s">
        <v>174</v>
      </c>
      <c r="S13" s="10" t="s">
        <v>69</v>
      </c>
      <c r="V13" s="13">
        <f>(21.03+15.79+6.79+7.18+5.36+1.05)/6</f>
        <v>9.5333333333333332</v>
      </c>
      <c r="W13" s="10" t="s">
        <v>26</v>
      </c>
      <c r="X13" s="10" t="s">
        <v>191</v>
      </c>
    </row>
    <row r="14" spans="1:24" x14ac:dyDescent="0.25">
      <c r="C14" s="10" t="s">
        <v>2</v>
      </c>
      <c r="G14" s="10" t="s">
        <v>187</v>
      </c>
      <c r="H14" s="10" t="s">
        <v>126</v>
      </c>
      <c r="L14" s="10" t="s">
        <v>65</v>
      </c>
      <c r="M14" s="10" t="s">
        <v>66</v>
      </c>
      <c r="N14" s="10">
        <v>1981</v>
      </c>
      <c r="R14" s="10" t="s">
        <v>188</v>
      </c>
      <c r="S14" s="10" t="s">
        <v>190</v>
      </c>
      <c r="V14" s="13">
        <f>(9.52+21.99+41.22+37.18+20.86+21.8)/6</f>
        <v>25.428333333333331</v>
      </c>
      <c r="W14" s="10" t="s">
        <v>26</v>
      </c>
      <c r="X14" s="10" t="s">
        <v>191</v>
      </c>
    </row>
    <row r="15" spans="1:24" x14ac:dyDescent="0.25">
      <c r="C15" s="10" t="s">
        <v>2</v>
      </c>
      <c r="G15" s="10" t="s">
        <v>195</v>
      </c>
      <c r="H15" s="10" t="s">
        <v>139</v>
      </c>
      <c r="I15" s="14" t="s">
        <v>355</v>
      </c>
      <c r="J15" s="10" t="s">
        <v>354</v>
      </c>
      <c r="L15" s="10" t="s">
        <v>63</v>
      </c>
      <c r="M15" s="10" t="s">
        <v>196</v>
      </c>
      <c r="N15" s="10" t="s">
        <v>224</v>
      </c>
      <c r="R15" s="10" t="s">
        <v>176</v>
      </c>
      <c r="S15" s="10" t="s">
        <v>189</v>
      </c>
      <c r="V15" s="13">
        <v>12.2</v>
      </c>
      <c r="W15" s="10" t="s">
        <v>26</v>
      </c>
    </row>
    <row r="16" spans="1:24" x14ac:dyDescent="0.25">
      <c r="C16" s="10" t="s">
        <v>2</v>
      </c>
      <c r="G16" s="10" t="s">
        <v>195</v>
      </c>
      <c r="H16" s="10" t="s">
        <v>139</v>
      </c>
      <c r="L16" s="10" t="s">
        <v>64</v>
      </c>
      <c r="M16" s="10" t="s">
        <v>197</v>
      </c>
      <c r="N16" s="10" t="s">
        <v>224</v>
      </c>
      <c r="R16" s="10" t="s">
        <v>176</v>
      </c>
      <c r="S16" s="10" t="s">
        <v>189</v>
      </c>
      <c r="V16" s="13">
        <f>(79.3+45.5+21.1)/3</f>
        <v>48.633333333333333</v>
      </c>
      <c r="W16" s="10" t="s">
        <v>26</v>
      </c>
      <c r="X16" s="10" t="s">
        <v>191</v>
      </c>
    </row>
    <row r="17" spans="3:24" x14ac:dyDescent="0.25">
      <c r="C17" s="10" t="s">
        <v>2</v>
      </c>
      <c r="G17" s="10" t="s">
        <v>195</v>
      </c>
      <c r="H17" s="10" t="s">
        <v>139</v>
      </c>
      <c r="L17" s="10" t="s">
        <v>64</v>
      </c>
      <c r="M17" s="10" t="s">
        <v>197</v>
      </c>
      <c r="N17" s="10" t="s">
        <v>224</v>
      </c>
      <c r="R17" s="10" t="s">
        <v>174</v>
      </c>
      <c r="S17" s="10" t="s">
        <v>69</v>
      </c>
      <c r="V17" s="13">
        <f>(2.5+1.5+1)/3</f>
        <v>1.6666666666666667</v>
      </c>
      <c r="W17" s="10" t="s">
        <v>26</v>
      </c>
      <c r="X17" s="10" t="s">
        <v>191</v>
      </c>
    </row>
    <row r="18" spans="3:24" x14ac:dyDescent="0.25">
      <c r="C18" s="10" t="s">
        <v>2</v>
      </c>
      <c r="G18" s="10" t="s">
        <v>195</v>
      </c>
      <c r="H18" s="10" t="s">
        <v>139</v>
      </c>
      <c r="L18" s="10" t="s">
        <v>64</v>
      </c>
      <c r="M18" s="10" t="s">
        <v>197</v>
      </c>
      <c r="N18" s="10" t="s">
        <v>224</v>
      </c>
      <c r="R18" s="10" t="s">
        <v>188</v>
      </c>
      <c r="S18" s="10" t="s">
        <v>190</v>
      </c>
      <c r="V18" s="13">
        <f>(0.2+0+0)/3</f>
        <v>6.6666666666666666E-2</v>
      </c>
      <c r="W18" s="10" t="s">
        <v>26</v>
      </c>
      <c r="X18" s="10" t="s">
        <v>191</v>
      </c>
    </row>
    <row r="19" spans="3:24" x14ac:dyDescent="0.25">
      <c r="C19" s="10" t="s">
        <v>2</v>
      </c>
      <c r="G19" s="10" t="s">
        <v>195</v>
      </c>
      <c r="H19" s="10" t="s">
        <v>139</v>
      </c>
      <c r="L19" s="10" t="s">
        <v>156</v>
      </c>
      <c r="M19" s="10" t="s">
        <v>198</v>
      </c>
      <c r="N19" s="10" t="s">
        <v>224</v>
      </c>
      <c r="R19" s="10" t="s">
        <v>176</v>
      </c>
      <c r="S19" s="10" t="s">
        <v>189</v>
      </c>
      <c r="V19" s="13">
        <f>(19.6+18.3+3.6)/3</f>
        <v>13.833333333333336</v>
      </c>
      <c r="W19" s="10" t="s">
        <v>26</v>
      </c>
      <c r="X19" s="10" t="s">
        <v>191</v>
      </c>
    </row>
    <row r="20" spans="3:24" x14ac:dyDescent="0.25">
      <c r="C20" s="10" t="s">
        <v>2</v>
      </c>
      <c r="G20" s="10" t="s">
        <v>195</v>
      </c>
      <c r="H20" s="10" t="s">
        <v>139</v>
      </c>
      <c r="L20" s="10" t="s">
        <v>156</v>
      </c>
      <c r="M20" s="10" t="s">
        <v>198</v>
      </c>
      <c r="N20" s="10" t="s">
        <v>224</v>
      </c>
      <c r="R20" s="10" t="s">
        <v>174</v>
      </c>
      <c r="S20" s="10" t="s">
        <v>69</v>
      </c>
      <c r="V20" s="13">
        <f>(0.4+3.1+10.2)/3</f>
        <v>4.5666666666666664</v>
      </c>
      <c r="W20" s="10" t="s">
        <v>26</v>
      </c>
      <c r="X20" s="10" t="s">
        <v>191</v>
      </c>
    </row>
    <row r="21" spans="3:24" x14ac:dyDescent="0.25">
      <c r="C21" s="10" t="s">
        <v>2</v>
      </c>
      <c r="G21" s="10" t="s">
        <v>195</v>
      </c>
      <c r="H21" s="10" t="s">
        <v>139</v>
      </c>
      <c r="L21" s="10" t="s">
        <v>156</v>
      </c>
      <c r="M21" s="10" t="s">
        <v>198</v>
      </c>
      <c r="N21" s="10" t="s">
        <v>224</v>
      </c>
      <c r="R21" s="10" t="s">
        <v>188</v>
      </c>
      <c r="S21" s="10" t="s">
        <v>190</v>
      </c>
      <c r="V21" s="13">
        <f>(3.6+5.5+7)/3</f>
        <v>5.3666666666666671</v>
      </c>
      <c r="W21" s="10" t="s">
        <v>26</v>
      </c>
      <c r="X21" s="10" t="s">
        <v>191</v>
      </c>
    </row>
    <row r="22" spans="3:24" x14ac:dyDescent="0.25">
      <c r="C22" s="10" t="s">
        <v>2</v>
      </c>
      <c r="G22" s="10" t="s">
        <v>195</v>
      </c>
      <c r="H22" s="10" t="s">
        <v>139</v>
      </c>
      <c r="L22" s="10" t="s">
        <v>65</v>
      </c>
      <c r="M22" s="10" t="s">
        <v>199</v>
      </c>
      <c r="N22" s="10" t="s">
        <v>224</v>
      </c>
      <c r="R22" s="10" t="s">
        <v>176</v>
      </c>
      <c r="S22" s="10" t="s">
        <v>189</v>
      </c>
      <c r="V22" s="13">
        <f>(2.9+1+0)/3</f>
        <v>1.3</v>
      </c>
      <c r="W22" s="10" t="s">
        <v>26</v>
      </c>
      <c r="X22" s="10" t="s">
        <v>191</v>
      </c>
    </row>
    <row r="23" spans="3:24" x14ac:dyDescent="0.25">
      <c r="C23" s="10" t="s">
        <v>2</v>
      </c>
      <c r="G23" s="10" t="s">
        <v>195</v>
      </c>
      <c r="H23" s="10" t="s">
        <v>139</v>
      </c>
      <c r="I23" s="14" t="s">
        <v>355</v>
      </c>
      <c r="J23" s="10" t="s">
        <v>354</v>
      </c>
      <c r="L23" s="10" t="s">
        <v>65</v>
      </c>
      <c r="M23" s="10" t="s">
        <v>199</v>
      </c>
      <c r="N23" s="10" t="s">
        <v>224</v>
      </c>
      <c r="R23" s="10" t="s">
        <v>174</v>
      </c>
      <c r="S23" s="10" t="s">
        <v>69</v>
      </c>
      <c r="V23" s="13">
        <v>1.7</v>
      </c>
      <c r="W23" s="10" t="s">
        <v>26</v>
      </c>
    </row>
    <row r="24" spans="3:24" x14ac:dyDescent="0.25">
      <c r="C24" s="10" t="s">
        <v>2</v>
      </c>
      <c r="G24" s="10" t="s">
        <v>195</v>
      </c>
      <c r="H24" s="10" t="s">
        <v>139</v>
      </c>
      <c r="L24" s="10" t="s">
        <v>65</v>
      </c>
      <c r="M24" s="10" t="s">
        <v>199</v>
      </c>
      <c r="N24" s="10" t="s">
        <v>224</v>
      </c>
      <c r="R24" s="10" t="s">
        <v>188</v>
      </c>
      <c r="S24" s="10" t="s">
        <v>190</v>
      </c>
      <c r="V24" s="13">
        <f>(11.7+6.5+22.2)/3</f>
        <v>13.466666666666667</v>
      </c>
      <c r="W24" s="10" t="s">
        <v>26</v>
      </c>
      <c r="X24" s="10" t="s">
        <v>191</v>
      </c>
    </row>
    <row r="25" spans="3:24" x14ac:dyDescent="0.25">
      <c r="C25" s="10" t="s">
        <v>2</v>
      </c>
      <c r="G25" s="10" t="s">
        <v>200</v>
      </c>
      <c r="H25" s="10" t="s">
        <v>134</v>
      </c>
      <c r="L25" s="10" t="s">
        <v>201</v>
      </c>
      <c r="M25" s="10" t="s">
        <v>68</v>
      </c>
      <c r="N25" s="10" t="s">
        <v>225</v>
      </c>
      <c r="R25" s="10" t="s">
        <v>176</v>
      </c>
      <c r="S25" s="10" t="s">
        <v>189</v>
      </c>
      <c r="V25" s="13">
        <f>(70.21+21.72+0.81+3.42)/4</f>
        <v>24.04</v>
      </c>
      <c r="W25" s="10" t="s">
        <v>26</v>
      </c>
      <c r="X25" s="10" t="s">
        <v>191</v>
      </c>
    </row>
    <row r="26" spans="3:24" x14ac:dyDescent="0.25">
      <c r="C26" s="10" t="s">
        <v>2</v>
      </c>
      <c r="G26" s="10" t="s">
        <v>200</v>
      </c>
      <c r="H26" s="10" t="s">
        <v>134</v>
      </c>
      <c r="L26" s="10" t="s">
        <v>201</v>
      </c>
      <c r="M26" s="10" t="s">
        <v>68</v>
      </c>
      <c r="N26" s="10" t="s">
        <v>225</v>
      </c>
      <c r="R26" s="10" t="s">
        <v>174</v>
      </c>
      <c r="S26" s="10" t="s">
        <v>69</v>
      </c>
      <c r="V26" s="13">
        <f>(7.52+0.32)/2</f>
        <v>3.92</v>
      </c>
      <c r="W26" s="10" t="s">
        <v>26</v>
      </c>
      <c r="X26" s="10" t="s">
        <v>191</v>
      </c>
    </row>
    <row r="27" spans="3:24" x14ac:dyDescent="0.25">
      <c r="C27" s="10" t="s">
        <v>2</v>
      </c>
      <c r="G27" s="10" t="s">
        <v>200</v>
      </c>
      <c r="H27" s="10" t="s">
        <v>134</v>
      </c>
      <c r="L27" s="10" t="s">
        <v>201</v>
      </c>
      <c r="M27" s="10" t="s">
        <v>68</v>
      </c>
      <c r="N27" s="10" t="s">
        <v>225</v>
      </c>
      <c r="R27" s="10" t="s">
        <v>188</v>
      </c>
      <c r="S27" s="10" t="s">
        <v>190</v>
      </c>
      <c r="V27" s="13">
        <f>(10.89+11.47+67.44+75.49+74.23)/5</f>
        <v>47.903999999999996</v>
      </c>
      <c r="W27" s="10" t="s">
        <v>26</v>
      </c>
      <c r="X27" s="10" t="s">
        <v>191</v>
      </c>
    </row>
    <row r="28" spans="3:24" x14ac:dyDescent="0.25">
      <c r="C28" s="10" t="s">
        <v>2</v>
      </c>
      <c r="G28" s="10" t="s">
        <v>200</v>
      </c>
      <c r="H28" s="10" t="s">
        <v>134</v>
      </c>
      <c r="L28" s="10" t="s">
        <v>202</v>
      </c>
      <c r="M28" s="10" t="s">
        <v>68</v>
      </c>
      <c r="N28" s="10" t="s">
        <v>225</v>
      </c>
      <c r="R28" s="10" t="s">
        <v>176</v>
      </c>
      <c r="S28" s="10" t="s">
        <v>189</v>
      </c>
      <c r="V28" s="13">
        <f>(100+31.79+1.98+0.47+1.88)/5</f>
        <v>27.223999999999997</v>
      </c>
      <c r="W28" s="10" t="s">
        <v>26</v>
      </c>
      <c r="X28" s="10" t="s">
        <v>191</v>
      </c>
    </row>
    <row r="29" spans="3:24" x14ac:dyDescent="0.25">
      <c r="C29" s="10" t="s">
        <v>2</v>
      </c>
      <c r="G29" s="10" t="s">
        <v>200</v>
      </c>
      <c r="H29" s="10" t="s">
        <v>134</v>
      </c>
      <c r="I29" s="10">
        <v>300</v>
      </c>
      <c r="J29" s="10" t="s">
        <v>383</v>
      </c>
      <c r="L29" s="10" t="s">
        <v>202</v>
      </c>
      <c r="M29" s="10" t="s">
        <v>68</v>
      </c>
      <c r="N29" s="10" t="s">
        <v>225</v>
      </c>
      <c r="R29" s="10" t="s">
        <v>174</v>
      </c>
      <c r="S29" s="10" t="s">
        <v>69</v>
      </c>
      <c r="V29" s="13">
        <v>0.3</v>
      </c>
      <c r="W29" s="10" t="s">
        <v>26</v>
      </c>
    </row>
    <row r="30" spans="3:24" x14ac:dyDescent="0.25">
      <c r="C30" s="10" t="s">
        <v>2</v>
      </c>
      <c r="G30" s="10" t="s">
        <v>200</v>
      </c>
      <c r="H30" s="10" t="s">
        <v>134</v>
      </c>
      <c r="L30" s="10" t="s">
        <v>202</v>
      </c>
      <c r="M30" s="10" t="s">
        <v>68</v>
      </c>
      <c r="N30" s="10" t="s">
        <v>225</v>
      </c>
      <c r="R30" s="10" t="s">
        <v>188</v>
      </c>
      <c r="S30" s="10" t="s">
        <v>190</v>
      </c>
      <c r="V30" s="13">
        <f>(1.67+39.55+21.72+29.27+14.35)/5</f>
        <v>21.311999999999998</v>
      </c>
      <c r="W30" s="10" t="s">
        <v>26</v>
      </c>
      <c r="X30" s="10" t="s">
        <v>191</v>
      </c>
    </row>
    <row r="31" spans="3:24" x14ac:dyDescent="0.25">
      <c r="C31" s="10" t="s">
        <v>2</v>
      </c>
      <c r="D31" s="10" t="s">
        <v>228</v>
      </c>
      <c r="E31" s="10" t="s">
        <v>229</v>
      </c>
      <c r="G31" s="9" t="s">
        <v>230</v>
      </c>
      <c r="H31" s="10" t="s">
        <v>8</v>
      </c>
      <c r="I31" s="10" t="s">
        <v>356</v>
      </c>
      <c r="J31" s="10" t="s">
        <v>358</v>
      </c>
      <c r="L31" s="10" t="s">
        <v>19</v>
      </c>
      <c r="M31" s="10" t="s">
        <v>231</v>
      </c>
      <c r="N31" s="10" t="s">
        <v>234</v>
      </c>
      <c r="R31" s="10" t="s">
        <v>176</v>
      </c>
      <c r="S31" s="10" t="s">
        <v>189</v>
      </c>
      <c r="V31" s="10">
        <v>13</v>
      </c>
      <c r="W31" s="10" t="s">
        <v>26</v>
      </c>
    </row>
    <row r="32" spans="3:24" x14ac:dyDescent="0.25">
      <c r="C32" s="10" t="s">
        <v>2</v>
      </c>
      <c r="D32" s="10" t="s">
        <v>228</v>
      </c>
      <c r="E32" s="10" t="s">
        <v>229</v>
      </c>
      <c r="G32" s="9" t="s">
        <v>230</v>
      </c>
      <c r="H32" s="10" t="s">
        <v>8</v>
      </c>
      <c r="I32" s="10" t="s">
        <v>357</v>
      </c>
      <c r="J32" s="10" t="s">
        <v>358</v>
      </c>
      <c r="L32" s="10" t="s">
        <v>5</v>
      </c>
      <c r="M32" s="10" t="s">
        <v>231</v>
      </c>
      <c r="N32" s="10" t="s">
        <v>234</v>
      </c>
      <c r="R32" s="10" t="s">
        <v>176</v>
      </c>
      <c r="S32" s="10" t="s">
        <v>189</v>
      </c>
      <c r="V32" s="10">
        <v>66</v>
      </c>
      <c r="W32" s="10" t="s">
        <v>26</v>
      </c>
    </row>
    <row r="33" spans="3:24" x14ac:dyDescent="0.25">
      <c r="C33" s="10" t="s">
        <v>2</v>
      </c>
      <c r="D33" s="10" t="s">
        <v>228</v>
      </c>
      <c r="E33" s="10" t="s">
        <v>18</v>
      </c>
      <c r="G33" s="9" t="s">
        <v>230</v>
      </c>
      <c r="H33" s="10" t="s">
        <v>8</v>
      </c>
      <c r="L33" s="10" t="s">
        <v>5</v>
      </c>
      <c r="M33" s="10" t="s">
        <v>232</v>
      </c>
      <c r="N33" s="10" t="s">
        <v>236</v>
      </c>
      <c r="R33" s="10" t="s">
        <v>176</v>
      </c>
      <c r="S33" s="10" t="s">
        <v>189</v>
      </c>
      <c r="V33" s="13">
        <v>56</v>
      </c>
      <c r="W33" s="10" t="s">
        <v>26</v>
      </c>
    </row>
    <row r="34" spans="3:24" x14ac:dyDescent="0.25">
      <c r="C34" s="10" t="s">
        <v>2</v>
      </c>
      <c r="D34" s="10" t="s">
        <v>11</v>
      </c>
      <c r="G34" s="9" t="s">
        <v>230</v>
      </c>
      <c r="H34" s="10" t="s">
        <v>8</v>
      </c>
      <c r="L34" s="10" t="s">
        <v>5</v>
      </c>
      <c r="M34" s="10" t="s">
        <v>233</v>
      </c>
      <c r="N34" s="10">
        <v>1982</v>
      </c>
      <c r="R34" s="10" t="s">
        <v>176</v>
      </c>
      <c r="S34" s="10" t="s">
        <v>189</v>
      </c>
      <c r="V34" s="13">
        <v>80</v>
      </c>
      <c r="W34" s="10" t="s">
        <v>26</v>
      </c>
      <c r="X34" s="10" t="s">
        <v>235</v>
      </c>
    </row>
    <row r="35" spans="3:24" x14ac:dyDescent="0.25">
      <c r="C35" s="10" t="s">
        <v>2</v>
      </c>
      <c r="D35" s="10" t="s">
        <v>20</v>
      </c>
      <c r="G35" s="9" t="s">
        <v>237</v>
      </c>
      <c r="H35" s="10" t="s">
        <v>10</v>
      </c>
      <c r="L35" s="10" t="s">
        <v>238</v>
      </c>
      <c r="M35" s="10" t="s">
        <v>239</v>
      </c>
      <c r="N35" s="10" t="s">
        <v>268</v>
      </c>
      <c r="R35" s="10" t="s">
        <v>176</v>
      </c>
      <c r="S35" s="10" t="s">
        <v>6</v>
      </c>
      <c r="T35" s="10" t="s">
        <v>275</v>
      </c>
      <c r="V35" s="13">
        <v>100</v>
      </c>
      <c r="W35" s="10" t="s">
        <v>3</v>
      </c>
      <c r="X35" s="10" t="s">
        <v>284</v>
      </c>
    </row>
    <row r="36" spans="3:24" x14ac:dyDescent="0.25">
      <c r="C36" s="10" t="s">
        <v>2</v>
      </c>
      <c r="D36" s="10" t="s">
        <v>20</v>
      </c>
      <c r="G36" s="9" t="s">
        <v>237</v>
      </c>
      <c r="H36" s="10" t="s">
        <v>10</v>
      </c>
      <c r="L36" s="10" t="s">
        <v>240</v>
      </c>
      <c r="M36" s="10" t="s">
        <v>241</v>
      </c>
      <c r="N36" s="10" t="s">
        <v>268</v>
      </c>
      <c r="R36" s="10" t="s">
        <v>176</v>
      </c>
      <c r="S36" s="10" t="s">
        <v>6</v>
      </c>
      <c r="V36" s="13">
        <v>90</v>
      </c>
      <c r="W36" s="10" t="s">
        <v>3</v>
      </c>
    </row>
    <row r="37" spans="3:24" x14ac:dyDescent="0.25">
      <c r="C37" s="10" t="s">
        <v>2</v>
      </c>
      <c r="D37" s="10" t="s">
        <v>20</v>
      </c>
      <c r="G37" s="9" t="s">
        <v>237</v>
      </c>
      <c r="H37" s="10" t="s">
        <v>10</v>
      </c>
      <c r="L37" s="10" t="s">
        <v>41</v>
      </c>
      <c r="M37" s="10" t="s">
        <v>242</v>
      </c>
      <c r="N37" s="10" t="s">
        <v>268</v>
      </c>
      <c r="R37" s="10" t="s">
        <v>176</v>
      </c>
      <c r="S37" s="10" t="s">
        <v>6</v>
      </c>
      <c r="V37" s="13">
        <v>50</v>
      </c>
      <c r="W37" s="10" t="s">
        <v>3</v>
      </c>
    </row>
    <row r="38" spans="3:24" x14ac:dyDescent="0.25">
      <c r="C38" s="10" t="s">
        <v>2</v>
      </c>
      <c r="D38" s="10" t="s">
        <v>20</v>
      </c>
      <c r="G38" s="9" t="s">
        <v>243</v>
      </c>
      <c r="H38" s="10" t="s">
        <v>269</v>
      </c>
      <c r="L38" s="10" t="s">
        <v>244</v>
      </c>
      <c r="M38" s="10" t="s">
        <v>245</v>
      </c>
      <c r="N38" s="10" t="s">
        <v>268</v>
      </c>
      <c r="R38" s="10" t="s">
        <v>176</v>
      </c>
      <c r="S38" s="10" t="s">
        <v>6</v>
      </c>
      <c r="T38" s="10" t="s">
        <v>276</v>
      </c>
      <c r="V38" s="13">
        <v>70</v>
      </c>
      <c r="W38" s="10" t="s">
        <v>3</v>
      </c>
      <c r="X38" s="10" t="s">
        <v>284</v>
      </c>
    </row>
    <row r="39" spans="3:24" x14ac:dyDescent="0.25">
      <c r="C39" s="10" t="s">
        <v>2</v>
      </c>
      <c r="D39" s="10" t="s">
        <v>20</v>
      </c>
      <c r="G39" s="9" t="s">
        <v>243</v>
      </c>
      <c r="H39" s="10" t="s">
        <v>269</v>
      </c>
      <c r="L39" s="10" t="s">
        <v>246</v>
      </c>
      <c r="M39" s="10" t="s">
        <v>247</v>
      </c>
      <c r="N39" s="10" t="s">
        <v>268</v>
      </c>
      <c r="R39" s="10" t="s">
        <v>176</v>
      </c>
      <c r="S39" s="10" t="s">
        <v>6</v>
      </c>
      <c r="V39" s="13">
        <v>50</v>
      </c>
      <c r="W39" s="10" t="s">
        <v>3</v>
      </c>
    </row>
    <row r="40" spans="3:24" x14ac:dyDescent="0.25">
      <c r="C40" s="10" t="s">
        <v>2</v>
      </c>
      <c r="D40" s="10" t="s">
        <v>20</v>
      </c>
      <c r="G40" s="10" t="s">
        <v>248</v>
      </c>
      <c r="H40" s="10" t="s">
        <v>23</v>
      </c>
      <c r="L40" s="10" t="s">
        <v>238</v>
      </c>
      <c r="M40" s="10" t="s">
        <v>239</v>
      </c>
      <c r="N40" s="10" t="s">
        <v>268</v>
      </c>
      <c r="R40" s="10" t="s">
        <v>176</v>
      </c>
      <c r="S40" s="10" t="s">
        <v>6</v>
      </c>
      <c r="T40" s="10" t="s">
        <v>277</v>
      </c>
      <c r="V40" s="13">
        <v>100</v>
      </c>
      <c r="W40" s="10" t="s">
        <v>3</v>
      </c>
      <c r="X40" s="10" t="s">
        <v>284</v>
      </c>
    </row>
    <row r="41" spans="3:24" x14ac:dyDescent="0.25">
      <c r="C41" s="10" t="s">
        <v>2</v>
      </c>
      <c r="D41" s="10" t="s">
        <v>20</v>
      </c>
      <c r="G41" s="10" t="s">
        <v>248</v>
      </c>
      <c r="H41" s="10" t="s">
        <v>23</v>
      </c>
      <c r="L41" s="10" t="s">
        <v>5</v>
      </c>
      <c r="M41" s="10" t="s">
        <v>249</v>
      </c>
      <c r="N41" s="10" t="s">
        <v>268</v>
      </c>
      <c r="R41" s="10" t="s">
        <v>176</v>
      </c>
      <c r="S41" s="10" t="s">
        <v>6</v>
      </c>
      <c r="V41" s="13">
        <v>97</v>
      </c>
      <c r="W41" s="10" t="s">
        <v>3</v>
      </c>
    </row>
    <row r="42" spans="3:24" x14ac:dyDescent="0.25">
      <c r="C42" s="10" t="s">
        <v>2</v>
      </c>
      <c r="D42" s="10" t="s">
        <v>20</v>
      </c>
      <c r="G42" s="10" t="s">
        <v>250</v>
      </c>
      <c r="H42" s="10" t="s">
        <v>270</v>
      </c>
      <c r="L42" s="10" t="s">
        <v>5</v>
      </c>
      <c r="M42" s="10" t="s">
        <v>249</v>
      </c>
      <c r="N42" s="10" t="s">
        <v>268</v>
      </c>
      <c r="R42" s="10" t="s">
        <v>176</v>
      </c>
      <c r="S42" s="10" t="s">
        <v>6</v>
      </c>
      <c r="V42" s="13">
        <v>80</v>
      </c>
      <c r="W42" s="10" t="s">
        <v>3</v>
      </c>
    </row>
    <row r="43" spans="3:24" x14ac:dyDescent="0.25">
      <c r="C43" s="10" t="s">
        <v>2</v>
      </c>
      <c r="D43" s="10" t="s">
        <v>20</v>
      </c>
      <c r="G43" s="10" t="s">
        <v>250</v>
      </c>
      <c r="H43" s="10" t="s">
        <v>270</v>
      </c>
      <c r="L43" s="10" t="s">
        <v>238</v>
      </c>
      <c r="M43" s="10" t="s">
        <v>239</v>
      </c>
      <c r="N43" s="10" t="s">
        <v>268</v>
      </c>
      <c r="R43" s="10" t="s">
        <v>176</v>
      </c>
      <c r="S43" s="10" t="s">
        <v>6</v>
      </c>
      <c r="V43" s="13">
        <v>50</v>
      </c>
      <c r="W43" s="10" t="s">
        <v>3</v>
      </c>
    </row>
    <row r="44" spans="3:24" x14ac:dyDescent="0.25">
      <c r="C44" s="10" t="s">
        <v>2</v>
      </c>
      <c r="D44" s="10" t="s">
        <v>20</v>
      </c>
      <c r="G44" s="10" t="s">
        <v>251</v>
      </c>
      <c r="H44" s="10" t="s">
        <v>15</v>
      </c>
      <c r="L44" s="10" t="s">
        <v>252</v>
      </c>
      <c r="M44" s="10" t="s">
        <v>239</v>
      </c>
      <c r="N44" s="10" t="s">
        <v>268</v>
      </c>
      <c r="R44" s="10" t="s">
        <v>176</v>
      </c>
      <c r="S44" s="10" t="s">
        <v>6</v>
      </c>
      <c r="T44" s="10" t="s">
        <v>213</v>
      </c>
      <c r="V44" s="13">
        <v>100</v>
      </c>
      <c r="W44" s="10" t="s">
        <v>3</v>
      </c>
      <c r="X44" s="10" t="s">
        <v>284</v>
      </c>
    </row>
    <row r="45" spans="3:24" x14ac:dyDescent="0.25">
      <c r="C45" s="10" t="s">
        <v>2</v>
      </c>
      <c r="D45" s="10" t="s">
        <v>20</v>
      </c>
      <c r="G45" s="10" t="s">
        <v>253</v>
      </c>
      <c r="H45" s="10" t="s">
        <v>8</v>
      </c>
      <c r="L45" s="10" t="s">
        <v>254</v>
      </c>
      <c r="M45" s="10" t="s">
        <v>239</v>
      </c>
      <c r="N45" s="10" t="s">
        <v>268</v>
      </c>
      <c r="R45" s="10" t="s">
        <v>176</v>
      </c>
      <c r="S45" s="10" t="s">
        <v>6</v>
      </c>
      <c r="T45" s="10" t="s">
        <v>278</v>
      </c>
      <c r="V45" s="13">
        <v>100</v>
      </c>
      <c r="W45" s="10" t="s">
        <v>3</v>
      </c>
      <c r="X45" s="10" t="s">
        <v>284</v>
      </c>
    </row>
    <row r="46" spans="3:24" x14ac:dyDescent="0.25">
      <c r="C46" s="10" t="s">
        <v>2</v>
      </c>
      <c r="D46" s="10" t="s">
        <v>20</v>
      </c>
      <c r="G46" s="10" t="s">
        <v>255</v>
      </c>
      <c r="H46" s="10" t="s">
        <v>271</v>
      </c>
      <c r="L46" s="10" t="s">
        <v>5</v>
      </c>
      <c r="M46" s="10" t="s">
        <v>239</v>
      </c>
      <c r="N46" s="10" t="s">
        <v>268</v>
      </c>
      <c r="R46" s="10" t="s">
        <v>176</v>
      </c>
      <c r="S46" s="10" t="s">
        <v>6</v>
      </c>
      <c r="T46" s="10" t="s">
        <v>279</v>
      </c>
      <c r="V46" s="13">
        <v>100</v>
      </c>
      <c r="W46" s="10" t="s">
        <v>3</v>
      </c>
      <c r="X46" s="10" t="s">
        <v>284</v>
      </c>
    </row>
    <row r="47" spans="3:24" x14ac:dyDescent="0.25">
      <c r="C47" s="10" t="s">
        <v>2</v>
      </c>
      <c r="D47" s="10" t="s">
        <v>20</v>
      </c>
      <c r="G47" s="10" t="s">
        <v>256</v>
      </c>
      <c r="H47" s="10" t="s">
        <v>274</v>
      </c>
      <c r="L47" s="10" t="s">
        <v>254</v>
      </c>
      <c r="M47" s="10" t="s">
        <v>239</v>
      </c>
      <c r="N47" s="10" t="s">
        <v>268</v>
      </c>
      <c r="R47" s="10" t="s">
        <v>176</v>
      </c>
      <c r="S47" s="10" t="s">
        <v>6</v>
      </c>
      <c r="T47" s="10" t="s">
        <v>280</v>
      </c>
      <c r="V47" s="13">
        <v>40</v>
      </c>
      <c r="W47" s="10" t="s">
        <v>3</v>
      </c>
      <c r="X47" s="10" t="s">
        <v>284</v>
      </c>
    </row>
    <row r="48" spans="3:24" x14ac:dyDescent="0.25">
      <c r="C48" s="10" t="s">
        <v>2</v>
      </c>
      <c r="D48" s="10" t="s">
        <v>20</v>
      </c>
      <c r="G48" s="10" t="s">
        <v>256</v>
      </c>
      <c r="H48" s="10" t="s">
        <v>274</v>
      </c>
      <c r="L48" s="10" t="s">
        <v>64</v>
      </c>
      <c r="M48" s="10" t="s">
        <v>258</v>
      </c>
      <c r="N48" s="10" t="s">
        <v>268</v>
      </c>
      <c r="R48" s="10" t="s">
        <v>176</v>
      </c>
      <c r="S48" s="10" t="s">
        <v>6</v>
      </c>
      <c r="V48" s="13">
        <v>80</v>
      </c>
      <c r="W48" s="10" t="s">
        <v>3</v>
      </c>
    </row>
    <row r="49" spans="3:24" x14ac:dyDescent="0.25">
      <c r="C49" s="10" t="s">
        <v>2</v>
      </c>
      <c r="D49" s="10" t="s">
        <v>20</v>
      </c>
      <c r="G49" s="10" t="s">
        <v>256</v>
      </c>
      <c r="H49" s="10" t="s">
        <v>274</v>
      </c>
      <c r="L49" s="10" t="s">
        <v>257</v>
      </c>
      <c r="M49" s="10" t="s">
        <v>259</v>
      </c>
      <c r="N49" s="10" t="s">
        <v>268</v>
      </c>
      <c r="R49" s="10" t="s">
        <v>176</v>
      </c>
      <c r="S49" s="10" t="s">
        <v>6</v>
      </c>
      <c r="V49" s="13">
        <v>50</v>
      </c>
      <c r="W49" s="10" t="s">
        <v>3</v>
      </c>
    </row>
    <row r="50" spans="3:24" x14ac:dyDescent="0.25">
      <c r="C50" s="10" t="s">
        <v>2</v>
      </c>
      <c r="D50" s="10" t="s">
        <v>20</v>
      </c>
      <c r="G50" s="10" t="s">
        <v>260</v>
      </c>
      <c r="H50" s="10" t="s">
        <v>272</v>
      </c>
      <c r="L50" s="10" t="s">
        <v>42</v>
      </c>
      <c r="M50" s="10" t="s">
        <v>258</v>
      </c>
      <c r="N50" s="10" t="s">
        <v>268</v>
      </c>
      <c r="R50" s="10" t="s">
        <v>176</v>
      </c>
      <c r="S50" s="10" t="s">
        <v>6</v>
      </c>
      <c r="T50" s="10" t="s">
        <v>281</v>
      </c>
      <c r="V50" s="13">
        <v>30</v>
      </c>
      <c r="W50" s="10" t="s">
        <v>3</v>
      </c>
      <c r="X50" s="10" t="s">
        <v>284</v>
      </c>
    </row>
    <row r="51" spans="3:24" x14ac:dyDescent="0.25">
      <c r="C51" s="10" t="s">
        <v>2</v>
      </c>
      <c r="D51" s="10" t="s">
        <v>20</v>
      </c>
      <c r="G51" s="10" t="s">
        <v>260</v>
      </c>
      <c r="H51" s="10" t="s">
        <v>272</v>
      </c>
      <c r="L51" s="10" t="s">
        <v>43</v>
      </c>
      <c r="M51" s="10" t="s">
        <v>258</v>
      </c>
      <c r="N51" s="10" t="s">
        <v>268</v>
      </c>
      <c r="R51" s="10" t="s">
        <v>176</v>
      </c>
      <c r="S51" s="10" t="s">
        <v>6</v>
      </c>
      <c r="V51" s="13">
        <v>50</v>
      </c>
      <c r="W51" s="10" t="s">
        <v>3</v>
      </c>
    </row>
    <row r="52" spans="3:24" x14ac:dyDescent="0.25">
      <c r="C52" s="10" t="s">
        <v>2</v>
      </c>
      <c r="D52" s="10" t="s">
        <v>20</v>
      </c>
      <c r="G52" s="10" t="s">
        <v>260</v>
      </c>
      <c r="H52" s="10" t="s">
        <v>272</v>
      </c>
      <c r="L52" s="10" t="s">
        <v>261</v>
      </c>
      <c r="M52" s="10" t="s">
        <v>258</v>
      </c>
      <c r="N52" s="10" t="s">
        <v>268</v>
      </c>
      <c r="R52" s="10" t="s">
        <v>176</v>
      </c>
      <c r="S52" s="10" t="s">
        <v>6</v>
      </c>
      <c r="V52" s="13">
        <v>80</v>
      </c>
      <c r="W52" s="10" t="s">
        <v>3</v>
      </c>
    </row>
    <row r="53" spans="3:24" x14ac:dyDescent="0.25">
      <c r="C53" s="10" t="s">
        <v>2</v>
      </c>
      <c r="D53" s="10" t="s">
        <v>20</v>
      </c>
      <c r="G53" s="10" t="s">
        <v>260</v>
      </c>
      <c r="H53" s="10" t="s">
        <v>272</v>
      </c>
      <c r="L53" s="10" t="s">
        <v>154</v>
      </c>
      <c r="M53" s="10" t="s">
        <v>262</v>
      </c>
      <c r="N53" s="10" t="s">
        <v>268</v>
      </c>
      <c r="R53" s="10" t="s">
        <v>176</v>
      </c>
      <c r="S53" s="10" t="s">
        <v>6</v>
      </c>
      <c r="V53" s="13">
        <v>50</v>
      </c>
      <c r="W53" s="10" t="s">
        <v>3</v>
      </c>
    </row>
    <row r="54" spans="3:24" x14ac:dyDescent="0.25">
      <c r="C54" s="10" t="s">
        <v>2</v>
      </c>
      <c r="D54" s="10" t="s">
        <v>20</v>
      </c>
      <c r="G54" s="10" t="s">
        <v>263</v>
      </c>
      <c r="H54" s="10" t="s">
        <v>273</v>
      </c>
      <c r="L54" s="10" t="s">
        <v>238</v>
      </c>
      <c r="M54" s="10" t="s">
        <v>239</v>
      </c>
      <c r="N54" s="10" t="s">
        <v>268</v>
      </c>
      <c r="R54" s="10" t="s">
        <v>176</v>
      </c>
      <c r="S54" s="10" t="s">
        <v>6</v>
      </c>
      <c r="T54" s="10" t="s">
        <v>282</v>
      </c>
      <c r="V54" s="13">
        <v>60</v>
      </c>
      <c r="W54" s="10" t="s">
        <v>3</v>
      </c>
      <c r="X54" s="10" t="s">
        <v>284</v>
      </c>
    </row>
    <row r="55" spans="3:24" x14ac:dyDescent="0.25">
      <c r="C55" s="10" t="s">
        <v>2</v>
      </c>
      <c r="D55" s="10" t="s">
        <v>20</v>
      </c>
      <c r="G55" s="10" t="s">
        <v>264</v>
      </c>
      <c r="H55" s="10" t="s">
        <v>7</v>
      </c>
      <c r="L55" s="10" t="s">
        <v>5</v>
      </c>
      <c r="M55" s="10" t="s">
        <v>265</v>
      </c>
      <c r="N55" s="10" t="s">
        <v>268</v>
      </c>
      <c r="R55" s="10" t="s">
        <v>176</v>
      </c>
      <c r="S55" s="10" t="s">
        <v>6</v>
      </c>
      <c r="T55" s="10" t="s">
        <v>14</v>
      </c>
      <c r="V55" s="13">
        <v>100</v>
      </c>
      <c r="W55" s="10" t="s">
        <v>3</v>
      </c>
      <c r="X55" s="10" t="s">
        <v>284</v>
      </c>
    </row>
    <row r="56" spans="3:24" x14ac:dyDescent="0.25">
      <c r="C56" s="10" t="s">
        <v>2</v>
      </c>
      <c r="D56" s="10" t="s">
        <v>20</v>
      </c>
      <c r="G56" s="10" t="s">
        <v>266</v>
      </c>
      <c r="L56" s="10" t="s">
        <v>238</v>
      </c>
      <c r="M56" s="10" t="s">
        <v>267</v>
      </c>
      <c r="N56" s="10" t="s">
        <v>268</v>
      </c>
      <c r="R56" s="10" t="s">
        <v>176</v>
      </c>
      <c r="S56" s="10" t="s">
        <v>6</v>
      </c>
      <c r="T56" s="10" t="s">
        <v>280</v>
      </c>
      <c r="V56" s="13">
        <v>20</v>
      </c>
      <c r="W56" s="10" t="s">
        <v>3</v>
      </c>
      <c r="X56" s="10" t="s">
        <v>284</v>
      </c>
    </row>
    <row r="57" spans="3:24" x14ac:dyDescent="0.25">
      <c r="C57" s="10" t="s">
        <v>2</v>
      </c>
      <c r="D57" s="10" t="s">
        <v>20</v>
      </c>
      <c r="G57" s="10" t="s">
        <v>141</v>
      </c>
      <c r="H57" s="10" t="s">
        <v>9</v>
      </c>
      <c r="L57" s="10" t="s">
        <v>254</v>
      </c>
      <c r="M57" s="10" t="s">
        <v>239</v>
      </c>
      <c r="N57" s="10" t="s">
        <v>268</v>
      </c>
      <c r="R57" s="10" t="s">
        <v>176</v>
      </c>
      <c r="S57" s="10" t="s">
        <v>6</v>
      </c>
      <c r="T57" s="10" t="s">
        <v>283</v>
      </c>
      <c r="V57" s="13">
        <v>100</v>
      </c>
      <c r="W57" s="10" t="s">
        <v>3</v>
      </c>
      <c r="X57" s="10" t="s">
        <v>284</v>
      </c>
    </row>
    <row r="58" spans="3:24" x14ac:dyDescent="0.25">
      <c r="C58" s="10" t="s">
        <v>2</v>
      </c>
      <c r="D58" s="10" t="s">
        <v>285</v>
      </c>
      <c r="G58" s="10" t="s">
        <v>248</v>
      </c>
      <c r="H58" s="10" t="s">
        <v>23</v>
      </c>
      <c r="L58" s="10" t="s">
        <v>154</v>
      </c>
      <c r="M58" s="10" t="s">
        <v>286</v>
      </c>
      <c r="N58" s="10">
        <v>1973</v>
      </c>
      <c r="R58" s="10" t="s">
        <v>176</v>
      </c>
      <c r="S58" s="10" t="s">
        <v>6</v>
      </c>
      <c r="T58" s="10">
        <v>77.3</v>
      </c>
      <c r="V58" s="13">
        <v>90</v>
      </c>
      <c r="W58" s="10" t="s">
        <v>26</v>
      </c>
      <c r="X58" s="10" t="s">
        <v>287</v>
      </c>
    </row>
    <row r="59" spans="3:24" x14ac:dyDescent="0.25">
      <c r="C59" s="10" t="s">
        <v>2</v>
      </c>
      <c r="D59" s="10" t="s">
        <v>285</v>
      </c>
      <c r="G59" s="10" t="s">
        <v>248</v>
      </c>
      <c r="H59" s="10" t="s">
        <v>23</v>
      </c>
      <c r="L59" s="10" t="s">
        <v>154</v>
      </c>
      <c r="M59" s="10" t="s">
        <v>286</v>
      </c>
      <c r="N59" s="10">
        <v>1974</v>
      </c>
      <c r="R59" s="10" t="s">
        <v>176</v>
      </c>
      <c r="S59" s="10" t="s">
        <v>6</v>
      </c>
      <c r="T59" s="10">
        <v>97.4</v>
      </c>
      <c r="V59" s="13">
        <v>79</v>
      </c>
      <c r="W59" s="10" t="s">
        <v>26</v>
      </c>
      <c r="X59" s="10" t="s">
        <v>287</v>
      </c>
    </row>
    <row r="60" spans="3:24" x14ac:dyDescent="0.25">
      <c r="C60" s="10" t="s">
        <v>2</v>
      </c>
      <c r="D60" s="10" t="s">
        <v>285</v>
      </c>
      <c r="G60" s="10" t="s">
        <v>248</v>
      </c>
      <c r="H60" s="10" t="s">
        <v>23</v>
      </c>
      <c r="L60" s="10" t="s">
        <v>257</v>
      </c>
      <c r="M60" s="10" t="s">
        <v>286</v>
      </c>
      <c r="N60" s="10">
        <v>1976</v>
      </c>
      <c r="R60" s="10" t="s">
        <v>176</v>
      </c>
      <c r="S60" s="10" t="s">
        <v>6</v>
      </c>
      <c r="T60" s="10">
        <v>80.900000000000006</v>
      </c>
      <c r="V60" s="13">
        <v>81</v>
      </c>
      <c r="W60" s="10" t="s">
        <v>26</v>
      </c>
      <c r="X60" s="10" t="s">
        <v>287</v>
      </c>
    </row>
    <row r="61" spans="3:24" x14ac:dyDescent="0.25">
      <c r="C61" s="10" t="s">
        <v>2</v>
      </c>
      <c r="D61" s="10" t="s">
        <v>285</v>
      </c>
      <c r="G61" s="10" t="s">
        <v>248</v>
      </c>
      <c r="H61" s="10" t="s">
        <v>23</v>
      </c>
      <c r="L61" s="10" t="s">
        <v>5</v>
      </c>
      <c r="M61" s="10" t="s">
        <v>286</v>
      </c>
      <c r="N61" s="10">
        <v>1978</v>
      </c>
      <c r="R61" s="10" t="s">
        <v>176</v>
      </c>
      <c r="S61" s="10" t="s">
        <v>6</v>
      </c>
      <c r="T61" s="10">
        <v>79.8</v>
      </c>
      <c r="V61" s="13">
        <v>87</v>
      </c>
      <c r="W61" s="10" t="s">
        <v>26</v>
      </c>
      <c r="X61" s="10" t="s">
        <v>287</v>
      </c>
    </row>
    <row r="62" spans="3:24" x14ac:dyDescent="0.25">
      <c r="C62" s="10" t="s">
        <v>2</v>
      </c>
      <c r="D62" s="10" t="s">
        <v>285</v>
      </c>
      <c r="G62" s="10" t="s">
        <v>248</v>
      </c>
      <c r="H62" s="10" t="s">
        <v>23</v>
      </c>
      <c r="L62" s="10" t="s">
        <v>154</v>
      </c>
      <c r="M62" s="10" t="s">
        <v>286</v>
      </c>
      <c r="N62" s="10">
        <v>1979</v>
      </c>
      <c r="R62" s="10" t="s">
        <v>176</v>
      </c>
      <c r="S62" s="10" t="s">
        <v>6</v>
      </c>
      <c r="T62" s="10">
        <v>105.4</v>
      </c>
      <c r="V62" s="13">
        <v>90</v>
      </c>
      <c r="W62" s="10" t="s">
        <v>26</v>
      </c>
      <c r="X62" s="10" t="s">
        <v>287</v>
      </c>
    </row>
    <row r="63" spans="3:24" x14ac:dyDescent="0.25">
      <c r="C63" s="10" t="s">
        <v>2</v>
      </c>
      <c r="D63" s="10" t="s">
        <v>285</v>
      </c>
      <c r="G63" s="10" t="s">
        <v>248</v>
      </c>
      <c r="H63" s="10" t="s">
        <v>23</v>
      </c>
      <c r="L63" s="10" t="s">
        <v>246</v>
      </c>
      <c r="M63" s="10" t="s">
        <v>286</v>
      </c>
      <c r="N63" s="10">
        <v>1981</v>
      </c>
      <c r="R63" s="10" t="s">
        <v>176</v>
      </c>
      <c r="S63" s="10" t="s">
        <v>6</v>
      </c>
      <c r="T63" s="10">
        <v>76.7</v>
      </c>
      <c r="V63" s="13">
        <v>99</v>
      </c>
      <c r="W63" s="10" t="s">
        <v>26</v>
      </c>
      <c r="X63" s="10" t="s">
        <v>287</v>
      </c>
    </row>
    <row r="64" spans="3:24" x14ac:dyDescent="0.25">
      <c r="C64" s="10" t="s">
        <v>2</v>
      </c>
      <c r="D64" s="10" t="s">
        <v>285</v>
      </c>
      <c r="G64" s="10" t="s">
        <v>248</v>
      </c>
      <c r="H64" s="10" t="s">
        <v>23</v>
      </c>
      <c r="L64" s="10" t="s">
        <v>246</v>
      </c>
      <c r="M64" s="10" t="s">
        <v>286</v>
      </c>
      <c r="N64" s="10">
        <v>1983</v>
      </c>
      <c r="R64" s="10" t="s">
        <v>176</v>
      </c>
      <c r="S64" s="10" t="s">
        <v>6</v>
      </c>
      <c r="T64" s="10">
        <v>64.3</v>
      </c>
      <c r="V64" s="13">
        <v>96</v>
      </c>
      <c r="W64" s="10" t="s">
        <v>26</v>
      </c>
      <c r="X64" s="10" t="s">
        <v>287</v>
      </c>
    </row>
    <row r="65" spans="3:24" x14ac:dyDescent="0.25">
      <c r="C65" s="10" t="s">
        <v>2</v>
      </c>
      <c r="D65" s="10" t="s">
        <v>285</v>
      </c>
      <c r="G65" s="10" t="s">
        <v>248</v>
      </c>
      <c r="H65" s="10" t="s">
        <v>23</v>
      </c>
      <c r="L65" s="10" t="s">
        <v>246</v>
      </c>
      <c r="M65" s="10" t="s">
        <v>286</v>
      </c>
      <c r="N65" s="10">
        <v>1984</v>
      </c>
      <c r="R65" s="10" t="s">
        <v>176</v>
      </c>
      <c r="S65" s="10" t="s">
        <v>6</v>
      </c>
      <c r="T65" s="10">
        <v>56.9</v>
      </c>
      <c r="V65" s="13">
        <v>90</v>
      </c>
      <c r="W65" s="10" t="s">
        <v>26</v>
      </c>
      <c r="X65" s="10" t="s">
        <v>287</v>
      </c>
    </row>
    <row r="66" spans="3:24" x14ac:dyDescent="0.25">
      <c r="C66" s="10" t="s">
        <v>2</v>
      </c>
      <c r="D66" s="10" t="s">
        <v>285</v>
      </c>
      <c r="G66" s="10" t="s">
        <v>248</v>
      </c>
      <c r="H66" s="10" t="s">
        <v>23</v>
      </c>
      <c r="L66" s="10" t="s">
        <v>246</v>
      </c>
      <c r="M66" s="10" t="s">
        <v>286</v>
      </c>
      <c r="N66" s="10">
        <v>1986</v>
      </c>
      <c r="R66" s="10" t="s">
        <v>176</v>
      </c>
      <c r="S66" s="10" t="s">
        <v>6</v>
      </c>
      <c r="T66" s="10">
        <v>43.8</v>
      </c>
      <c r="V66" s="13">
        <v>100</v>
      </c>
      <c r="W66" s="10" t="s">
        <v>26</v>
      </c>
      <c r="X66" s="10" t="s">
        <v>287</v>
      </c>
    </row>
    <row r="67" spans="3:24" x14ac:dyDescent="0.25">
      <c r="C67" s="10" t="s">
        <v>2</v>
      </c>
      <c r="D67" s="10" t="s">
        <v>285</v>
      </c>
      <c r="G67" s="10" t="s">
        <v>248</v>
      </c>
      <c r="H67" s="10" t="s">
        <v>23</v>
      </c>
      <c r="L67" s="10" t="s">
        <v>154</v>
      </c>
      <c r="M67" s="10" t="s">
        <v>286</v>
      </c>
      <c r="N67" s="10">
        <v>1987</v>
      </c>
      <c r="R67" s="10" t="s">
        <v>176</v>
      </c>
      <c r="S67" s="10" t="s">
        <v>6</v>
      </c>
      <c r="T67" s="10">
        <v>30</v>
      </c>
      <c r="V67" s="13">
        <v>19</v>
      </c>
      <c r="W67" s="10" t="s">
        <v>26</v>
      </c>
      <c r="X67" s="10" t="s">
        <v>287</v>
      </c>
    </row>
    <row r="68" spans="3:24" x14ac:dyDescent="0.25">
      <c r="C68" s="10" t="s">
        <v>2</v>
      </c>
      <c r="D68" s="10" t="s">
        <v>285</v>
      </c>
      <c r="G68" s="10" t="s">
        <v>248</v>
      </c>
      <c r="H68" s="10" t="s">
        <v>23</v>
      </c>
      <c r="L68" s="10" t="s">
        <v>5</v>
      </c>
      <c r="M68" s="10" t="s">
        <v>286</v>
      </c>
      <c r="N68" s="10">
        <v>1988</v>
      </c>
      <c r="R68" s="10" t="s">
        <v>176</v>
      </c>
      <c r="S68" s="10" t="s">
        <v>6</v>
      </c>
      <c r="V68" s="13">
        <v>36</v>
      </c>
      <c r="W68" s="10" t="s">
        <v>26</v>
      </c>
      <c r="X68" s="10" t="s">
        <v>287</v>
      </c>
    </row>
    <row r="69" spans="3:24" x14ac:dyDescent="0.25">
      <c r="C69" s="10" t="s">
        <v>2</v>
      </c>
      <c r="D69" s="10" t="s">
        <v>11</v>
      </c>
      <c r="G69" s="10" t="s">
        <v>253</v>
      </c>
      <c r="H69" s="10" t="s">
        <v>8</v>
      </c>
      <c r="L69" s="10" t="s">
        <v>246</v>
      </c>
      <c r="M69" s="10" t="s">
        <v>291</v>
      </c>
      <c r="N69" s="10">
        <v>1986</v>
      </c>
      <c r="R69" s="10" t="s">
        <v>176</v>
      </c>
      <c r="S69" s="10" t="s">
        <v>6</v>
      </c>
      <c r="U69" s="15" t="s">
        <v>377</v>
      </c>
      <c r="V69" s="13">
        <v>98.75</v>
      </c>
      <c r="W69" s="10" t="s">
        <v>318</v>
      </c>
      <c r="X69" s="10" t="s">
        <v>319</v>
      </c>
    </row>
    <row r="70" spans="3:24" x14ac:dyDescent="0.25">
      <c r="C70" s="10" t="s">
        <v>2</v>
      </c>
      <c r="D70" s="10" t="s">
        <v>11</v>
      </c>
      <c r="G70" s="10" t="s">
        <v>253</v>
      </c>
      <c r="H70" s="10" t="s">
        <v>8</v>
      </c>
      <c r="L70" s="10" t="s">
        <v>246</v>
      </c>
      <c r="M70" s="10" t="s">
        <v>291</v>
      </c>
      <c r="N70" s="10">
        <v>1987</v>
      </c>
      <c r="R70" s="10" t="s">
        <v>176</v>
      </c>
      <c r="S70" s="10" t="s">
        <v>6</v>
      </c>
      <c r="U70" s="15" t="s">
        <v>377</v>
      </c>
      <c r="V70" s="13">
        <v>95.625</v>
      </c>
      <c r="W70" s="10" t="s">
        <v>318</v>
      </c>
      <c r="X70" s="10" t="s">
        <v>319</v>
      </c>
    </row>
    <row r="71" spans="3:24" x14ac:dyDescent="0.25">
      <c r="C71" s="10" t="s">
        <v>2</v>
      </c>
      <c r="D71" s="10" t="s">
        <v>11</v>
      </c>
      <c r="G71" s="10" t="s">
        <v>253</v>
      </c>
      <c r="H71" s="10" t="s">
        <v>8</v>
      </c>
      <c r="L71" s="10" t="s">
        <v>246</v>
      </c>
      <c r="M71" s="10" t="s">
        <v>291</v>
      </c>
      <c r="N71" s="10">
        <v>1988</v>
      </c>
      <c r="R71" s="10" t="s">
        <v>176</v>
      </c>
      <c r="S71" s="10" t="s">
        <v>6</v>
      </c>
      <c r="U71" s="15" t="s">
        <v>378</v>
      </c>
      <c r="V71" s="13">
        <v>94.6875</v>
      </c>
      <c r="W71" s="10" t="s">
        <v>318</v>
      </c>
      <c r="X71" s="10" t="s">
        <v>319</v>
      </c>
    </row>
    <row r="72" spans="3:24" x14ac:dyDescent="0.25">
      <c r="C72" s="10" t="s">
        <v>2</v>
      </c>
      <c r="D72" s="10" t="s">
        <v>11</v>
      </c>
      <c r="G72" s="10" t="s">
        <v>253</v>
      </c>
      <c r="H72" s="10" t="s">
        <v>8</v>
      </c>
      <c r="L72" s="10" t="s">
        <v>246</v>
      </c>
      <c r="M72" s="10" t="s">
        <v>291</v>
      </c>
      <c r="N72" s="10">
        <v>1989</v>
      </c>
      <c r="R72" s="10" t="s">
        <v>176</v>
      </c>
      <c r="S72" s="10" t="s">
        <v>6</v>
      </c>
      <c r="U72" s="15" t="s">
        <v>378</v>
      </c>
      <c r="V72" s="13">
        <v>94.375</v>
      </c>
      <c r="W72" s="10" t="s">
        <v>318</v>
      </c>
      <c r="X72" s="10" t="s">
        <v>319</v>
      </c>
    </row>
    <row r="73" spans="3:24" x14ac:dyDescent="0.25">
      <c r="C73" s="10" t="s">
        <v>2</v>
      </c>
      <c r="D73" s="10" t="s">
        <v>11</v>
      </c>
      <c r="G73" s="10" t="s">
        <v>253</v>
      </c>
      <c r="H73" s="10" t="s">
        <v>8</v>
      </c>
      <c r="L73" s="10" t="s">
        <v>246</v>
      </c>
      <c r="M73" s="10" t="s">
        <v>291</v>
      </c>
      <c r="N73" s="10">
        <v>1990</v>
      </c>
      <c r="R73" s="10" t="s">
        <v>176</v>
      </c>
      <c r="S73" s="10" t="s">
        <v>6</v>
      </c>
      <c r="U73" s="15" t="s">
        <v>377</v>
      </c>
      <c r="V73" s="13">
        <v>78.125</v>
      </c>
      <c r="W73" s="10" t="s">
        <v>318</v>
      </c>
      <c r="X73" s="10" t="s">
        <v>319</v>
      </c>
    </row>
    <row r="74" spans="3:24" x14ac:dyDescent="0.25">
      <c r="C74" s="10" t="s">
        <v>2</v>
      </c>
      <c r="D74" s="10" t="s">
        <v>11</v>
      </c>
      <c r="G74" s="10" t="s">
        <v>253</v>
      </c>
      <c r="H74" s="10" t="s">
        <v>8</v>
      </c>
      <c r="L74" s="10" t="s">
        <v>246</v>
      </c>
      <c r="M74" s="10" t="s">
        <v>291</v>
      </c>
      <c r="N74" s="10">
        <v>1991</v>
      </c>
      <c r="R74" s="10" t="s">
        <v>176</v>
      </c>
      <c r="S74" s="10" t="s">
        <v>6</v>
      </c>
      <c r="U74" s="15" t="s">
        <v>378</v>
      </c>
      <c r="V74" s="13">
        <v>49.375</v>
      </c>
      <c r="W74" s="10" t="s">
        <v>318</v>
      </c>
      <c r="X74" s="10" t="s">
        <v>319</v>
      </c>
    </row>
    <row r="75" spans="3:24" x14ac:dyDescent="0.25">
      <c r="C75" s="10" t="s">
        <v>2</v>
      </c>
      <c r="D75" s="10" t="s">
        <v>11</v>
      </c>
      <c r="G75" s="10" t="s">
        <v>253</v>
      </c>
      <c r="H75" s="10" t="s">
        <v>8</v>
      </c>
      <c r="L75" s="10" t="s">
        <v>246</v>
      </c>
      <c r="M75" s="10" t="s">
        <v>291</v>
      </c>
      <c r="N75" s="10">
        <v>1992</v>
      </c>
      <c r="R75" s="10" t="s">
        <v>176</v>
      </c>
      <c r="S75" s="10" t="s">
        <v>6</v>
      </c>
      <c r="U75" s="15" t="s">
        <v>377</v>
      </c>
      <c r="V75" s="13">
        <v>70.3125</v>
      </c>
      <c r="W75" s="10" t="s">
        <v>318</v>
      </c>
      <c r="X75" s="10" t="s">
        <v>319</v>
      </c>
    </row>
    <row r="76" spans="3:24" x14ac:dyDescent="0.25">
      <c r="C76" s="10" t="s">
        <v>2</v>
      </c>
      <c r="D76" s="10" t="s">
        <v>11</v>
      </c>
      <c r="G76" s="10" t="s">
        <v>253</v>
      </c>
      <c r="H76" s="10" t="s">
        <v>8</v>
      </c>
      <c r="L76" s="10" t="s">
        <v>246</v>
      </c>
      <c r="M76" s="10" t="s">
        <v>291</v>
      </c>
      <c r="N76" s="10">
        <v>1993</v>
      </c>
      <c r="R76" s="10" t="s">
        <v>176</v>
      </c>
      <c r="S76" s="10" t="s">
        <v>6</v>
      </c>
      <c r="U76" s="15" t="s">
        <v>378</v>
      </c>
      <c r="V76" s="13">
        <v>65.9375</v>
      </c>
      <c r="W76" s="10" t="s">
        <v>318</v>
      </c>
      <c r="X76" s="10" t="s">
        <v>319</v>
      </c>
    </row>
    <row r="77" spans="3:24" x14ac:dyDescent="0.25">
      <c r="C77" s="10" t="s">
        <v>2</v>
      </c>
      <c r="D77" s="10" t="s">
        <v>11</v>
      </c>
      <c r="G77" s="10" t="s">
        <v>253</v>
      </c>
      <c r="H77" s="10" t="s">
        <v>8</v>
      </c>
      <c r="L77" s="10" t="s">
        <v>246</v>
      </c>
      <c r="M77" s="10" t="s">
        <v>291</v>
      </c>
      <c r="N77" s="10">
        <v>1994</v>
      </c>
      <c r="R77" s="10" t="s">
        <v>176</v>
      </c>
      <c r="S77" s="10" t="s">
        <v>6</v>
      </c>
      <c r="U77" s="15" t="s">
        <v>377</v>
      </c>
      <c r="V77" s="13">
        <v>73.4375</v>
      </c>
      <c r="W77" s="10" t="s">
        <v>318</v>
      </c>
      <c r="X77" s="10" t="s">
        <v>319</v>
      </c>
    </row>
    <row r="78" spans="3:24" x14ac:dyDescent="0.25">
      <c r="C78" s="10" t="s">
        <v>2</v>
      </c>
      <c r="D78" s="10" t="s">
        <v>11</v>
      </c>
      <c r="G78" s="10" t="s">
        <v>253</v>
      </c>
      <c r="H78" s="10" t="s">
        <v>8</v>
      </c>
      <c r="L78" s="10" t="s">
        <v>246</v>
      </c>
      <c r="M78" s="10" t="s">
        <v>291</v>
      </c>
      <c r="N78" s="10">
        <v>1995</v>
      </c>
      <c r="R78" s="10" t="s">
        <v>176</v>
      </c>
      <c r="S78" s="10" t="s">
        <v>6</v>
      </c>
      <c r="U78" s="15" t="s">
        <v>377</v>
      </c>
      <c r="V78" s="13">
        <v>92.1875</v>
      </c>
      <c r="W78" s="10" t="s">
        <v>318</v>
      </c>
      <c r="X78" s="10" t="s">
        <v>319</v>
      </c>
    </row>
    <row r="79" spans="3:24" x14ac:dyDescent="0.25">
      <c r="C79" s="10" t="s">
        <v>2</v>
      </c>
      <c r="D79" s="10" t="s">
        <v>11</v>
      </c>
      <c r="G79" s="10" t="s">
        <v>253</v>
      </c>
      <c r="H79" s="10" t="s">
        <v>8</v>
      </c>
      <c r="L79" s="10" t="s">
        <v>246</v>
      </c>
      <c r="M79" s="10" t="s">
        <v>291</v>
      </c>
      <c r="N79" s="10">
        <v>1996</v>
      </c>
      <c r="R79" s="10" t="s">
        <v>176</v>
      </c>
      <c r="S79" s="10" t="s">
        <v>6</v>
      </c>
      <c r="U79" s="15" t="s">
        <v>377</v>
      </c>
      <c r="V79" s="13">
        <v>81.875</v>
      </c>
      <c r="W79" s="10" t="s">
        <v>318</v>
      </c>
      <c r="X79" s="10" t="s">
        <v>319</v>
      </c>
    </row>
    <row r="80" spans="3:24" x14ac:dyDescent="0.25">
      <c r="C80" s="10" t="s">
        <v>2</v>
      </c>
      <c r="D80" s="10" t="s">
        <v>11</v>
      </c>
      <c r="G80" s="10" t="s">
        <v>253</v>
      </c>
      <c r="H80" s="10" t="s">
        <v>8</v>
      </c>
      <c r="L80" s="10" t="s">
        <v>246</v>
      </c>
      <c r="M80" s="10" t="s">
        <v>291</v>
      </c>
      <c r="N80" s="10">
        <v>1997</v>
      </c>
      <c r="R80" s="10" t="s">
        <v>176</v>
      </c>
      <c r="S80" s="10" t="s">
        <v>6</v>
      </c>
      <c r="U80" s="15" t="s">
        <v>377</v>
      </c>
      <c r="V80" s="13">
        <v>89.6875</v>
      </c>
      <c r="W80" s="10" t="s">
        <v>318</v>
      </c>
      <c r="X80" s="10" t="s">
        <v>319</v>
      </c>
    </row>
    <row r="81" spans="3:24" x14ac:dyDescent="0.25">
      <c r="C81" s="10" t="s">
        <v>2</v>
      </c>
      <c r="D81" s="10" t="s">
        <v>11</v>
      </c>
      <c r="G81" s="10" t="s">
        <v>253</v>
      </c>
      <c r="H81" s="10" t="s">
        <v>8</v>
      </c>
      <c r="L81" s="10" t="s">
        <v>246</v>
      </c>
      <c r="M81" s="10" t="s">
        <v>291</v>
      </c>
      <c r="N81" s="10">
        <v>1998</v>
      </c>
      <c r="R81" s="10" t="s">
        <v>176</v>
      </c>
      <c r="S81" s="10" t="s">
        <v>6</v>
      </c>
      <c r="U81" s="15" t="s">
        <v>377</v>
      </c>
      <c r="V81" s="13">
        <v>79.6875</v>
      </c>
      <c r="W81" s="10" t="s">
        <v>318</v>
      </c>
      <c r="X81" s="10" t="s">
        <v>319</v>
      </c>
    </row>
    <row r="82" spans="3:24" x14ac:dyDescent="0.25">
      <c r="C82" s="10" t="s">
        <v>2</v>
      </c>
      <c r="D82" s="10" t="s">
        <v>11</v>
      </c>
      <c r="G82" s="10" t="s">
        <v>237</v>
      </c>
      <c r="H82" s="10" t="s">
        <v>10</v>
      </c>
      <c r="L82" s="10" t="s">
        <v>246</v>
      </c>
      <c r="M82" s="10" t="s">
        <v>291</v>
      </c>
      <c r="N82" s="10">
        <v>1986</v>
      </c>
      <c r="R82" s="10" t="s">
        <v>176</v>
      </c>
      <c r="S82" s="10" t="s">
        <v>6</v>
      </c>
      <c r="U82" s="15" t="s">
        <v>378</v>
      </c>
      <c r="V82" s="13">
        <v>87.841939999999994</v>
      </c>
      <c r="W82" s="10" t="s">
        <v>318</v>
      </c>
      <c r="X82" s="10" t="s">
        <v>319</v>
      </c>
    </row>
    <row r="83" spans="3:24" x14ac:dyDescent="0.25">
      <c r="C83" s="10" t="s">
        <v>2</v>
      </c>
      <c r="D83" s="10" t="s">
        <v>11</v>
      </c>
      <c r="G83" s="10" t="s">
        <v>237</v>
      </c>
      <c r="H83" s="10" t="s">
        <v>10</v>
      </c>
      <c r="L83" s="10" t="s">
        <v>246</v>
      </c>
      <c r="M83" s="10" t="s">
        <v>291</v>
      </c>
      <c r="N83" s="10">
        <v>1987</v>
      </c>
      <c r="R83" s="10" t="s">
        <v>176</v>
      </c>
      <c r="S83" s="10" t="s">
        <v>6</v>
      </c>
      <c r="U83" s="15" t="s">
        <v>378</v>
      </c>
      <c r="V83" s="13">
        <v>82.066869999999994</v>
      </c>
      <c r="W83" s="10" t="s">
        <v>318</v>
      </c>
      <c r="X83" s="10" t="s">
        <v>319</v>
      </c>
    </row>
    <row r="84" spans="3:24" x14ac:dyDescent="0.25">
      <c r="C84" s="10" t="s">
        <v>2</v>
      </c>
      <c r="D84" s="10" t="s">
        <v>11</v>
      </c>
      <c r="G84" s="10" t="s">
        <v>237</v>
      </c>
      <c r="H84" s="10" t="s">
        <v>10</v>
      </c>
      <c r="L84" s="10" t="s">
        <v>246</v>
      </c>
      <c r="M84" s="10" t="s">
        <v>291</v>
      </c>
      <c r="N84" s="10">
        <v>1988</v>
      </c>
      <c r="R84" s="10" t="s">
        <v>176</v>
      </c>
      <c r="S84" s="10" t="s">
        <v>6</v>
      </c>
      <c r="U84" s="15" t="s">
        <v>378</v>
      </c>
      <c r="V84" s="13">
        <v>46.808509999999998</v>
      </c>
      <c r="W84" s="10" t="s">
        <v>318</v>
      </c>
      <c r="X84" s="10" t="s">
        <v>319</v>
      </c>
    </row>
    <row r="85" spans="3:24" x14ac:dyDescent="0.25">
      <c r="C85" s="10" t="s">
        <v>2</v>
      </c>
      <c r="D85" s="10" t="s">
        <v>11</v>
      </c>
      <c r="G85" s="10" t="s">
        <v>237</v>
      </c>
      <c r="H85" s="10" t="s">
        <v>10</v>
      </c>
      <c r="L85" s="10" t="s">
        <v>246</v>
      </c>
      <c r="M85" s="10" t="s">
        <v>291</v>
      </c>
      <c r="N85" s="10">
        <v>1989</v>
      </c>
      <c r="R85" s="10" t="s">
        <v>176</v>
      </c>
      <c r="S85" s="10" t="s">
        <v>6</v>
      </c>
      <c r="U85" s="15" t="s">
        <v>378</v>
      </c>
      <c r="V85" s="13">
        <v>69.604866000000001</v>
      </c>
      <c r="W85" s="10" t="s">
        <v>318</v>
      </c>
      <c r="X85" s="10" t="s">
        <v>319</v>
      </c>
    </row>
    <row r="86" spans="3:24" x14ac:dyDescent="0.25">
      <c r="C86" s="10" t="s">
        <v>2</v>
      </c>
      <c r="D86" s="10" t="s">
        <v>11</v>
      </c>
      <c r="G86" s="10" t="s">
        <v>237</v>
      </c>
      <c r="H86" s="10" t="s">
        <v>10</v>
      </c>
      <c r="L86" s="10" t="s">
        <v>246</v>
      </c>
      <c r="M86" s="10" t="s">
        <v>291</v>
      </c>
      <c r="N86" s="10">
        <v>1990</v>
      </c>
      <c r="R86" s="10" t="s">
        <v>176</v>
      </c>
      <c r="S86" s="10" t="s">
        <v>6</v>
      </c>
      <c r="U86" s="15" t="s">
        <v>378</v>
      </c>
      <c r="V86" s="13">
        <v>31.003039999999999</v>
      </c>
      <c r="W86" s="10" t="s">
        <v>318</v>
      </c>
      <c r="X86" s="10" t="s">
        <v>319</v>
      </c>
    </row>
    <row r="87" spans="3:24" x14ac:dyDescent="0.25">
      <c r="C87" s="10" t="s">
        <v>2</v>
      </c>
      <c r="D87" s="10" t="s">
        <v>11</v>
      </c>
      <c r="G87" s="10" t="s">
        <v>237</v>
      </c>
      <c r="H87" s="10" t="s">
        <v>10</v>
      </c>
      <c r="L87" s="10" t="s">
        <v>246</v>
      </c>
      <c r="M87" s="10" t="s">
        <v>291</v>
      </c>
      <c r="N87" s="10">
        <v>1991</v>
      </c>
      <c r="R87" s="10" t="s">
        <v>176</v>
      </c>
      <c r="S87" s="10" t="s">
        <v>6</v>
      </c>
      <c r="U87" s="15" t="s">
        <v>378</v>
      </c>
      <c r="V87" s="13">
        <v>65.653496000000004</v>
      </c>
      <c r="W87" s="10" t="s">
        <v>318</v>
      </c>
      <c r="X87" s="10" t="s">
        <v>319</v>
      </c>
    </row>
    <row r="88" spans="3:24" x14ac:dyDescent="0.25">
      <c r="C88" s="10" t="s">
        <v>2</v>
      </c>
      <c r="D88" s="10" t="s">
        <v>11</v>
      </c>
      <c r="G88" s="10" t="s">
        <v>237</v>
      </c>
      <c r="H88" s="10" t="s">
        <v>10</v>
      </c>
      <c r="L88" s="10" t="s">
        <v>246</v>
      </c>
      <c r="M88" s="10" t="s">
        <v>291</v>
      </c>
      <c r="N88" s="10">
        <v>1992</v>
      </c>
      <c r="R88" s="10" t="s">
        <v>176</v>
      </c>
      <c r="S88" s="10" t="s">
        <v>6</v>
      </c>
      <c r="U88" s="15" t="s">
        <v>378</v>
      </c>
      <c r="V88" s="13">
        <v>46.504559999999998</v>
      </c>
      <c r="W88" s="10" t="s">
        <v>318</v>
      </c>
      <c r="X88" s="10" t="s">
        <v>319</v>
      </c>
    </row>
    <row r="89" spans="3:24" x14ac:dyDescent="0.25">
      <c r="C89" s="10" t="s">
        <v>2</v>
      </c>
      <c r="D89" s="10" t="s">
        <v>11</v>
      </c>
      <c r="G89" s="10" t="s">
        <v>237</v>
      </c>
      <c r="H89" s="10" t="s">
        <v>10</v>
      </c>
      <c r="L89" s="10" t="s">
        <v>246</v>
      </c>
      <c r="M89" s="10" t="s">
        <v>291</v>
      </c>
      <c r="N89" s="10">
        <v>1993</v>
      </c>
      <c r="R89" s="10" t="s">
        <v>176</v>
      </c>
      <c r="S89" s="10" t="s">
        <v>6</v>
      </c>
      <c r="U89" s="15" t="s">
        <v>378</v>
      </c>
      <c r="V89" s="13">
        <v>17.629179000000001</v>
      </c>
      <c r="W89" s="10" t="s">
        <v>318</v>
      </c>
      <c r="X89" s="10" t="s">
        <v>319</v>
      </c>
    </row>
    <row r="90" spans="3:24" x14ac:dyDescent="0.25">
      <c r="C90" s="10" t="s">
        <v>2</v>
      </c>
      <c r="D90" s="10" t="s">
        <v>11</v>
      </c>
      <c r="G90" s="10" t="s">
        <v>237</v>
      </c>
      <c r="H90" s="10" t="s">
        <v>10</v>
      </c>
      <c r="L90" s="10" t="s">
        <v>246</v>
      </c>
      <c r="M90" s="10" t="s">
        <v>291</v>
      </c>
      <c r="N90" s="10">
        <v>1994</v>
      </c>
      <c r="R90" s="10" t="s">
        <v>176</v>
      </c>
      <c r="S90" s="10" t="s">
        <v>6</v>
      </c>
      <c r="U90" s="15" t="s">
        <v>378</v>
      </c>
      <c r="V90" s="13">
        <v>13.981763000000001</v>
      </c>
      <c r="W90" s="10" t="s">
        <v>318</v>
      </c>
      <c r="X90" s="10" t="s">
        <v>319</v>
      </c>
    </row>
    <row r="91" spans="3:24" x14ac:dyDescent="0.25">
      <c r="C91" s="10" t="s">
        <v>2</v>
      </c>
      <c r="D91" s="10" t="s">
        <v>11</v>
      </c>
      <c r="G91" s="10" t="s">
        <v>237</v>
      </c>
      <c r="H91" s="10" t="s">
        <v>10</v>
      </c>
      <c r="L91" s="10" t="s">
        <v>246</v>
      </c>
      <c r="M91" s="10" t="s">
        <v>291</v>
      </c>
      <c r="N91" s="10">
        <v>1995</v>
      </c>
      <c r="R91" s="10" t="s">
        <v>176</v>
      </c>
      <c r="S91" s="10" t="s">
        <v>6</v>
      </c>
      <c r="U91" s="15" t="s">
        <v>378</v>
      </c>
      <c r="V91" s="13">
        <v>79.939210000000003</v>
      </c>
      <c r="W91" s="10" t="s">
        <v>318</v>
      </c>
      <c r="X91" s="10" t="s">
        <v>319</v>
      </c>
    </row>
    <row r="92" spans="3:24" x14ac:dyDescent="0.25">
      <c r="C92" s="10" t="s">
        <v>2</v>
      </c>
      <c r="D92" s="10" t="s">
        <v>11</v>
      </c>
      <c r="G92" s="10" t="s">
        <v>237</v>
      </c>
      <c r="H92" s="10" t="s">
        <v>10</v>
      </c>
      <c r="L92" s="10" t="s">
        <v>246</v>
      </c>
      <c r="M92" s="10" t="s">
        <v>291</v>
      </c>
      <c r="N92" s="10">
        <v>1996</v>
      </c>
      <c r="R92" s="10" t="s">
        <v>176</v>
      </c>
      <c r="S92" s="10" t="s">
        <v>6</v>
      </c>
      <c r="U92" s="15" t="s">
        <v>378</v>
      </c>
      <c r="V92" s="13">
        <v>44.072949999999999</v>
      </c>
      <c r="W92" s="10" t="s">
        <v>318</v>
      </c>
      <c r="X92" s="10" t="s">
        <v>319</v>
      </c>
    </row>
    <row r="93" spans="3:24" x14ac:dyDescent="0.25">
      <c r="C93" s="10" t="s">
        <v>2</v>
      </c>
      <c r="D93" s="10" t="s">
        <v>11</v>
      </c>
      <c r="G93" s="10" t="s">
        <v>237</v>
      </c>
      <c r="H93" s="10" t="s">
        <v>10</v>
      </c>
      <c r="L93" s="10" t="s">
        <v>246</v>
      </c>
      <c r="M93" s="10" t="s">
        <v>291</v>
      </c>
      <c r="N93" s="10">
        <v>1997</v>
      </c>
      <c r="R93" s="10" t="s">
        <v>176</v>
      </c>
      <c r="S93" s="10" t="s">
        <v>6</v>
      </c>
      <c r="U93" s="15" t="s">
        <v>378</v>
      </c>
      <c r="V93" s="13">
        <v>79.331310000000002</v>
      </c>
      <c r="W93" s="10" t="s">
        <v>318</v>
      </c>
      <c r="X93" s="10" t="s">
        <v>319</v>
      </c>
    </row>
    <row r="94" spans="3:24" x14ac:dyDescent="0.25">
      <c r="C94" s="10" t="s">
        <v>2</v>
      </c>
      <c r="D94" s="10" t="s">
        <v>11</v>
      </c>
      <c r="G94" s="10" t="s">
        <v>237</v>
      </c>
      <c r="H94" s="10" t="s">
        <v>10</v>
      </c>
      <c r="L94" s="10" t="s">
        <v>246</v>
      </c>
      <c r="M94" s="10" t="s">
        <v>291</v>
      </c>
      <c r="N94" s="10">
        <v>1998</v>
      </c>
      <c r="R94" s="10" t="s">
        <v>176</v>
      </c>
      <c r="S94" s="10" t="s">
        <v>6</v>
      </c>
      <c r="U94" s="15" t="s">
        <v>378</v>
      </c>
      <c r="V94" s="13">
        <v>21.580546999999999</v>
      </c>
      <c r="W94" s="10" t="s">
        <v>318</v>
      </c>
      <c r="X94" s="10" t="s">
        <v>319</v>
      </c>
    </row>
    <row r="95" spans="3:24" x14ac:dyDescent="0.25">
      <c r="C95" s="10" t="s">
        <v>2</v>
      </c>
      <c r="D95" s="10" t="s">
        <v>11</v>
      </c>
      <c r="G95" s="9" t="s">
        <v>16</v>
      </c>
      <c r="H95" s="10" t="s">
        <v>15</v>
      </c>
      <c r="L95" s="10" t="s">
        <v>246</v>
      </c>
      <c r="M95" s="10" t="s">
        <v>291</v>
      </c>
      <c r="N95" s="10">
        <v>1986</v>
      </c>
      <c r="R95" s="10" t="s">
        <v>176</v>
      </c>
      <c r="S95" s="10" t="s">
        <v>6</v>
      </c>
      <c r="U95" s="15" t="s">
        <v>378</v>
      </c>
      <c r="V95" s="13">
        <v>100</v>
      </c>
      <c r="W95" s="10" t="s">
        <v>318</v>
      </c>
      <c r="X95" s="10" t="s">
        <v>319</v>
      </c>
    </row>
    <row r="96" spans="3:24" x14ac:dyDescent="0.25">
      <c r="C96" s="10" t="s">
        <v>2</v>
      </c>
      <c r="D96" s="10" t="s">
        <v>11</v>
      </c>
      <c r="G96" s="9" t="s">
        <v>16</v>
      </c>
      <c r="H96" s="10" t="s">
        <v>15</v>
      </c>
      <c r="L96" s="10" t="s">
        <v>246</v>
      </c>
      <c r="M96" s="10" t="s">
        <v>291</v>
      </c>
      <c r="N96" s="10">
        <v>1987</v>
      </c>
      <c r="R96" s="10" t="s">
        <v>176</v>
      </c>
      <c r="S96" s="10" t="s">
        <v>6</v>
      </c>
      <c r="U96" s="15" t="s">
        <v>378</v>
      </c>
      <c r="V96" s="13">
        <v>100</v>
      </c>
      <c r="W96" s="10" t="s">
        <v>318</v>
      </c>
      <c r="X96" s="10" t="s">
        <v>319</v>
      </c>
    </row>
    <row r="97" spans="3:24" x14ac:dyDescent="0.25">
      <c r="C97" s="10" t="s">
        <v>2</v>
      </c>
      <c r="D97" s="10" t="s">
        <v>11</v>
      </c>
      <c r="G97" s="9" t="s">
        <v>16</v>
      </c>
      <c r="H97" s="10" t="s">
        <v>15</v>
      </c>
      <c r="L97" s="10" t="s">
        <v>246</v>
      </c>
      <c r="M97" s="10" t="s">
        <v>291</v>
      </c>
      <c r="N97" s="10">
        <v>1988</v>
      </c>
      <c r="R97" s="10" t="s">
        <v>176</v>
      </c>
      <c r="S97" s="10" t="s">
        <v>6</v>
      </c>
      <c r="U97" s="15" t="s">
        <v>378</v>
      </c>
      <c r="V97" s="13">
        <v>100</v>
      </c>
      <c r="W97" s="10" t="s">
        <v>318</v>
      </c>
      <c r="X97" s="10" t="s">
        <v>319</v>
      </c>
    </row>
    <row r="98" spans="3:24" x14ac:dyDescent="0.25">
      <c r="C98" s="10" t="s">
        <v>2</v>
      </c>
      <c r="D98" s="10" t="s">
        <v>11</v>
      </c>
      <c r="G98" s="9" t="s">
        <v>16</v>
      </c>
      <c r="H98" s="10" t="s">
        <v>15</v>
      </c>
      <c r="L98" s="10" t="s">
        <v>246</v>
      </c>
      <c r="M98" s="10" t="s">
        <v>291</v>
      </c>
      <c r="N98" s="10">
        <v>1989</v>
      </c>
      <c r="R98" s="10" t="s">
        <v>176</v>
      </c>
      <c r="S98" s="10" t="s">
        <v>6</v>
      </c>
      <c r="U98" s="15" t="s">
        <v>377</v>
      </c>
      <c r="V98" s="13">
        <v>100</v>
      </c>
      <c r="W98" s="10" t="s">
        <v>318</v>
      </c>
      <c r="X98" s="10" t="s">
        <v>319</v>
      </c>
    </row>
    <row r="99" spans="3:24" x14ac:dyDescent="0.25">
      <c r="C99" s="10" t="s">
        <v>2</v>
      </c>
      <c r="D99" s="10" t="s">
        <v>11</v>
      </c>
      <c r="G99" s="9" t="s">
        <v>16</v>
      </c>
      <c r="H99" s="10" t="s">
        <v>15</v>
      </c>
      <c r="L99" s="10" t="s">
        <v>246</v>
      </c>
      <c r="M99" s="10" t="s">
        <v>291</v>
      </c>
      <c r="N99" s="10">
        <v>1990</v>
      </c>
      <c r="R99" s="10" t="s">
        <v>176</v>
      </c>
      <c r="S99" s="10" t="s">
        <v>6</v>
      </c>
      <c r="U99" s="15" t="s">
        <v>377</v>
      </c>
      <c r="V99" s="13">
        <v>100</v>
      </c>
      <c r="W99" s="10" t="s">
        <v>318</v>
      </c>
      <c r="X99" s="10" t="s">
        <v>319</v>
      </c>
    </row>
    <row r="100" spans="3:24" x14ac:dyDescent="0.25">
      <c r="C100" s="10" t="s">
        <v>2</v>
      </c>
      <c r="D100" s="10" t="s">
        <v>11</v>
      </c>
      <c r="G100" s="9" t="s">
        <v>16</v>
      </c>
      <c r="H100" s="10" t="s">
        <v>15</v>
      </c>
      <c r="L100" s="10" t="s">
        <v>246</v>
      </c>
      <c r="M100" s="10" t="s">
        <v>291</v>
      </c>
      <c r="N100" s="10">
        <v>1991</v>
      </c>
      <c r="R100" s="10" t="s">
        <v>176</v>
      </c>
      <c r="S100" s="10" t="s">
        <v>6</v>
      </c>
      <c r="U100" s="15" t="s">
        <v>377</v>
      </c>
      <c r="V100" s="13">
        <v>100</v>
      </c>
      <c r="W100" s="10" t="s">
        <v>318</v>
      </c>
      <c r="X100" s="10" t="s">
        <v>319</v>
      </c>
    </row>
    <row r="101" spans="3:24" x14ac:dyDescent="0.25">
      <c r="C101" s="10" t="s">
        <v>2</v>
      </c>
      <c r="D101" s="10" t="s">
        <v>11</v>
      </c>
      <c r="G101" s="9" t="s">
        <v>16</v>
      </c>
      <c r="H101" s="10" t="s">
        <v>15</v>
      </c>
      <c r="L101" s="10" t="s">
        <v>246</v>
      </c>
      <c r="M101" s="10" t="s">
        <v>291</v>
      </c>
      <c r="N101" s="10">
        <v>1992</v>
      </c>
      <c r="R101" s="10" t="s">
        <v>176</v>
      </c>
      <c r="S101" s="10" t="s">
        <v>6</v>
      </c>
      <c r="U101" s="15" t="s">
        <v>378</v>
      </c>
      <c r="V101" s="13">
        <v>96.18056</v>
      </c>
      <c r="W101" s="10" t="s">
        <v>318</v>
      </c>
      <c r="X101" s="10" t="s">
        <v>319</v>
      </c>
    </row>
    <row r="102" spans="3:24" x14ac:dyDescent="0.25">
      <c r="C102" s="10" t="s">
        <v>2</v>
      </c>
      <c r="D102" s="10" t="s">
        <v>11</v>
      </c>
      <c r="G102" s="9" t="s">
        <v>16</v>
      </c>
      <c r="H102" s="10" t="s">
        <v>15</v>
      </c>
      <c r="L102" s="10" t="s">
        <v>246</v>
      </c>
      <c r="M102" s="10" t="s">
        <v>291</v>
      </c>
      <c r="N102" s="10">
        <v>1993</v>
      </c>
      <c r="R102" s="10" t="s">
        <v>176</v>
      </c>
      <c r="S102" s="10" t="s">
        <v>6</v>
      </c>
      <c r="U102" s="15" t="s">
        <v>378</v>
      </c>
      <c r="V102" s="13">
        <v>96.18056</v>
      </c>
      <c r="W102" s="10" t="s">
        <v>318</v>
      </c>
      <c r="X102" s="10" t="s">
        <v>319</v>
      </c>
    </row>
    <row r="103" spans="3:24" x14ac:dyDescent="0.25">
      <c r="C103" s="10" t="s">
        <v>2</v>
      </c>
      <c r="D103" s="10" t="s">
        <v>11</v>
      </c>
      <c r="G103" s="9" t="s">
        <v>16</v>
      </c>
      <c r="H103" s="10" t="s">
        <v>15</v>
      </c>
      <c r="L103" s="10" t="s">
        <v>246</v>
      </c>
      <c r="M103" s="10" t="s">
        <v>291</v>
      </c>
      <c r="N103" s="10">
        <v>1994</v>
      </c>
      <c r="R103" s="10" t="s">
        <v>176</v>
      </c>
      <c r="S103" s="10" t="s">
        <v>6</v>
      </c>
      <c r="U103" s="15" t="s">
        <v>377</v>
      </c>
      <c r="V103" s="13">
        <v>84.722219999999993</v>
      </c>
      <c r="W103" s="10" t="s">
        <v>318</v>
      </c>
      <c r="X103" s="10" t="s">
        <v>319</v>
      </c>
    </row>
    <row r="104" spans="3:24" x14ac:dyDescent="0.25">
      <c r="C104" s="10" t="s">
        <v>2</v>
      </c>
      <c r="D104" s="10" t="s">
        <v>11</v>
      </c>
      <c r="G104" s="9" t="s">
        <v>16</v>
      </c>
      <c r="H104" s="10" t="s">
        <v>15</v>
      </c>
      <c r="L104" s="10" t="s">
        <v>246</v>
      </c>
      <c r="M104" s="10" t="s">
        <v>291</v>
      </c>
      <c r="N104" s="10">
        <v>1995</v>
      </c>
      <c r="R104" s="10" t="s">
        <v>176</v>
      </c>
      <c r="S104" s="10" t="s">
        <v>6</v>
      </c>
      <c r="U104" s="15" t="s">
        <v>378</v>
      </c>
      <c r="V104" s="13">
        <v>87.152780000000007</v>
      </c>
      <c r="W104" s="10" t="s">
        <v>318</v>
      </c>
      <c r="X104" s="10" t="s">
        <v>319</v>
      </c>
    </row>
    <row r="105" spans="3:24" x14ac:dyDescent="0.25">
      <c r="C105" s="10" t="s">
        <v>2</v>
      </c>
      <c r="D105" s="10" t="s">
        <v>11</v>
      </c>
      <c r="G105" s="9" t="s">
        <v>16</v>
      </c>
      <c r="H105" s="10" t="s">
        <v>15</v>
      </c>
      <c r="L105" s="10" t="s">
        <v>246</v>
      </c>
      <c r="M105" s="10" t="s">
        <v>291</v>
      </c>
      <c r="N105" s="10">
        <v>1996</v>
      </c>
      <c r="R105" s="10" t="s">
        <v>176</v>
      </c>
      <c r="S105" s="10" t="s">
        <v>6</v>
      </c>
      <c r="U105" s="15" t="s">
        <v>378</v>
      </c>
      <c r="V105" s="13">
        <v>100</v>
      </c>
      <c r="W105" s="10" t="s">
        <v>318</v>
      </c>
      <c r="X105" s="10" t="s">
        <v>319</v>
      </c>
    </row>
    <row r="106" spans="3:24" x14ac:dyDescent="0.25">
      <c r="C106" s="10" t="s">
        <v>2</v>
      </c>
      <c r="D106" s="10" t="s">
        <v>11</v>
      </c>
      <c r="G106" s="9" t="s">
        <v>16</v>
      </c>
      <c r="H106" s="10" t="s">
        <v>15</v>
      </c>
      <c r="L106" s="10" t="s">
        <v>246</v>
      </c>
      <c r="M106" s="10" t="s">
        <v>291</v>
      </c>
      <c r="N106" s="10">
        <v>1997</v>
      </c>
      <c r="R106" s="10" t="s">
        <v>176</v>
      </c>
      <c r="S106" s="10" t="s">
        <v>6</v>
      </c>
      <c r="U106" s="15" t="s">
        <v>378</v>
      </c>
      <c r="V106" s="13">
        <v>100</v>
      </c>
      <c r="W106" s="10" t="s">
        <v>318</v>
      </c>
      <c r="X106" s="10" t="s">
        <v>319</v>
      </c>
    </row>
    <row r="107" spans="3:24" x14ac:dyDescent="0.25">
      <c r="C107" s="10" t="s">
        <v>2</v>
      </c>
      <c r="D107" s="10" t="s">
        <v>11</v>
      </c>
      <c r="G107" s="9" t="s">
        <v>16</v>
      </c>
      <c r="H107" s="10" t="s">
        <v>15</v>
      </c>
      <c r="L107" s="10" t="s">
        <v>246</v>
      </c>
      <c r="M107" s="10" t="s">
        <v>291</v>
      </c>
      <c r="N107" s="10">
        <v>1998</v>
      </c>
      <c r="R107" s="10" t="s">
        <v>176</v>
      </c>
      <c r="S107" s="10" t="s">
        <v>6</v>
      </c>
      <c r="U107" s="15" t="s">
        <v>378</v>
      </c>
      <c r="V107" s="13">
        <v>96.875</v>
      </c>
      <c r="W107" s="10" t="s">
        <v>318</v>
      </c>
      <c r="X107" s="10" t="s">
        <v>319</v>
      </c>
    </row>
    <row r="108" spans="3:24" x14ac:dyDescent="0.25">
      <c r="C108" s="10" t="s">
        <v>2</v>
      </c>
      <c r="D108" s="10" t="s">
        <v>11</v>
      </c>
      <c r="G108" s="9" t="s">
        <v>237</v>
      </c>
      <c r="H108" s="10" t="s">
        <v>10</v>
      </c>
      <c r="L108" s="10" t="s">
        <v>246</v>
      </c>
      <c r="M108" s="10" t="s">
        <v>308</v>
      </c>
      <c r="N108" s="10">
        <v>2004</v>
      </c>
      <c r="R108" s="10" t="s">
        <v>176</v>
      </c>
      <c r="S108" s="10" t="s">
        <v>6</v>
      </c>
      <c r="T108" s="10" t="s">
        <v>13</v>
      </c>
      <c r="V108" s="13">
        <v>1</v>
      </c>
      <c r="W108" s="10" t="s">
        <v>3</v>
      </c>
      <c r="X108" s="10" t="s">
        <v>304</v>
      </c>
    </row>
    <row r="109" spans="3:24" x14ac:dyDescent="0.25">
      <c r="C109" s="10" t="s">
        <v>2</v>
      </c>
      <c r="D109" s="10" t="s">
        <v>11</v>
      </c>
      <c r="G109" s="9" t="s">
        <v>237</v>
      </c>
      <c r="H109" s="10" t="s">
        <v>10</v>
      </c>
      <c r="L109" s="10" t="s">
        <v>246</v>
      </c>
      <c r="M109" s="10" t="s">
        <v>308</v>
      </c>
      <c r="N109" s="10">
        <v>2004</v>
      </c>
      <c r="R109" s="10" t="s">
        <v>174</v>
      </c>
      <c r="S109" s="10" t="s">
        <v>69</v>
      </c>
      <c r="T109" s="10" t="s">
        <v>307</v>
      </c>
      <c r="V109" s="13">
        <v>97.9</v>
      </c>
      <c r="W109" s="10" t="s">
        <v>27</v>
      </c>
      <c r="X109" s="10" t="s">
        <v>304</v>
      </c>
    </row>
    <row r="110" spans="3:24" x14ac:dyDescent="0.25">
      <c r="C110" s="10" t="s">
        <v>2</v>
      </c>
      <c r="D110" s="10" t="s">
        <v>11</v>
      </c>
      <c r="G110" s="9" t="s">
        <v>237</v>
      </c>
      <c r="H110" s="10" t="s">
        <v>10</v>
      </c>
      <c r="L110" s="10" t="s">
        <v>246</v>
      </c>
      <c r="M110" s="10" t="s">
        <v>303</v>
      </c>
      <c r="N110" s="10" t="s">
        <v>12</v>
      </c>
      <c r="R110" s="10" t="s">
        <v>176</v>
      </c>
      <c r="S110" s="10" t="s">
        <v>6</v>
      </c>
      <c r="V110" s="13">
        <v>52</v>
      </c>
      <c r="W110" s="10" t="s">
        <v>3</v>
      </c>
      <c r="X110" s="10" t="s">
        <v>305</v>
      </c>
    </row>
    <row r="111" spans="3:24" x14ac:dyDescent="0.25">
      <c r="C111" s="10" t="s">
        <v>2</v>
      </c>
      <c r="D111" s="10" t="s">
        <v>11</v>
      </c>
      <c r="G111" s="9" t="s">
        <v>237</v>
      </c>
      <c r="H111" s="10" t="s">
        <v>10</v>
      </c>
      <c r="L111" s="10" t="s">
        <v>246</v>
      </c>
      <c r="M111" s="10" t="s">
        <v>303</v>
      </c>
      <c r="N111" s="10" t="s">
        <v>12</v>
      </c>
      <c r="R111" s="10" t="s">
        <v>174</v>
      </c>
      <c r="S111" s="10" t="s">
        <v>69</v>
      </c>
      <c r="V111" s="13">
        <v>39.4</v>
      </c>
      <c r="W111" s="10" t="s">
        <v>27</v>
      </c>
      <c r="X111" s="10" t="s">
        <v>306</v>
      </c>
    </row>
    <row r="112" spans="3:24" x14ac:dyDescent="0.25">
      <c r="C112" s="10" t="s">
        <v>2</v>
      </c>
      <c r="D112" s="10" t="s">
        <v>11</v>
      </c>
      <c r="G112" s="9" t="s">
        <v>251</v>
      </c>
      <c r="H112" s="10" t="s">
        <v>15</v>
      </c>
      <c r="L112" s="10" t="s">
        <v>313</v>
      </c>
      <c r="M112" s="10" t="s">
        <v>312</v>
      </c>
      <c r="N112" s="10">
        <v>1991</v>
      </c>
      <c r="R112" s="10" t="s">
        <v>176</v>
      </c>
      <c r="S112" s="10" t="s">
        <v>6</v>
      </c>
      <c r="T112" s="10">
        <v>85.5</v>
      </c>
      <c r="X112" s="10" t="s">
        <v>62</v>
      </c>
    </row>
    <row r="113" spans="3:24" x14ac:dyDescent="0.25">
      <c r="C113" s="10" t="s">
        <v>341</v>
      </c>
      <c r="D113" s="10" t="s">
        <v>0</v>
      </c>
      <c r="E113" s="10" t="s">
        <v>320</v>
      </c>
      <c r="G113" s="10" t="s">
        <v>137</v>
      </c>
      <c r="H113" s="10" t="s">
        <v>52</v>
      </c>
      <c r="I113" s="15" t="s">
        <v>360</v>
      </c>
      <c r="J113" s="10" t="s">
        <v>384</v>
      </c>
      <c r="L113" s="10" t="s">
        <v>155</v>
      </c>
      <c r="M113" s="10" t="s">
        <v>60</v>
      </c>
      <c r="N113" s="10">
        <v>1972</v>
      </c>
      <c r="O113" s="10">
        <v>1972</v>
      </c>
      <c r="R113" s="10" t="s">
        <v>110</v>
      </c>
      <c r="S113" s="10" t="s">
        <v>47</v>
      </c>
      <c r="T113" s="10">
        <v>70</v>
      </c>
      <c r="X113" s="10" t="s">
        <v>359</v>
      </c>
    </row>
    <row r="114" spans="3:24" x14ac:dyDescent="0.25">
      <c r="C114" s="10" t="s">
        <v>341</v>
      </c>
      <c r="D114" s="10" t="s">
        <v>0</v>
      </c>
      <c r="E114" s="10" t="s">
        <v>320</v>
      </c>
      <c r="G114" s="10" t="s">
        <v>136</v>
      </c>
      <c r="H114" s="10" t="s">
        <v>51</v>
      </c>
      <c r="M114" s="10" t="s">
        <v>321</v>
      </c>
      <c r="R114" s="10" t="s">
        <v>110</v>
      </c>
      <c r="S114" s="10" t="s">
        <v>47</v>
      </c>
      <c r="V114" s="13">
        <v>76</v>
      </c>
      <c r="X114" s="16" t="s">
        <v>325</v>
      </c>
    </row>
    <row r="115" spans="3:24" x14ac:dyDescent="0.25">
      <c r="C115" s="10" t="s">
        <v>341</v>
      </c>
      <c r="D115" s="10" t="s">
        <v>0</v>
      </c>
      <c r="E115" s="10" t="s">
        <v>320</v>
      </c>
      <c r="G115" s="10" t="s">
        <v>136</v>
      </c>
      <c r="H115" s="10" t="s">
        <v>51</v>
      </c>
      <c r="M115" s="10" t="s">
        <v>322</v>
      </c>
      <c r="N115" s="10" t="s">
        <v>323</v>
      </c>
      <c r="R115" s="10" t="s">
        <v>110</v>
      </c>
      <c r="S115" s="10" t="s">
        <v>47</v>
      </c>
      <c r="T115" s="10" t="s">
        <v>324</v>
      </c>
      <c r="V115" s="10" t="s">
        <v>50</v>
      </c>
      <c r="X115" s="16" t="s">
        <v>325</v>
      </c>
    </row>
    <row r="116" spans="3:24" x14ac:dyDescent="0.25">
      <c r="C116" s="10" t="s">
        <v>341</v>
      </c>
      <c r="D116" s="10" t="s">
        <v>0</v>
      </c>
      <c r="E116" s="10" t="s">
        <v>327</v>
      </c>
      <c r="G116" s="10" t="s">
        <v>132</v>
      </c>
      <c r="H116" s="10" t="s">
        <v>44</v>
      </c>
      <c r="L116" s="10" t="s">
        <v>333</v>
      </c>
      <c r="M116" s="10" t="s">
        <v>326</v>
      </c>
      <c r="N116" s="10" t="s">
        <v>328</v>
      </c>
      <c r="R116" s="10" t="s">
        <v>110</v>
      </c>
      <c r="S116" s="10" t="s">
        <v>47</v>
      </c>
      <c r="T116" s="10">
        <v>122.95</v>
      </c>
      <c r="X116" s="10" t="s">
        <v>379</v>
      </c>
    </row>
    <row r="117" spans="3:24" x14ac:dyDescent="0.25">
      <c r="C117" s="10" t="s">
        <v>341</v>
      </c>
      <c r="D117" s="10" t="s">
        <v>0</v>
      </c>
      <c r="E117" s="10" t="s">
        <v>327</v>
      </c>
      <c r="G117" s="10" t="s">
        <v>132</v>
      </c>
      <c r="H117" s="10" t="s">
        <v>44</v>
      </c>
      <c r="M117" s="10" t="s">
        <v>329</v>
      </c>
      <c r="R117" s="10" t="s">
        <v>110</v>
      </c>
      <c r="S117" s="10" t="s">
        <v>47</v>
      </c>
      <c r="V117" s="10">
        <v>96</v>
      </c>
      <c r="X117" s="10" t="s">
        <v>380</v>
      </c>
    </row>
    <row r="118" spans="3:24" x14ac:dyDescent="0.25">
      <c r="C118" s="10" t="s">
        <v>341</v>
      </c>
      <c r="D118" s="10" t="s">
        <v>0</v>
      </c>
      <c r="E118" s="10" t="s">
        <v>327</v>
      </c>
      <c r="G118" s="10" t="s">
        <v>145</v>
      </c>
      <c r="H118" s="10" t="s">
        <v>45</v>
      </c>
      <c r="M118" s="10" t="s">
        <v>331</v>
      </c>
      <c r="N118" s="10" t="s">
        <v>330</v>
      </c>
      <c r="R118" s="10" t="s">
        <v>110</v>
      </c>
      <c r="S118" s="10" t="s">
        <v>47</v>
      </c>
      <c r="T118" s="10">
        <v>121.38</v>
      </c>
      <c r="X118" s="10" t="s">
        <v>379</v>
      </c>
    </row>
    <row r="119" spans="3:24" x14ac:dyDescent="0.25">
      <c r="C119" s="10" t="s">
        <v>341</v>
      </c>
      <c r="D119" s="10" t="s">
        <v>0</v>
      </c>
      <c r="E119" s="10" t="s">
        <v>327</v>
      </c>
      <c r="G119" s="10" t="s">
        <v>145</v>
      </c>
      <c r="H119" s="10" t="s">
        <v>45</v>
      </c>
      <c r="M119" s="10" t="s">
        <v>332</v>
      </c>
      <c r="R119" s="10" t="s">
        <v>110</v>
      </c>
      <c r="S119" s="10" t="s">
        <v>47</v>
      </c>
      <c r="V119" s="10">
        <v>80</v>
      </c>
      <c r="X119" s="10" t="s">
        <v>380</v>
      </c>
    </row>
    <row r="120" spans="3:24" x14ac:dyDescent="0.25">
      <c r="C120" s="10" t="s">
        <v>341</v>
      </c>
      <c r="D120" s="10" t="s">
        <v>0</v>
      </c>
      <c r="E120" s="10" t="s">
        <v>327</v>
      </c>
      <c r="G120" s="10" t="s">
        <v>131</v>
      </c>
      <c r="H120" s="10" t="s">
        <v>46</v>
      </c>
      <c r="M120" s="10" t="s">
        <v>332</v>
      </c>
      <c r="R120" s="10" t="s">
        <v>110</v>
      </c>
      <c r="S120" s="10" t="s">
        <v>47</v>
      </c>
      <c r="V120" s="10">
        <v>80</v>
      </c>
      <c r="X120" s="10" t="s">
        <v>380</v>
      </c>
    </row>
    <row r="121" spans="3:24" x14ac:dyDescent="0.25">
      <c r="C121" s="10" t="s">
        <v>341</v>
      </c>
      <c r="D121" s="10" t="s">
        <v>0</v>
      </c>
      <c r="E121" s="10" t="s">
        <v>335</v>
      </c>
      <c r="G121" s="10" t="s">
        <v>195</v>
      </c>
      <c r="H121" s="10" t="s">
        <v>52</v>
      </c>
      <c r="M121" s="10" t="s">
        <v>334</v>
      </c>
      <c r="N121" s="10">
        <v>1979</v>
      </c>
      <c r="R121" s="10" t="s">
        <v>110</v>
      </c>
      <c r="S121" s="10" t="s">
        <v>47</v>
      </c>
      <c r="V121" s="10">
        <v>0.8</v>
      </c>
      <c r="W121" s="10" t="s">
        <v>340</v>
      </c>
    </row>
    <row r="122" spans="3:24" x14ac:dyDescent="0.25">
      <c r="C122" s="10" t="s">
        <v>341</v>
      </c>
      <c r="D122" s="10" t="s">
        <v>0</v>
      </c>
      <c r="E122" s="10" t="s">
        <v>55</v>
      </c>
      <c r="G122" s="10" t="s">
        <v>195</v>
      </c>
      <c r="H122" s="10" t="s">
        <v>52</v>
      </c>
      <c r="M122" s="10" t="s">
        <v>334</v>
      </c>
      <c r="N122" s="10">
        <v>1979</v>
      </c>
      <c r="R122" s="10" t="s">
        <v>110</v>
      </c>
      <c r="S122" s="10" t="s">
        <v>47</v>
      </c>
      <c r="V122" s="10">
        <v>37.799999999999997</v>
      </c>
      <c r="W122" s="10" t="s">
        <v>340</v>
      </c>
    </row>
    <row r="123" spans="3:24" x14ac:dyDescent="0.25">
      <c r="C123" s="10" t="s">
        <v>341</v>
      </c>
      <c r="D123" s="10" t="s">
        <v>0</v>
      </c>
      <c r="E123" s="10" t="s">
        <v>336</v>
      </c>
      <c r="G123" s="10" t="s">
        <v>195</v>
      </c>
      <c r="H123" s="10" t="s">
        <v>52</v>
      </c>
      <c r="M123" s="10" t="s">
        <v>334</v>
      </c>
      <c r="N123" s="10">
        <v>1979</v>
      </c>
      <c r="R123" s="10" t="s">
        <v>110</v>
      </c>
      <c r="S123" s="10" t="s">
        <v>47</v>
      </c>
      <c r="V123" s="10">
        <v>48.6</v>
      </c>
      <c r="W123" s="10" t="s">
        <v>340</v>
      </c>
    </row>
    <row r="124" spans="3:24" x14ac:dyDescent="0.25">
      <c r="C124" s="10" t="s">
        <v>341</v>
      </c>
      <c r="D124" s="10" t="s">
        <v>0</v>
      </c>
      <c r="E124" s="10" t="s">
        <v>338</v>
      </c>
      <c r="G124" s="10" t="s">
        <v>195</v>
      </c>
      <c r="H124" s="10" t="s">
        <v>52</v>
      </c>
      <c r="M124" s="10" t="s">
        <v>334</v>
      </c>
      <c r="N124" s="10">
        <v>1979</v>
      </c>
      <c r="R124" s="10" t="s">
        <v>110</v>
      </c>
      <c r="S124" s="10" t="s">
        <v>47</v>
      </c>
      <c r="V124" s="10">
        <v>39</v>
      </c>
      <c r="W124" s="10" t="s">
        <v>340</v>
      </c>
    </row>
    <row r="125" spans="3:24" x14ac:dyDescent="0.25">
      <c r="C125" s="10" t="s">
        <v>341</v>
      </c>
      <c r="D125" s="10" t="s">
        <v>0</v>
      </c>
      <c r="E125" s="10" t="s">
        <v>335</v>
      </c>
      <c r="G125" s="10" t="s">
        <v>339</v>
      </c>
      <c r="H125" s="10" t="s">
        <v>56</v>
      </c>
      <c r="M125" s="10" t="s">
        <v>334</v>
      </c>
      <c r="N125" s="10">
        <v>1979</v>
      </c>
      <c r="R125" s="10" t="s">
        <v>110</v>
      </c>
      <c r="S125" s="10" t="s">
        <v>47</v>
      </c>
      <c r="V125" s="10">
        <v>0</v>
      </c>
      <c r="W125" s="10" t="s">
        <v>340</v>
      </c>
    </row>
    <row r="126" spans="3:24" x14ac:dyDescent="0.25">
      <c r="C126" s="10" t="s">
        <v>341</v>
      </c>
      <c r="D126" s="10" t="s">
        <v>0</v>
      </c>
      <c r="E126" s="10" t="s">
        <v>336</v>
      </c>
      <c r="G126" s="10" t="s">
        <v>339</v>
      </c>
      <c r="H126" s="10" t="s">
        <v>56</v>
      </c>
      <c r="M126" s="10" t="s">
        <v>334</v>
      </c>
      <c r="N126" s="10">
        <v>1979</v>
      </c>
      <c r="R126" s="10" t="s">
        <v>110</v>
      </c>
      <c r="S126" s="10" t="s">
        <v>47</v>
      </c>
      <c r="V126" s="10">
        <v>78</v>
      </c>
      <c r="W126" s="10" t="s">
        <v>340</v>
      </c>
    </row>
    <row r="127" spans="3:24" x14ac:dyDescent="0.25">
      <c r="C127" s="10" t="s">
        <v>341</v>
      </c>
      <c r="D127" s="10" t="s">
        <v>0</v>
      </c>
      <c r="E127" s="10" t="s">
        <v>337</v>
      </c>
      <c r="G127" s="10" t="s">
        <v>339</v>
      </c>
      <c r="H127" s="10" t="s">
        <v>56</v>
      </c>
      <c r="M127" s="10" t="s">
        <v>334</v>
      </c>
      <c r="N127" s="10">
        <v>1979</v>
      </c>
      <c r="R127" s="10" t="s">
        <v>110</v>
      </c>
      <c r="S127" s="10" t="s">
        <v>47</v>
      </c>
      <c r="V127" s="10">
        <v>90.5</v>
      </c>
      <c r="W127" s="10" t="s">
        <v>340</v>
      </c>
    </row>
    <row r="128" spans="3:24" x14ac:dyDescent="0.25">
      <c r="C128" s="10" t="s">
        <v>341</v>
      </c>
      <c r="D128" s="10" t="s">
        <v>0</v>
      </c>
      <c r="E128" s="10" t="s">
        <v>338</v>
      </c>
      <c r="G128" s="10" t="s">
        <v>339</v>
      </c>
      <c r="H128" s="10" t="s">
        <v>56</v>
      </c>
      <c r="M128" s="10" t="s">
        <v>334</v>
      </c>
      <c r="N128" s="10">
        <v>1979</v>
      </c>
      <c r="R128" s="10" t="s">
        <v>110</v>
      </c>
      <c r="S128" s="10" t="s">
        <v>47</v>
      </c>
      <c r="V128" s="10">
        <v>57.3</v>
      </c>
      <c r="W128" s="10" t="s">
        <v>340</v>
      </c>
    </row>
    <row r="129" spans="3:24" x14ac:dyDescent="0.25">
      <c r="C129" s="10" t="s">
        <v>341</v>
      </c>
      <c r="D129" s="10" t="s">
        <v>0</v>
      </c>
      <c r="E129" s="10" t="s">
        <v>336</v>
      </c>
      <c r="G129" s="10" t="s">
        <v>137</v>
      </c>
      <c r="H129" s="10" t="s">
        <v>52</v>
      </c>
      <c r="M129" s="10" t="s">
        <v>342</v>
      </c>
      <c r="N129" s="10">
        <v>1979</v>
      </c>
      <c r="O129" s="10">
        <v>1979</v>
      </c>
      <c r="R129" s="10" t="s">
        <v>110</v>
      </c>
      <c r="S129" s="10" t="s">
        <v>47</v>
      </c>
      <c r="V129" s="10">
        <v>57</v>
      </c>
      <c r="W129" s="10" t="s">
        <v>54</v>
      </c>
    </row>
    <row r="130" spans="3:24" x14ac:dyDescent="0.25">
      <c r="C130" s="10" t="s">
        <v>341</v>
      </c>
      <c r="D130" s="10" t="s">
        <v>0</v>
      </c>
      <c r="E130" s="10" t="s">
        <v>336</v>
      </c>
      <c r="G130" s="10" t="s">
        <v>137</v>
      </c>
      <c r="H130" s="10" t="s">
        <v>52</v>
      </c>
      <c r="M130" s="10" t="s">
        <v>342</v>
      </c>
      <c r="N130" s="10">
        <v>1982</v>
      </c>
      <c r="O130" s="10">
        <v>1982</v>
      </c>
      <c r="R130" s="10" t="s">
        <v>110</v>
      </c>
      <c r="S130" s="10" t="s">
        <v>47</v>
      </c>
      <c r="V130" s="10">
        <v>0</v>
      </c>
      <c r="W130" s="10" t="s">
        <v>54</v>
      </c>
    </row>
    <row r="131" spans="3:24" x14ac:dyDescent="0.25">
      <c r="C131" s="10" t="s">
        <v>341</v>
      </c>
      <c r="D131" s="10" t="s">
        <v>0</v>
      </c>
      <c r="E131" s="10" t="s">
        <v>55</v>
      </c>
      <c r="G131" s="10" t="s">
        <v>137</v>
      </c>
      <c r="H131" s="10" t="s">
        <v>52</v>
      </c>
      <c r="I131" s="15" t="s">
        <v>362</v>
      </c>
      <c r="J131" s="10" t="s">
        <v>384</v>
      </c>
      <c r="M131" s="10" t="s">
        <v>343</v>
      </c>
      <c r="N131" s="10">
        <v>1976</v>
      </c>
      <c r="O131" s="10">
        <v>1976</v>
      </c>
      <c r="R131" s="10" t="s">
        <v>110</v>
      </c>
      <c r="S131" s="10" t="s">
        <v>47</v>
      </c>
      <c r="T131" s="10">
        <v>112.95</v>
      </c>
      <c r="V131" s="10">
        <v>16.399999999999999</v>
      </c>
      <c r="W131" s="10" t="s">
        <v>53</v>
      </c>
      <c r="X131" s="10" t="s">
        <v>361</v>
      </c>
    </row>
    <row r="132" spans="3:24" x14ac:dyDescent="0.25">
      <c r="C132" s="10" t="s">
        <v>341</v>
      </c>
      <c r="D132" s="10" t="s">
        <v>0</v>
      </c>
      <c r="E132" s="10" t="s">
        <v>58</v>
      </c>
      <c r="G132" s="10" t="s">
        <v>132</v>
      </c>
      <c r="H132" s="10" t="s">
        <v>44</v>
      </c>
      <c r="M132" s="10" t="s">
        <v>344</v>
      </c>
      <c r="N132" s="10">
        <v>2008</v>
      </c>
      <c r="O132" s="10">
        <v>2008</v>
      </c>
      <c r="R132" s="10" t="s">
        <v>110</v>
      </c>
      <c r="S132" s="10" t="s">
        <v>47</v>
      </c>
      <c r="V132" s="10">
        <v>96</v>
      </c>
      <c r="X132" s="10" t="s">
        <v>380</v>
      </c>
    </row>
    <row r="133" spans="3:24" x14ac:dyDescent="0.25">
      <c r="C133" s="10" t="s">
        <v>341</v>
      </c>
      <c r="D133" s="10" t="s">
        <v>0</v>
      </c>
      <c r="E133" s="10" t="s">
        <v>58</v>
      </c>
      <c r="G133" s="10" t="s">
        <v>145</v>
      </c>
      <c r="H133" s="10" t="s">
        <v>45</v>
      </c>
      <c r="M133" s="10" t="s">
        <v>344</v>
      </c>
      <c r="N133" s="10">
        <v>2008</v>
      </c>
      <c r="O133" s="10">
        <v>2008</v>
      </c>
      <c r="R133" s="10" t="s">
        <v>110</v>
      </c>
      <c r="S133" s="10" t="s">
        <v>47</v>
      </c>
      <c r="V133" s="10">
        <v>80</v>
      </c>
      <c r="X133" s="10" t="s">
        <v>380</v>
      </c>
    </row>
    <row r="134" spans="3:24" x14ac:dyDescent="0.25">
      <c r="C134" s="10" t="s">
        <v>341</v>
      </c>
      <c r="D134" s="10" t="s">
        <v>0</v>
      </c>
      <c r="G134" s="10" t="s">
        <v>137</v>
      </c>
      <c r="H134" s="10" t="s">
        <v>52</v>
      </c>
      <c r="M134" s="10" t="s">
        <v>345</v>
      </c>
      <c r="N134" s="10">
        <v>1978</v>
      </c>
      <c r="O134" s="10">
        <v>1978</v>
      </c>
      <c r="R134" s="10" t="s">
        <v>110</v>
      </c>
      <c r="S134" s="10" t="s">
        <v>47</v>
      </c>
      <c r="V134" s="10">
        <v>10.1</v>
      </c>
      <c r="W134" s="10" t="s">
        <v>53</v>
      </c>
    </row>
    <row r="135" spans="3:24" x14ac:dyDescent="0.25">
      <c r="C135" s="10" t="s">
        <v>341</v>
      </c>
      <c r="D135" s="10" t="s">
        <v>0</v>
      </c>
      <c r="G135" s="10" t="s">
        <v>137</v>
      </c>
      <c r="H135" s="10" t="s">
        <v>52</v>
      </c>
      <c r="M135" s="10" t="s">
        <v>345</v>
      </c>
      <c r="N135" s="10">
        <v>1979</v>
      </c>
      <c r="O135" s="10">
        <v>1979</v>
      </c>
      <c r="R135" s="10" t="s">
        <v>110</v>
      </c>
      <c r="S135" s="10" t="s">
        <v>47</v>
      </c>
      <c r="V135" s="10">
        <v>7.7</v>
      </c>
      <c r="W135" s="10" t="s">
        <v>53</v>
      </c>
    </row>
    <row r="136" spans="3:24" x14ac:dyDescent="0.25">
      <c r="C136" s="10" t="s">
        <v>341</v>
      </c>
      <c r="D136" s="10" t="s">
        <v>0</v>
      </c>
      <c r="G136" s="10" t="s">
        <v>137</v>
      </c>
      <c r="H136" s="10" t="s">
        <v>52</v>
      </c>
      <c r="M136" s="10" t="s">
        <v>345</v>
      </c>
      <c r="N136" s="10">
        <v>1980</v>
      </c>
      <c r="O136" s="10">
        <v>1980</v>
      </c>
      <c r="R136" s="10" t="s">
        <v>110</v>
      </c>
      <c r="S136" s="10" t="s">
        <v>47</v>
      </c>
      <c r="V136" s="10">
        <v>8.9</v>
      </c>
      <c r="W136" s="10" t="s">
        <v>53</v>
      </c>
    </row>
    <row r="137" spans="3:24" x14ac:dyDescent="0.25">
      <c r="C137" s="10" t="s">
        <v>341</v>
      </c>
      <c r="D137" s="10" t="s">
        <v>0</v>
      </c>
      <c r="G137" s="10" t="s">
        <v>137</v>
      </c>
      <c r="H137" s="10" t="s">
        <v>52</v>
      </c>
      <c r="M137" s="10" t="s">
        <v>345</v>
      </c>
      <c r="N137" s="10">
        <v>1981</v>
      </c>
      <c r="O137" s="10">
        <v>1981</v>
      </c>
      <c r="R137" s="10" t="s">
        <v>110</v>
      </c>
      <c r="S137" s="10" t="s">
        <v>47</v>
      </c>
      <c r="V137" s="10">
        <v>4.2</v>
      </c>
      <c r="W137" s="10" t="s">
        <v>53</v>
      </c>
    </row>
    <row r="138" spans="3:24" x14ac:dyDescent="0.25">
      <c r="C138" s="10" t="s">
        <v>341</v>
      </c>
      <c r="D138" s="10" t="s">
        <v>0</v>
      </c>
      <c r="G138" s="10" t="s">
        <v>137</v>
      </c>
      <c r="H138" s="10" t="s">
        <v>52</v>
      </c>
      <c r="M138" s="10" t="s">
        <v>345</v>
      </c>
      <c r="N138" s="10">
        <v>1982</v>
      </c>
      <c r="O138" s="10">
        <v>1982</v>
      </c>
      <c r="R138" s="10" t="s">
        <v>110</v>
      </c>
      <c r="S138" s="10" t="s">
        <v>47</v>
      </c>
      <c r="V138" s="10">
        <v>0.3</v>
      </c>
      <c r="W138" s="10" t="s">
        <v>53</v>
      </c>
    </row>
    <row r="139" spans="3:24" x14ac:dyDescent="0.25">
      <c r="C139" s="10" t="s">
        <v>341</v>
      </c>
      <c r="D139" s="10" t="s">
        <v>0</v>
      </c>
      <c r="G139" s="10" t="s">
        <v>136</v>
      </c>
      <c r="H139" s="10" t="s">
        <v>51</v>
      </c>
      <c r="L139" s="10" t="s">
        <v>48</v>
      </c>
      <c r="M139" s="10" t="s">
        <v>346</v>
      </c>
      <c r="N139" s="10">
        <v>1976</v>
      </c>
      <c r="O139" s="10">
        <v>1976</v>
      </c>
      <c r="R139" s="10" t="s">
        <v>110</v>
      </c>
      <c r="S139" s="10" t="s">
        <v>47</v>
      </c>
      <c r="T139" s="10">
        <v>110</v>
      </c>
      <c r="V139" s="10">
        <v>51.415092000000001</v>
      </c>
      <c r="X139" s="10" t="s">
        <v>49</v>
      </c>
    </row>
    <row r="140" spans="3:24" x14ac:dyDescent="0.25">
      <c r="C140" s="10" t="s">
        <v>341</v>
      </c>
      <c r="D140" s="10" t="s">
        <v>0</v>
      </c>
      <c r="G140" s="10" t="s">
        <v>136</v>
      </c>
      <c r="H140" s="10" t="s">
        <v>51</v>
      </c>
      <c r="L140" s="10" t="s">
        <v>48</v>
      </c>
      <c r="M140" s="10" t="s">
        <v>346</v>
      </c>
      <c r="N140" s="10">
        <v>1976</v>
      </c>
      <c r="O140" s="10">
        <v>1976</v>
      </c>
      <c r="R140" s="10" t="s">
        <v>110</v>
      </c>
      <c r="S140" s="10" t="s">
        <v>47</v>
      </c>
      <c r="T140" s="10">
        <v>130</v>
      </c>
      <c r="V140" s="10">
        <v>7.7044024000000002</v>
      </c>
      <c r="X140" s="10" t="s">
        <v>49</v>
      </c>
    </row>
    <row r="141" spans="3:24" x14ac:dyDescent="0.25">
      <c r="C141" s="10" t="s">
        <v>341</v>
      </c>
      <c r="D141" s="10" t="s">
        <v>0</v>
      </c>
      <c r="G141" s="10" t="s">
        <v>136</v>
      </c>
      <c r="H141" s="10" t="s">
        <v>51</v>
      </c>
      <c r="L141" s="10" t="s">
        <v>48</v>
      </c>
      <c r="M141" s="10" t="s">
        <v>346</v>
      </c>
      <c r="N141" s="10">
        <v>1976</v>
      </c>
      <c r="O141" s="10">
        <v>1976</v>
      </c>
      <c r="R141" s="10" t="s">
        <v>110</v>
      </c>
      <c r="S141" s="10" t="s">
        <v>47</v>
      </c>
      <c r="T141" s="10">
        <v>150</v>
      </c>
      <c r="V141" s="10">
        <v>3.6163523</v>
      </c>
      <c r="X141" s="10" t="s">
        <v>49</v>
      </c>
    </row>
    <row r="142" spans="3:24" x14ac:dyDescent="0.25">
      <c r="C142" s="10" t="s">
        <v>341</v>
      </c>
      <c r="D142" s="10" t="s">
        <v>0</v>
      </c>
      <c r="G142" s="10" t="s">
        <v>136</v>
      </c>
      <c r="H142" s="10" t="s">
        <v>51</v>
      </c>
      <c r="L142" s="10" t="s">
        <v>48</v>
      </c>
      <c r="M142" s="10" t="s">
        <v>346</v>
      </c>
      <c r="N142" s="10">
        <v>1976</v>
      </c>
      <c r="O142" s="10">
        <v>1976</v>
      </c>
      <c r="R142" s="10" t="s">
        <v>110</v>
      </c>
      <c r="S142" s="10" t="s">
        <v>47</v>
      </c>
      <c r="T142" s="10">
        <v>170</v>
      </c>
      <c r="V142" s="10">
        <v>35.849055999999997</v>
      </c>
      <c r="X142" s="10" t="s">
        <v>49</v>
      </c>
    </row>
    <row r="143" spans="3:24" x14ac:dyDescent="0.25">
      <c r="C143" s="10" t="s">
        <v>341</v>
      </c>
      <c r="D143" s="10" t="s">
        <v>0</v>
      </c>
      <c r="E143" s="10" t="s">
        <v>335</v>
      </c>
      <c r="G143" s="10" t="s">
        <v>146</v>
      </c>
      <c r="H143" s="10" t="s">
        <v>56</v>
      </c>
      <c r="M143" s="10" t="s">
        <v>347</v>
      </c>
      <c r="N143" s="10">
        <v>1979</v>
      </c>
      <c r="O143" s="10">
        <v>1979</v>
      </c>
      <c r="R143" s="10" t="s">
        <v>110</v>
      </c>
      <c r="S143" s="10" t="s">
        <v>47</v>
      </c>
      <c r="V143" s="10">
        <v>0</v>
      </c>
      <c r="W143" s="10" t="s">
        <v>53</v>
      </c>
    </row>
    <row r="144" spans="3:24" x14ac:dyDescent="0.25">
      <c r="C144" s="10" t="s">
        <v>341</v>
      </c>
      <c r="D144" s="10" t="s">
        <v>0</v>
      </c>
      <c r="E144" s="10" t="s">
        <v>335</v>
      </c>
      <c r="G144" s="10" t="s">
        <v>137</v>
      </c>
      <c r="H144" s="10" t="s">
        <v>52</v>
      </c>
      <c r="M144" s="10" t="s">
        <v>347</v>
      </c>
      <c r="N144" s="10">
        <v>1979</v>
      </c>
      <c r="O144" s="10">
        <v>1979</v>
      </c>
      <c r="R144" s="10" t="s">
        <v>110</v>
      </c>
      <c r="S144" s="10" t="s">
        <v>47</v>
      </c>
      <c r="V144" s="10">
        <v>0.8</v>
      </c>
      <c r="W144" s="10" t="s">
        <v>53</v>
      </c>
    </row>
    <row r="145" spans="3:23" x14ac:dyDescent="0.25">
      <c r="C145" s="10" t="s">
        <v>341</v>
      </c>
      <c r="D145" s="10" t="s">
        <v>0</v>
      </c>
      <c r="G145" s="10" t="s">
        <v>146</v>
      </c>
      <c r="H145" s="10" t="s">
        <v>56</v>
      </c>
      <c r="I145" s="10" t="s">
        <v>363</v>
      </c>
      <c r="J145" s="10" t="s">
        <v>384</v>
      </c>
      <c r="M145" s="10" t="s">
        <v>348</v>
      </c>
      <c r="N145" s="17">
        <v>1979.0429999999999</v>
      </c>
      <c r="O145" s="10">
        <f t="shared" ref="O145:O152" si="0">ROUND(N145,0)</f>
        <v>1979</v>
      </c>
      <c r="R145" s="10" t="s">
        <v>110</v>
      </c>
      <c r="S145" s="10" t="s">
        <v>47</v>
      </c>
      <c r="V145" s="10">
        <v>28.070080000000001</v>
      </c>
      <c r="W145" s="10" t="s">
        <v>61</v>
      </c>
    </row>
    <row r="146" spans="3:23" x14ac:dyDescent="0.25">
      <c r="C146" s="10" t="s">
        <v>341</v>
      </c>
      <c r="D146" s="10" t="s">
        <v>0</v>
      </c>
      <c r="G146" s="10" t="s">
        <v>146</v>
      </c>
      <c r="H146" s="10" t="s">
        <v>56</v>
      </c>
      <c r="I146" s="10" t="s">
        <v>363</v>
      </c>
      <c r="J146" s="10" t="s">
        <v>384</v>
      </c>
      <c r="M146" s="10" t="s">
        <v>348</v>
      </c>
      <c r="N146" s="17">
        <v>1980.0248999999999</v>
      </c>
      <c r="O146" s="10">
        <f t="shared" si="0"/>
        <v>1980</v>
      </c>
      <c r="R146" s="10" t="s">
        <v>110</v>
      </c>
      <c r="S146" s="10" t="s">
        <v>47</v>
      </c>
      <c r="V146" s="10">
        <v>13.416256000000001</v>
      </c>
      <c r="W146" s="10" t="s">
        <v>61</v>
      </c>
    </row>
    <row r="147" spans="3:23" x14ac:dyDescent="0.25">
      <c r="C147" s="10" t="s">
        <v>341</v>
      </c>
      <c r="D147" s="10" t="s">
        <v>0</v>
      </c>
      <c r="G147" s="10" t="s">
        <v>146</v>
      </c>
      <c r="H147" s="10" t="s">
        <v>56</v>
      </c>
      <c r="I147" s="10" t="s">
        <v>363</v>
      </c>
      <c r="J147" s="10" t="s">
        <v>384</v>
      </c>
      <c r="M147" s="10" t="s">
        <v>348</v>
      </c>
      <c r="N147" s="17">
        <v>1981.019</v>
      </c>
      <c r="O147" s="10">
        <f t="shared" si="0"/>
        <v>1981</v>
      </c>
      <c r="R147" s="10" t="s">
        <v>110</v>
      </c>
      <c r="S147" s="10" t="s">
        <v>47</v>
      </c>
      <c r="V147" s="10">
        <v>2.1435382000000001</v>
      </c>
      <c r="W147" s="10" t="s">
        <v>61</v>
      </c>
    </row>
    <row r="148" spans="3:23" x14ac:dyDescent="0.25">
      <c r="C148" s="10" t="s">
        <v>341</v>
      </c>
      <c r="D148" s="10" t="s">
        <v>0</v>
      </c>
      <c r="G148" s="10" t="s">
        <v>146</v>
      </c>
      <c r="H148" s="10" t="s">
        <v>56</v>
      </c>
      <c r="I148" s="10" t="s">
        <v>364</v>
      </c>
      <c r="J148" s="10" t="s">
        <v>384</v>
      </c>
      <c r="M148" s="10" t="s">
        <v>348</v>
      </c>
      <c r="N148" s="17">
        <v>1982.0219</v>
      </c>
      <c r="O148" s="10">
        <f t="shared" si="0"/>
        <v>1982</v>
      </c>
      <c r="R148" s="10" t="s">
        <v>110</v>
      </c>
      <c r="S148" s="10" t="s">
        <v>47</v>
      </c>
      <c r="V148" s="10">
        <v>7.1687419999999999</v>
      </c>
      <c r="W148" s="10" t="s">
        <v>61</v>
      </c>
    </row>
    <row r="149" spans="3:23" x14ac:dyDescent="0.25">
      <c r="C149" s="10" t="s">
        <v>341</v>
      </c>
      <c r="D149" s="10" t="s">
        <v>0</v>
      </c>
      <c r="G149" s="10" t="s">
        <v>146</v>
      </c>
      <c r="H149" s="10" t="s">
        <v>56</v>
      </c>
      <c r="I149" s="10" t="s">
        <v>364</v>
      </c>
      <c r="J149" s="10" t="s">
        <v>384</v>
      </c>
      <c r="M149" s="10" t="s">
        <v>348</v>
      </c>
      <c r="N149" s="17">
        <v>1982.9872</v>
      </c>
      <c r="O149" s="10">
        <f t="shared" si="0"/>
        <v>1983</v>
      </c>
      <c r="R149" s="10" t="s">
        <v>110</v>
      </c>
      <c r="S149" s="10" t="s">
        <v>47</v>
      </c>
      <c r="V149" s="10">
        <v>2.2920356000000002</v>
      </c>
      <c r="W149" s="10" t="s">
        <v>61</v>
      </c>
    </row>
    <row r="150" spans="3:23" x14ac:dyDescent="0.25">
      <c r="C150" s="10" t="s">
        <v>341</v>
      </c>
      <c r="D150" s="10" t="s">
        <v>0</v>
      </c>
      <c r="G150" s="10" t="s">
        <v>146</v>
      </c>
      <c r="H150" s="10" t="s">
        <v>56</v>
      </c>
      <c r="I150" s="10" t="s">
        <v>364</v>
      </c>
      <c r="J150" s="10" t="s">
        <v>384</v>
      </c>
      <c r="M150" s="10" t="s">
        <v>348</v>
      </c>
      <c r="N150" s="17">
        <v>1984.0133000000001</v>
      </c>
      <c r="O150" s="10">
        <f t="shared" si="0"/>
        <v>1984</v>
      </c>
      <c r="R150" s="10" t="s">
        <v>110</v>
      </c>
      <c r="S150" s="10" t="s">
        <v>47</v>
      </c>
      <c r="V150" s="10">
        <v>4.1802672999999997</v>
      </c>
      <c r="W150" s="10" t="s">
        <v>61</v>
      </c>
    </row>
    <row r="151" spans="3:23" x14ac:dyDescent="0.25">
      <c r="C151" s="10" t="s">
        <v>341</v>
      </c>
      <c r="D151" s="10" t="s">
        <v>0</v>
      </c>
      <c r="G151" s="10" t="s">
        <v>146</v>
      </c>
      <c r="H151" s="10" t="s">
        <v>56</v>
      </c>
      <c r="I151" s="10" t="s">
        <v>364</v>
      </c>
      <c r="J151" s="10" t="s">
        <v>384</v>
      </c>
      <c r="M151" s="10" t="s">
        <v>348</v>
      </c>
      <c r="N151" s="17">
        <v>1985.9655</v>
      </c>
      <c r="O151" s="10">
        <f t="shared" si="0"/>
        <v>1986</v>
      </c>
      <c r="R151" s="10" t="s">
        <v>110</v>
      </c>
      <c r="S151" s="10" t="s">
        <v>47</v>
      </c>
      <c r="V151" s="10">
        <v>3.1203508000000002</v>
      </c>
      <c r="W151" s="10" t="s">
        <v>61</v>
      </c>
    </row>
    <row r="152" spans="3:23" x14ac:dyDescent="0.25">
      <c r="C152" s="10" t="s">
        <v>341</v>
      </c>
      <c r="D152" s="10" t="s">
        <v>0</v>
      </c>
      <c r="G152" s="10" t="s">
        <v>146</v>
      </c>
      <c r="H152" s="10" t="s">
        <v>56</v>
      </c>
      <c r="I152" s="10" t="s">
        <v>364</v>
      </c>
      <c r="J152" s="10" t="s">
        <v>384</v>
      </c>
      <c r="M152" s="10" t="s">
        <v>348</v>
      </c>
      <c r="N152" s="17">
        <v>1986.9994999999999</v>
      </c>
      <c r="O152" s="10">
        <f t="shared" si="0"/>
        <v>1987</v>
      </c>
      <c r="R152" s="10" t="s">
        <v>110</v>
      </c>
      <c r="S152" s="10" t="s">
        <v>47</v>
      </c>
      <c r="V152" s="10">
        <v>11.045203000000001</v>
      </c>
      <c r="W152" s="10" t="s">
        <v>61</v>
      </c>
    </row>
    <row r="153" spans="3:23" x14ac:dyDescent="0.25">
      <c r="C153" s="10" t="s">
        <v>341</v>
      </c>
      <c r="D153" s="10" t="s">
        <v>0</v>
      </c>
      <c r="G153" s="10" t="s">
        <v>137</v>
      </c>
      <c r="H153" s="10" t="s">
        <v>52</v>
      </c>
      <c r="I153" s="10" t="s">
        <v>364</v>
      </c>
      <c r="J153" s="10" t="s">
        <v>384</v>
      </c>
      <c r="M153" s="10" t="s">
        <v>348</v>
      </c>
      <c r="N153" s="17">
        <v>1976.0568000000001</v>
      </c>
      <c r="O153" s="10">
        <v>1976</v>
      </c>
      <c r="R153" s="10" t="s">
        <v>110</v>
      </c>
      <c r="S153" s="10" t="s">
        <v>47</v>
      </c>
      <c r="V153" s="10">
        <v>79.165059999999997</v>
      </c>
      <c r="W153" s="10" t="s">
        <v>61</v>
      </c>
    </row>
    <row r="154" spans="3:23" x14ac:dyDescent="0.25">
      <c r="C154" s="10" t="s">
        <v>341</v>
      </c>
      <c r="D154" s="10" t="s">
        <v>0</v>
      </c>
      <c r="G154" s="10" t="s">
        <v>137</v>
      </c>
      <c r="H154" s="10" t="s">
        <v>52</v>
      </c>
      <c r="I154" s="10" t="s">
        <v>364</v>
      </c>
      <c r="J154" s="10" t="s">
        <v>384</v>
      </c>
      <c r="M154" s="10" t="s">
        <v>348</v>
      </c>
      <c r="N154" s="17">
        <v>1978.0382</v>
      </c>
      <c r="O154" s="10">
        <v>1978</v>
      </c>
      <c r="R154" s="10" t="s">
        <v>110</v>
      </c>
      <c r="S154" s="10" t="s">
        <v>47</v>
      </c>
      <c r="V154" s="10">
        <v>44.143227000000003</v>
      </c>
      <c r="W154" s="10" t="s">
        <v>61</v>
      </c>
    </row>
    <row r="155" spans="3:23" x14ac:dyDescent="0.25">
      <c r="C155" s="10" t="s">
        <v>341</v>
      </c>
      <c r="D155" s="10" t="s">
        <v>0</v>
      </c>
      <c r="G155" s="10" t="s">
        <v>137</v>
      </c>
      <c r="H155" s="10" t="s">
        <v>52</v>
      </c>
      <c r="I155" s="10" t="s">
        <v>364</v>
      </c>
      <c r="J155" s="10" t="s">
        <v>384</v>
      </c>
      <c r="M155" s="10" t="s">
        <v>348</v>
      </c>
      <c r="N155" s="17">
        <v>1979.0046</v>
      </c>
      <c r="O155" s="10">
        <v>1979</v>
      </c>
      <c r="R155" s="10" t="s">
        <v>110</v>
      </c>
      <c r="S155" s="10" t="s">
        <v>47</v>
      </c>
      <c r="V155" s="10">
        <v>40.210194000000001</v>
      </c>
      <c r="W155" s="10" t="s">
        <v>61</v>
      </c>
    </row>
    <row r="156" spans="3:23" x14ac:dyDescent="0.25">
      <c r="C156" s="10" t="s">
        <v>341</v>
      </c>
      <c r="D156" s="10" t="s">
        <v>0</v>
      </c>
      <c r="G156" s="10" t="s">
        <v>137</v>
      </c>
      <c r="H156" s="10" t="s">
        <v>52</v>
      </c>
      <c r="I156" s="10" t="s">
        <v>364</v>
      </c>
      <c r="J156" s="10" t="s">
        <v>384</v>
      </c>
      <c r="M156" s="10" t="s">
        <v>348</v>
      </c>
      <c r="N156" s="17">
        <v>1980.0231000000001</v>
      </c>
      <c r="O156" s="10">
        <v>1980</v>
      </c>
      <c r="R156" s="10" t="s">
        <v>110</v>
      </c>
      <c r="S156" s="10" t="s">
        <v>47</v>
      </c>
      <c r="V156" s="10">
        <v>22.299927</v>
      </c>
      <c r="W156" s="10" t="s">
        <v>61</v>
      </c>
    </row>
    <row r="157" spans="3:23" x14ac:dyDescent="0.25">
      <c r="C157" s="10" t="s">
        <v>341</v>
      </c>
      <c r="D157" s="10" t="s">
        <v>0</v>
      </c>
      <c r="G157" s="10" t="s">
        <v>137</v>
      </c>
      <c r="H157" s="10" t="s">
        <v>52</v>
      </c>
      <c r="I157" s="10" t="s">
        <v>364</v>
      </c>
      <c r="J157" s="10" t="s">
        <v>384</v>
      </c>
      <c r="M157" s="10" t="s">
        <v>348</v>
      </c>
      <c r="N157" s="17">
        <v>1981.0132000000001</v>
      </c>
      <c r="O157" s="10">
        <v>1981</v>
      </c>
      <c r="R157" s="10" t="s">
        <v>110</v>
      </c>
      <c r="S157" s="10" t="s">
        <v>47</v>
      </c>
      <c r="V157" s="10">
        <v>13.386957000000001</v>
      </c>
      <c r="W157" s="10" t="s">
        <v>61</v>
      </c>
    </row>
    <row r="158" spans="3:23" x14ac:dyDescent="0.25">
      <c r="C158" s="10" t="s">
        <v>341</v>
      </c>
      <c r="D158" s="10" t="s">
        <v>0</v>
      </c>
      <c r="G158" s="10" t="s">
        <v>137</v>
      </c>
      <c r="H158" s="10" t="s">
        <v>52</v>
      </c>
      <c r="I158" s="10" t="s">
        <v>364</v>
      </c>
      <c r="J158" s="10" t="s">
        <v>384</v>
      </c>
      <c r="M158" s="10" t="s">
        <v>348</v>
      </c>
      <c r="N158" s="17">
        <v>1981.9876999999999</v>
      </c>
      <c r="O158" s="10">
        <v>1982</v>
      </c>
      <c r="R158" s="10" t="s">
        <v>110</v>
      </c>
      <c r="S158" s="10" t="s">
        <v>47</v>
      </c>
      <c r="V158" s="10">
        <v>2.222674</v>
      </c>
      <c r="W158" s="10" t="s">
        <v>61</v>
      </c>
    </row>
    <row r="159" spans="3:23" x14ac:dyDescent="0.25">
      <c r="C159" s="10" t="s">
        <v>341</v>
      </c>
      <c r="D159" s="10" t="s">
        <v>0</v>
      </c>
      <c r="G159" s="10" t="s">
        <v>137</v>
      </c>
      <c r="H159" s="10" t="s">
        <v>52</v>
      </c>
      <c r="I159" s="10" t="s">
        <v>364</v>
      </c>
      <c r="J159" s="10" t="s">
        <v>384</v>
      </c>
      <c r="M159" s="10" t="s">
        <v>348</v>
      </c>
      <c r="N159" s="17">
        <v>1983.0485000000001</v>
      </c>
      <c r="O159" s="10">
        <v>1983</v>
      </c>
      <c r="R159" s="10" t="s">
        <v>110</v>
      </c>
      <c r="S159" s="10" t="s">
        <v>47</v>
      </c>
      <c r="V159" s="10">
        <v>11.315431999999999</v>
      </c>
      <c r="W159" s="10" t="s">
        <v>61</v>
      </c>
    </row>
    <row r="160" spans="3:23" x14ac:dyDescent="0.25">
      <c r="C160" s="10" t="s">
        <v>341</v>
      </c>
      <c r="D160" s="10" t="s">
        <v>0</v>
      </c>
      <c r="G160" s="10" t="s">
        <v>137</v>
      </c>
      <c r="H160" s="10" t="s">
        <v>52</v>
      </c>
      <c r="I160" s="10" t="s">
        <v>364</v>
      </c>
      <c r="J160" s="10" t="s">
        <v>384</v>
      </c>
      <c r="M160" s="10" t="s">
        <v>348</v>
      </c>
      <c r="N160" s="17">
        <v>1984.0045</v>
      </c>
      <c r="O160" s="10">
        <v>1984</v>
      </c>
      <c r="R160" s="10" t="s">
        <v>110</v>
      </c>
      <c r="S160" s="10" t="s">
        <v>47</v>
      </c>
      <c r="V160" s="10">
        <v>0.47094595</v>
      </c>
      <c r="W160" s="10" t="s">
        <v>61</v>
      </c>
    </row>
    <row r="161" spans="3:24" x14ac:dyDescent="0.25">
      <c r="C161" s="10" t="s">
        <v>341</v>
      </c>
      <c r="D161" s="10" t="s">
        <v>0</v>
      </c>
      <c r="G161" s="10" t="s">
        <v>137</v>
      </c>
      <c r="H161" s="10" t="s">
        <v>52</v>
      </c>
      <c r="I161" s="10" t="s">
        <v>364</v>
      </c>
      <c r="J161" s="10" t="s">
        <v>384</v>
      </c>
      <c r="M161" s="10" t="s">
        <v>348</v>
      </c>
      <c r="N161" s="17">
        <v>1986.0541000000001</v>
      </c>
      <c r="O161" s="10">
        <v>1986</v>
      </c>
      <c r="R161" s="10" t="s">
        <v>110</v>
      </c>
      <c r="S161" s="10" t="s">
        <v>47</v>
      </c>
      <c r="V161" s="10">
        <v>34.399740000000001</v>
      </c>
      <c r="W161" s="10" t="s">
        <v>61</v>
      </c>
    </row>
    <row r="162" spans="3:24" x14ac:dyDescent="0.25">
      <c r="C162" s="10" t="s">
        <v>341</v>
      </c>
      <c r="D162" s="10" t="s">
        <v>0</v>
      </c>
      <c r="G162" s="10" t="s">
        <v>137</v>
      </c>
      <c r="H162" s="10" t="s">
        <v>52</v>
      </c>
      <c r="I162" s="10" t="s">
        <v>364</v>
      </c>
      <c r="J162" s="10" t="s">
        <v>384</v>
      </c>
      <c r="M162" s="10" t="s">
        <v>348</v>
      </c>
      <c r="N162" s="17">
        <v>1987.0487000000001</v>
      </c>
      <c r="O162" s="10">
        <v>1987</v>
      </c>
      <c r="R162" s="10" t="s">
        <v>110</v>
      </c>
      <c r="S162" s="10" t="s">
        <v>47</v>
      </c>
      <c r="V162" s="10">
        <v>5.2376829999999996</v>
      </c>
      <c r="W162" s="10" t="s">
        <v>61</v>
      </c>
    </row>
    <row r="163" spans="3:24" x14ac:dyDescent="0.25">
      <c r="C163" s="10" t="s">
        <v>341</v>
      </c>
      <c r="D163" s="10" t="s">
        <v>0</v>
      </c>
      <c r="G163" s="10" t="s">
        <v>145</v>
      </c>
      <c r="H163" s="10" t="s">
        <v>45</v>
      </c>
      <c r="M163" s="10" t="s">
        <v>381</v>
      </c>
      <c r="N163" s="17">
        <v>1995</v>
      </c>
      <c r="R163" s="10" t="s">
        <v>110</v>
      </c>
      <c r="S163" s="10" t="s">
        <v>47</v>
      </c>
      <c r="V163" s="10">
        <v>78.78</v>
      </c>
      <c r="X163" s="10" t="s">
        <v>349</v>
      </c>
    </row>
    <row r="164" spans="3:24" x14ac:dyDescent="0.25">
      <c r="C164" s="10" t="s">
        <v>341</v>
      </c>
      <c r="D164" s="10" t="s">
        <v>0</v>
      </c>
      <c r="G164" s="10" t="s">
        <v>145</v>
      </c>
      <c r="H164" s="10" t="s">
        <v>45</v>
      </c>
      <c r="M164" s="10" t="s">
        <v>381</v>
      </c>
      <c r="N164" s="17">
        <v>1996</v>
      </c>
      <c r="R164" s="10" t="s">
        <v>110</v>
      </c>
      <c r="S164" s="10" t="s">
        <v>47</v>
      </c>
      <c r="V164" s="10">
        <v>82.33</v>
      </c>
      <c r="X164" s="10" t="s">
        <v>349</v>
      </c>
    </row>
    <row r="165" spans="3:24" x14ac:dyDescent="0.25">
      <c r="C165" s="10" t="s">
        <v>341</v>
      </c>
      <c r="D165" s="10" t="s">
        <v>0</v>
      </c>
      <c r="G165" s="10" t="s">
        <v>145</v>
      </c>
      <c r="H165" s="10" t="s">
        <v>45</v>
      </c>
      <c r="M165" s="10" t="s">
        <v>381</v>
      </c>
      <c r="N165" s="17">
        <v>1997</v>
      </c>
      <c r="R165" s="10" t="s">
        <v>110</v>
      </c>
      <c r="S165" s="10" t="s">
        <v>47</v>
      </c>
      <c r="V165" s="10">
        <v>84.64</v>
      </c>
      <c r="X165" s="10" t="s">
        <v>349</v>
      </c>
    </row>
    <row r="166" spans="3:24" x14ac:dyDescent="0.25">
      <c r="C166" s="10" t="s">
        <v>341</v>
      </c>
      <c r="D166" s="10" t="s">
        <v>0</v>
      </c>
      <c r="G166" s="10" t="s">
        <v>145</v>
      </c>
      <c r="H166" s="10" t="s">
        <v>45</v>
      </c>
      <c r="M166" s="10" t="s">
        <v>381</v>
      </c>
      <c r="N166" s="17">
        <v>1998</v>
      </c>
      <c r="R166" s="10" t="s">
        <v>110</v>
      </c>
      <c r="S166" s="10" t="s">
        <v>47</v>
      </c>
      <c r="V166" s="10">
        <v>58.37</v>
      </c>
      <c r="X166" s="10" t="s">
        <v>349</v>
      </c>
    </row>
    <row r="167" spans="3:24" x14ac:dyDescent="0.25">
      <c r="C167" s="10" t="s">
        <v>341</v>
      </c>
      <c r="D167" s="10" t="s">
        <v>0</v>
      </c>
      <c r="G167" s="10" t="s">
        <v>145</v>
      </c>
      <c r="H167" s="10" t="s">
        <v>45</v>
      </c>
      <c r="M167" s="10" t="s">
        <v>381</v>
      </c>
      <c r="N167" s="17">
        <v>1999</v>
      </c>
      <c r="R167" s="10" t="s">
        <v>110</v>
      </c>
      <c r="S167" s="10" t="s">
        <v>47</v>
      </c>
      <c r="V167" s="10">
        <v>92.85</v>
      </c>
      <c r="X167" s="10" t="s">
        <v>349</v>
      </c>
    </row>
    <row r="168" spans="3:24" x14ac:dyDescent="0.25">
      <c r="C168" s="10" t="s">
        <v>341</v>
      </c>
      <c r="D168" s="10" t="s">
        <v>0</v>
      </c>
      <c r="G168" s="10" t="s">
        <v>132</v>
      </c>
      <c r="H168" s="10" t="s">
        <v>44</v>
      </c>
      <c r="M168" s="10" t="s">
        <v>382</v>
      </c>
      <c r="N168" s="17">
        <v>1995</v>
      </c>
      <c r="R168" s="10" t="s">
        <v>110</v>
      </c>
      <c r="S168" s="10" t="s">
        <v>47</v>
      </c>
      <c r="V168" s="10">
        <v>56.39</v>
      </c>
      <c r="X168" s="10" t="s">
        <v>349</v>
      </c>
    </row>
    <row r="169" spans="3:24" x14ac:dyDescent="0.25">
      <c r="C169" s="10" t="s">
        <v>341</v>
      </c>
      <c r="D169" s="10" t="s">
        <v>0</v>
      </c>
      <c r="G169" s="10" t="s">
        <v>132</v>
      </c>
      <c r="H169" s="10" t="s">
        <v>44</v>
      </c>
      <c r="M169" s="10" t="s">
        <v>382</v>
      </c>
      <c r="N169" s="17">
        <v>1996</v>
      </c>
      <c r="R169" s="10" t="s">
        <v>110</v>
      </c>
      <c r="S169" s="10" t="s">
        <v>47</v>
      </c>
      <c r="V169" s="10">
        <v>49.3</v>
      </c>
      <c r="X169" s="10" t="s">
        <v>349</v>
      </c>
    </row>
    <row r="170" spans="3:24" x14ac:dyDescent="0.25">
      <c r="C170" s="10" t="s">
        <v>341</v>
      </c>
      <c r="D170" s="10" t="s">
        <v>0</v>
      </c>
      <c r="G170" s="10" t="s">
        <v>132</v>
      </c>
      <c r="H170" s="10" t="s">
        <v>44</v>
      </c>
      <c r="M170" s="10" t="s">
        <v>382</v>
      </c>
      <c r="N170" s="17">
        <v>1997</v>
      </c>
      <c r="R170" s="10" t="s">
        <v>110</v>
      </c>
      <c r="S170" s="10" t="s">
        <v>47</v>
      </c>
      <c r="V170" s="10">
        <v>53.96</v>
      </c>
      <c r="X170" s="10" t="s">
        <v>349</v>
      </c>
    </row>
    <row r="171" spans="3:24" x14ac:dyDescent="0.25">
      <c r="C171" s="10" t="s">
        <v>341</v>
      </c>
      <c r="D171" s="10" t="s">
        <v>0</v>
      </c>
      <c r="G171" s="10" t="s">
        <v>132</v>
      </c>
      <c r="H171" s="10" t="s">
        <v>44</v>
      </c>
      <c r="M171" s="10" t="s">
        <v>382</v>
      </c>
      <c r="N171" s="17">
        <v>1998</v>
      </c>
      <c r="R171" s="10" t="s">
        <v>110</v>
      </c>
      <c r="S171" s="10" t="s">
        <v>47</v>
      </c>
      <c r="V171" s="10">
        <v>54.53</v>
      </c>
      <c r="X171" s="10" t="s">
        <v>349</v>
      </c>
    </row>
    <row r="172" spans="3:24" x14ac:dyDescent="0.25">
      <c r="C172" s="10" t="s">
        <v>341</v>
      </c>
      <c r="D172" s="10" t="s">
        <v>0</v>
      </c>
      <c r="G172" s="10" t="s">
        <v>132</v>
      </c>
      <c r="H172" s="10" t="s">
        <v>44</v>
      </c>
      <c r="M172" s="10" t="s">
        <v>382</v>
      </c>
      <c r="N172" s="17">
        <v>1999</v>
      </c>
      <c r="R172" s="10" t="s">
        <v>110</v>
      </c>
      <c r="S172" s="10" t="s">
        <v>47</v>
      </c>
      <c r="V172" s="10">
        <v>80.900000000000006</v>
      </c>
      <c r="X172" s="10" t="s">
        <v>349</v>
      </c>
    </row>
    <row r="173" spans="3:24" x14ac:dyDescent="0.25">
      <c r="C173" s="10" t="s">
        <v>341</v>
      </c>
      <c r="D173" s="10" t="s">
        <v>0</v>
      </c>
      <c r="E173" s="10" t="s">
        <v>337</v>
      </c>
      <c r="G173" s="10" t="s">
        <v>146</v>
      </c>
      <c r="H173" s="10" t="s">
        <v>56</v>
      </c>
      <c r="M173" s="10" t="s">
        <v>347</v>
      </c>
      <c r="N173" s="10">
        <v>1979</v>
      </c>
      <c r="O173" s="10">
        <v>1979</v>
      </c>
      <c r="R173" s="10" t="s">
        <v>110</v>
      </c>
      <c r="S173" s="10" t="s">
        <v>47</v>
      </c>
      <c r="V173" s="10">
        <v>90.5</v>
      </c>
      <c r="W173" s="10" t="s">
        <v>53</v>
      </c>
    </row>
    <row r="174" spans="3:24" x14ac:dyDescent="0.25">
      <c r="C174" s="10" t="s">
        <v>341</v>
      </c>
      <c r="D174" s="10" t="s">
        <v>0</v>
      </c>
      <c r="E174" s="10" t="s">
        <v>337</v>
      </c>
      <c r="G174" s="10" t="s">
        <v>137</v>
      </c>
      <c r="H174" s="10" t="s">
        <v>52</v>
      </c>
      <c r="M174" s="10" t="s">
        <v>342</v>
      </c>
      <c r="N174" s="10">
        <v>1979</v>
      </c>
      <c r="O174" s="10">
        <v>1979</v>
      </c>
      <c r="R174" s="10" t="s">
        <v>110</v>
      </c>
      <c r="S174" s="10" t="s">
        <v>47</v>
      </c>
      <c r="V174" s="10">
        <v>75</v>
      </c>
      <c r="W174" s="10" t="s">
        <v>54</v>
      </c>
    </row>
    <row r="175" spans="3:24" x14ac:dyDescent="0.25">
      <c r="C175" s="10" t="s">
        <v>341</v>
      </c>
      <c r="D175" s="10" t="s">
        <v>0</v>
      </c>
      <c r="E175" s="10" t="s">
        <v>337</v>
      </c>
      <c r="G175" s="10" t="s">
        <v>137</v>
      </c>
      <c r="H175" s="10" t="s">
        <v>52</v>
      </c>
      <c r="M175" s="10" t="s">
        <v>342</v>
      </c>
      <c r="N175" s="10">
        <v>1982</v>
      </c>
      <c r="O175" s="10">
        <v>1982</v>
      </c>
      <c r="R175" s="10" t="s">
        <v>110</v>
      </c>
      <c r="S175" s="10" t="s">
        <v>47</v>
      </c>
      <c r="V175" s="10">
        <v>20</v>
      </c>
      <c r="W175" s="10" t="s">
        <v>54</v>
      </c>
    </row>
    <row r="176" spans="3:24" x14ac:dyDescent="0.25">
      <c r="C176" s="10" t="s">
        <v>341</v>
      </c>
      <c r="D176" s="10" t="s">
        <v>0</v>
      </c>
      <c r="E176" s="10" t="s">
        <v>57</v>
      </c>
      <c r="G176" s="10" t="s">
        <v>132</v>
      </c>
      <c r="H176" s="10" t="s">
        <v>44</v>
      </c>
      <c r="I176" s="10" t="s">
        <v>357</v>
      </c>
      <c r="J176" s="10" t="s">
        <v>358</v>
      </c>
      <c r="L176" s="10" t="s">
        <v>153</v>
      </c>
      <c r="M176" s="10" t="s">
        <v>350</v>
      </c>
      <c r="N176" s="10">
        <v>1995</v>
      </c>
      <c r="O176" s="10">
        <v>1995</v>
      </c>
      <c r="R176" s="10" t="s">
        <v>110</v>
      </c>
      <c r="S176" s="10" t="s">
        <v>47</v>
      </c>
      <c r="T176" s="15" t="s">
        <v>351</v>
      </c>
      <c r="V176" s="10">
        <v>65</v>
      </c>
      <c r="W176" s="10" t="s">
        <v>27</v>
      </c>
      <c r="X176" s="10" t="s">
        <v>349</v>
      </c>
    </row>
    <row r="177" spans="3:24" x14ac:dyDescent="0.25">
      <c r="C177" s="10" t="s">
        <v>341</v>
      </c>
      <c r="D177" s="10" t="s">
        <v>0</v>
      </c>
      <c r="E177" s="10" t="s">
        <v>57</v>
      </c>
      <c r="G177" s="10" t="s">
        <v>132</v>
      </c>
      <c r="H177" s="10" t="s">
        <v>44</v>
      </c>
      <c r="I177" s="10" t="s">
        <v>357</v>
      </c>
      <c r="J177" s="10" t="s">
        <v>358</v>
      </c>
      <c r="L177" s="10" t="s">
        <v>153</v>
      </c>
      <c r="M177" s="10" t="s">
        <v>350</v>
      </c>
      <c r="N177" s="10">
        <v>1996</v>
      </c>
      <c r="O177" s="10">
        <v>1996</v>
      </c>
      <c r="R177" s="10" t="s">
        <v>110</v>
      </c>
      <c r="S177" s="10" t="s">
        <v>47</v>
      </c>
      <c r="T177" s="15" t="s">
        <v>351</v>
      </c>
      <c r="V177" s="10">
        <v>2</v>
      </c>
      <c r="W177" s="10" t="s">
        <v>27</v>
      </c>
      <c r="X177" s="10" t="s">
        <v>349</v>
      </c>
    </row>
    <row r="178" spans="3:24" x14ac:dyDescent="0.25">
      <c r="C178" s="10" t="s">
        <v>2</v>
      </c>
      <c r="G178" s="10" t="s">
        <v>352</v>
      </c>
      <c r="H178" s="10" t="s">
        <v>126</v>
      </c>
      <c r="M178" s="10" t="s">
        <v>40</v>
      </c>
      <c r="R178" s="10" t="s">
        <v>127</v>
      </c>
      <c r="S178" s="10" t="s">
        <v>128</v>
      </c>
      <c r="V178" s="10">
        <v>30.9</v>
      </c>
      <c r="W178" s="10" t="s">
        <v>74</v>
      </c>
    </row>
    <row r="179" spans="3:24" x14ac:dyDescent="0.25">
      <c r="C179" s="10" t="s">
        <v>2</v>
      </c>
      <c r="G179" s="10" t="s">
        <v>147</v>
      </c>
      <c r="H179" s="10" t="s">
        <v>148</v>
      </c>
      <c r="M179" s="10" t="s">
        <v>40</v>
      </c>
      <c r="R179" s="10" t="s">
        <v>149</v>
      </c>
      <c r="S179" s="10" t="s">
        <v>67</v>
      </c>
      <c r="V179" s="10">
        <v>22.9</v>
      </c>
      <c r="W179" s="10" t="s">
        <v>74</v>
      </c>
    </row>
    <row r="180" spans="3:24" x14ac:dyDescent="0.25">
      <c r="C180" s="10" t="s">
        <v>2</v>
      </c>
      <c r="G180" s="10" t="s">
        <v>118</v>
      </c>
      <c r="H180" s="10" t="s">
        <v>119</v>
      </c>
      <c r="M180" s="10" t="s">
        <v>40</v>
      </c>
      <c r="R180" s="10" t="s">
        <v>149</v>
      </c>
      <c r="S180" s="10" t="s">
        <v>67</v>
      </c>
      <c r="V180" s="10">
        <v>24</v>
      </c>
      <c r="W180" s="10" t="s">
        <v>74</v>
      </c>
    </row>
    <row r="181" spans="3:24" x14ac:dyDescent="0.25">
      <c r="C181" s="10" t="s">
        <v>2</v>
      </c>
      <c r="G181" s="10" t="s">
        <v>116</v>
      </c>
      <c r="H181" s="10" t="s">
        <v>117</v>
      </c>
      <c r="M181" s="10" t="s">
        <v>40</v>
      </c>
      <c r="R181" s="10" t="s">
        <v>140</v>
      </c>
      <c r="S181" s="10" t="s">
        <v>69</v>
      </c>
      <c r="V181" s="10">
        <v>33.799999999999997</v>
      </c>
      <c r="W181" s="10" t="s">
        <v>74</v>
      </c>
    </row>
    <row r="182" spans="3:24" x14ac:dyDescent="0.25">
      <c r="C182" s="10" t="s">
        <v>2</v>
      </c>
      <c r="G182" s="10" t="s">
        <v>116</v>
      </c>
      <c r="H182" s="10" t="s">
        <v>117</v>
      </c>
      <c r="M182" s="10" t="s">
        <v>40</v>
      </c>
      <c r="R182" s="10" t="s">
        <v>149</v>
      </c>
      <c r="S182" s="10" t="s">
        <v>67</v>
      </c>
      <c r="V182" s="10">
        <v>24</v>
      </c>
      <c r="W182" s="10" t="s">
        <v>74</v>
      </c>
    </row>
    <row r="183" spans="3:24" x14ac:dyDescent="0.25">
      <c r="C183" s="10" t="s">
        <v>2</v>
      </c>
      <c r="G183" s="10" t="s">
        <v>133</v>
      </c>
      <c r="H183" s="10" t="s">
        <v>134</v>
      </c>
      <c r="I183" s="10" t="s">
        <v>365</v>
      </c>
      <c r="J183" s="10" t="s">
        <v>358</v>
      </c>
      <c r="M183" s="10" t="s">
        <v>40</v>
      </c>
      <c r="R183" s="10" t="s">
        <v>149</v>
      </c>
      <c r="S183" s="10" t="s">
        <v>67</v>
      </c>
      <c r="V183" s="10">
        <v>23.7</v>
      </c>
      <c r="W183" s="10" t="s">
        <v>74</v>
      </c>
    </row>
    <row r="184" spans="3:24" x14ac:dyDescent="0.25">
      <c r="C184" s="10" t="s">
        <v>2</v>
      </c>
      <c r="G184" s="10" t="s">
        <v>133</v>
      </c>
      <c r="H184" s="10" t="s">
        <v>134</v>
      </c>
      <c r="I184" s="10" t="s">
        <v>356</v>
      </c>
      <c r="J184" s="10" t="s">
        <v>358</v>
      </c>
      <c r="M184" s="10" t="s">
        <v>40</v>
      </c>
      <c r="R184" s="10" t="s">
        <v>149</v>
      </c>
      <c r="S184" s="10" t="s">
        <v>67</v>
      </c>
      <c r="V184" s="10">
        <v>32.200000000000003</v>
      </c>
      <c r="W184" s="10" t="s">
        <v>74</v>
      </c>
    </row>
    <row r="185" spans="3:24" x14ac:dyDescent="0.25">
      <c r="C185" s="10" t="s">
        <v>2</v>
      </c>
      <c r="G185" s="10" t="s">
        <v>103</v>
      </c>
      <c r="H185" s="10" t="s">
        <v>104</v>
      </c>
      <c r="M185" s="10" t="s">
        <v>77</v>
      </c>
      <c r="N185" s="10">
        <v>1999</v>
      </c>
      <c r="O185" s="10">
        <v>1999</v>
      </c>
      <c r="R185" s="10" t="s">
        <v>101</v>
      </c>
      <c r="S185" s="10" t="s">
        <v>102</v>
      </c>
      <c r="V185" s="10">
        <v>86.7</v>
      </c>
      <c r="W185" s="10" t="s">
        <v>76</v>
      </c>
    </row>
    <row r="186" spans="3:24" x14ac:dyDescent="0.25">
      <c r="C186" s="10" t="s">
        <v>2</v>
      </c>
      <c r="G186" s="10" t="s">
        <v>111</v>
      </c>
      <c r="H186" s="10" t="s">
        <v>112</v>
      </c>
      <c r="M186" s="10" t="s">
        <v>80</v>
      </c>
      <c r="N186" s="10">
        <v>1991</v>
      </c>
      <c r="O186" s="10">
        <v>1991</v>
      </c>
      <c r="R186" s="10" t="s">
        <v>101</v>
      </c>
      <c r="S186" s="10" t="s">
        <v>102</v>
      </c>
      <c r="V186" s="10">
        <v>34.619999999999997</v>
      </c>
      <c r="W186" s="10" t="s">
        <v>26</v>
      </c>
      <c r="X186" s="10" t="s">
        <v>79</v>
      </c>
    </row>
    <row r="187" spans="3:24" x14ac:dyDescent="0.25">
      <c r="C187" s="10" t="s">
        <v>2</v>
      </c>
      <c r="E187" s="10" t="s">
        <v>366</v>
      </c>
      <c r="G187" s="10" t="s">
        <v>141</v>
      </c>
      <c r="H187" s="10" t="s">
        <v>9</v>
      </c>
      <c r="M187" s="10" t="s">
        <v>24</v>
      </c>
      <c r="N187" s="10">
        <v>2000</v>
      </c>
      <c r="O187" s="10">
        <v>2000</v>
      </c>
      <c r="R187" s="10" t="s">
        <v>100</v>
      </c>
      <c r="S187" s="10" t="s">
        <v>6</v>
      </c>
      <c r="V187" s="10">
        <v>80</v>
      </c>
      <c r="X187" s="10" t="s">
        <v>25</v>
      </c>
    </row>
    <row r="188" spans="3:24" x14ac:dyDescent="0.25">
      <c r="C188" s="10" t="s">
        <v>2</v>
      </c>
      <c r="E188" s="10" t="s">
        <v>366</v>
      </c>
      <c r="G188" s="10" t="s">
        <v>142</v>
      </c>
      <c r="H188" s="10" t="s">
        <v>7</v>
      </c>
      <c r="M188" s="10" t="s">
        <v>24</v>
      </c>
      <c r="N188" s="10">
        <v>2000</v>
      </c>
      <c r="O188" s="10">
        <v>2000</v>
      </c>
      <c r="R188" s="10" t="s">
        <v>100</v>
      </c>
      <c r="S188" s="10" t="s">
        <v>6</v>
      </c>
      <c r="V188" s="10">
        <v>60</v>
      </c>
      <c r="X188" s="10" t="s">
        <v>25</v>
      </c>
    </row>
    <row r="189" spans="3:24" x14ac:dyDescent="0.25">
      <c r="C189" s="10" t="s">
        <v>2</v>
      </c>
      <c r="E189" s="10" t="s">
        <v>366</v>
      </c>
      <c r="G189" s="10" t="s">
        <v>113</v>
      </c>
      <c r="H189" s="10" t="s">
        <v>23</v>
      </c>
      <c r="M189" s="10" t="s">
        <v>24</v>
      </c>
      <c r="N189" s="10">
        <v>2000</v>
      </c>
      <c r="O189" s="10">
        <v>2000</v>
      </c>
      <c r="R189" s="10" t="s">
        <v>100</v>
      </c>
      <c r="S189" s="10" t="s">
        <v>6</v>
      </c>
      <c r="V189" s="10">
        <v>60</v>
      </c>
      <c r="X189" s="10" t="s">
        <v>25</v>
      </c>
    </row>
    <row r="190" spans="3:24" x14ac:dyDescent="0.25">
      <c r="C190" s="10" t="s">
        <v>2</v>
      </c>
      <c r="E190" s="10" t="s">
        <v>366</v>
      </c>
      <c r="G190" s="10" t="s">
        <v>99</v>
      </c>
      <c r="H190" s="10" t="s">
        <v>17</v>
      </c>
      <c r="M190" s="10" t="s">
        <v>24</v>
      </c>
      <c r="N190" s="10">
        <v>2000</v>
      </c>
      <c r="O190" s="10">
        <v>2000</v>
      </c>
      <c r="R190" s="10" t="s">
        <v>100</v>
      </c>
      <c r="S190" s="10" t="s">
        <v>6</v>
      </c>
      <c r="V190" s="10">
        <v>60</v>
      </c>
      <c r="X190" s="10" t="s">
        <v>25</v>
      </c>
    </row>
    <row r="191" spans="3:24" x14ac:dyDescent="0.25">
      <c r="C191" s="10" t="s">
        <v>2</v>
      </c>
      <c r="E191" s="10" t="s">
        <v>367</v>
      </c>
      <c r="G191" s="10" t="s">
        <v>142</v>
      </c>
      <c r="H191" s="10" t="s">
        <v>7</v>
      </c>
      <c r="M191" s="10" t="s">
        <v>24</v>
      </c>
      <c r="N191" s="10">
        <v>2000</v>
      </c>
      <c r="O191" s="10">
        <v>2000</v>
      </c>
      <c r="R191" s="10" t="s">
        <v>100</v>
      </c>
      <c r="S191" s="10" t="s">
        <v>6</v>
      </c>
      <c r="V191" s="10">
        <v>60</v>
      </c>
      <c r="X191" s="10" t="s">
        <v>25</v>
      </c>
    </row>
    <row r="192" spans="3:24" x14ac:dyDescent="0.25">
      <c r="C192" s="10" t="s">
        <v>2</v>
      </c>
      <c r="E192" s="10" t="s">
        <v>367</v>
      </c>
      <c r="G192" s="10" t="s">
        <v>113</v>
      </c>
      <c r="H192" s="10" t="s">
        <v>23</v>
      </c>
      <c r="M192" s="10" t="s">
        <v>24</v>
      </c>
      <c r="N192" s="10">
        <v>2000</v>
      </c>
      <c r="O192" s="10">
        <v>2000</v>
      </c>
      <c r="R192" s="10" t="s">
        <v>100</v>
      </c>
      <c r="S192" s="10" t="s">
        <v>6</v>
      </c>
      <c r="V192" s="10">
        <v>60</v>
      </c>
      <c r="X192" s="10" t="s">
        <v>25</v>
      </c>
    </row>
    <row r="193" spans="3:24" x14ac:dyDescent="0.25">
      <c r="C193" s="10" t="s">
        <v>2</v>
      </c>
      <c r="E193" s="10" t="s">
        <v>367</v>
      </c>
      <c r="G193" s="10" t="s">
        <v>99</v>
      </c>
      <c r="H193" s="10" t="s">
        <v>17</v>
      </c>
      <c r="M193" s="10" t="s">
        <v>24</v>
      </c>
      <c r="N193" s="10">
        <v>2000</v>
      </c>
      <c r="O193" s="10">
        <v>2000</v>
      </c>
      <c r="R193" s="10" t="s">
        <v>100</v>
      </c>
      <c r="S193" s="10" t="s">
        <v>6</v>
      </c>
      <c r="V193" s="10">
        <v>60</v>
      </c>
      <c r="X193" s="10" t="s">
        <v>25</v>
      </c>
    </row>
    <row r="194" spans="3:24" x14ac:dyDescent="0.25">
      <c r="C194" s="10" t="s">
        <v>2</v>
      </c>
      <c r="D194" s="10" t="s">
        <v>228</v>
      </c>
      <c r="E194" s="10" t="s">
        <v>229</v>
      </c>
      <c r="G194" s="10" t="s">
        <v>135</v>
      </c>
      <c r="H194" s="10" t="s">
        <v>8</v>
      </c>
      <c r="I194" s="10" t="s">
        <v>356</v>
      </c>
      <c r="J194" s="10" t="s">
        <v>358</v>
      </c>
      <c r="L194" s="10" t="s">
        <v>19</v>
      </c>
      <c r="M194" s="10" t="s">
        <v>231</v>
      </c>
      <c r="N194" s="10">
        <v>1968</v>
      </c>
      <c r="O194" s="10">
        <v>1968</v>
      </c>
      <c r="R194" s="10" t="s">
        <v>101</v>
      </c>
      <c r="S194" s="10" t="s">
        <v>102</v>
      </c>
      <c r="V194" s="10">
        <v>13</v>
      </c>
      <c r="W194" s="10" t="s">
        <v>26</v>
      </c>
    </row>
    <row r="195" spans="3:24" x14ac:dyDescent="0.25">
      <c r="C195" s="10" t="s">
        <v>2</v>
      </c>
      <c r="D195" s="10" t="s">
        <v>228</v>
      </c>
      <c r="E195" s="10" t="s">
        <v>229</v>
      </c>
      <c r="G195" s="10" t="s">
        <v>135</v>
      </c>
      <c r="H195" s="10" t="s">
        <v>8</v>
      </c>
      <c r="I195" s="10" t="s">
        <v>357</v>
      </c>
      <c r="J195" s="10" t="s">
        <v>358</v>
      </c>
      <c r="L195" s="10" t="s">
        <v>5</v>
      </c>
      <c r="M195" s="10" t="s">
        <v>231</v>
      </c>
      <c r="N195" s="10">
        <v>1968</v>
      </c>
      <c r="O195" s="10">
        <v>1968</v>
      </c>
      <c r="R195" s="10" t="s">
        <v>101</v>
      </c>
      <c r="S195" s="10" t="s">
        <v>102</v>
      </c>
      <c r="V195" s="10">
        <v>66</v>
      </c>
      <c r="W195" s="10" t="s">
        <v>26</v>
      </c>
    </row>
    <row r="196" spans="3:24" x14ac:dyDescent="0.25">
      <c r="C196" s="10" t="s">
        <v>2</v>
      </c>
      <c r="D196" s="10" t="s">
        <v>228</v>
      </c>
      <c r="E196" s="10" t="s">
        <v>229</v>
      </c>
      <c r="G196" s="10" t="s">
        <v>135</v>
      </c>
      <c r="H196" s="10" t="s">
        <v>8</v>
      </c>
      <c r="I196" s="10" t="s">
        <v>356</v>
      </c>
      <c r="J196" s="10" t="s">
        <v>358</v>
      </c>
      <c r="L196" s="10" t="s">
        <v>19</v>
      </c>
      <c r="M196" s="10" t="s">
        <v>231</v>
      </c>
      <c r="N196" s="10">
        <v>1969</v>
      </c>
      <c r="O196" s="10">
        <v>1969</v>
      </c>
      <c r="R196" s="10" t="s">
        <v>101</v>
      </c>
      <c r="S196" s="10" t="s">
        <v>102</v>
      </c>
      <c r="V196" s="10">
        <v>13</v>
      </c>
      <c r="W196" s="10" t="s">
        <v>26</v>
      </c>
    </row>
    <row r="197" spans="3:24" x14ac:dyDescent="0.25">
      <c r="C197" s="10" t="s">
        <v>2</v>
      </c>
      <c r="D197" s="10" t="s">
        <v>228</v>
      </c>
      <c r="E197" s="10" t="s">
        <v>229</v>
      </c>
      <c r="G197" s="10" t="s">
        <v>135</v>
      </c>
      <c r="H197" s="10" t="s">
        <v>8</v>
      </c>
      <c r="I197" s="10" t="s">
        <v>357</v>
      </c>
      <c r="J197" s="10" t="s">
        <v>358</v>
      </c>
      <c r="L197" s="10" t="s">
        <v>5</v>
      </c>
      <c r="M197" s="10" t="s">
        <v>231</v>
      </c>
      <c r="N197" s="10">
        <v>1969</v>
      </c>
      <c r="O197" s="10">
        <v>1969</v>
      </c>
      <c r="R197" s="10" t="s">
        <v>101</v>
      </c>
      <c r="S197" s="10" t="s">
        <v>102</v>
      </c>
      <c r="V197" s="10">
        <v>66</v>
      </c>
      <c r="W197" s="10" t="s">
        <v>26</v>
      </c>
    </row>
    <row r="198" spans="3:24" x14ac:dyDescent="0.25">
      <c r="C198" s="10" t="s">
        <v>2</v>
      </c>
      <c r="D198" s="10" t="s">
        <v>228</v>
      </c>
      <c r="E198" s="10" t="s">
        <v>229</v>
      </c>
      <c r="G198" s="10" t="s">
        <v>135</v>
      </c>
      <c r="H198" s="10" t="s">
        <v>8</v>
      </c>
      <c r="I198" s="10" t="s">
        <v>356</v>
      </c>
      <c r="J198" s="10" t="s">
        <v>358</v>
      </c>
      <c r="L198" s="10" t="s">
        <v>19</v>
      </c>
      <c r="M198" s="10" t="s">
        <v>231</v>
      </c>
      <c r="N198" s="10">
        <v>1970</v>
      </c>
      <c r="O198" s="10">
        <v>1970</v>
      </c>
      <c r="R198" s="10" t="s">
        <v>101</v>
      </c>
      <c r="S198" s="10" t="s">
        <v>102</v>
      </c>
      <c r="V198" s="10">
        <v>13</v>
      </c>
      <c r="W198" s="10" t="s">
        <v>26</v>
      </c>
    </row>
    <row r="199" spans="3:24" x14ac:dyDescent="0.25">
      <c r="C199" s="10" t="s">
        <v>2</v>
      </c>
      <c r="D199" s="10" t="s">
        <v>228</v>
      </c>
      <c r="E199" s="10" t="s">
        <v>229</v>
      </c>
      <c r="G199" s="10" t="s">
        <v>135</v>
      </c>
      <c r="H199" s="10" t="s">
        <v>8</v>
      </c>
      <c r="I199" s="10" t="s">
        <v>357</v>
      </c>
      <c r="J199" s="10" t="s">
        <v>358</v>
      </c>
      <c r="L199" s="10" t="s">
        <v>5</v>
      </c>
      <c r="M199" s="10" t="s">
        <v>231</v>
      </c>
      <c r="N199" s="10">
        <v>1970</v>
      </c>
      <c r="O199" s="10">
        <v>1970</v>
      </c>
      <c r="R199" s="10" t="s">
        <v>101</v>
      </c>
      <c r="S199" s="10" t="s">
        <v>102</v>
      </c>
      <c r="V199" s="10">
        <v>66</v>
      </c>
      <c r="W199" s="10" t="s">
        <v>26</v>
      </c>
    </row>
    <row r="200" spans="3:24" x14ac:dyDescent="0.25">
      <c r="C200" s="10" t="s">
        <v>2</v>
      </c>
      <c r="D200" s="10" t="s">
        <v>228</v>
      </c>
      <c r="E200" s="10" t="s">
        <v>229</v>
      </c>
      <c r="G200" s="10" t="s">
        <v>135</v>
      </c>
      <c r="H200" s="10" t="s">
        <v>8</v>
      </c>
      <c r="I200" s="10" t="s">
        <v>356</v>
      </c>
      <c r="J200" s="10" t="s">
        <v>358</v>
      </c>
      <c r="L200" s="10" t="s">
        <v>19</v>
      </c>
      <c r="M200" s="10" t="s">
        <v>231</v>
      </c>
      <c r="N200" s="10">
        <v>1971</v>
      </c>
      <c r="O200" s="10">
        <v>1971</v>
      </c>
      <c r="R200" s="10" t="s">
        <v>101</v>
      </c>
      <c r="S200" s="10" t="s">
        <v>102</v>
      </c>
      <c r="V200" s="10">
        <v>13</v>
      </c>
      <c r="W200" s="10" t="s">
        <v>26</v>
      </c>
    </row>
    <row r="201" spans="3:24" x14ac:dyDescent="0.25">
      <c r="C201" s="10" t="s">
        <v>2</v>
      </c>
      <c r="D201" s="10" t="s">
        <v>228</v>
      </c>
      <c r="E201" s="10" t="s">
        <v>229</v>
      </c>
      <c r="G201" s="10" t="s">
        <v>135</v>
      </c>
      <c r="H201" s="10" t="s">
        <v>8</v>
      </c>
      <c r="I201" s="10" t="s">
        <v>357</v>
      </c>
      <c r="J201" s="10" t="s">
        <v>358</v>
      </c>
      <c r="L201" s="10" t="s">
        <v>5</v>
      </c>
      <c r="M201" s="10" t="s">
        <v>231</v>
      </c>
      <c r="N201" s="10">
        <v>1971</v>
      </c>
      <c r="O201" s="10">
        <v>1971</v>
      </c>
      <c r="R201" s="10" t="s">
        <v>101</v>
      </c>
      <c r="S201" s="10" t="s">
        <v>102</v>
      </c>
      <c r="V201" s="10">
        <v>66</v>
      </c>
      <c r="W201" s="10" t="s">
        <v>26</v>
      </c>
    </row>
    <row r="202" spans="3:24" x14ac:dyDescent="0.25">
      <c r="C202" s="10" t="s">
        <v>2</v>
      </c>
      <c r="D202" s="10" t="s">
        <v>228</v>
      </c>
      <c r="E202" s="10" t="s">
        <v>229</v>
      </c>
      <c r="G202" s="10" t="s">
        <v>135</v>
      </c>
      <c r="H202" s="10" t="s">
        <v>8</v>
      </c>
      <c r="I202" s="10" t="s">
        <v>356</v>
      </c>
      <c r="J202" s="10" t="s">
        <v>358</v>
      </c>
      <c r="L202" s="10" t="s">
        <v>19</v>
      </c>
      <c r="M202" s="10" t="s">
        <v>231</v>
      </c>
      <c r="N202" s="10">
        <v>1972</v>
      </c>
      <c r="O202" s="10">
        <v>1972</v>
      </c>
      <c r="R202" s="10" t="s">
        <v>101</v>
      </c>
      <c r="S202" s="10" t="s">
        <v>102</v>
      </c>
      <c r="V202" s="10">
        <v>13</v>
      </c>
      <c r="W202" s="10" t="s">
        <v>26</v>
      </c>
    </row>
    <row r="203" spans="3:24" x14ac:dyDescent="0.25">
      <c r="C203" s="10" t="s">
        <v>2</v>
      </c>
      <c r="D203" s="10" t="s">
        <v>228</v>
      </c>
      <c r="E203" s="10" t="s">
        <v>229</v>
      </c>
      <c r="G203" s="10" t="s">
        <v>135</v>
      </c>
      <c r="H203" s="10" t="s">
        <v>8</v>
      </c>
      <c r="I203" s="10" t="s">
        <v>357</v>
      </c>
      <c r="J203" s="10" t="s">
        <v>358</v>
      </c>
      <c r="L203" s="10" t="s">
        <v>5</v>
      </c>
      <c r="M203" s="10" t="s">
        <v>231</v>
      </c>
      <c r="N203" s="10">
        <v>1972</v>
      </c>
      <c r="O203" s="10">
        <v>1972</v>
      </c>
      <c r="R203" s="10" t="s">
        <v>101</v>
      </c>
      <c r="S203" s="10" t="s">
        <v>102</v>
      </c>
      <c r="V203" s="10">
        <v>66</v>
      </c>
      <c r="W203" s="10" t="s">
        <v>26</v>
      </c>
    </row>
    <row r="204" spans="3:24" x14ac:dyDescent="0.25">
      <c r="C204" s="10" t="s">
        <v>2</v>
      </c>
      <c r="D204" s="10" t="s">
        <v>228</v>
      </c>
      <c r="E204" s="10" t="s">
        <v>229</v>
      </c>
      <c r="G204" s="10" t="s">
        <v>135</v>
      </c>
      <c r="H204" s="10" t="s">
        <v>8</v>
      </c>
      <c r="I204" s="10" t="s">
        <v>356</v>
      </c>
      <c r="J204" s="10" t="s">
        <v>358</v>
      </c>
      <c r="L204" s="10" t="s">
        <v>19</v>
      </c>
      <c r="M204" s="10" t="s">
        <v>231</v>
      </c>
      <c r="N204" s="10">
        <v>1973</v>
      </c>
      <c r="O204" s="10">
        <v>1973</v>
      </c>
      <c r="R204" s="10" t="s">
        <v>101</v>
      </c>
      <c r="S204" s="10" t="s">
        <v>102</v>
      </c>
      <c r="V204" s="10">
        <v>13</v>
      </c>
      <c r="W204" s="10" t="s">
        <v>26</v>
      </c>
    </row>
    <row r="205" spans="3:24" x14ac:dyDescent="0.25">
      <c r="C205" s="10" t="s">
        <v>2</v>
      </c>
      <c r="D205" s="10" t="s">
        <v>228</v>
      </c>
      <c r="E205" s="10" t="s">
        <v>229</v>
      </c>
      <c r="G205" s="10" t="s">
        <v>135</v>
      </c>
      <c r="H205" s="10" t="s">
        <v>8</v>
      </c>
      <c r="I205" s="10" t="s">
        <v>357</v>
      </c>
      <c r="J205" s="10" t="s">
        <v>358</v>
      </c>
      <c r="L205" s="10" t="s">
        <v>5</v>
      </c>
      <c r="M205" s="10" t="s">
        <v>231</v>
      </c>
      <c r="N205" s="10">
        <v>1973</v>
      </c>
      <c r="O205" s="10">
        <v>1973</v>
      </c>
      <c r="R205" s="10" t="s">
        <v>101</v>
      </c>
      <c r="S205" s="10" t="s">
        <v>102</v>
      </c>
      <c r="V205" s="10">
        <v>66</v>
      </c>
      <c r="W205" s="10" t="s">
        <v>26</v>
      </c>
    </row>
    <row r="206" spans="3:24" x14ac:dyDescent="0.25">
      <c r="C206" s="10" t="s">
        <v>2</v>
      </c>
      <c r="D206" s="10" t="s">
        <v>22</v>
      </c>
      <c r="G206" s="10" t="s">
        <v>142</v>
      </c>
      <c r="H206" s="10" t="s">
        <v>7</v>
      </c>
      <c r="M206" s="10" t="s">
        <v>24</v>
      </c>
      <c r="N206" s="10">
        <v>2000</v>
      </c>
      <c r="O206" s="10">
        <v>2000</v>
      </c>
      <c r="R206" s="10" t="s">
        <v>100</v>
      </c>
      <c r="S206" s="10" t="s">
        <v>6</v>
      </c>
      <c r="V206" s="10">
        <v>80</v>
      </c>
      <c r="X206" s="10" t="s">
        <v>25</v>
      </c>
    </row>
    <row r="207" spans="3:24" x14ac:dyDescent="0.25">
      <c r="C207" s="10" t="s">
        <v>2</v>
      </c>
      <c r="D207" s="10" t="s">
        <v>22</v>
      </c>
      <c r="G207" s="10" t="s">
        <v>113</v>
      </c>
      <c r="H207" s="10" t="s">
        <v>23</v>
      </c>
      <c r="M207" s="10" t="s">
        <v>24</v>
      </c>
      <c r="N207" s="10">
        <v>2000</v>
      </c>
      <c r="O207" s="10">
        <v>2000</v>
      </c>
      <c r="R207" s="10" t="s">
        <v>100</v>
      </c>
      <c r="S207" s="10" t="s">
        <v>6</v>
      </c>
      <c r="V207" s="10">
        <v>80</v>
      </c>
      <c r="X207" s="10" t="s">
        <v>25</v>
      </c>
    </row>
    <row r="208" spans="3:24" x14ac:dyDescent="0.25">
      <c r="C208" s="10" t="s">
        <v>2</v>
      </c>
      <c r="D208" s="10" t="s">
        <v>22</v>
      </c>
      <c r="G208" s="10" t="s">
        <v>99</v>
      </c>
      <c r="H208" s="10" t="s">
        <v>17</v>
      </c>
      <c r="M208" s="10" t="s">
        <v>24</v>
      </c>
      <c r="N208" s="10">
        <v>2000</v>
      </c>
      <c r="O208" s="10">
        <v>2000</v>
      </c>
      <c r="R208" s="10" t="s">
        <v>100</v>
      </c>
      <c r="S208" s="10" t="s">
        <v>6</v>
      </c>
      <c r="V208" s="10">
        <v>80</v>
      </c>
      <c r="X208" s="10" t="s">
        <v>25</v>
      </c>
    </row>
    <row r="209" spans="3:24" x14ac:dyDescent="0.25">
      <c r="C209" s="10" t="s">
        <v>2</v>
      </c>
      <c r="D209" s="10" t="s">
        <v>20</v>
      </c>
      <c r="G209" s="10" t="s">
        <v>141</v>
      </c>
      <c r="H209" s="10" t="s">
        <v>9</v>
      </c>
      <c r="M209" s="10" t="s">
        <v>24</v>
      </c>
      <c r="N209" s="10">
        <v>2000</v>
      </c>
      <c r="O209" s="10">
        <v>2000</v>
      </c>
      <c r="R209" s="10" t="s">
        <v>100</v>
      </c>
      <c r="S209" s="10" t="s">
        <v>6</v>
      </c>
      <c r="V209" s="10">
        <v>100</v>
      </c>
      <c r="X209" s="10" t="s">
        <v>25</v>
      </c>
    </row>
    <row r="210" spans="3:24" x14ac:dyDescent="0.25">
      <c r="C210" s="10" t="s">
        <v>2</v>
      </c>
      <c r="D210" s="10" t="s">
        <v>20</v>
      </c>
      <c r="G210" s="10" t="s">
        <v>142</v>
      </c>
      <c r="H210" s="10" t="s">
        <v>7</v>
      </c>
      <c r="M210" s="10" t="s">
        <v>24</v>
      </c>
      <c r="N210" s="10">
        <v>2000</v>
      </c>
      <c r="O210" s="10">
        <v>2000</v>
      </c>
      <c r="R210" s="10" t="s">
        <v>100</v>
      </c>
      <c r="S210" s="10" t="s">
        <v>6</v>
      </c>
      <c r="V210" s="10">
        <v>100</v>
      </c>
      <c r="X210" s="10" t="s">
        <v>25</v>
      </c>
    </row>
    <row r="211" spans="3:24" x14ac:dyDescent="0.25">
      <c r="C211" s="10" t="s">
        <v>2</v>
      </c>
      <c r="D211" s="10" t="s">
        <v>20</v>
      </c>
      <c r="G211" s="10" t="s">
        <v>113</v>
      </c>
      <c r="H211" s="10" t="s">
        <v>23</v>
      </c>
      <c r="M211" s="10" t="s">
        <v>24</v>
      </c>
      <c r="N211" s="10">
        <v>2000</v>
      </c>
      <c r="O211" s="10">
        <v>2000</v>
      </c>
      <c r="R211" s="10" t="s">
        <v>100</v>
      </c>
      <c r="S211" s="10" t="s">
        <v>6</v>
      </c>
      <c r="V211" s="10">
        <v>90</v>
      </c>
      <c r="X211" s="10" t="s">
        <v>25</v>
      </c>
    </row>
    <row r="212" spans="3:24" x14ac:dyDescent="0.25">
      <c r="C212" s="10" t="s">
        <v>2</v>
      </c>
      <c r="D212" s="10" t="s">
        <v>20</v>
      </c>
      <c r="G212" s="10" t="s">
        <v>99</v>
      </c>
      <c r="H212" s="10" t="s">
        <v>17</v>
      </c>
      <c r="M212" s="10" t="s">
        <v>24</v>
      </c>
      <c r="N212" s="10">
        <v>2000</v>
      </c>
      <c r="O212" s="10">
        <v>2000</v>
      </c>
      <c r="R212" s="10" t="s">
        <v>100</v>
      </c>
      <c r="S212" s="10" t="s">
        <v>6</v>
      </c>
      <c r="V212" s="10">
        <v>90</v>
      </c>
      <c r="X212" s="10" t="s">
        <v>25</v>
      </c>
    </row>
    <row r="213" spans="3:24" x14ac:dyDescent="0.25">
      <c r="C213" s="10" t="s">
        <v>36</v>
      </c>
      <c r="D213" s="10" t="s">
        <v>1</v>
      </c>
      <c r="G213" s="10" t="s">
        <v>114</v>
      </c>
      <c r="H213" s="10" t="s">
        <v>115</v>
      </c>
      <c r="M213" s="10" t="s">
        <v>35</v>
      </c>
      <c r="N213" s="10">
        <v>1990</v>
      </c>
      <c r="O213" s="10">
        <v>1990</v>
      </c>
      <c r="R213" s="10" t="s">
        <v>120</v>
      </c>
      <c r="S213" s="10" t="s">
        <v>121</v>
      </c>
      <c r="U213" s="15" t="s">
        <v>37</v>
      </c>
      <c r="V213" s="10">
        <v>20.71</v>
      </c>
      <c r="X213" s="10" t="s">
        <v>368</v>
      </c>
    </row>
    <row r="214" spans="3:24" x14ac:dyDescent="0.25">
      <c r="C214" s="10" t="s">
        <v>36</v>
      </c>
      <c r="D214" s="10" t="s">
        <v>1</v>
      </c>
      <c r="G214" s="10" t="s">
        <v>114</v>
      </c>
      <c r="H214" s="10" t="s">
        <v>115</v>
      </c>
      <c r="M214" s="10" t="s">
        <v>35</v>
      </c>
      <c r="N214" s="10">
        <v>1990</v>
      </c>
      <c r="O214" s="10">
        <v>1990</v>
      </c>
      <c r="R214" s="10" t="s">
        <v>120</v>
      </c>
      <c r="S214" s="10" t="s">
        <v>121</v>
      </c>
      <c r="U214" s="15">
        <v>1</v>
      </c>
      <c r="V214" s="10">
        <v>20.71</v>
      </c>
      <c r="X214" s="10" t="s">
        <v>368</v>
      </c>
    </row>
    <row r="215" spans="3:24" x14ac:dyDescent="0.25">
      <c r="C215" s="10" t="s">
        <v>36</v>
      </c>
      <c r="D215" s="10" t="s">
        <v>1</v>
      </c>
      <c r="G215" s="10" t="s">
        <v>114</v>
      </c>
      <c r="H215" s="10" t="s">
        <v>115</v>
      </c>
      <c r="M215" s="10" t="s">
        <v>35</v>
      </c>
      <c r="N215" s="10">
        <v>1995</v>
      </c>
      <c r="O215" s="10">
        <v>1995</v>
      </c>
      <c r="R215" s="10" t="s">
        <v>120</v>
      </c>
      <c r="S215" s="10" t="s">
        <v>121</v>
      </c>
      <c r="U215" s="15" t="s">
        <v>37</v>
      </c>
      <c r="V215" s="10">
        <v>7.2</v>
      </c>
      <c r="X215" s="10" t="s">
        <v>369</v>
      </c>
    </row>
    <row r="216" spans="3:24" x14ac:dyDescent="0.25">
      <c r="C216" s="10" t="s">
        <v>36</v>
      </c>
      <c r="D216" s="10" t="s">
        <v>1</v>
      </c>
      <c r="G216" s="10" t="s">
        <v>114</v>
      </c>
      <c r="H216" s="10" t="s">
        <v>115</v>
      </c>
      <c r="M216" s="10" t="s">
        <v>35</v>
      </c>
      <c r="N216" s="10">
        <v>1995</v>
      </c>
      <c r="O216" s="10">
        <v>1995</v>
      </c>
      <c r="R216" s="10" t="s">
        <v>120</v>
      </c>
      <c r="S216" s="10" t="s">
        <v>121</v>
      </c>
      <c r="U216" s="15">
        <v>1</v>
      </c>
      <c r="V216" s="10">
        <v>7.2</v>
      </c>
      <c r="X216" s="10" t="s">
        <v>369</v>
      </c>
    </row>
    <row r="217" spans="3:24" x14ac:dyDescent="0.25">
      <c r="C217" s="10" t="s">
        <v>36</v>
      </c>
      <c r="D217" s="10" t="s">
        <v>1</v>
      </c>
      <c r="G217" s="10" t="s">
        <v>103</v>
      </c>
      <c r="H217" s="10" t="s">
        <v>104</v>
      </c>
      <c r="M217" s="10" t="s">
        <v>35</v>
      </c>
      <c r="N217" s="10">
        <v>1990</v>
      </c>
      <c r="O217" s="10">
        <v>1990</v>
      </c>
      <c r="R217" s="10" t="s">
        <v>120</v>
      </c>
      <c r="S217" s="10" t="s">
        <v>121</v>
      </c>
      <c r="U217" s="15" t="s">
        <v>37</v>
      </c>
      <c r="V217" s="10">
        <v>14.87</v>
      </c>
      <c r="X217" s="10" t="s">
        <v>368</v>
      </c>
    </row>
    <row r="218" spans="3:24" x14ac:dyDescent="0.25">
      <c r="C218" s="10" t="s">
        <v>36</v>
      </c>
      <c r="D218" s="10" t="s">
        <v>1</v>
      </c>
      <c r="G218" s="10" t="s">
        <v>103</v>
      </c>
      <c r="H218" s="10" t="s">
        <v>104</v>
      </c>
      <c r="M218" s="10" t="s">
        <v>35</v>
      </c>
      <c r="N218" s="10">
        <v>1990</v>
      </c>
      <c r="O218" s="10">
        <v>1990</v>
      </c>
      <c r="R218" s="10" t="s">
        <v>120</v>
      </c>
      <c r="S218" s="10" t="s">
        <v>121</v>
      </c>
      <c r="U218" s="15">
        <v>1</v>
      </c>
      <c r="V218" s="10">
        <v>6.33</v>
      </c>
      <c r="X218" s="10" t="s">
        <v>368</v>
      </c>
    </row>
    <row r="219" spans="3:24" x14ac:dyDescent="0.25">
      <c r="C219" s="10" t="s">
        <v>36</v>
      </c>
      <c r="D219" s="10" t="s">
        <v>1</v>
      </c>
      <c r="G219" s="10" t="s">
        <v>103</v>
      </c>
      <c r="H219" s="10" t="s">
        <v>104</v>
      </c>
      <c r="M219" s="10" t="s">
        <v>35</v>
      </c>
      <c r="N219" s="10">
        <v>1990</v>
      </c>
      <c r="O219" s="10">
        <v>1990</v>
      </c>
      <c r="R219" s="10" t="s">
        <v>105</v>
      </c>
      <c r="S219" s="10" t="s">
        <v>106</v>
      </c>
      <c r="U219" s="15" t="s">
        <v>38</v>
      </c>
      <c r="V219" s="10">
        <v>39.9</v>
      </c>
      <c r="X219" s="10" t="s">
        <v>368</v>
      </c>
    </row>
    <row r="220" spans="3:24" x14ac:dyDescent="0.25">
      <c r="C220" s="10" t="s">
        <v>36</v>
      </c>
      <c r="D220" s="10" t="s">
        <v>1</v>
      </c>
      <c r="G220" s="10" t="s">
        <v>103</v>
      </c>
      <c r="H220" s="10" t="s">
        <v>104</v>
      </c>
      <c r="M220" s="10" t="s">
        <v>35</v>
      </c>
      <c r="N220" s="10">
        <v>1995</v>
      </c>
      <c r="O220" s="10">
        <v>1995</v>
      </c>
      <c r="R220" s="10" t="s">
        <v>120</v>
      </c>
      <c r="S220" s="10" t="s">
        <v>121</v>
      </c>
      <c r="U220" s="15" t="s">
        <v>37</v>
      </c>
      <c r="V220" s="10">
        <v>4.7</v>
      </c>
      <c r="X220" s="10" t="s">
        <v>369</v>
      </c>
    </row>
    <row r="221" spans="3:24" x14ac:dyDescent="0.25">
      <c r="C221" s="10" t="s">
        <v>36</v>
      </c>
      <c r="D221" s="10" t="s">
        <v>1</v>
      </c>
      <c r="G221" s="10" t="s">
        <v>103</v>
      </c>
      <c r="H221" s="10" t="s">
        <v>104</v>
      </c>
      <c r="M221" s="10" t="s">
        <v>35</v>
      </c>
      <c r="N221" s="10">
        <v>1995</v>
      </c>
      <c r="O221" s="10">
        <v>1995</v>
      </c>
      <c r="R221" s="10" t="s">
        <v>120</v>
      </c>
      <c r="S221" s="10" t="s">
        <v>121</v>
      </c>
      <c r="U221" s="15">
        <v>1</v>
      </c>
      <c r="V221" s="10">
        <v>2</v>
      </c>
      <c r="X221" s="10" t="s">
        <v>369</v>
      </c>
    </row>
    <row r="222" spans="3:24" x14ac:dyDescent="0.25">
      <c r="C222" s="10" t="s">
        <v>36</v>
      </c>
      <c r="D222" s="10" t="s">
        <v>1</v>
      </c>
      <c r="G222" s="10" t="s">
        <v>103</v>
      </c>
      <c r="H222" s="10" t="s">
        <v>104</v>
      </c>
      <c r="M222" s="10" t="s">
        <v>35</v>
      </c>
      <c r="N222" s="10">
        <v>1995</v>
      </c>
      <c r="O222" s="10">
        <v>1995</v>
      </c>
      <c r="R222" s="10" t="s">
        <v>105</v>
      </c>
      <c r="S222" s="10" t="s">
        <v>106</v>
      </c>
      <c r="U222" s="15" t="s">
        <v>38</v>
      </c>
      <c r="V222" s="10">
        <v>38.4</v>
      </c>
      <c r="X222" s="10" t="s">
        <v>369</v>
      </c>
    </row>
    <row r="223" spans="3:24" x14ac:dyDescent="0.25">
      <c r="C223" s="10" t="s">
        <v>36</v>
      </c>
      <c r="D223" s="10" t="s">
        <v>1</v>
      </c>
      <c r="G223" s="10" t="s">
        <v>129</v>
      </c>
      <c r="H223" s="10" t="s">
        <v>130</v>
      </c>
      <c r="M223" s="10" t="s">
        <v>35</v>
      </c>
      <c r="N223" s="10">
        <v>1990</v>
      </c>
      <c r="O223" s="10">
        <v>1990</v>
      </c>
      <c r="R223" s="10" t="s">
        <v>120</v>
      </c>
      <c r="S223" s="10" t="s">
        <v>121</v>
      </c>
      <c r="U223" s="15" t="s">
        <v>37</v>
      </c>
      <c r="V223" s="10">
        <v>33</v>
      </c>
      <c r="X223" s="10" t="s">
        <v>368</v>
      </c>
    </row>
    <row r="224" spans="3:24" x14ac:dyDescent="0.25">
      <c r="C224" s="10" t="s">
        <v>36</v>
      </c>
      <c r="D224" s="10" t="s">
        <v>1</v>
      </c>
      <c r="G224" s="10" t="s">
        <v>129</v>
      </c>
      <c r="H224" s="10" t="s">
        <v>130</v>
      </c>
      <c r="M224" s="10" t="s">
        <v>35</v>
      </c>
      <c r="N224" s="10">
        <v>1990</v>
      </c>
      <c r="O224" s="10">
        <v>1990</v>
      </c>
      <c r="R224" s="10" t="s">
        <v>105</v>
      </c>
      <c r="S224" s="10" t="s">
        <v>106</v>
      </c>
      <c r="U224" s="15" t="s">
        <v>38</v>
      </c>
      <c r="V224" s="10">
        <v>10.17</v>
      </c>
      <c r="X224" s="10" t="s">
        <v>368</v>
      </c>
    </row>
    <row r="225" spans="3:24" x14ac:dyDescent="0.25">
      <c r="C225" s="10" t="s">
        <v>36</v>
      </c>
      <c r="D225" s="10" t="s">
        <v>1</v>
      </c>
      <c r="G225" s="10" t="s">
        <v>129</v>
      </c>
      <c r="H225" s="10" t="s">
        <v>130</v>
      </c>
      <c r="M225" s="10" t="s">
        <v>35</v>
      </c>
      <c r="N225" s="10">
        <v>1995</v>
      </c>
      <c r="O225" s="10">
        <v>1995</v>
      </c>
      <c r="R225" s="10" t="s">
        <v>120</v>
      </c>
      <c r="S225" s="10" t="s">
        <v>121</v>
      </c>
      <c r="U225" s="15" t="s">
        <v>37</v>
      </c>
      <c r="V225" s="10">
        <v>1</v>
      </c>
      <c r="X225" s="10" t="s">
        <v>369</v>
      </c>
    </row>
    <row r="226" spans="3:24" x14ac:dyDescent="0.25">
      <c r="C226" s="10" t="s">
        <v>36</v>
      </c>
      <c r="D226" s="10" t="s">
        <v>1</v>
      </c>
      <c r="G226" s="10" t="s">
        <v>129</v>
      </c>
      <c r="H226" s="10" t="s">
        <v>130</v>
      </c>
      <c r="M226" s="10" t="s">
        <v>35</v>
      </c>
      <c r="N226" s="10">
        <v>1995</v>
      </c>
      <c r="O226" s="10">
        <v>1995</v>
      </c>
      <c r="R226" s="10" t="s">
        <v>105</v>
      </c>
      <c r="S226" s="10" t="s">
        <v>106</v>
      </c>
      <c r="U226" s="15" t="s">
        <v>39</v>
      </c>
      <c r="V226" s="10">
        <v>10</v>
      </c>
      <c r="X226" s="10" t="s">
        <v>369</v>
      </c>
    </row>
    <row r="227" spans="3:24" x14ac:dyDescent="0.25">
      <c r="C227" s="10" t="s">
        <v>36</v>
      </c>
      <c r="D227" s="10" t="s">
        <v>1</v>
      </c>
      <c r="G227" s="10" t="s">
        <v>129</v>
      </c>
      <c r="H227" s="10" t="s">
        <v>130</v>
      </c>
      <c r="M227" s="10" t="s">
        <v>35</v>
      </c>
      <c r="N227" s="10">
        <v>1995</v>
      </c>
      <c r="O227" s="10">
        <v>1995</v>
      </c>
      <c r="R227" s="10" t="s">
        <v>105</v>
      </c>
      <c r="S227" s="10" t="s">
        <v>106</v>
      </c>
      <c r="U227" s="15" t="s">
        <v>38</v>
      </c>
      <c r="V227" s="10">
        <v>7.3</v>
      </c>
      <c r="X227" s="10" t="s">
        <v>369</v>
      </c>
    </row>
    <row r="228" spans="3:24" x14ac:dyDescent="0.25">
      <c r="C228" s="10" t="s">
        <v>1</v>
      </c>
      <c r="D228" s="10" t="s">
        <v>4</v>
      </c>
      <c r="G228" s="10" t="s">
        <v>113</v>
      </c>
      <c r="H228" s="10" t="s">
        <v>23</v>
      </c>
      <c r="I228" s="10" t="s">
        <v>357</v>
      </c>
      <c r="J228" s="10" t="s">
        <v>358</v>
      </c>
      <c r="M228" s="10" t="s">
        <v>29</v>
      </c>
      <c r="N228" s="10" t="s">
        <v>28</v>
      </c>
      <c r="O228" s="10">
        <v>1991</v>
      </c>
      <c r="R228" s="10" t="s">
        <v>107</v>
      </c>
      <c r="S228" s="10" t="s">
        <v>106</v>
      </c>
      <c r="V228" s="10">
        <v>41.2</v>
      </c>
      <c r="W228" s="10" t="s">
        <v>26</v>
      </c>
    </row>
    <row r="229" spans="3:24" x14ac:dyDescent="0.25">
      <c r="C229" s="10" t="s">
        <v>1</v>
      </c>
      <c r="D229" s="10" t="s">
        <v>4</v>
      </c>
      <c r="G229" s="10" t="s">
        <v>113</v>
      </c>
      <c r="H229" s="10" t="s">
        <v>23</v>
      </c>
      <c r="I229" s="10" t="s">
        <v>357</v>
      </c>
      <c r="J229" s="10" t="s">
        <v>358</v>
      </c>
      <c r="M229" s="10" t="s">
        <v>29</v>
      </c>
      <c r="N229" s="10" t="s">
        <v>28</v>
      </c>
      <c r="O229" s="10">
        <v>1991</v>
      </c>
      <c r="R229" s="10" t="s">
        <v>101</v>
      </c>
      <c r="S229" s="10" t="s">
        <v>102</v>
      </c>
      <c r="V229" s="10">
        <v>14.6</v>
      </c>
      <c r="W229" s="10" t="s">
        <v>26</v>
      </c>
    </row>
    <row r="230" spans="3:24" x14ac:dyDescent="0.25">
      <c r="C230" s="10" t="s">
        <v>1</v>
      </c>
      <c r="D230" s="10" t="s">
        <v>4</v>
      </c>
      <c r="G230" s="10" t="s">
        <v>113</v>
      </c>
      <c r="H230" s="10" t="s">
        <v>23</v>
      </c>
      <c r="I230" s="10" t="s">
        <v>357</v>
      </c>
      <c r="J230" s="10" t="s">
        <v>358</v>
      </c>
      <c r="M230" s="10" t="s">
        <v>29</v>
      </c>
      <c r="N230" s="10" t="s">
        <v>28</v>
      </c>
      <c r="O230" s="10">
        <v>1991</v>
      </c>
      <c r="R230" s="10" t="s">
        <v>127</v>
      </c>
      <c r="S230" s="10" t="s">
        <v>128</v>
      </c>
      <c r="V230" s="10">
        <v>5.5</v>
      </c>
      <c r="W230" s="10" t="s">
        <v>26</v>
      </c>
    </row>
    <row r="231" spans="3:24" x14ac:dyDescent="0.25">
      <c r="C231" s="10" t="s">
        <v>1</v>
      </c>
      <c r="D231" s="10" t="s">
        <v>4</v>
      </c>
      <c r="G231" s="10" t="s">
        <v>113</v>
      </c>
      <c r="H231" s="10" t="s">
        <v>23</v>
      </c>
      <c r="M231" s="10" t="s">
        <v>32</v>
      </c>
      <c r="N231" s="10" t="s">
        <v>30</v>
      </c>
      <c r="O231" s="10">
        <v>1996</v>
      </c>
      <c r="R231" s="10" t="s">
        <v>107</v>
      </c>
      <c r="S231" s="10" t="s">
        <v>106</v>
      </c>
      <c r="T231" s="10">
        <v>52.1</v>
      </c>
      <c r="X231" s="10" t="s">
        <v>31</v>
      </c>
    </row>
    <row r="232" spans="3:24" x14ac:dyDescent="0.25">
      <c r="C232" s="10" t="s">
        <v>1</v>
      </c>
      <c r="D232" s="10" t="s">
        <v>4</v>
      </c>
      <c r="G232" s="10" t="s">
        <v>113</v>
      </c>
      <c r="H232" s="10" t="s">
        <v>23</v>
      </c>
      <c r="M232" s="10" t="s">
        <v>32</v>
      </c>
      <c r="N232" s="10" t="s">
        <v>30</v>
      </c>
      <c r="O232" s="10">
        <v>1996</v>
      </c>
      <c r="R232" s="10" t="s">
        <v>101</v>
      </c>
      <c r="S232" s="10" t="s">
        <v>102</v>
      </c>
      <c r="T232" s="10">
        <v>80.400000000000006</v>
      </c>
      <c r="X232" s="10" t="s">
        <v>31</v>
      </c>
    </row>
    <row r="233" spans="3:24" x14ac:dyDescent="0.25">
      <c r="C233" s="10" t="s">
        <v>1</v>
      </c>
      <c r="D233" s="10" t="s">
        <v>4</v>
      </c>
      <c r="G233" s="10" t="s">
        <v>113</v>
      </c>
      <c r="H233" s="10" t="s">
        <v>23</v>
      </c>
      <c r="M233" s="10" t="s">
        <v>32</v>
      </c>
      <c r="N233" s="10" t="s">
        <v>30</v>
      </c>
      <c r="O233" s="10">
        <v>1996</v>
      </c>
      <c r="R233" s="10" t="s">
        <v>122</v>
      </c>
      <c r="S233" s="10" t="s">
        <v>123</v>
      </c>
      <c r="T233" s="10">
        <v>84.1</v>
      </c>
      <c r="X233" s="10" t="s">
        <v>31</v>
      </c>
    </row>
    <row r="234" spans="3:24" x14ac:dyDescent="0.25">
      <c r="C234" s="10" t="s">
        <v>1</v>
      </c>
      <c r="D234" s="10" t="s">
        <v>4</v>
      </c>
      <c r="G234" s="10" t="s">
        <v>113</v>
      </c>
      <c r="H234" s="10" t="s">
        <v>23</v>
      </c>
      <c r="I234" s="10" t="s">
        <v>357</v>
      </c>
      <c r="J234" s="10" t="s">
        <v>358</v>
      </c>
      <c r="M234" s="10" t="s">
        <v>370</v>
      </c>
      <c r="N234" s="10">
        <v>2004</v>
      </c>
      <c r="O234" s="10">
        <v>2004</v>
      </c>
      <c r="R234" s="10" t="s">
        <v>107</v>
      </c>
      <c r="S234" s="10" t="s">
        <v>106</v>
      </c>
      <c r="T234" s="10">
        <v>62.1</v>
      </c>
      <c r="V234" s="10">
        <v>70.5</v>
      </c>
      <c r="W234" s="10" t="s">
        <v>26</v>
      </c>
      <c r="X234" s="10" t="s">
        <v>371</v>
      </c>
    </row>
    <row r="235" spans="3:24" x14ac:dyDescent="0.25">
      <c r="C235" s="10" t="s">
        <v>1</v>
      </c>
      <c r="D235" s="10" t="s">
        <v>4</v>
      </c>
      <c r="G235" s="10" t="s">
        <v>113</v>
      </c>
      <c r="H235" s="10" t="s">
        <v>23</v>
      </c>
      <c r="I235" s="10" t="s">
        <v>357</v>
      </c>
      <c r="J235" s="10" t="s">
        <v>358</v>
      </c>
      <c r="M235" s="10" t="s">
        <v>370</v>
      </c>
      <c r="N235" s="10">
        <v>2004</v>
      </c>
      <c r="O235" s="10">
        <v>2004</v>
      </c>
      <c r="R235" s="10" t="s">
        <v>101</v>
      </c>
      <c r="S235" s="10" t="s">
        <v>102</v>
      </c>
      <c r="T235" s="10">
        <v>92.4</v>
      </c>
      <c r="V235" s="10">
        <v>8</v>
      </c>
      <c r="W235" s="10" t="s">
        <v>26</v>
      </c>
      <c r="X235" s="10" t="s">
        <v>371</v>
      </c>
    </row>
    <row r="236" spans="3:24" x14ac:dyDescent="0.25">
      <c r="C236" s="10" t="s">
        <v>1</v>
      </c>
      <c r="D236" s="10" t="s">
        <v>4</v>
      </c>
      <c r="G236" s="10" t="s">
        <v>113</v>
      </c>
      <c r="H236" s="10" t="s">
        <v>23</v>
      </c>
      <c r="I236" s="10" t="s">
        <v>357</v>
      </c>
      <c r="J236" s="10" t="s">
        <v>358</v>
      </c>
      <c r="M236" s="10" t="s">
        <v>370</v>
      </c>
      <c r="N236" s="10">
        <v>2004</v>
      </c>
      <c r="O236" s="10">
        <v>2004</v>
      </c>
      <c r="R236" s="10" t="s">
        <v>127</v>
      </c>
      <c r="S236" s="10" t="s">
        <v>128</v>
      </c>
      <c r="T236" s="10">
        <v>45.3</v>
      </c>
      <c r="V236" s="10">
        <v>0.6</v>
      </c>
      <c r="W236" s="10" t="s">
        <v>26</v>
      </c>
      <c r="X236" s="10" t="s">
        <v>371</v>
      </c>
    </row>
    <row r="237" spans="3:24" x14ac:dyDescent="0.25">
      <c r="C237" s="10" t="s">
        <v>1</v>
      </c>
      <c r="D237" s="10" t="s">
        <v>4</v>
      </c>
      <c r="G237" s="10" t="s">
        <v>113</v>
      </c>
      <c r="H237" s="10" t="s">
        <v>23</v>
      </c>
      <c r="I237" s="10" t="s">
        <v>357</v>
      </c>
      <c r="J237" s="10" t="s">
        <v>358</v>
      </c>
      <c r="M237" s="10" t="s">
        <v>370</v>
      </c>
      <c r="N237" s="10">
        <v>2005</v>
      </c>
      <c r="O237" s="10">
        <v>2005</v>
      </c>
      <c r="R237" s="10" t="s">
        <v>107</v>
      </c>
      <c r="S237" s="10" t="s">
        <v>106</v>
      </c>
      <c r="T237" s="10">
        <v>34.799999999999997</v>
      </c>
      <c r="V237" s="10">
        <v>20.9</v>
      </c>
      <c r="W237" s="10" t="s">
        <v>26</v>
      </c>
      <c r="X237" s="10" t="s">
        <v>371</v>
      </c>
    </row>
    <row r="238" spans="3:24" x14ac:dyDescent="0.25">
      <c r="C238" s="10" t="s">
        <v>1</v>
      </c>
      <c r="D238" s="10" t="s">
        <v>4</v>
      </c>
      <c r="G238" s="10" t="s">
        <v>113</v>
      </c>
      <c r="H238" s="10" t="s">
        <v>23</v>
      </c>
      <c r="I238" s="10" t="s">
        <v>357</v>
      </c>
      <c r="J238" s="10" t="s">
        <v>358</v>
      </c>
      <c r="M238" s="10" t="s">
        <v>370</v>
      </c>
      <c r="N238" s="10">
        <v>2005</v>
      </c>
      <c r="O238" s="10">
        <v>2005</v>
      </c>
      <c r="R238" s="10" t="s">
        <v>101</v>
      </c>
      <c r="S238" s="10" t="s">
        <v>102</v>
      </c>
      <c r="T238" s="10">
        <v>45</v>
      </c>
      <c r="V238" s="10">
        <v>0.1</v>
      </c>
      <c r="W238" s="10" t="s">
        <v>26</v>
      </c>
      <c r="X238" s="10" t="s">
        <v>371</v>
      </c>
    </row>
    <row r="239" spans="3:24" x14ac:dyDescent="0.25">
      <c r="C239" s="10" t="s">
        <v>1</v>
      </c>
      <c r="D239" s="10" t="s">
        <v>4</v>
      </c>
      <c r="G239" s="10" t="s">
        <v>113</v>
      </c>
      <c r="H239" s="10" t="s">
        <v>23</v>
      </c>
      <c r="I239" s="10" t="s">
        <v>357</v>
      </c>
      <c r="J239" s="10" t="s">
        <v>358</v>
      </c>
      <c r="M239" s="10" t="s">
        <v>370</v>
      </c>
      <c r="N239" s="10">
        <v>2005</v>
      </c>
      <c r="O239" s="10">
        <v>2005</v>
      </c>
      <c r="R239" s="10" t="s">
        <v>127</v>
      </c>
      <c r="S239" s="10" t="s">
        <v>128</v>
      </c>
      <c r="T239" s="10">
        <v>62.2</v>
      </c>
      <c r="V239" s="10">
        <v>6.4</v>
      </c>
      <c r="W239" s="10" t="s">
        <v>26</v>
      </c>
      <c r="X239" s="10" t="s">
        <v>371</v>
      </c>
    </row>
    <row r="240" spans="3:24" x14ac:dyDescent="0.25">
      <c r="C240" s="10" t="s">
        <v>1</v>
      </c>
      <c r="D240" s="10" t="s">
        <v>75</v>
      </c>
      <c r="G240" s="10" t="s">
        <v>103</v>
      </c>
      <c r="H240" s="10" t="s">
        <v>104</v>
      </c>
      <c r="M240" s="10" t="s">
        <v>77</v>
      </c>
      <c r="N240" s="10" t="s">
        <v>78</v>
      </c>
      <c r="O240" s="10">
        <v>2000</v>
      </c>
      <c r="R240" s="10" t="s">
        <v>107</v>
      </c>
      <c r="S240" s="10" t="s">
        <v>106</v>
      </c>
      <c r="V240" s="10">
        <v>100</v>
      </c>
      <c r="W240" s="10" t="s">
        <v>76</v>
      </c>
    </row>
    <row r="241" spans="3:24" x14ac:dyDescent="0.25">
      <c r="C241" s="10" t="s">
        <v>1</v>
      </c>
      <c r="D241" s="10" t="s">
        <v>33</v>
      </c>
      <c r="G241" s="10" t="s">
        <v>113</v>
      </c>
      <c r="H241" s="10" t="s">
        <v>23</v>
      </c>
      <c r="I241" s="10" t="s">
        <v>357</v>
      </c>
      <c r="J241" s="10" t="s">
        <v>358</v>
      </c>
      <c r="M241" s="10" t="s">
        <v>34</v>
      </c>
      <c r="N241" s="10">
        <v>2009</v>
      </c>
      <c r="O241" s="10">
        <v>2009</v>
      </c>
      <c r="R241" s="10" t="s">
        <v>101</v>
      </c>
      <c r="S241" s="10" t="s">
        <v>102</v>
      </c>
      <c r="V241" s="10">
        <v>4.09</v>
      </c>
      <c r="W241" s="10" t="s">
        <v>372</v>
      </c>
    </row>
    <row r="242" spans="3:24" x14ac:dyDescent="0.25">
      <c r="C242" s="10" t="s">
        <v>1</v>
      </c>
      <c r="D242" s="10" t="s">
        <v>33</v>
      </c>
      <c r="G242" s="10" t="s">
        <v>113</v>
      </c>
      <c r="H242" s="10" t="s">
        <v>23</v>
      </c>
      <c r="I242" s="10" t="s">
        <v>357</v>
      </c>
      <c r="J242" s="10" t="s">
        <v>358</v>
      </c>
      <c r="M242" s="10" t="s">
        <v>34</v>
      </c>
      <c r="N242" s="10">
        <v>2009</v>
      </c>
      <c r="O242" s="10">
        <v>2009</v>
      </c>
      <c r="R242" s="10" t="s">
        <v>107</v>
      </c>
      <c r="S242" s="10" t="s">
        <v>106</v>
      </c>
      <c r="V242" s="10">
        <v>61.92</v>
      </c>
      <c r="W242" s="10" t="s">
        <v>372</v>
      </c>
    </row>
    <row r="243" spans="3:24" x14ac:dyDescent="0.25">
      <c r="C243" s="10" t="s">
        <v>1</v>
      </c>
      <c r="D243" s="10" t="s">
        <v>33</v>
      </c>
      <c r="G243" s="10" t="s">
        <v>135</v>
      </c>
      <c r="H243" s="10" t="s">
        <v>8</v>
      </c>
      <c r="I243" s="10" t="s">
        <v>356</v>
      </c>
      <c r="J243" s="10" t="s">
        <v>358</v>
      </c>
      <c r="M243" s="10" t="s">
        <v>34</v>
      </c>
      <c r="N243" s="10">
        <v>2009</v>
      </c>
      <c r="O243" s="10">
        <v>2009</v>
      </c>
      <c r="R243" s="10" t="s">
        <v>107</v>
      </c>
      <c r="S243" s="10" t="s">
        <v>106</v>
      </c>
      <c r="V243" s="10">
        <v>34.22</v>
      </c>
      <c r="W243" s="10" t="s">
        <v>3</v>
      </c>
    </row>
    <row r="244" spans="3:24" x14ac:dyDescent="0.25">
      <c r="C244" s="10" t="s">
        <v>1</v>
      </c>
      <c r="D244" s="10" t="s">
        <v>33</v>
      </c>
      <c r="G244" s="10" t="s">
        <v>150</v>
      </c>
      <c r="H244" s="10" t="s">
        <v>10</v>
      </c>
      <c r="I244" s="10" t="s">
        <v>357</v>
      </c>
      <c r="J244" s="10" t="s">
        <v>358</v>
      </c>
      <c r="M244" s="10" t="s">
        <v>34</v>
      </c>
      <c r="N244" s="10">
        <v>2009</v>
      </c>
      <c r="O244" s="10">
        <v>2009</v>
      </c>
      <c r="R244" s="10" t="s">
        <v>101</v>
      </c>
      <c r="S244" s="10" t="s">
        <v>102</v>
      </c>
      <c r="V244" s="10">
        <v>36.21</v>
      </c>
      <c r="W244" s="10" t="s">
        <v>372</v>
      </c>
    </row>
    <row r="245" spans="3:24" x14ac:dyDescent="0.25">
      <c r="C245" s="10" t="s">
        <v>1</v>
      </c>
      <c r="D245" s="10" t="s">
        <v>33</v>
      </c>
      <c r="G245" s="10" t="s">
        <v>150</v>
      </c>
      <c r="H245" s="10" t="s">
        <v>10</v>
      </c>
      <c r="I245" s="10" t="s">
        <v>357</v>
      </c>
      <c r="J245" s="10" t="s">
        <v>358</v>
      </c>
      <c r="M245" s="10" t="s">
        <v>34</v>
      </c>
      <c r="N245" s="10">
        <v>2009</v>
      </c>
      <c r="O245" s="10">
        <v>2009</v>
      </c>
      <c r="R245" s="10" t="s">
        <v>105</v>
      </c>
      <c r="S245" s="10" t="s">
        <v>106</v>
      </c>
      <c r="V245" s="10">
        <v>3.2</v>
      </c>
      <c r="W245" s="10" t="s">
        <v>372</v>
      </c>
    </row>
    <row r="246" spans="3:24" x14ac:dyDescent="0.25">
      <c r="C246" s="10" t="s">
        <v>1</v>
      </c>
      <c r="D246" s="10" t="s">
        <v>33</v>
      </c>
      <c r="G246" s="10" t="s">
        <v>16</v>
      </c>
      <c r="H246" s="10" t="s">
        <v>15</v>
      </c>
      <c r="I246" s="10" t="s">
        <v>356</v>
      </c>
      <c r="J246" s="10" t="s">
        <v>358</v>
      </c>
      <c r="M246" s="10" t="s">
        <v>34</v>
      </c>
      <c r="N246" s="10">
        <v>2009</v>
      </c>
      <c r="O246" s="10">
        <v>2009</v>
      </c>
      <c r="R246" s="10" t="s">
        <v>101</v>
      </c>
      <c r="S246" s="10" t="s">
        <v>102</v>
      </c>
      <c r="V246" s="10">
        <v>13.05</v>
      </c>
      <c r="W246" s="10" t="s">
        <v>3</v>
      </c>
    </row>
    <row r="247" spans="3:24" x14ac:dyDescent="0.25">
      <c r="C247" s="10" t="s">
        <v>1</v>
      </c>
      <c r="D247" s="10" t="s">
        <v>33</v>
      </c>
      <c r="G247" s="10" t="s">
        <v>99</v>
      </c>
      <c r="H247" s="10" t="s">
        <v>17</v>
      </c>
      <c r="I247" s="10" t="s">
        <v>357</v>
      </c>
      <c r="J247" s="10" t="s">
        <v>358</v>
      </c>
      <c r="M247" s="10" t="s">
        <v>34</v>
      </c>
      <c r="N247" s="10">
        <v>2009</v>
      </c>
      <c r="O247" s="10">
        <v>2009</v>
      </c>
      <c r="R247" s="10" t="s">
        <v>101</v>
      </c>
      <c r="S247" s="10" t="s">
        <v>102</v>
      </c>
      <c r="V247" s="10">
        <v>51.57</v>
      </c>
      <c r="W247" s="10" t="s">
        <v>372</v>
      </c>
    </row>
    <row r="248" spans="3:24" x14ac:dyDescent="0.25">
      <c r="C248" s="10" t="s">
        <v>1</v>
      </c>
      <c r="D248" s="10" t="s">
        <v>33</v>
      </c>
      <c r="G248" s="10" t="s">
        <v>99</v>
      </c>
      <c r="H248" s="10" t="s">
        <v>17</v>
      </c>
      <c r="I248" s="10" t="s">
        <v>357</v>
      </c>
      <c r="J248" s="10" t="s">
        <v>358</v>
      </c>
      <c r="M248" s="10" t="s">
        <v>34</v>
      </c>
      <c r="N248" s="10">
        <v>2009</v>
      </c>
      <c r="O248" s="10">
        <v>2009</v>
      </c>
      <c r="R248" s="10" t="s">
        <v>107</v>
      </c>
      <c r="S248" s="10" t="s">
        <v>106</v>
      </c>
      <c r="V248" s="10">
        <v>20.059999999999999</v>
      </c>
      <c r="W248" s="10" t="s">
        <v>372</v>
      </c>
    </row>
    <row r="249" spans="3:24" x14ac:dyDescent="0.25">
      <c r="C249" s="10" t="s">
        <v>2</v>
      </c>
      <c r="D249" s="10" t="s">
        <v>11</v>
      </c>
      <c r="G249" s="10" t="s">
        <v>16</v>
      </c>
      <c r="H249" s="10" t="s">
        <v>15</v>
      </c>
      <c r="I249" s="10" t="s">
        <v>357</v>
      </c>
      <c r="J249" s="10" t="s">
        <v>358</v>
      </c>
      <c r="L249" s="10" t="s">
        <v>152</v>
      </c>
      <c r="M249" s="10" t="s">
        <v>373</v>
      </c>
      <c r="N249" s="10">
        <v>1987</v>
      </c>
      <c r="O249" s="10">
        <v>1987</v>
      </c>
      <c r="R249" s="10" t="s">
        <v>100</v>
      </c>
      <c r="S249" s="10" t="s">
        <v>6</v>
      </c>
      <c r="T249" s="10">
        <v>129</v>
      </c>
      <c r="V249" s="10">
        <v>100</v>
      </c>
      <c r="X249" s="10" t="s">
        <v>374</v>
      </c>
    </row>
    <row r="250" spans="3:24" x14ac:dyDescent="0.25">
      <c r="C250" s="10" t="s">
        <v>2</v>
      </c>
      <c r="D250" s="10" t="s">
        <v>11</v>
      </c>
      <c r="G250" s="10" t="s">
        <v>16</v>
      </c>
      <c r="H250" s="10" t="s">
        <v>15</v>
      </c>
      <c r="I250" s="10" t="s">
        <v>357</v>
      </c>
      <c r="J250" s="10" t="s">
        <v>358</v>
      </c>
      <c r="L250" s="10" t="s">
        <v>152</v>
      </c>
      <c r="M250" s="10" t="s">
        <v>373</v>
      </c>
      <c r="N250" s="10">
        <v>1988</v>
      </c>
      <c r="O250" s="10">
        <v>1988</v>
      </c>
      <c r="R250" s="10" t="s">
        <v>100</v>
      </c>
      <c r="S250" s="10" t="s">
        <v>6</v>
      </c>
      <c r="T250" s="10">
        <v>140</v>
      </c>
      <c r="V250" s="10">
        <v>100</v>
      </c>
      <c r="X250" s="10" t="s">
        <v>375</v>
      </c>
    </row>
    <row r="251" spans="3:24" x14ac:dyDescent="0.25">
      <c r="C251" s="10" t="s">
        <v>2</v>
      </c>
      <c r="D251" s="10" t="s">
        <v>11</v>
      </c>
      <c r="G251" s="10" t="s">
        <v>16</v>
      </c>
      <c r="H251" s="10" t="s">
        <v>15</v>
      </c>
      <c r="I251" s="10" t="s">
        <v>357</v>
      </c>
      <c r="J251" s="10" t="s">
        <v>358</v>
      </c>
      <c r="L251" s="10" t="s">
        <v>152</v>
      </c>
      <c r="M251" s="10" t="s">
        <v>373</v>
      </c>
      <c r="N251" s="10">
        <v>1989</v>
      </c>
      <c r="O251" s="10">
        <v>1989</v>
      </c>
      <c r="R251" s="10" t="s">
        <v>100</v>
      </c>
      <c r="S251" s="10" t="s">
        <v>6</v>
      </c>
      <c r="T251" s="10">
        <v>84</v>
      </c>
      <c r="V251" s="10">
        <v>100</v>
      </c>
      <c r="X251" s="10" t="s">
        <v>376</v>
      </c>
    </row>
  </sheetData>
  <autoFilter ref="A1:X251"/>
  <sortState ref="A2:AA782">
    <sortCondition ref="C2:C782"/>
    <sortCondition ref="E2:E782"/>
    <sortCondition ref="G2:G782"/>
    <sortCondition ref="N2:N782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E24" sqref="E24"/>
    </sheetView>
  </sheetViews>
  <sheetFormatPr defaultRowHeight="15" x14ac:dyDescent="0.25"/>
  <cols>
    <col min="2" max="2" width="13.42578125" customWidth="1"/>
    <col min="5" max="5" width="15.7109375" style="6" customWidth="1"/>
    <col min="6" max="6" width="15.7109375" bestFit="1" customWidth="1"/>
    <col min="7" max="8" width="15.7109375" customWidth="1"/>
    <col min="9" max="9" width="44.28515625" bestFit="1" customWidth="1"/>
  </cols>
  <sheetData>
    <row r="1" spans="1:9" x14ac:dyDescent="0.25">
      <c r="A1" t="s">
        <v>221</v>
      </c>
    </row>
    <row r="2" spans="1:9" x14ac:dyDescent="0.25">
      <c r="A2" t="s">
        <v>203</v>
      </c>
    </row>
    <row r="6" spans="1:9" ht="45" x14ac:dyDescent="0.25">
      <c r="A6" t="s">
        <v>204</v>
      </c>
      <c r="B6" t="s">
        <v>205</v>
      </c>
      <c r="C6" t="s">
        <v>206</v>
      </c>
      <c r="D6" t="s">
        <v>207</v>
      </c>
      <c r="E6" s="7" t="s">
        <v>208</v>
      </c>
      <c r="F6" s="4" t="s">
        <v>209</v>
      </c>
      <c r="G6" s="4" t="s">
        <v>217</v>
      </c>
      <c r="H6" s="4" t="s">
        <v>218</v>
      </c>
    </row>
    <row r="7" spans="1:9" x14ac:dyDescent="0.25">
      <c r="A7" t="s">
        <v>187</v>
      </c>
      <c r="B7" t="s">
        <v>188</v>
      </c>
      <c r="C7">
        <v>1</v>
      </c>
      <c r="D7">
        <v>1</v>
      </c>
      <c r="E7" s="6" t="s">
        <v>210</v>
      </c>
      <c r="F7">
        <v>0</v>
      </c>
      <c r="G7" s="8">
        <f>F7/SUM($F$7:$F$11)</f>
        <v>0</v>
      </c>
      <c r="I7" t="s">
        <v>219</v>
      </c>
    </row>
    <row r="8" spans="1:9" x14ac:dyDescent="0.25">
      <c r="A8" t="s">
        <v>187</v>
      </c>
      <c r="B8" t="s">
        <v>188</v>
      </c>
      <c r="C8">
        <v>1</v>
      </c>
      <c r="D8">
        <v>1</v>
      </c>
      <c r="E8" s="6" t="s">
        <v>211</v>
      </c>
      <c r="F8">
        <f>35+2+7+11+12+10</f>
        <v>77</v>
      </c>
      <c r="G8" s="8">
        <f>F8/SUM($F$7:$F$11)</f>
        <v>1.1714589989350373E-2</v>
      </c>
      <c r="I8" t="s">
        <v>219</v>
      </c>
    </row>
    <row r="9" spans="1:9" x14ac:dyDescent="0.25">
      <c r="A9" t="s">
        <v>187</v>
      </c>
      <c r="B9" t="s">
        <v>188</v>
      </c>
      <c r="C9">
        <v>1</v>
      </c>
      <c r="D9">
        <v>1</v>
      </c>
      <c r="E9" s="6" t="s">
        <v>212</v>
      </c>
      <c r="F9">
        <f>52+131+230+279+299+257</f>
        <v>1248</v>
      </c>
      <c r="G9" s="8">
        <f>F9/SUM($F$7:$F$11)</f>
        <v>0.18986764034687356</v>
      </c>
      <c r="I9" t="s">
        <v>219</v>
      </c>
    </row>
    <row r="10" spans="1:9" x14ac:dyDescent="0.25">
      <c r="A10" t="s">
        <v>187</v>
      </c>
      <c r="B10" t="s">
        <v>188</v>
      </c>
      <c r="C10">
        <v>1</v>
      </c>
      <c r="D10">
        <v>1</v>
      </c>
      <c r="E10" s="6" t="s">
        <v>213</v>
      </c>
      <c r="F10">
        <f>19+91+378+630+897+1349</f>
        <v>3364</v>
      </c>
      <c r="G10" s="8">
        <f>F10/SUM($F$7:$F$11)</f>
        <v>0.51179065875551499</v>
      </c>
      <c r="I10" t="s">
        <v>219</v>
      </c>
    </row>
    <row r="11" spans="1:9" x14ac:dyDescent="0.25">
      <c r="A11" t="s">
        <v>187</v>
      </c>
      <c r="B11" t="s">
        <v>188</v>
      </c>
      <c r="C11">
        <v>1</v>
      </c>
      <c r="D11">
        <v>1</v>
      </c>
      <c r="E11" s="6" t="s">
        <v>214</v>
      </c>
      <c r="F11">
        <f>35+255+420+544+630</f>
        <v>1884</v>
      </c>
      <c r="G11" s="8">
        <f>F11/SUM($F$7:$F$11)</f>
        <v>0.2866271109082611</v>
      </c>
      <c r="I11" t="s">
        <v>219</v>
      </c>
    </row>
    <row r="12" spans="1:9" x14ac:dyDescent="0.25">
      <c r="A12" t="s">
        <v>187</v>
      </c>
      <c r="B12" t="s">
        <v>176</v>
      </c>
      <c r="C12">
        <v>1</v>
      </c>
      <c r="D12">
        <v>1</v>
      </c>
      <c r="E12" s="6" t="s">
        <v>211</v>
      </c>
      <c r="F12">
        <f>2+3+4+3+2</f>
        <v>14</v>
      </c>
      <c r="G12" s="8">
        <f>F12/SUM($F$12:$F$16)</f>
        <v>6.1946902654867256E-2</v>
      </c>
      <c r="I12" t="s">
        <v>219</v>
      </c>
    </row>
    <row r="13" spans="1:9" x14ac:dyDescent="0.25">
      <c r="A13" t="s">
        <v>187</v>
      </c>
      <c r="B13" t="s">
        <v>176</v>
      </c>
      <c r="C13">
        <v>1</v>
      </c>
      <c r="D13">
        <v>1</v>
      </c>
      <c r="E13" s="6" t="s">
        <v>212</v>
      </c>
      <c r="F13">
        <f>1+3+3+2+2+1</f>
        <v>12</v>
      </c>
      <c r="G13" s="8">
        <f>F13/SUM($F$12:$F$16)</f>
        <v>5.3097345132743362E-2</v>
      </c>
      <c r="I13" t="s">
        <v>219</v>
      </c>
    </row>
    <row r="14" spans="1:9" x14ac:dyDescent="0.25">
      <c r="A14" t="s">
        <v>187</v>
      </c>
      <c r="B14" t="s">
        <v>176</v>
      </c>
      <c r="C14">
        <v>1</v>
      </c>
      <c r="D14">
        <v>1</v>
      </c>
      <c r="E14" s="6" t="s">
        <v>213</v>
      </c>
      <c r="F14">
        <f>5+9+2+3+5+13</f>
        <v>37</v>
      </c>
      <c r="G14" s="8">
        <f>F14/SUM($F$12:$F$16)</f>
        <v>0.16371681415929204</v>
      </c>
      <c r="I14" t="s">
        <v>219</v>
      </c>
    </row>
    <row r="15" spans="1:9" x14ac:dyDescent="0.25">
      <c r="A15" t="s">
        <v>187</v>
      </c>
      <c r="B15" t="s">
        <v>176</v>
      </c>
      <c r="C15">
        <v>1</v>
      </c>
      <c r="D15">
        <v>1</v>
      </c>
      <c r="E15" s="6" t="s">
        <v>214</v>
      </c>
      <c r="F15">
        <f>1+4+4+4+4+92</f>
        <v>109</v>
      </c>
      <c r="G15" s="8">
        <f>F15/SUM($F$12:$F$16)</f>
        <v>0.48230088495575218</v>
      </c>
      <c r="I15" t="s">
        <v>219</v>
      </c>
    </row>
    <row r="16" spans="1:9" x14ac:dyDescent="0.25">
      <c r="A16" t="s">
        <v>187</v>
      </c>
      <c r="B16" t="s">
        <v>176</v>
      </c>
      <c r="C16">
        <v>1</v>
      </c>
      <c r="D16">
        <v>1</v>
      </c>
      <c r="E16" s="6" t="s">
        <v>215</v>
      </c>
      <c r="F16">
        <f>0+3+11+40</f>
        <v>54</v>
      </c>
      <c r="G16" s="8">
        <f>F16/SUM($F$12:$F$16)</f>
        <v>0.23893805309734514</v>
      </c>
      <c r="I16" t="s">
        <v>219</v>
      </c>
    </row>
    <row r="17" spans="1:9" x14ac:dyDescent="0.25">
      <c r="A17" t="s">
        <v>187</v>
      </c>
      <c r="B17" t="s">
        <v>174</v>
      </c>
      <c r="C17">
        <v>1</v>
      </c>
      <c r="D17">
        <v>1</v>
      </c>
      <c r="E17" s="6" t="s">
        <v>216</v>
      </c>
      <c r="F17">
        <f>1</f>
        <v>1</v>
      </c>
      <c r="G17" s="8">
        <f>F17/SUM($F$17:$F$19)</f>
        <v>1.0309278350515464E-2</v>
      </c>
      <c r="I17" t="s">
        <v>219</v>
      </c>
    </row>
    <row r="18" spans="1:9" x14ac:dyDescent="0.25">
      <c r="A18" t="s">
        <v>187</v>
      </c>
      <c r="B18" t="s">
        <v>174</v>
      </c>
      <c r="C18">
        <v>1</v>
      </c>
      <c r="D18">
        <v>1</v>
      </c>
      <c r="E18" s="6" t="s">
        <v>211</v>
      </c>
      <c r="F18">
        <f>4+4+2+1</f>
        <v>11</v>
      </c>
      <c r="G18" s="8">
        <f>F18/SUM($F$17:$F$19)</f>
        <v>0.1134020618556701</v>
      </c>
      <c r="I18" t="s">
        <v>219</v>
      </c>
    </row>
    <row r="19" spans="1:9" x14ac:dyDescent="0.25">
      <c r="A19" t="s">
        <v>187</v>
      </c>
      <c r="B19" t="s">
        <v>174</v>
      </c>
      <c r="C19">
        <v>1</v>
      </c>
      <c r="D19">
        <v>1</v>
      </c>
      <c r="E19" s="6" t="s">
        <v>212</v>
      </c>
      <c r="F19">
        <f>2+7+7+10+18+41</f>
        <v>85</v>
      </c>
      <c r="G19" s="8">
        <f>F19/SUM($F$17:$F$19)</f>
        <v>0.87628865979381443</v>
      </c>
      <c r="I19" t="s">
        <v>219</v>
      </c>
    </row>
    <row r="20" spans="1:9" x14ac:dyDescent="0.25">
      <c r="A20" t="s">
        <v>187</v>
      </c>
      <c r="B20" t="s">
        <v>188</v>
      </c>
      <c r="C20">
        <v>1</v>
      </c>
      <c r="D20">
        <v>2</v>
      </c>
      <c r="E20" s="6" t="s">
        <v>212</v>
      </c>
      <c r="F20">
        <f>2+9+1</f>
        <v>12</v>
      </c>
      <c r="G20" s="8">
        <f>F20/F20</f>
        <v>1</v>
      </c>
      <c r="I20" t="s">
        <v>219</v>
      </c>
    </row>
    <row r="21" spans="1:9" x14ac:dyDescent="0.25">
      <c r="A21" t="s">
        <v>187</v>
      </c>
      <c r="B21" t="s">
        <v>176</v>
      </c>
      <c r="C21">
        <v>1</v>
      </c>
      <c r="D21">
        <v>2</v>
      </c>
      <c r="E21" s="6" t="s">
        <v>211</v>
      </c>
      <c r="F21">
        <f>1+7+8+10</f>
        <v>26</v>
      </c>
      <c r="G21" s="8">
        <f>F21/(26+20)</f>
        <v>0.56521739130434778</v>
      </c>
      <c r="I21" t="s">
        <v>222</v>
      </c>
    </row>
    <row r="22" spans="1:9" x14ac:dyDescent="0.25">
      <c r="A22" t="s">
        <v>187</v>
      </c>
      <c r="B22" t="s">
        <v>174</v>
      </c>
      <c r="C22">
        <v>1</v>
      </c>
      <c r="D22">
        <v>2</v>
      </c>
      <c r="E22" s="6" t="s">
        <v>212</v>
      </c>
      <c r="F22">
        <f>1+1+1+1</f>
        <v>4</v>
      </c>
      <c r="G22" s="8">
        <f>F22/SUM($F$22:$F$23)</f>
        <v>0.22222222222222221</v>
      </c>
      <c r="I22" t="s">
        <v>219</v>
      </c>
    </row>
    <row r="23" spans="1:9" x14ac:dyDescent="0.25">
      <c r="A23" t="s">
        <v>187</v>
      </c>
      <c r="B23" t="s">
        <v>174</v>
      </c>
      <c r="C23">
        <v>1</v>
      </c>
      <c r="D23">
        <v>2</v>
      </c>
      <c r="E23" s="6" t="s">
        <v>213</v>
      </c>
      <c r="F23">
        <f>3+4+4+3</f>
        <v>14</v>
      </c>
      <c r="G23" s="8">
        <f>F23/SUM($F$22:$F$23)</f>
        <v>0.77777777777777779</v>
      </c>
      <c r="I23" t="s">
        <v>219</v>
      </c>
    </row>
    <row r="24" spans="1:9" x14ac:dyDescent="0.25">
      <c r="A24" t="s">
        <v>187</v>
      </c>
      <c r="B24" t="s">
        <v>188</v>
      </c>
      <c r="C24">
        <v>1</v>
      </c>
      <c r="D24">
        <v>3</v>
      </c>
      <c r="E24" s="6" t="s">
        <v>210</v>
      </c>
      <c r="F24">
        <v>0</v>
      </c>
      <c r="G24" s="8">
        <f>F24/SUM($F$24:$F$27)</f>
        <v>0</v>
      </c>
      <c r="I24" t="s">
        <v>219</v>
      </c>
    </row>
    <row r="25" spans="1:9" x14ac:dyDescent="0.25">
      <c r="A25" t="s">
        <v>187</v>
      </c>
      <c r="B25" t="s">
        <v>188</v>
      </c>
      <c r="C25">
        <v>1</v>
      </c>
      <c r="D25">
        <v>3</v>
      </c>
      <c r="E25" s="6" t="s">
        <v>212</v>
      </c>
      <c r="F25">
        <f>0+2+1</f>
        <v>3</v>
      </c>
      <c r="G25" s="8">
        <f>F25/SUM($F$24:$F$27)</f>
        <v>3.9154267815191856E-4</v>
      </c>
      <c r="I25" t="s">
        <v>219</v>
      </c>
    </row>
    <row r="26" spans="1:9" x14ac:dyDescent="0.25">
      <c r="A26" t="s">
        <v>187</v>
      </c>
      <c r="B26" t="s">
        <v>188</v>
      </c>
      <c r="C26">
        <v>1</v>
      </c>
      <c r="D26">
        <v>3</v>
      </c>
      <c r="E26" s="6" t="s">
        <v>213</v>
      </c>
      <c r="F26">
        <f>69+395+1540+1823+1969</f>
        <v>5796</v>
      </c>
      <c r="G26" s="8">
        <f>F26/SUM($F$24:$F$27)</f>
        <v>0.75646045418950669</v>
      </c>
      <c r="I26" t="s">
        <v>219</v>
      </c>
    </row>
    <row r="27" spans="1:9" x14ac:dyDescent="0.25">
      <c r="A27" t="s">
        <v>187</v>
      </c>
      <c r="B27" t="s">
        <v>188</v>
      </c>
      <c r="C27">
        <v>1</v>
      </c>
      <c r="D27">
        <v>3</v>
      </c>
      <c r="E27" s="6" t="s">
        <v>214</v>
      </c>
      <c r="F27">
        <f>0+28+287+590+958</f>
        <v>1863</v>
      </c>
      <c r="G27" s="8">
        <f>F27/SUM($F$24:$F$27)</f>
        <v>0.24314800313234142</v>
      </c>
      <c r="I27" t="s">
        <v>219</v>
      </c>
    </row>
    <row r="28" spans="1:9" x14ac:dyDescent="0.25">
      <c r="A28" t="s">
        <v>187</v>
      </c>
      <c r="B28" t="s">
        <v>176</v>
      </c>
      <c r="C28">
        <v>1</v>
      </c>
      <c r="D28">
        <v>3</v>
      </c>
      <c r="E28" s="6" t="s">
        <v>220</v>
      </c>
      <c r="F28">
        <f>2+7+4+2</f>
        <v>15</v>
      </c>
      <c r="G28" s="8">
        <f>F28/SUM($F$28:$F$32)</f>
        <v>6.9092584062643942E-3</v>
      </c>
      <c r="I28" t="s">
        <v>219</v>
      </c>
    </row>
    <row r="29" spans="1:9" x14ac:dyDescent="0.25">
      <c r="A29" t="s">
        <v>187</v>
      </c>
      <c r="B29" t="s">
        <v>176</v>
      </c>
      <c r="C29">
        <v>1</v>
      </c>
      <c r="D29">
        <v>3</v>
      </c>
      <c r="E29" s="6" t="s">
        <v>211</v>
      </c>
      <c r="F29">
        <f>58+3+6+4+2+1</f>
        <v>74</v>
      </c>
      <c r="G29" s="8">
        <f>F29/SUM($F$28:$F$32)</f>
        <v>3.408567480423768E-2</v>
      </c>
      <c r="I29" t="s">
        <v>219</v>
      </c>
    </row>
    <row r="30" spans="1:9" x14ac:dyDescent="0.25">
      <c r="A30" t="s">
        <v>187</v>
      </c>
      <c r="B30" t="s">
        <v>176</v>
      </c>
      <c r="C30">
        <v>1</v>
      </c>
      <c r="D30">
        <v>3</v>
      </c>
      <c r="E30" s="6" t="s">
        <v>212</v>
      </c>
      <c r="F30">
        <f>295+69+59+106+121+128</f>
        <v>778</v>
      </c>
      <c r="G30" s="8">
        <f>F30/SUM($F$28:$F$32)</f>
        <v>0.35836020267157992</v>
      </c>
      <c r="I30" t="s">
        <v>219</v>
      </c>
    </row>
    <row r="31" spans="1:9" x14ac:dyDescent="0.25">
      <c r="A31" t="s">
        <v>187</v>
      </c>
      <c r="B31" t="s">
        <v>176</v>
      </c>
      <c r="C31">
        <v>1</v>
      </c>
      <c r="D31">
        <v>3</v>
      </c>
      <c r="E31" s="6" t="s">
        <v>213</v>
      </c>
      <c r="F31">
        <f>128+98+168+186+168+155</f>
        <v>903</v>
      </c>
      <c r="G31" s="8">
        <f>F31/SUM($F$28:$F$32)</f>
        <v>0.41593735605711651</v>
      </c>
      <c r="I31" t="s">
        <v>219</v>
      </c>
    </row>
    <row r="32" spans="1:9" x14ac:dyDescent="0.25">
      <c r="A32" t="s">
        <v>187</v>
      </c>
      <c r="B32" t="s">
        <v>176</v>
      </c>
      <c r="C32">
        <v>1</v>
      </c>
      <c r="D32">
        <v>3</v>
      </c>
      <c r="E32" s="6" t="s">
        <v>214</v>
      </c>
      <c r="F32">
        <f>9+42+107+119+124</f>
        <v>401</v>
      </c>
      <c r="G32" s="8">
        <f>F32/SUM($F$28:$F$32)</f>
        <v>0.18470750806080147</v>
      </c>
      <c r="I32" t="s">
        <v>219</v>
      </c>
    </row>
    <row r="33" spans="1:9" x14ac:dyDescent="0.25">
      <c r="A33" t="s">
        <v>187</v>
      </c>
      <c r="B33" t="s">
        <v>174</v>
      </c>
      <c r="C33">
        <v>1</v>
      </c>
      <c r="D33">
        <v>3</v>
      </c>
      <c r="E33" s="6" t="s">
        <v>220</v>
      </c>
      <c r="F33">
        <f>27+2+5+3+1</f>
        <v>38</v>
      </c>
      <c r="G33" s="8">
        <f>F33/SUM($F$33:$F$37)</f>
        <v>0.22222222222222221</v>
      </c>
      <c r="I33" t="s">
        <v>219</v>
      </c>
    </row>
    <row r="34" spans="1:9" x14ac:dyDescent="0.25">
      <c r="A34" t="s">
        <v>187</v>
      </c>
      <c r="B34" t="s">
        <v>174</v>
      </c>
      <c r="C34">
        <v>1</v>
      </c>
      <c r="D34">
        <v>3</v>
      </c>
      <c r="E34" s="6" t="s">
        <v>216</v>
      </c>
      <c r="F34">
        <f>6+5+2+3+4+4</f>
        <v>24</v>
      </c>
      <c r="G34" s="8">
        <f>F34/SUM($F$33:$F$37)</f>
        <v>0.14035087719298245</v>
      </c>
      <c r="I34" t="s">
        <v>219</v>
      </c>
    </row>
    <row r="35" spans="1:9" x14ac:dyDescent="0.25">
      <c r="A35" t="s">
        <v>187</v>
      </c>
      <c r="B35" t="s">
        <v>174</v>
      </c>
      <c r="C35">
        <v>1</v>
      </c>
      <c r="D35">
        <v>3</v>
      </c>
      <c r="E35" s="6" t="s">
        <v>211</v>
      </c>
      <c r="F35">
        <f>2+30+14+0+0</f>
        <v>46</v>
      </c>
      <c r="G35" s="8">
        <f>F35/SUM($F$33:$F$37)</f>
        <v>0.26900584795321636</v>
      </c>
      <c r="I35" t="s">
        <v>219</v>
      </c>
    </row>
    <row r="36" spans="1:9" x14ac:dyDescent="0.25">
      <c r="A36" t="s">
        <v>187</v>
      </c>
      <c r="B36" t="s">
        <v>174</v>
      </c>
      <c r="C36">
        <v>1</v>
      </c>
      <c r="D36">
        <v>3</v>
      </c>
      <c r="E36" s="6" t="s">
        <v>212</v>
      </c>
      <c r="F36">
        <f>2+27+17+3+1</f>
        <v>50</v>
      </c>
      <c r="G36" s="8">
        <f>F36/SUM($F$33:$F$37)</f>
        <v>0.29239766081871343</v>
      </c>
      <c r="I36" t="s">
        <v>219</v>
      </c>
    </row>
    <row r="37" spans="1:9" x14ac:dyDescent="0.25">
      <c r="A37" t="s">
        <v>187</v>
      </c>
      <c r="B37" t="s">
        <v>174</v>
      </c>
      <c r="C37">
        <v>1</v>
      </c>
      <c r="D37">
        <v>3</v>
      </c>
      <c r="E37" s="6" t="s">
        <v>213</v>
      </c>
      <c r="F37">
        <f>2+6+4+1</f>
        <v>13</v>
      </c>
      <c r="G37" s="8">
        <f>F37/SUM($F$33:$F$37)</f>
        <v>7.6023391812865493E-2</v>
      </c>
      <c r="I37" t="s">
        <v>219</v>
      </c>
    </row>
    <row r="38" spans="1:9" x14ac:dyDescent="0.25">
      <c r="A38" t="s">
        <v>187</v>
      </c>
      <c r="B38" t="s">
        <v>188</v>
      </c>
      <c r="C38">
        <v>1</v>
      </c>
      <c r="D38">
        <v>4</v>
      </c>
      <c r="E38" s="6" t="s">
        <v>212</v>
      </c>
      <c r="F38">
        <f>2+2+2+2+1</f>
        <v>9</v>
      </c>
      <c r="G38" s="8">
        <f>F38/F38</f>
        <v>1</v>
      </c>
      <c r="I38" t="s">
        <v>219</v>
      </c>
    </row>
    <row r="39" spans="1:9" x14ac:dyDescent="0.25">
      <c r="A39" t="s">
        <v>187</v>
      </c>
      <c r="B39" t="s">
        <v>176</v>
      </c>
      <c r="C39">
        <v>1</v>
      </c>
      <c r="D39">
        <v>4</v>
      </c>
      <c r="E39" s="6" t="s">
        <v>216</v>
      </c>
      <c r="F39">
        <v>0</v>
      </c>
      <c r="G39" s="8">
        <f>F39/SUM($F$39:$F$41)</f>
        <v>0</v>
      </c>
      <c r="I39" t="s">
        <v>219</v>
      </c>
    </row>
    <row r="40" spans="1:9" x14ac:dyDescent="0.25">
      <c r="A40" t="s">
        <v>187</v>
      </c>
      <c r="B40" t="s">
        <v>176</v>
      </c>
      <c r="C40">
        <v>1</v>
      </c>
      <c r="D40">
        <v>4</v>
      </c>
      <c r="E40" s="6" t="s">
        <v>211</v>
      </c>
      <c r="F40">
        <f>1+2+3+3+1</f>
        <v>10</v>
      </c>
      <c r="G40" s="8">
        <f>F40/SUM($F$39:$F$41)</f>
        <v>7.1942446043165464E-2</v>
      </c>
      <c r="I40" t="s">
        <v>219</v>
      </c>
    </row>
    <row r="41" spans="1:9" x14ac:dyDescent="0.25">
      <c r="A41" t="s">
        <v>187</v>
      </c>
      <c r="B41" t="s">
        <v>176</v>
      </c>
      <c r="C41">
        <v>1</v>
      </c>
      <c r="D41">
        <v>4</v>
      </c>
      <c r="E41" s="6" t="s">
        <v>212</v>
      </c>
      <c r="F41">
        <f>4+85+40</f>
        <v>129</v>
      </c>
      <c r="G41" s="8">
        <f>F41/SUM($F$39:$F$41)</f>
        <v>0.92805755395683454</v>
      </c>
      <c r="I41" t="s">
        <v>219</v>
      </c>
    </row>
    <row r="42" spans="1:9" x14ac:dyDescent="0.25">
      <c r="A42" t="s">
        <v>187</v>
      </c>
      <c r="B42" t="s">
        <v>174</v>
      </c>
      <c r="C42">
        <v>1</v>
      </c>
      <c r="D42">
        <v>4</v>
      </c>
      <c r="E42" s="6" t="s">
        <v>220</v>
      </c>
      <c r="F42">
        <v>0</v>
      </c>
      <c r="G42" s="8">
        <f>F42/SUM($F$42:$F$45)</f>
        <v>0</v>
      </c>
      <c r="I42" t="s">
        <v>219</v>
      </c>
    </row>
    <row r="43" spans="1:9" x14ac:dyDescent="0.25">
      <c r="A43" t="s">
        <v>187</v>
      </c>
      <c r="B43" t="s">
        <v>174</v>
      </c>
      <c r="C43">
        <v>1</v>
      </c>
      <c r="D43">
        <v>4</v>
      </c>
      <c r="E43" s="6" t="s">
        <v>211</v>
      </c>
      <c r="F43">
        <f>2+70+156+176+181+92</f>
        <v>677</v>
      </c>
      <c r="G43" s="8">
        <f>F43/SUM($F$42:$F$45)</f>
        <v>0.15027746947835738</v>
      </c>
      <c r="I43" t="s">
        <v>219</v>
      </c>
    </row>
    <row r="44" spans="1:9" x14ac:dyDescent="0.25">
      <c r="A44" t="s">
        <v>187</v>
      </c>
      <c r="B44" t="s">
        <v>174</v>
      </c>
      <c r="C44">
        <v>1</v>
      </c>
      <c r="D44">
        <v>4</v>
      </c>
      <c r="E44" s="6" t="s">
        <v>212</v>
      </c>
      <c r="F44">
        <f>10+240+250+235+233+189</f>
        <v>1157</v>
      </c>
      <c r="G44" s="8">
        <f>F44/SUM($F$42:$F$45)</f>
        <v>0.25682574916759154</v>
      </c>
      <c r="I44" t="s">
        <v>219</v>
      </c>
    </row>
    <row r="45" spans="1:9" x14ac:dyDescent="0.25">
      <c r="A45" t="s">
        <v>187</v>
      </c>
      <c r="B45" t="s">
        <v>174</v>
      </c>
      <c r="C45">
        <v>1</v>
      </c>
      <c r="D45">
        <v>4</v>
      </c>
      <c r="E45" s="6" t="s">
        <v>213</v>
      </c>
      <c r="F45">
        <f>120+483+736+729+603</f>
        <v>2671</v>
      </c>
      <c r="G45" s="8">
        <f>F45/SUM($F$42:$F$45)</f>
        <v>0.59289678135405111</v>
      </c>
      <c r="I45" t="s">
        <v>219</v>
      </c>
    </row>
    <row r="46" spans="1:9" x14ac:dyDescent="0.25">
      <c r="A46" t="s">
        <v>187</v>
      </c>
      <c r="B46" t="s">
        <v>174</v>
      </c>
      <c r="C46">
        <v>1</v>
      </c>
      <c r="D46">
        <v>5</v>
      </c>
      <c r="E46" s="6" t="s">
        <v>216</v>
      </c>
      <c r="F46">
        <v>3</v>
      </c>
      <c r="G46" s="8">
        <f>F46/SUM($F$46:$F$49)</f>
        <v>4.2271382274200367E-4</v>
      </c>
      <c r="I46" t="s">
        <v>219</v>
      </c>
    </row>
    <row r="47" spans="1:9" x14ac:dyDescent="0.25">
      <c r="A47" t="s">
        <v>187</v>
      </c>
      <c r="B47" t="s">
        <v>174</v>
      </c>
      <c r="C47">
        <v>1</v>
      </c>
      <c r="D47">
        <v>5</v>
      </c>
      <c r="E47" s="6" t="s">
        <v>211</v>
      </c>
      <c r="F47">
        <f>359+1472+337+2000</f>
        <v>4168</v>
      </c>
      <c r="G47" s="8">
        <f>F47/SUM($F$46:$F$49)</f>
        <v>0.58729040439622371</v>
      </c>
      <c r="I47" t="s">
        <v>219</v>
      </c>
    </row>
    <row r="48" spans="1:9" x14ac:dyDescent="0.25">
      <c r="A48" t="s">
        <v>187</v>
      </c>
      <c r="B48" t="s">
        <v>174</v>
      </c>
      <c r="C48">
        <v>1</v>
      </c>
      <c r="D48">
        <v>5</v>
      </c>
      <c r="E48" s="6" t="s">
        <v>212</v>
      </c>
      <c r="F48">
        <v>29</v>
      </c>
      <c r="G48" s="8">
        <f>F48/SUM($F$46:$F$49)</f>
        <v>4.0862336198393689E-3</v>
      </c>
      <c r="I48" t="s">
        <v>219</v>
      </c>
    </row>
    <row r="49" spans="1:9" x14ac:dyDescent="0.25">
      <c r="A49" t="s">
        <v>187</v>
      </c>
      <c r="B49" t="s">
        <v>174</v>
      </c>
      <c r="C49">
        <v>1</v>
      </c>
      <c r="D49">
        <v>5</v>
      </c>
      <c r="E49" s="6" t="s">
        <v>213</v>
      </c>
      <c r="F49">
        <f>3+207+1220+1467</f>
        <v>2897</v>
      </c>
      <c r="G49" s="8">
        <f>F49/SUM($F$46:$F$49)</f>
        <v>0.40820064816119489</v>
      </c>
      <c r="I49" t="s">
        <v>219</v>
      </c>
    </row>
    <row r="50" spans="1:9" x14ac:dyDescent="0.25">
      <c r="A50" t="s">
        <v>187</v>
      </c>
      <c r="B50" t="s">
        <v>188</v>
      </c>
      <c r="C50">
        <v>1</v>
      </c>
      <c r="D50">
        <v>6</v>
      </c>
      <c r="E50" s="6" t="s">
        <v>213</v>
      </c>
      <c r="F50">
        <f>1+3+3+3</f>
        <v>10</v>
      </c>
      <c r="G50" s="8">
        <f>F50/F50</f>
        <v>1</v>
      </c>
      <c r="I50" t="s">
        <v>219</v>
      </c>
    </row>
    <row r="51" spans="1:9" x14ac:dyDescent="0.25">
      <c r="A51" t="s">
        <v>187</v>
      </c>
      <c r="B51" t="s">
        <v>176</v>
      </c>
      <c r="C51">
        <v>1</v>
      </c>
      <c r="D51">
        <v>6</v>
      </c>
      <c r="E51" s="6" t="s">
        <v>211</v>
      </c>
      <c r="F51">
        <v>0</v>
      </c>
      <c r="G51" s="8">
        <f>F51/SUM($F$51:$F$55)</f>
        <v>0</v>
      </c>
      <c r="I51" t="s">
        <v>219</v>
      </c>
    </row>
    <row r="52" spans="1:9" x14ac:dyDescent="0.25">
      <c r="A52" t="s">
        <v>187</v>
      </c>
      <c r="B52" t="s">
        <v>176</v>
      </c>
      <c r="C52">
        <v>1</v>
      </c>
      <c r="D52">
        <v>6</v>
      </c>
      <c r="E52" s="6" t="s">
        <v>212</v>
      </c>
      <c r="F52">
        <f>1+1+1</f>
        <v>3</v>
      </c>
      <c r="G52" s="8">
        <f>F52/SUM($F$51:$F$55)</f>
        <v>2.9498525073746312E-3</v>
      </c>
      <c r="I52" t="s">
        <v>219</v>
      </c>
    </row>
    <row r="53" spans="1:9" x14ac:dyDescent="0.25">
      <c r="A53" t="s">
        <v>187</v>
      </c>
      <c r="B53" t="s">
        <v>176</v>
      </c>
      <c r="C53">
        <v>1</v>
      </c>
      <c r="D53">
        <v>6</v>
      </c>
      <c r="E53" s="6" t="s">
        <v>213</v>
      </c>
      <c r="F53">
        <f>3+7+19+41+45+49</f>
        <v>164</v>
      </c>
      <c r="G53" s="8">
        <f>F53/SUM($F$51:$F$55)</f>
        <v>0.16125860373647985</v>
      </c>
      <c r="I53" t="s">
        <v>219</v>
      </c>
    </row>
    <row r="54" spans="1:9" x14ac:dyDescent="0.25">
      <c r="A54" t="s">
        <v>187</v>
      </c>
      <c r="B54" t="s">
        <v>176</v>
      </c>
      <c r="C54">
        <v>1</v>
      </c>
      <c r="D54">
        <v>6</v>
      </c>
      <c r="E54" s="6" t="s">
        <v>214</v>
      </c>
      <c r="F54">
        <f>1+11+25+24+25</f>
        <v>86</v>
      </c>
      <c r="G54" s="8">
        <f>F54/SUM($F$51:$F$55)</f>
        <v>8.4562438544739424E-2</v>
      </c>
      <c r="I54" t="s">
        <v>219</v>
      </c>
    </row>
    <row r="55" spans="1:9" x14ac:dyDescent="0.25">
      <c r="A55" t="s">
        <v>187</v>
      </c>
      <c r="B55" t="s">
        <v>176</v>
      </c>
      <c r="C55">
        <v>1</v>
      </c>
      <c r="D55">
        <v>6</v>
      </c>
      <c r="E55" s="6" t="s">
        <v>215</v>
      </c>
      <c r="F55">
        <f>6+76+181+230+271</f>
        <v>764</v>
      </c>
      <c r="G55" s="8">
        <f>F55/SUM($F$51:$F$55)</f>
        <v>0.75122910521140607</v>
      </c>
      <c r="I55" t="s">
        <v>219</v>
      </c>
    </row>
    <row r="56" spans="1:9" x14ac:dyDescent="0.25">
      <c r="A56" t="s">
        <v>187</v>
      </c>
      <c r="B56" t="s">
        <v>174</v>
      </c>
      <c r="C56">
        <v>1</v>
      </c>
      <c r="D56">
        <v>6</v>
      </c>
      <c r="E56" s="6" t="s">
        <v>220</v>
      </c>
      <c r="F56">
        <f>0+4+9+9+9</f>
        <v>31</v>
      </c>
      <c r="G56" s="8">
        <f>F56/SUM($F$56:$F$60)</f>
        <v>4.5939537640782456E-3</v>
      </c>
      <c r="I56" t="s">
        <v>219</v>
      </c>
    </row>
    <row r="57" spans="1:9" x14ac:dyDescent="0.25">
      <c r="A57" t="s">
        <v>187</v>
      </c>
      <c r="B57" t="s">
        <v>174</v>
      </c>
      <c r="C57">
        <v>1</v>
      </c>
      <c r="D57">
        <v>6</v>
      </c>
      <c r="E57" s="6" t="s">
        <v>216</v>
      </c>
      <c r="F57">
        <f>21+13+6+5+4+4</f>
        <v>53</v>
      </c>
      <c r="G57" s="8">
        <f>F57/SUM($F$56:$F$60)</f>
        <v>7.854179016004742E-3</v>
      </c>
      <c r="I57" t="s">
        <v>219</v>
      </c>
    </row>
    <row r="58" spans="1:9" x14ac:dyDescent="0.25">
      <c r="A58" t="s">
        <v>187</v>
      </c>
      <c r="B58" t="s">
        <v>174</v>
      </c>
      <c r="C58">
        <v>1</v>
      </c>
      <c r="D58">
        <v>6</v>
      </c>
      <c r="E58" s="6" t="s">
        <v>211</v>
      </c>
      <c r="F58">
        <f>98+156+92+88+76+68</f>
        <v>578</v>
      </c>
      <c r="G58" s="8">
        <f>F58/SUM($F$56:$F$60)</f>
        <v>8.5655008891523415E-2</v>
      </c>
      <c r="I58" t="s">
        <v>219</v>
      </c>
    </row>
    <row r="59" spans="1:9" x14ac:dyDescent="0.25">
      <c r="A59" t="s">
        <v>187</v>
      </c>
      <c r="B59" t="s">
        <v>174</v>
      </c>
      <c r="C59">
        <v>1</v>
      </c>
      <c r="D59">
        <v>6</v>
      </c>
      <c r="E59" s="6" t="s">
        <v>212</v>
      </c>
      <c r="F59">
        <f>92+421+450+373+311+262</f>
        <v>1909</v>
      </c>
      <c r="G59" s="8">
        <f>F59/SUM($F$56:$F$60)</f>
        <v>0.28289863663307646</v>
      </c>
      <c r="I59" t="s">
        <v>219</v>
      </c>
    </row>
    <row r="60" spans="1:9" x14ac:dyDescent="0.25">
      <c r="A60" t="s">
        <v>187</v>
      </c>
      <c r="B60" t="s">
        <v>174</v>
      </c>
      <c r="C60">
        <v>1</v>
      </c>
      <c r="D60">
        <v>6</v>
      </c>
      <c r="E60" s="6" t="s">
        <v>213</v>
      </c>
      <c r="F60">
        <f>17+482+889+1029+913+847</f>
        <v>4177</v>
      </c>
      <c r="G60" s="8">
        <f>F60/SUM($F$56:$F$60)</f>
        <v>0.61899822169531715</v>
      </c>
      <c r="I60" t="s">
        <v>219</v>
      </c>
    </row>
    <row r="61" spans="1:9" x14ac:dyDescent="0.25">
      <c r="A61" t="s">
        <v>187</v>
      </c>
      <c r="B61" t="s">
        <v>174</v>
      </c>
      <c r="C61">
        <v>1</v>
      </c>
      <c r="D61">
        <v>7</v>
      </c>
      <c r="E61" s="6" t="s">
        <v>211</v>
      </c>
      <c r="F61">
        <f>53+54+5+72+279+2468</f>
        <v>2931</v>
      </c>
      <c r="G61" s="8">
        <f>F61/SUM($F$61:$F$62)</f>
        <v>0.4543481630754922</v>
      </c>
      <c r="I61" t="s">
        <v>219</v>
      </c>
    </row>
    <row r="62" spans="1:9" x14ac:dyDescent="0.25">
      <c r="A62" t="s">
        <v>187</v>
      </c>
      <c r="B62" t="s">
        <v>174</v>
      </c>
      <c r="C62">
        <v>1</v>
      </c>
      <c r="D62">
        <v>7</v>
      </c>
      <c r="E62" s="6" t="s">
        <v>212</v>
      </c>
      <c r="F62">
        <f>3+8+1+90+347+3071</f>
        <v>3520</v>
      </c>
      <c r="G62" s="8">
        <f>F62/SUM($F$61:$F$62)</f>
        <v>0.5456518369245078</v>
      </c>
      <c r="I62" t="s">
        <v>219</v>
      </c>
    </row>
    <row r="63" spans="1:9" x14ac:dyDescent="0.25">
      <c r="A63" t="s">
        <v>187</v>
      </c>
      <c r="B63" t="s">
        <v>176</v>
      </c>
      <c r="C63">
        <v>1</v>
      </c>
      <c r="D63">
        <v>7</v>
      </c>
      <c r="E63" s="6" t="s">
        <v>212</v>
      </c>
      <c r="F63">
        <f>34+51+19</f>
        <v>104</v>
      </c>
      <c r="G63" s="8">
        <f>F63/SUM($F$63:$F$64)</f>
        <v>9.004329004329005E-2</v>
      </c>
      <c r="I63" t="s">
        <v>219</v>
      </c>
    </row>
    <row r="64" spans="1:9" x14ac:dyDescent="0.25">
      <c r="A64" t="s">
        <v>187</v>
      </c>
      <c r="B64" t="s">
        <v>176</v>
      </c>
      <c r="C64">
        <v>1</v>
      </c>
      <c r="D64">
        <v>7</v>
      </c>
      <c r="E64" s="6" t="s">
        <v>213</v>
      </c>
      <c r="F64">
        <f>1+30+47+377+407+189</f>
        <v>1051</v>
      </c>
      <c r="G64" s="8">
        <f>F64/SUM($F$63:$F$64)</f>
        <v>0.90995670995670996</v>
      </c>
      <c r="I64" t="s">
        <v>219</v>
      </c>
    </row>
    <row r="71" spans="1:4" x14ac:dyDescent="0.25">
      <c r="A71" t="s">
        <v>291</v>
      </c>
    </row>
    <row r="72" spans="1:4" x14ac:dyDescent="0.25">
      <c r="A72" t="s">
        <v>300</v>
      </c>
    </row>
    <row r="74" spans="1:4" x14ac:dyDescent="0.25">
      <c r="A74" t="s">
        <v>297</v>
      </c>
      <c r="B74" t="s">
        <v>204</v>
      </c>
      <c r="C74" t="s">
        <v>298</v>
      </c>
      <c r="D74" t="s">
        <v>299</v>
      </c>
    </row>
    <row r="75" spans="1:4" x14ac:dyDescent="0.25">
      <c r="A75">
        <v>1986</v>
      </c>
      <c r="B75" t="s">
        <v>253</v>
      </c>
      <c r="C75">
        <v>38.125</v>
      </c>
      <c r="D75">
        <v>0</v>
      </c>
    </row>
    <row r="76" spans="1:4" x14ac:dyDescent="0.25">
      <c r="A76">
        <v>1987</v>
      </c>
      <c r="B76" t="s">
        <v>253</v>
      </c>
      <c r="C76">
        <v>5</v>
      </c>
      <c r="D76">
        <v>0</v>
      </c>
    </row>
    <row r="77" spans="1:4" x14ac:dyDescent="0.25">
      <c r="A77">
        <v>1988</v>
      </c>
      <c r="B77" t="s">
        <v>253</v>
      </c>
      <c r="C77">
        <v>53.75</v>
      </c>
      <c r="D77">
        <v>1</v>
      </c>
    </row>
    <row r="78" spans="1:4" x14ac:dyDescent="0.25">
      <c r="A78">
        <v>1989</v>
      </c>
      <c r="B78" t="s">
        <v>253</v>
      </c>
      <c r="C78">
        <v>77.8125</v>
      </c>
      <c r="D78">
        <v>1</v>
      </c>
    </row>
    <row r="79" spans="1:4" x14ac:dyDescent="0.25">
      <c r="A79">
        <v>1990</v>
      </c>
      <c r="B79" t="s">
        <v>253</v>
      </c>
      <c r="C79">
        <v>28.4375</v>
      </c>
      <c r="D79">
        <v>0</v>
      </c>
    </row>
    <row r="80" spans="1:4" x14ac:dyDescent="0.25">
      <c r="A80">
        <v>1991</v>
      </c>
      <c r="B80" t="s">
        <v>253</v>
      </c>
      <c r="C80">
        <v>99.6875</v>
      </c>
      <c r="D80">
        <v>1</v>
      </c>
    </row>
    <row r="81" spans="1:4" x14ac:dyDescent="0.25">
      <c r="A81">
        <v>1992</v>
      </c>
      <c r="B81" t="s">
        <v>253</v>
      </c>
      <c r="C81">
        <v>20.9375</v>
      </c>
      <c r="D81">
        <v>0</v>
      </c>
    </row>
    <row r="82" spans="1:4" x14ac:dyDescent="0.25">
      <c r="A82">
        <v>1993</v>
      </c>
      <c r="B82" t="s">
        <v>253</v>
      </c>
      <c r="C82">
        <v>61.25</v>
      </c>
      <c r="D82">
        <v>1</v>
      </c>
    </row>
    <row r="83" spans="1:4" x14ac:dyDescent="0.25">
      <c r="A83">
        <v>1994</v>
      </c>
      <c r="B83" t="s">
        <v>253</v>
      </c>
      <c r="C83">
        <v>23.125</v>
      </c>
      <c r="D83">
        <v>0</v>
      </c>
    </row>
    <row r="84" spans="1:4" x14ac:dyDescent="0.25">
      <c r="A84">
        <v>1995</v>
      </c>
      <c r="B84" t="s">
        <v>253</v>
      </c>
      <c r="C84">
        <v>7.8125</v>
      </c>
      <c r="D84">
        <v>0</v>
      </c>
    </row>
    <row r="85" spans="1:4" x14ac:dyDescent="0.25">
      <c r="A85">
        <v>1996</v>
      </c>
      <c r="B85" t="s">
        <v>253</v>
      </c>
      <c r="C85">
        <v>13.125</v>
      </c>
      <c r="D85">
        <v>0</v>
      </c>
    </row>
    <row r="86" spans="1:4" x14ac:dyDescent="0.25">
      <c r="A86">
        <v>1997</v>
      </c>
      <c r="B86" t="s">
        <v>253</v>
      </c>
      <c r="C86">
        <v>33.75</v>
      </c>
      <c r="D86">
        <v>0</v>
      </c>
    </row>
    <row r="87" spans="1:4" x14ac:dyDescent="0.25">
      <c r="A87">
        <v>1998</v>
      </c>
      <c r="B87" t="s">
        <v>253</v>
      </c>
      <c r="C87">
        <v>35</v>
      </c>
      <c r="D87">
        <v>0</v>
      </c>
    </row>
    <row r="88" spans="1:4" x14ac:dyDescent="0.25">
      <c r="A88">
        <v>1986</v>
      </c>
      <c r="B88" t="s">
        <v>237</v>
      </c>
      <c r="C88">
        <v>100</v>
      </c>
      <c r="D88">
        <v>1</v>
      </c>
    </row>
    <row r="89" spans="1:4" x14ac:dyDescent="0.25">
      <c r="A89">
        <v>1987</v>
      </c>
      <c r="B89" t="s">
        <v>237</v>
      </c>
      <c r="C89">
        <v>100</v>
      </c>
      <c r="D89">
        <v>1</v>
      </c>
    </row>
    <row r="90" spans="1:4" x14ac:dyDescent="0.25">
      <c r="A90">
        <v>1988</v>
      </c>
      <c r="B90" t="s">
        <v>237</v>
      </c>
      <c r="C90">
        <v>100</v>
      </c>
      <c r="D90">
        <v>1</v>
      </c>
    </row>
    <row r="91" spans="1:4" x14ac:dyDescent="0.25">
      <c r="A91">
        <v>1989</v>
      </c>
      <c r="B91" t="s">
        <v>237</v>
      </c>
      <c r="C91">
        <v>98.784194999999997</v>
      </c>
      <c r="D91">
        <v>1</v>
      </c>
    </row>
    <row r="92" spans="1:4" x14ac:dyDescent="0.25">
      <c r="A92">
        <v>1990</v>
      </c>
      <c r="B92" t="s">
        <v>237</v>
      </c>
      <c r="C92">
        <v>97.568389999999994</v>
      </c>
      <c r="D92">
        <v>1</v>
      </c>
    </row>
    <row r="93" spans="1:4" x14ac:dyDescent="0.25">
      <c r="A93">
        <v>1991</v>
      </c>
      <c r="B93" t="s">
        <v>237</v>
      </c>
      <c r="C93">
        <v>100</v>
      </c>
      <c r="D93">
        <v>1</v>
      </c>
    </row>
    <row r="94" spans="1:4" x14ac:dyDescent="0.25">
      <c r="A94">
        <v>1992</v>
      </c>
      <c r="B94" t="s">
        <v>237</v>
      </c>
      <c r="C94">
        <v>100</v>
      </c>
      <c r="D94">
        <v>1</v>
      </c>
    </row>
    <row r="95" spans="1:4" x14ac:dyDescent="0.25">
      <c r="A95">
        <v>1993</v>
      </c>
      <c r="B95" t="s">
        <v>237</v>
      </c>
      <c r="C95">
        <v>100</v>
      </c>
      <c r="D95">
        <v>1</v>
      </c>
    </row>
    <row r="96" spans="1:4" x14ac:dyDescent="0.25">
      <c r="A96">
        <v>1994</v>
      </c>
      <c r="B96" t="s">
        <v>237</v>
      </c>
      <c r="C96">
        <v>99.696044999999998</v>
      </c>
      <c r="D96">
        <v>1</v>
      </c>
    </row>
    <row r="97" spans="1:4" x14ac:dyDescent="0.25">
      <c r="A97">
        <v>1995</v>
      </c>
      <c r="B97" t="s">
        <v>237</v>
      </c>
      <c r="C97">
        <v>100</v>
      </c>
      <c r="D97">
        <v>1</v>
      </c>
    </row>
    <row r="98" spans="1:4" x14ac:dyDescent="0.25">
      <c r="A98">
        <v>1996</v>
      </c>
      <c r="B98" t="s">
        <v>237</v>
      </c>
      <c r="C98">
        <v>100</v>
      </c>
      <c r="D98">
        <v>1</v>
      </c>
    </row>
    <row r="99" spans="1:4" x14ac:dyDescent="0.25">
      <c r="A99">
        <v>1997</v>
      </c>
      <c r="B99" t="s">
        <v>237</v>
      </c>
      <c r="C99">
        <v>100</v>
      </c>
      <c r="D99">
        <v>1</v>
      </c>
    </row>
    <row r="100" spans="1:4" x14ac:dyDescent="0.25">
      <c r="A100">
        <v>1998</v>
      </c>
      <c r="B100" t="s">
        <v>237</v>
      </c>
      <c r="C100">
        <v>99.696044999999998</v>
      </c>
      <c r="D100">
        <v>1</v>
      </c>
    </row>
    <row r="101" spans="1:4" x14ac:dyDescent="0.25">
      <c r="A101">
        <v>1986</v>
      </c>
      <c r="B101" t="s">
        <v>251</v>
      </c>
      <c r="C101">
        <v>87.152780000000007</v>
      </c>
      <c r="D101">
        <v>1</v>
      </c>
    </row>
    <row r="102" spans="1:4" x14ac:dyDescent="0.25">
      <c r="A102">
        <v>1987</v>
      </c>
      <c r="B102" t="s">
        <v>251</v>
      </c>
      <c r="C102">
        <v>100</v>
      </c>
      <c r="D102">
        <v>1</v>
      </c>
    </row>
    <row r="103" spans="1:4" x14ac:dyDescent="0.25">
      <c r="A103">
        <v>1988</v>
      </c>
      <c r="B103" t="s">
        <v>251</v>
      </c>
      <c r="C103">
        <v>99.652780000000007</v>
      </c>
      <c r="D103">
        <v>1</v>
      </c>
    </row>
    <row r="104" spans="1:4" x14ac:dyDescent="0.25">
      <c r="A104">
        <v>1989</v>
      </c>
      <c r="B104" t="s">
        <v>251</v>
      </c>
      <c r="C104">
        <v>20.48611</v>
      </c>
      <c r="D104">
        <v>0</v>
      </c>
    </row>
    <row r="105" spans="1:4" x14ac:dyDescent="0.25">
      <c r="A105">
        <v>1990</v>
      </c>
      <c r="B105" t="s">
        <v>251</v>
      </c>
      <c r="C105">
        <v>2.0833333000000001</v>
      </c>
      <c r="D105">
        <v>0</v>
      </c>
    </row>
    <row r="106" spans="1:4" x14ac:dyDescent="0.25">
      <c r="A106">
        <v>1991</v>
      </c>
      <c r="B106" t="s">
        <v>251</v>
      </c>
      <c r="C106">
        <v>43.055557</v>
      </c>
      <c r="D106">
        <v>0</v>
      </c>
    </row>
    <row r="107" spans="1:4" x14ac:dyDescent="0.25">
      <c r="A107">
        <v>1992</v>
      </c>
      <c r="B107" t="s">
        <v>251</v>
      </c>
      <c r="C107">
        <v>82.291663999999997</v>
      </c>
      <c r="D107">
        <v>1</v>
      </c>
    </row>
    <row r="108" spans="1:4" x14ac:dyDescent="0.25">
      <c r="A108">
        <v>1993</v>
      </c>
      <c r="B108" t="s">
        <v>251</v>
      </c>
      <c r="C108">
        <v>70.833336000000003</v>
      </c>
      <c r="D108">
        <v>1</v>
      </c>
    </row>
    <row r="109" spans="1:4" x14ac:dyDescent="0.25">
      <c r="A109">
        <v>1994</v>
      </c>
      <c r="B109" t="s">
        <v>251</v>
      </c>
      <c r="C109">
        <v>32.638890000000004</v>
      </c>
      <c r="D109">
        <v>0</v>
      </c>
    </row>
    <row r="110" spans="1:4" x14ac:dyDescent="0.25">
      <c r="A110">
        <v>1995</v>
      </c>
      <c r="B110" t="s">
        <v>251</v>
      </c>
      <c r="C110">
        <v>96.875</v>
      </c>
      <c r="D110">
        <v>1</v>
      </c>
    </row>
    <row r="111" spans="1:4" x14ac:dyDescent="0.25">
      <c r="A111">
        <v>1996</v>
      </c>
      <c r="B111" t="s">
        <v>251</v>
      </c>
      <c r="C111">
        <v>100</v>
      </c>
      <c r="D111">
        <v>1</v>
      </c>
    </row>
    <row r="112" spans="1:4" x14ac:dyDescent="0.25">
      <c r="A112">
        <v>1997</v>
      </c>
      <c r="B112" t="s">
        <v>251</v>
      </c>
      <c r="C112">
        <v>100</v>
      </c>
      <c r="D112">
        <v>1</v>
      </c>
    </row>
    <row r="113" spans="1:4" x14ac:dyDescent="0.25">
      <c r="A113">
        <v>1998</v>
      </c>
      <c r="B113" t="s">
        <v>251</v>
      </c>
      <c r="C113">
        <v>100</v>
      </c>
      <c r="D1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6" sqref="C26"/>
    </sheetView>
  </sheetViews>
  <sheetFormatPr defaultRowHeight="15" x14ac:dyDescent="0.25"/>
  <cols>
    <col min="1" max="1" width="28.5703125" customWidth="1"/>
    <col min="3" max="3" width="63.5703125" bestFit="1" customWidth="1"/>
    <col min="4" max="4" width="30.42578125" bestFit="1" customWidth="1"/>
    <col min="5" max="5" width="15" bestFit="1" customWidth="1"/>
    <col min="7" max="7" width="11.85546875" bestFit="1" customWidth="1"/>
    <col min="8" max="8" width="59.42578125" bestFit="1" customWidth="1"/>
  </cols>
  <sheetData>
    <row r="1" spans="1:11" x14ac:dyDescent="0.25">
      <c r="A1" s="5" t="s">
        <v>182</v>
      </c>
    </row>
    <row r="2" spans="1:11" x14ac:dyDescent="0.25">
      <c r="E2" t="s">
        <v>160</v>
      </c>
      <c r="F2" t="s">
        <v>91</v>
      </c>
      <c r="G2" t="s">
        <v>161</v>
      </c>
      <c r="H2" t="s">
        <v>168</v>
      </c>
      <c r="I2" t="s">
        <v>171</v>
      </c>
      <c r="J2" t="s">
        <v>172</v>
      </c>
    </row>
    <row r="3" spans="1:11" x14ac:dyDescent="0.25">
      <c r="A3" t="s">
        <v>162</v>
      </c>
      <c r="B3">
        <v>1996</v>
      </c>
      <c r="C3" t="s">
        <v>163</v>
      </c>
      <c r="D3" t="s">
        <v>164</v>
      </c>
      <c r="E3" t="s">
        <v>72</v>
      </c>
      <c r="H3" t="s">
        <v>169</v>
      </c>
      <c r="I3" t="s">
        <v>173</v>
      </c>
      <c r="J3" t="s">
        <v>174</v>
      </c>
    </row>
    <row r="4" spans="1:11" x14ac:dyDescent="0.25">
      <c r="A4" t="s">
        <v>165</v>
      </c>
      <c r="B4">
        <v>2004</v>
      </c>
      <c r="C4" t="s">
        <v>166</v>
      </c>
      <c r="D4" t="s">
        <v>167</v>
      </c>
      <c r="H4" t="s">
        <v>170</v>
      </c>
    </row>
    <row r="5" spans="1:11" ht="30" x14ac:dyDescent="0.25">
      <c r="A5" s="5" t="s">
        <v>177</v>
      </c>
      <c r="B5">
        <v>1987</v>
      </c>
      <c r="C5" t="s">
        <v>179</v>
      </c>
      <c r="D5" t="s">
        <v>180</v>
      </c>
      <c r="E5" t="s">
        <v>178</v>
      </c>
      <c r="H5" s="4" t="s">
        <v>181</v>
      </c>
      <c r="I5" t="s">
        <v>175</v>
      </c>
      <c r="J5" t="s">
        <v>176</v>
      </c>
    </row>
    <row r="6" spans="1:11" x14ac:dyDescent="0.25">
      <c r="A6" t="s">
        <v>183</v>
      </c>
      <c r="B6">
        <v>1989</v>
      </c>
      <c r="C6" t="s">
        <v>184</v>
      </c>
      <c r="D6" t="s">
        <v>185</v>
      </c>
      <c r="E6" t="s">
        <v>186</v>
      </c>
      <c r="H6" s="5" t="s">
        <v>226</v>
      </c>
      <c r="I6" t="s">
        <v>195</v>
      </c>
      <c r="J6" t="s">
        <v>227</v>
      </c>
      <c r="K6" t="s">
        <v>223</v>
      </c>
    </row>
    <row r="7" spans="1:11" x14ac:dyDescent="0.25">
      <c r="A7" t="s">
        <v>183</v>
      </c>
      <c r="I7" t="s">
        <v>200</v>
      </c>
      <c r="J7" t="s">
        <v>174</v>
      </c>
    </row>
    <row r="8" spans="1:11" x14ac:dyDescent="0.25">
      <c r="A8" t="s">
        <v>183</v>
      </c>
      <c r="I8" t="s">
        <v>187</v>
      </c>
      <c r="J8" t="s">
        <v>176</v>
      </c>
    </row>
    <row r="9" spans="1:11" x14ac:dyDescent="0.25">
      <c r="A9" t="s">
        <v>288</v>
      </c>
      <c r="B9">
        <v>1989</v>
      </c>
      <c r="C9" t="s">
        <v>289</v>
      </c>
      <c r="E9" t="s">
        <v>2</v>
      </c>
      <c r="F9" t="s">
        <v>59</v>
      </c>
      <c r="G9" t="s">
        <v>285</v>
      </c>
      <c r="H9" t="s">
        <v>290</v>
      </c>
      <c r="I9" t="s">
        <v>248</v>
      </c>
      <c r="J9" t="s">
        <v>176</v>
      </c>
    </row>
    <row r="10" spans="1:11" x14ac:dyDescent="0.25">
      <c r="A10" t="s">
        <v>293</v>
      </c>
      <c r="B10">
        <v>2000</v>
      </c>
      <c r="C10" t="s">
        <v>294</v>
      </c>
      <c r="D10" t="s">
        <v>295</v>
      </c>
      <c r="E10" t="s">
        <v>2</v>
      </c>
      <c r="F10" t="s">
        <v>59</v>
      </c>
      <c r="G10" t="s">
        <v>11</v>
      </c>
      <c r="H10" t="s">
        <v>292</v>
      </c>
      <c r="I10" t="s">
        <v>253</v>
      </c>
      <c r="J10" t="s">
        <v>176</v>
      </c>
    </row>
    <row r="11" spans="1:11" ht="30" x14ac:dyDescent="0.25">
      <c r="A11" t="s">
        <v>293</v>
      </c>
      <c r="H11" s="4" t="s">
        <v>296</v>
      </c>
      <c r="I11" t="s">
        <v>237</v>
      </c>
      <c r="J11" t="s">
        <v>176</v>
      </c>
    </row>
    <row r="12" spans="1:11" x14ac:dyDescent="0.25">
      <c r="A12" t="s">
        <v>293</v>
      </c>
      <c r="I12" t="s">
        <v>251</v>
      </c>
      <c r="J12" t="s">
        <v>176</v>
      </c>
    </row>
    <row r="13" spans="1:11" ht="30" x14ac:dyDescent="0.25">
      <c r="A13" t="s">
        <v>301</v>
      </c>
      <c r="B13">
        <v>2005</v>
      </c>
      <c r="C13" t="s">
        <v>302</v>
      </c>
      <c r="D13" t="s">
        <v>295</v>
      </c>
      <c r="E13" t="s">
        <v>2</v>
      </c>
      <c r="F13" t="s">
        <v>59</v>
      </c>
      <c r="G13" t="s">
        <v>11</v>
      </c>
      <c r="H13" s="4" t="s">
        <v>317</v>
      </c>
      <c r="I13" t="s">
        <v>237</v>
      </c>
      <c r="J13" t="s">
        <v>176</v>
      </c>
    </row>
    <row r="14" spans="1:11" x14ac:dyDescent="0.25">
      <c r="A14" t="s">
        <v>301</v>
      </c>
      <c r="I14" t="s">
        <v>237</v>
      </c>
      <c r="J14" t="s">
        <v>174</v>
      </c>
    </row>
    <row r="15" spans="1:11" x14ac:dyDescent="0.25">
      <c r="A15" t="s">
        <v>301</v>
      </c>
      <c r="B15" s="11" t="s">
        <v>309</v>
      </c>
      <c r="C15" t="s">
        <v>310</v>
      </c>
      <c r="D15" t="s">
        <v>311</v>
      </c>
      <c r="E15" t="s">
        <v>2</v>
      </c>
      <c r="F15" t="s">
        <v>59</v>
      </c>
      <c r="G15" t="s">
        <v>11</v>
      </c>
      <c r="I15" t="s">
        <v>251</v>
      </c>
      <c r="J15" t="s">
        <v>176</v>
      </c>
    </row>
    <row r="16" spans="1:11" x14ac:dyDescent="0.25">
      <c r="A16" t="s">
        <v>314</v>
      </c>
      <c r="B16">
        <v>2007</v>
      </c>
      <c r="C16" t="s">
        <v>315</v>
      </c>
      <c r="D16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F32" sqref="F32"/>
    </sheetView>
  </sheetViews>
  <sheetFormatPr defaultColWidth="11.42578125" defaultRowHeight="15" x14ac:dyDescent="0.25"/>
  <cols>
    <col min="1" max="1" width="28.42578125" bestFit="1" customWidth="1"/>
    <col min="2" max="2" width="22.140625" bestFit="1" customWidth="1"/>
  </cols>
  <sheetData>
    <row r="1" spans="1:2" ht="15.75" x14ac:dyDescent="0.25">
      <c r="A1" s="1" t="s">
        <v>97</v>
      </c>
      <c r="B1" s="1" t="s">
        <v>98</v>
      </c>
    </row>
    <row r="2" spans="1:2" ht="15.75" x14ac:dyDescent="0.25">
      <c r="A2" s="2" t="s">
        <v>110</v>
      </c>
      <c r="B2" s="2" t="s">
        <v>47</v>
      </c>
    </row>
    <row r="3" spans="1:2" ht="15.75" x14ac:dyDescent="0.25">
      <c r="A3" s="2" t="s">
        <v>141</v>
      </c>
      <c r="B3" s="2" t="s">
        <v>9</v>
      </c>
    </row>
    <row r="4" spans="1:2" ht="15.75" x14ac:dyDescent="0.25">
      <c r="A4" s="2" t="s">
        <v>142</v>
      </c>
      <c r="B4" s="2" t="s">
        <v>7</v>
      </c>
    </row>
    <row r="5" spans="1:2" ht="15.75" x14ac:dyDescent="0.25">
      <c r="A5" s="2" t="s">
        <v>114</v>
      </c>
      <c r="B5" s="2" t="s">
        <v>115</v>
      </c>
    </row>
    <row r="6" spans="1:2" ht="15.75" x14ac:dyDescent="0.25">
      <c r="A6" s="3" t="s">
        <v>105</v>
      </c>
      <c r="B6" s="3" t="s">
        <v>106</v>
      </c>
    </row>
    <row r="7" spans="1:2" ht="15.75" x14ac:dyDescent="0.25">
      <c r="A7" s="3" t="s">
        <v>107</v>
      </c>
      <c r="B7" s="3" t="s">
        <v>106</v>
      </c>
    </row>
    <row r="8" spans="1:2" ht="15.75" x14ac:dyDescent="0.25">
      <c r="A8" s="2" t="s">
        <v>113</v>
      </c>
      <c r="B8" s="2" t="s">
        <v>23</v>
      </c>
    </row>
    <row r="9" spans="1:2" ht="15.75" x14ac:dyDescent="0.25">
      <c r="A9" s="2" t="s">
        <v>135</v>
      </c>
      <c r="B9" s="2" t="s">
        <v>8</v>
      </c>
    </row>
    <row r="10" spans="1:2" ht="15.75" x14ac:dyDescent="0.25">
      <c r="A10" s="2" t="s">
        <v>127</v>
      </c>
      <c r="B10" s="2" t="s">
        <v>128</v>
      </c>
    </row>
    <row r="11" spans="1:2" ht="15.75" x14ac:dyDescent="0.25">
      <c r="A11" s="2" t="s">
        <v>143</v>
      </c>
      <c r="B11" s="2" t="s">
        <v>144</v>
      </c>
    </row>
    <row r="12" spans="1:2" ht="15.75" x14ac:dyDescent="0.25">
      <c r="A12" s="2" t="s">
        <v>120</v>
      </c>
      <c r="B12" s="2" t="s">
        <v>121</v>
      </c>
    </row>
    <row r="13" spans="1:2" ht="15.75" x14ac:dyDescent="0.25">
      <c r="A13" s="2" t="s">
        <v>146</v>
      </c>
      <c r="B13" s="2" t="s">
        <v>56</v>
      </c>
    </row>
    <row r="14" spans="1:2" ht="15.75" x14ac:dyDescent="0.25">
      <c r="A14" s="2" t="s">
        <v>137</v>
      </c>
      <c r="B14" s="2" t="s">
        <v>52</v>
      </c>
    </row>
    <row r="15" spans="1:2" ht="15.75" x14ac:dyDescent="0.25">
      <c r="A15" s="2" t="s">
        <v>150</v>
      </c>
      <c r="B15" s="2" t="s">
        <v>10</v>
      </c>
    </row>
    <row r="16" spans="1:2" ht="15.75" x14ac:dyDescent="0.25">
      <c r="A16" s="2" t="s">
        <v>103</v>
      </c>
      <c r="B16" s="2" t="s">
        <v>104</v>
      </c>
    </row>
    <row r="17" spans="1:2" ht="15.75" x14ac:dyDescent="0.25">
      <c r="A17" s="2" t="s">
        <v>136</v>
      </c>
      <c r="B17" s="2" t="s">
        <v>51</v>
      </c>
    </row>
    <row r="18" spans="1:2" ht="15.75" x14ac:dyDescent="0.25">
      <c r="A18" s="3" t="s">
        <v>108</v>
      </c>
      <c r="B18" s="2" t="s">
        <v>109</v>
      </c>
    </row>
    <row r="19" spans="1:2" ht="15.75" x14ac:dyDescent="0.25">
      <c r="A19" s="3" t="s">
        <v>125</v>
      </c>
      <c r="B19" s="3" t="s">
        <v>126</v>
      </c>
    </row>
    <row r="20" spans="1:2" ht="15.75" x14ac:dyDescent="0.25">
      <c r="A20" s="2" t="s">
        <v>16</v>
      </c>
      <c r="B20" s="2" t="s">
        <v>15</v>
      </c>
    </row>
    <row r="21" spans="1:2" ht="15.75" x14ac:dyDescent="0.25">
      <c r="A21" s="2" t="s">
        <v>140</v>
      </c>
      <c r="B21" s="2" t="s">
        <v>69</v>
      </c>
    </row>
    <row r="22" spans="1:2" ht="15.75" x14ac:dyDescent="0.25">
      <c r="A22" s="3" t="s">
        <v>111</v>
      </c>
      <c r="B22" s="3" t="s">
        <v>112</v>
      </c>
    </row>
    <row r="23" spans="1:2" ht="15.75" x14ac:dyDescent="0.25">
      <c r="A23" s="2" t="s">
        <v>132</v>
      </c>
      <c r="B23" s="2" t="s">
        <v>44</v>
      </c>
    </row>
    <row r="24" spans="1:2" ht="15.75" x14ac:dyDescent="0.25">
      <c r="A24" s="2" t="s">
        <v>129</v>
      </c>
      <c r="B24" s="2" t="s">
        <v>130</v>
      </c>
    </row>
    <row r="25" spans="1:2" ht="15.75" x14ac:dyDescent="0.25">
      <c r="A25" s="2" t="s">
        <v>147</v>
      </c>
      <c r="B25" s="2" t="s">
        <v>148</v>
      </c>
    </row>
    <row r="26" spans="1:2" ht="15.75" x14ac:dyDescent="0.25">
      <c r="A26" s="3" t="s">
        <v>73</v>
      </c>
      <c r="B26" s="2" t="s">
        <v>151</v>
      </c>
    </row>
    <row r="27" spans="1:2" ht="15.75" x14ac:dyDescent="0.25">
      <c r="A27" s="3" t="s">
        <v>118</v>
      </c>
      <c r="B27" s="3" t="s">
        <v>119</v>
      </c>
    </row>
    <row r="28" spans="1:2" ht="15.75" x14ac:dyDescent="0.25">
      <c r="A28" s="2" t="s">
        <v>100</v>
      </c>
      <c r="B28" s="2" t="s">
        <v>6</v>
      </c>
    </row>
    <row r="29" spans="1:2" ht="15.75" x14ac:dyDescent="0.25">
      <c r="A29" s="2" t="s">
        <v>138</v>
      </c>
      <c r="B29" s="2" t="s">
        <v>139</v>
      </c>
    </row>
    <row r="30" spans="1:2" ht="15.75" x14ac:dyDescent="0.25">
      <c r="A30" s="2" t="s">
        <v>116</v>
      </c>
      <c r="B30" s="2" t="s">
        <v>117</v>
      </c>
    </row>
    <row r="31" spans="1:2" ht="15.75" x14ac:dyDescent="0.25">
      <c r="A31" s="2" t="s">
        <v>149</v>
      </c>
      <c r="B31" s="2" t="s">
        <v>67</v>
      </c>
    </row>
    <row r="32" spans="1:2" ht="15.75" x14ac:dyDescent="0.25">
      <c r="A32" s="2" t="s">
        <v>145</v>
      </c>
      <c r="B32" s="2" t="s">
        <v>45</v>
      </c>
    </row>
    <row r="33" spans="1:2" ht="15.75" x14ac:dyDescent="0.25">
      <c r="A33" s="2" t="s">
        <v>131</v>
      </c>
      <c r="B33" s="2" t="s">
        <v>46</v>
      </c>
    </row>
    <row r="34" spans="1:2" ht="15.75" x14ac:dyDescent="0.25">
      <c r="A34" s="2" t="s">
        <v>99</v>
      </c>
      <c r="B34" s="2" t="s">
        <v>17</v>
      </c>
    </row>
    <row r="35" spans="1:2" ht="15.75" x14ac:dyDescent="0.25">
      <c r="A35" s="2" t="s">
        <v>133</v>
      </c>
      <c r="B35" s="2" t="s">
        <v>134</v>
      </c>
    </row>
    <row r="36" spans="1:2" ht="15.75" x14ac:dyDescent="0.25">
      <c r="A36" s="2" t="s">
        <v>101</v>
      </c>
      <c r="B36" s="2" t="s">
        <v>102</v>
      </c>
    </row>
    <row r="37" spans="1:2" ht="15.75" x14ac:dyDescent="0.25">
      <c r="A37" s="2" t="s">
        <v>122</v>
      </c>
      <c r="B37" s="2" t="s">
        <v>123</v>
      </c>
    </row>
    <row r="38" spans="1:2" ht="15.75" x14ac:dyDescent="0.25">
      <c r="A38" s="2" t="s">
        <v>124</v>
      </c>
      <c r="B38" s="2" t="s">
        <v>123</v>
      </c>
    </row>
  </sheetData>
  <autoFilter ref="A1:B38"/>
  <sortState ref="A2:B38">
    <sortCondition ref="A2:A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working</vt:lpstr>
      <vt:lpstr>references</vt:lpstr>
      <vt:lpstr>Species key</vt:lpstr>
      <vt:lpstr>Location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Baker</dc:creator>
  <cp:lastModifiedBy>Nicole Baker</cp:lastModifiedBy>
  <cp:lastPrinted>2017-07-18T21:19:43Z</cp:lastPrinted>
  <dcterms:created xsi:type="dcterms:W3CDTF">2016-12-13T19:43:27Z</dcterms:created>
  <dcterms:modified xsi:type="dcterms:W3CDTF">2017-09-21T01:20:51Z</dcterms:modified>
</cp:coreProperties>
</file>