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57" firstSheet="1" activeTab="4"/>
  </bookViews>
  <sheets>
    <sheet name="交易对账单" sheetId="1" r:id="rId1"/>
    <sheet name="收益对照表汇总" sheetId="2" r:id="rId2"/>
    <sheet name="个股收益预测计算表" sheetId="3" r:id="rId3"/>
    <sheet name="国债理财（逆回购）" sheetId="4" r:id="rId4"/>
    <sheet name="Sheet1" sheetId="5" r:id="rId5"/>
  </sheets>
  <definedNames>
    <definedName name="_xlnm._FilterDatabase" localSheetId="0" hidden="1">交易对账单!$A$1:$V$234</definedName>
    <definedName name="_xlnm._FilterDatabase" localSheetId="1" hidden="1">收益对照表汇总!$A$1:$Y$29</definedName>
    <definedName name="get_row">IF(交易对账单!$B1&lt;&gt;"",IF((交易对账单!$B$1:$B1=交易对账单!$B1)*(交易对账单!$F$1:$F1=0),ROW(交易对账单!$B$1:$B1),""),"")</definedName>
    <definedName name="_xlnm.Print_Area" localSheetId="0">交易对账单!$A$1:$Q$185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I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J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K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N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O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P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  <comment ref="L3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N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O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P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O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P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Q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对臧德盛、董震给予警告，并分别处以7万元罚款。</t>
        </r>
      </text>
    </comment>
    <comment ref="J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多名责任人员并分别处以30万元的罚款、10万元罚款、5万元罚款、3万元罚款；</t>
        </r>
      </text>
    </comment>
  </commentList>
</comments>
</file>

<file path=xl/sharedStrings.xml><?xml version="1.0" encoding="utf-8"?>
<sst xmlns="http://schemas.openxmlformats.org/spreadsheetml/2006/main" count="643" uniqueCount="160">
  <si>
    <t>交易日期</t>
  </si>
  <si>
    <t>股票代码</t>
  </si>
  <si>
    <t>摘要</t>
  </si>
  <si>
    <t>买/卖</t>
  </si>
  <si>
    <t>成交量(股)</t>
  </si>
  <si>
    <t>持仓量</t>
  </si>
  <si>
    <t>成交价格</t>
  </si>
  <si>
    <t>成交金额</t>
  </si>
  <si>
    <t>手续费</t>
  </si>
  <si>
    <t>印花税</t>
  </si>
  <si>
    <t>过户费</t>
  </si>
  <si>
    <t>个人红利所得税扣款</t>
  </si>
  <si>
    <t>总费用</t>
  </si>
  <si>
    <t>总费用比率</t>
  </si>
  <si>
    <t>金额(借)</t>
  </si>
  <si>
    <t>金额(贷)</t>
  </si>
  <si>
    <t>余额</t>
  </si>
  <si>
    <t>分阶金额</t>
  </si>
  <si>
    <t>分阶费用</t>
  </si>
  <si>
    <t>分阶费比</t>
  </si>
  <si>
    <t>浮动成本</t>
  </si>
  <si>
    <t>期初余额</t>
  </si>
  <si>
    <t>银证转入</t>
  </si>
  <si>
    <t>银证转出</t>
  </si>
  <si>
    <t>中国银行</t>
  </si>
  <si>
    <t>证券买入清算</t>
  </si>
  <si>
    <t>证券卖出清算</t>
  </si>
  <si>
    <t>东方航空</t>
  </si>
  <si>
    <t>利息归本</t>
  </si>
  <si>
    <t>长城汽车</t>
  </si>
  <si>
    <t>广汽集团</t>
  </si>
  <si>
    <t>农业银行</t>
  </si>
  <si>
    <t>克明面业</t>
  </si>
  <si>
    <t>格力电器</t>
  </si>
  <si>
    <t>美的集团</t>
  </si>
  <si>
    <t>索菲亚</t>
  </si>
  <si>
    <t>同仁堂</t>
  </si>
  <si>
    <t>广州酒家</t>
  </si>
  <si>
    <t>用友网络</t>
  </si>
  <si>
    <t>白云山</t>
  </si>
  <si>
    <t>丽珠集团</t>
  </si>
  <si>
    <t>水井坊</t>
  </si>
  <si>
    <t>东阿阿胶</t>
  </si>
  <si>
    <t>涪陵榨菜</t>
  </si>
  <si>
    <t>红股派息</t>
  </si>
  <si>
    <t>R-007</t>
  </si>
  <si>
    <t>回购融券清算</t>
  </si>
  <si>
    <t>融券购回清算</t>
  </si>
  <si>
    <t>股票名称</t>
  </si>
  <si>
    <t>购买日期</t>
  </si>
  <si>
    <t>卖出日期</t>
  </si>
  <si>
    <t>成交量</t>
  </si>
  <si>
    <t>买入</t>
  </si>
  <si>
    <t>卖出</t>
  </si>
  <si>
    <t>总费用比</t>
  </si>
  <si>
    <t>净收益</t>
  </si>
  <si>
    <t>持仓价</t>
  </si>
  <si>
    <t>现价</t>
  </si>
  <si>
    <t>2018.07
累计收益</t>
  </si>
  <si>
    <t>收益率
不含手续费</t>
  </si>
  <si>
    <t>持仓</t>
  </si>
  <si>
    <t>费用比</t>
  </si>
  <si>
    <t>&gt;=2018-4-3</t>
  </si>
  <si>
    <t>&lt;=2021-5-22</t>
  </si>
  <si>
    <t>&lt;=2021-3-22</t>
  </si>
  <si>
    <t>&gt;=2021-3-23</t>
  </si>
  <si>
    <t>&lt;=2021-10-30</t>
  </si>
  <si>
    <t>002661</t>
  </si>
  <si>
    <t>&lt;=2021-7-31</t>
  </si>
  <si>
    <t>&gt;=2021-8-1</t>
  </si>
  <si>
    <t>000651</t>
  </si>
  <si>
    <t>000333</t>
  </si>
  <si>
    <t>002572</t>
  </si>
  <si>
    <t>600332</t>
  </si>
  <si>
    <t>&lt;=2021-8-17</t>
  </si>
  <si>
    <t>&gt;=2021-8-18</t>
  </si>
  <si>
    <t>000513</t>
  </si>
  <si>
    <t>600779</t>
  </si>
  <si>
    <t>000423</t>
  </si>
  <si>
    <t>002507</t>
  </si>
  <si>
    <t>合计</t>
  </si>
  <si>
    <t>交易对账单合计：</t>
  </si>
  <si>
    <t>国债理财名称</t>
  </si>
  <si>
    <t>国债理财代码</t>
  </si>
  <si>
    <t>总费用率</t>
  </si>
  <si>
    <t>总收益率</t>
  </si>
  <si>
    <t>总收益</t>
  </si>
  <si>
    <t>股价涨跌额</t>
  </si>
  <si>
    <t>股价涨跌率</t>
  </si>
  <si>
    <t>价格</t>
  </si>
  <si>
    <t>金额</t>
  </si>
  <si>
    <t>小计</t>
  </si>
  <si>
    <t>（1）买卖总费用比率最小化（0.00154）的前提是：最低成交金额为20000。在此基础上（多次操作）收益费用对比：</t>
  </si>
  <si>
    <t>（1）多次操作-合计</t>
  </si>
  <si>
    <t>（2）买卖总费用比率最小化（0.00154）的前提是：最低成交金额为20000。在此基础上（涨幅加大）收益费用对比：</t>
  </si>
  <si>
    <t>（2）多次操作与单次操作利润（率）差额：</t>
  </si>
  <si>
    <t>（3）买卖总费用比率最小化（0.00154）的前提是：最低成交金额为20000。在此基础上（成交金额加大）收益费用对比：</t>
  </si>
  <si>
    <t>（4）买卖总费用比率最小化（0.00154）的前提是：最低成交金额为20000。在此基础上（不同股票）收益费用对比：</t>
  </si>
  <si>
    <t>xxxx</t>
  </si>
  <si>
    <t>期限</t>
  </si>
  <si>
    <t>名称（沪）</t>
  </si>
  <si>
    <t>代码（沪）</t>
  </si>
  <si>
    <t>名称（深）</t>
  </si>
  <si>
    <t>代码（深）</t>
  </si>
  <si>
    <t>手续费率</t>
  </si>
  <si>
    <t>10万元手续费（元）</t>
  </si>
  <si>
    <t>1天期</t>
  </si>
  <si>
    <t>GC001</t>
  </si>
  <si>
    <t>R-001</t>
  </si>
  <si>
    <t>2天期</t>
  </si>
  <si>
    <t>GC002</t>
  </si>
  <si>
    <t>R-002</t>
  </si>
  <si>
    <t>3天期</t>
  </si>
  <si>
    <t>GC003</t>
  </si>
  <si>
    <t>R-003</t>
  </si>
  <si>
    <t>4天期</t>
  </si>
  <si>
    <t>GC004</t>
  </si>
  <si>
    <t>R-004</t>
  </si>
  <si>
    <t>7天期</t>
  </si>
  <si>
    <t>GC007</t>
  </si>
  <si>
    <t>14天期</t>
  </si>
  <si>
    <t>GC014</t>
  </si>
  <si>
    <t>R-014</t>
  </si>
  <si>
    <t>28天期</t>
  </si>
  <si>
    <t>GC028</t>
  </si>
  <si>
    <t>R-028</t>
  </si>
  <si>
    <t>91天期</t>
  </si>
  <si>
    <t>GC091</t>
  </si>
  <si>
    <t>R-091</t>
  </si>
  <si>
    <t>182天期</t>
  </si>
  <si>
    <t>GC182</t>
  </si>
  <si>
    <t>R-182</t>
  </si>
  <si>
    <t>序号</t>
  </si>
  <si>
    <t>公司</t>
  </si>
  <si>
    <t>披露日期</t>
  </si>
  <si>
    <t>操作开始</t>
  </si>
  <si>
    <t>操作结束</t>
  </si>
  <si>
    <t>行政处罚决定公开</t>
  </si>
  <si>
    <t>审计业务收入</t>
  </si>
  <si>
    <t>行政处罚公司</t>
  </si>
  <si>
    <t>没收违法所得个人</t>
  </si>
  <si>
    <t>行政处罚个人</t>
  </si>
  <si>
    <t>未按规定披露信息罚款</t>
  </si>
  <si>
    <t>在限制转让期限内买卖罚款</t>
  </si>
  <si>
    <t>操作结果</t>
  </si>
  <si>
    <t>财务造假</t>
  </si>
  <si>
    <t>鑫科材料</t>
  </si>
  <si>
    <t>中国证监会行政处罚决定书（施新华）</t>
  </si>
  <si>
    <t>重大资产重组内幕信息；
控制25个证券账户；
非自有资金是来自鑫科材料大股东的股份质押款；
借入大量配资账户加杠杆交易；</t>
  </si>
  <si>
    <t>仁东控股</t>
  </si>
  <si>
    <t>中国证监会行政处罚决定书（景华）</t>
  </si>
  <si>
    <t>操纵期初已大量持有“仁东控股”，持流通股数量于2020年12月4日达到峰值114,367,927股，占仁东控股流通股和总股本的20.43%；
控制使用83个证券账户；
天风证券平仓导致连续跌停；</t>
  </si>
  <si>
    <t>中国证监会行政处罚决定书（田文军）</t>
  </si>
  <si>
    <t>19个证券账户，操纵“仁东控股”股价；
田文军系2016年4月至2018年1月期间仁东控股的实际控制人，持股比例超过总股本的25%；
超比例持有“*ST北讯”未公告及在限制期内交易“*ST北讯”的行为；</t>
  </si>
  <si>
    <t>*ST北讯</t>
  </si>
  <si>
    <t>抚顺特钢</t>
  </si>
  <si>
    <t>中国证监会行政处罚决定书（中准会计师事务所、臧德盛、董震）</t>
  </si>
  <si>
    <t>出具的2010年至2016年审计报告存在虚假记载</t>
  </si>
  <si>
    <t>中国证监会行政处罚决定书（抚顺特钢、赵明远、董事等多名责任人员）</t>
  </si>
  <si>
    <t>2010年至2016年度、2017年1月至9月，抚顺特钢通过虚增存货、减少生产成本、将部分虚增存货转入在建工程和固定资产进行资本化等方式，累计虚增利润总额1,901,945,340.86元；
存货余额、在建工程余额、固定资产余额、固定资产折旧、主营业务成本、利润总额存在虚假记载；</t>
  </si>
</sst>
</file>

<file path=xl/styles.xml><?xml version="1.0" encoding="utf-8"?>
<styleSheet xmlns="http://schemas.openxmlformats.org/spreadsheetml/2006/main">
  <numFmts count="10">
    <numFmt numFmtId="176" formatCode="0.00_ "/>
    <numFmt numFmtId="42" formatCode="_ &quot;￥&quot;* #,##0_ ;_ &quot;￥&quot;* \-#,##0_ ;_ &quot;￥&quot;* &quot;-&quot;_ ;_ @_ 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.000%"/>
    <numFmt numFmtId="179" formatCode="0.0000_ "/>
    <numFmt numFmtId="180" formatCode="0.00000_ "/>
    <numFmt numFmtId="181" formatCode="0.000_ "/>
  </numFmts>
  <fonts count="5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E8E6E3"/>
      <name val="楷体"/>
      <charset val="134"/>
    </font>
    <font>
      <sz val="12"/>
      <color theme="1"/>
      <name val="方正姚体"/>
      <charset val="134"/>
    </font>
    <font>
      <sz val="12"/>
      <color theme="1"/>
      <name val="黑体"/>
      <charset val="134"/>
    </font>
    <font>
      <sz val="12"/>
      <color theme="1"/>
      <name val="宋体"/>
      <charset val="134"/>
      <scheme val="minor"/>
    </font>
    <font>
      <b/>
      <sz val="12"/>
      <name val="黑体"/>
      <charset val="134"/>
    </font>
    <font>
      <b/>
      <sz val="12"/>
      <color rgb="FF002060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0"/>
      <name val="方正姚体"/>
      <charset val="134"/>
    </font>
    <font>
      <b/>
      <sz val="12"/>
      <color theme="6" tint="-0.499984740745262"/>
      <name val="黑体"/>
      <charset val="134"/>
    </font>
    <font>
      <b/>
      <sz val="12"/>
      <color theme="1"/>
      <name val="黑体"/>
      <charset val="134"/>
    </font>
    <font>
      <b/>
      <sz val="12"/>
      <color theme="0"/>
      <name val="黑体"/>
      <charset val="134"/>
    </font>
    <font>
      <sz val="12"/>
      <color theme="1"/>
      <name val="等线"/>
      <charset val="134"/>
    </font>
    <font>
      <b/>
      <sz val="12"/>
      <color rgb="FF7030A0"/>
      <name val="等线"/>
      <charset val="134"/>
    </font>
    <font>
      <b/>
      <sz val="12"/>
      <color theme="1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rgb="FFFF0000"/>
      <name val="等线"/>
      <charset val="134"/>
    </font>
    <font>
      <b/>
      <sz val="12"/>
      <color rgb="FFFFC000"/>
      <name val="方正姚体"/>
      <charset val="134"/>
    </font>
    <font>
      <b/>
      <sz val="12"/>
      <color rgb="FFFFC000"/>
      <name val="黑体"/>
      <charset val="134"/>
    </font>
    <font>
      <b/>
      <sz val="11"/>
      <color theme="1"/>
      <name val="黑体"/>
      <charset val="134"/>
    </font>
    <font>
      <b/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FF0000"/>
      <name val="方正姚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3D7F1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807D"/>
        <bgColor indexed="64"/>
      </patternFill>
    </fill>
    <fill>
      <patternFill patternType="solid">
        <fgColor rgb="FFD164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4" fillId="43" borderId="14" applyNumberFormat="0" applyAlignment="0" applyProtection="0">
      <alignment vertical="center"/>
    </xf>
    <xf numFmtId="0" fontId="45" fillId="43" borderId="8" applyNumberFormat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4" fontId="2" fillId="0" borderId="0" xfId="0" applyNumberFormat="1" applyFont="1">
      <alignment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77" fontId="9" fillId="5" borderId="1" xfId="0" applyNumberFormat="1" applyFont="1" applyFill="1" applyBorder="1" applyAlignment="1">
      <alignment horizontal="center" vertical="center"/>
    </xf>
    <xf numFmtId="177" fontId="9" fillId="6" borderId="1" xfId="0" applyNumberFormat="1" applyFont="1" applyFill="1" applyBorder="1" applyAlignment="1">
      <alignment horizontal="center" vertical="center"/>
    </xf>
    <xf numFmtId="177" fontId="10" fillId="7" borderId="0" xfId="0" applyNumberFormat="1" applyFont="1" applyFill="1" applyAlignment="1">
      <alignment horizontal="centerContinuous" vertical="center"/>
    </xf>
    <xf numFmtId="0" fontId="11" fillId="7" borderId="0" xfId="0" applyFont="1" applyFill="1" applyAlignment="1">
      <alignment horizontal="centerContinuous" vertical="center"/>
    </xf>
    <xf numFmtId="177" fontId="12" fillId="7" borderId="0" xfId="0" applyNumberFormat="1" applyFont="1" applyFill="1" applyAlignment="1">
      <alignment horizontal="centerContinuous" vertical="center"/>
    </xf>
    <xf numFmtId="177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7" fontId="6" fillId="8" borderId="0" xfId="0" applyNumberFormat="1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left" vertical="center"/>
    </xf>
    <xf numFmtId="177" fontId="13" fillId="8" borderId="0" xfId="0" applyNumberFormat="1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10" fontId="0" fillId="0" borderId="0" xfId="11" applyNumberFormat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79" fontId="18" fillId="6" borderId="1" xfId="0" applyNumberFormat="1" applyFont="1" applyFill="1" applyBorder="1" applyAlignment="1">
      <alignment horizontal="center" vertical="center"/>
    </xf>
    <xf numFmtId="179" fontId="9" fillId="6" borderId="1" xfId="0" applyNumberFormat="1" applyFont="1" applyFill="1" applyBorder="1" applyAlignment="1">
      <alignment horizontal="center" vertical="center"/>
    </xf>
    <xf numFmtId="179" fontId="19" fillId="7" borderId="0" xfId="0" applyNumberFormat="1" applyFont="1" applyFill="1" applyAlignment="1">
      <alignment horizontal="centerContinuous" vertical="center"/>
    </xf>
    <xf numFmtId="179" fontId="12" fillId="7" borderId="0" xfId="0" applyNumberFormat="1" applyFont="1" applyFill="1" applyAlignment="1">
      <alignment horizontal="centerContinuous" vertical="center"/>
    </xf>
    <xf numFmtId="0" fontId="12" fillId="7" borderId="0" xfId="0" applyFont="1" applyFill="1" applyAlignment="1">
      <alignment horizontal="centerContinuous" vertical="center" wrapText="1"/>
    </xf>
    <xf numFmtId="180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80" fontId="6" fillId="8" borderId="0" xfId="0" applyNumberFormat="1" applyFont="1" applyFill="1" applyAlignment="1">
      <alignment horizontal="center" vertical="center"/>
    </xf>
    <xf numFmtId="0" fontId="6" fillId="8" borderId="0" xfId="0" applyNumberFormat="1" applyFont="1" applyFill="1" applyAlignment="1">
      <alignment horizontal="center" vertical="center"/>
    </xf>
    <xf numFmtId="18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180" fontId="1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>
      <alignment vertical="center"/>
    </xf>
    <xf numFmtId="0" fontId="20" fillId="8" borderId="0" xfId="0" applyFont="1" applyFill="1">
      <alignment vertical="center"/>
    </xf>
    <xf numFmtId="180" fontId="13" fillId="8" borderId="0" xfId="0" applyNumberFormat="1" applyFont="1" applyFill="1" applyAlignment="1">
      <alignment horizontal="center" vertical="center"/>
    </xf>
    <xf numFmtId="0" fontId="13" fillId="8" borderId="0" xfId="0" applyNumberFormat="1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9" fillId="7" borderId="0" xfId="0" applyFont="1" applyFill="1" applyAlignment="1">
      <alignment horizontal="centerContinuous" vertical="center"/>
    </xf>
    <xf numFmtId="0" fontId="12" fillId="7" borderId="0" xfId="0" applyFont="1" applyFill="1" applyAlignment="1">
      <alignment horizontal="centerContinuous" vertical="center"/>
    </xf>
    <xf numFmtId="0" fontId="19" fillId="7" borderId="0" xfId="0" applyFont="1" applyFill="1" applyAlignment="1">
      <alignment horizontal="centerContinuous" vertical="center" wrapText="1"/>
    </xf>
    <xf numFmtId="10" fontId="13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8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center" vertical="center"/>
    </xf>
    <xf numFmtId="10" fontId="13" fillId="0" borderId="0" xfId="0" applyNumberFormat="1" applyFont="1" applyFill="1" applyAlignment="1">
      <alignment horizontal="center" vertical="center"/>
    </xf>
    <xf numFmtId="0" fontId="20" fillId="8" borderId="0" xfId="0" applyFont="1" applyFill="1" applyAlignment="1">
      <alignment horizontal="right" vertical="center"/>
    </xf>
    <xf numFmtId="10" fontId="11" fillId="8" borderId="0" xfId="0" applyNumberFormat="1" applyFont="1" applyFill="1" applyAlignment="1">
      <alignment horizontal="center" vertical="center"/>
    </xf>
    <xf numFmtId="10" fontId="13" fillId="8" borderId="0" xfId="0" applyNumberFormat="1" applyFont="1" applyFill="1" applyAlignment="1">
      <alignment horizontal="center" vertical="center"/>
    </xf>
    <xf numFmtId="176" fontId="13" fillId="8" borderId="0" xfId="0" applyNumberFormat="1" applyFont="1" applyFill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20" fillId="8" borderId="0" xfId="0" applyFont="1" applyFill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177" fontId="21" fillId="8" borderId="0" xfId="0" applyNumberFormat="1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77" fontId="21" fillId="5" borderId="1" xfId="0" applyNumberFormat="1" applyFont="1" applyFill="1" applyBorder="1" applyAlignment="1">
      <alignment horizontal="center" vertical="center"/>
    </xf>
    <xf numFmtId="177" fontId="21" fillId="6" borderId="1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7" fontId="22" fillId="0" borderId="0" xfId="0" applyNumberFormat="1" applyFont="1" applyFill="1" applyAlignment="1">
      <alignment horizontal="center" vertical="center"/>
    </xf>
    <xf numFmtId="177" fontId="5" fillId="10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right" vertical="center"/>
    </xf>
    <xf numFmtId="177" fontId="21" fillId="8" borderId="0" xfId="0" applyNumberFormat="1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right" vertical="center"/>
    </xf>
    <xf numFmtId="179" fontId="21" fillId="4" borderId="1" xfId="0" applyNumberFormat="1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179" fontId="21" fillId="6" borderId="1" xfId="0" applyNumberFormat="1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/>
    </xf>
    <xf numFmtId="181" fontId="21" fillId="6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181" fontId="5" fillId="0" borderId="0" xfId="0" applyNumberFormat="1" applyFont="1">
      <alignment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5" fillId="16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177" fontId="21" fillId="5" borderId="0" xfId="0" applyNumberFormat="1" applyFont="1" applyFill="1" applyAlignment="1">
      <alignment horizontal="center" vertical="center"/>
    </xf>
    <xf numFmtId="177" fontId="23" fillId="5" borderId="0" xfId="0" applyNumberFormat="1" applyFont="1" applyFill="1" applyAlignment="1">
      <alignment horizontal="center" vertical="center"/>
    </xf>
    <xf numFmtId="177" fontId="21" fillId="13" borderId="0" xfId="0" applyNumberFormat="1" applyFont="1" applyFill="1" applyAlignment="1">
      <alignment horizontal="left" vertical="center"/>
    </xf>
    <xf numFmtId="177" fontId="18" fillId="13" borderId="0" xfId="0" applyNumberFormat="1" applyFont="1" applyFill="1" applyAlignment="1">
      <alignment horizontal="center" vertical="center"/>
    </xf>
    <xf numFmtId="181" fontId="18" fillId="6" borderId="0" xfId="0" applyNumberFormat="1" applyFont="1" applyFill="1" applyAlignment="1">
      <alignment horizontal="center" vertical="center"/>
    </xf>
    <xf numFmtId="177" fontId="18" fillId="6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81" fontId="3" fillId="0" borderId="0" xfId="0" applyNumberFormat="1" applyFont="1" applyFill="1" applyAlignment="1">
      <alignment horizontal="center" vertical="center"/>
    </xf>
    <xf numFmtId="177" fontId="21" fillId="17" borderId="0" xfId="0" applyNumberFormat="1" applyFont="1" applyFill="1" applyAlignment="1">
      <alignment horizontal="center" vertical="center"/>
    </xf>
    <xf numFmtId="177" fontId="24" fillId="17" borderId="0" xfId="0" applyNumberFormat="1" applyFont="1" applyFill="1" applyAlignment="1">
      <alignment horizontal="right" vertical="center"/>
    </xf>
    <xf numFmtId="177" fontId="18" fillId="17" borderId="0" xfId="0" applyNumberFormat="1" applyFont="1" applyFill="1" applyAlignment="1">
      <alignment horizontal="center" vertical="center"/>
    </xf>
    <xf numFmtId="177" fontId="18" fillId="17" borderId="0" xfId="0" applyNumberFormat="1" applyFont="1" applyFill="1" applyAlignment="1">
      <alignment horizontal="right" vertical="center"/>
    </xf>
    <xf numFmtId="177" fontId="21" fillId="2" borderId="0" xfId="0" applyNumberFormat="1" applyFont="1" applyFill="1" applyAlignment="1">
      <alignment horizontal="center" vertical="center"/>
    </xf>
    <xf numFmtId="177" fontId="21" fillId="4" borderId="0" xfId="0" applyNumberFormat="1" applyFont="1" applyFill="1" applyAlignment="1">
      <alignment horizontal="center" vertical="center"/>
    </xf>
    <xf numFmtId="0" fontId="18" fillId="18" borderId="0" xfId="0" applyNumberFormat="1" applyFon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21" fillId="19" borderId="0" xfId="0" applyNumberFormat="1" applyFont="1" applyFill="1" applyAlignment="1">
      <alignment horizontal="center" vertical="center"/>
    </xf>
    <xf numFmtId="180" fontId="21" fillId="19" borderId="0" xfId="0" applyNumberFormat="1" applyFont="1" applyFill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horizontal="center" vertical="center"/>
    </xf>
    <xf numFmtId="181" fontId="0" fillId="0" borderId="0" xfId="0" applyNumberFormat="1" applyFont="1" applyFill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6" fillId="0" borderId="0" xfId="0" applyNumberFormat="1" applyFont="1" applyAlignment="1">
      <alignment horizontal="center" vertical="center"/>
    </xf>
    <xf numFmtId="0" fontId="3" fillId="16" borderId="0" xfId="0" applyNumberFormat="1" applyFont="1" applyFill="1" applyAlignment="1">
      <alignment horizontal="center" vertical="center"/>
    </xf>
    <xf numFmtId="177" fontId="5" fillId="16" borderId="0" xfId="0" applyNumberFormat="1" applyFont="1" applyFill="1" applyAlignment="1">
      <alignment horizontal="center" vertical="center"/>
    </xf>
    <xf numFmtId="181" fontId="3" fillId="16" borderId="0" xfId="0" applyNumberFormat="1" applyFont="1" applyFill="1" applyAlignment="1">
      <alignment horizontal="center" vertical="center"/>
    </xf>
    <xf numFmtId="0" fontId="22" fillId="16" borderId="0" xfId="0" applyNumberFormat="1" applyFont="1" applyFill="1" applyAlignment="1">
      <alignment horizontal="center" vertical="center"/>
    </xf>
    <xf numFmtId="180" fontId="5" fillId="16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 quotePrefix="1">
      <alignment horizontal="center" vertical="center"/>
    </xf>
    <xf numFmtId="0" fontId="5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theme="1" tint="0.05"/>
      </font>
      <fill>
        <patternFill patternType="solid">
          <bgColor theme="5" tint="0.6"/>
        </patternFill>
      </fill>
    </dxf>
    <dxf>
      <font>
        <b val="1"/>
        <i val="0"/>
        <color rgb="FF7030A0"/>
      </font>
    </dxf>
  </dxfs>
  <tableStyles count="0" defaultTableStyle="TableStyleMedium2" defaultPivotStyle="PivotStyleLight16"/>
  <colors>
    <mruColors>
      <color rgb="00D164DE"/>
      <color rgb="00FFBAB7"/>
      <color rgb="00FF908D"/>
      <color rgb="00FF807D"/>
      <color rgb="003D7F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00B050"/>
  </sheetPr>
  <dimension ref="A1:V234"/>
  <sheetViews>
    <sheetView workbookViewId="0">
      <pane xSplit="7" ySplit="1" topLeftCell="H206" activePane="bottomRight" state="frozen"/>
      <selection/>
      <selection pane="topRight"/>
      <selection pane="bottomLeft"/>
      <selection pane="bottomRight" activeCell="H229" sqref="H229"/>
    </sheetView>
  </sheetViews>
  <sheetFormatPr defaultColWidth="9" defaultRowHeight="14.25"/>
  <cols>
    <col min="1" max="1" width="10.75" style="97" customWidth="1"/>
    <col min="2" max="2" width="7.625" style="63" customWidth="1"/>
    <col min="3" max="3" width="8.875" style="63" customWidth="1"/>
    <col min="4" max="4" width="13.125" style="63" customWidth="1"/>
    <col min="5" max="5" width="8" style="63" customWidth="1"/>
    <col min="6" max="6" width="7.75" style="132" customWidth="1"/>
    <col min="7" max="7" width="7.875" style="133" customWidth="1"/>
    <col min="8" max="8" width="10" style="132" customWidth="1"/>
    <col min="9" max="9" width="6.625" style="63" customWidth="1"/>
    <col min="10" max="10" width="7.25" style="63" customWidth="1"/>
    <col min="11" max="11" width="7" style="63" customWidth="1"/>
    <col min="12" max="12" width="9.125" style="132" customWidth="1"/>
    <col min="13" max="14" width="7.5" style="132" customWidth="1"/>
    <col min="15" max="16" width="10" style="63" customWidth="1"/>
    <col min="17" max="17" width="9.25" style="132" customWidth="1"/>
    <col min="18" max="18" width="5.25" style="132" customWidth="1"/>
    <col min="19" max="19" width="9.5" style="134" customWidth="1"/>
    <col min="20" max="20" width="9.125" style="63" customWidth="1"/>
    <col min="21" max="21" width="9.875" style="62" customWidth="1"/>
    <col min="22" max="22" width="9.625" style="63" customWidth="1"/>
    <col min="23" max="23" width="13.75" style="63"/>
    <col min="24" max="16384" width="9" style="63"/>
  </cols>
  <sheetData>
    <row r="1" s="128" customFormat="1" spans="1:22">
      <c r="A1" s="135" t="s">
        <v>0</v>
      </c>
      <c r="B1" s="136" t="s">
        <v>1</v>
      </c>
      <c r="C1" s="135" t="s">
        <v>2</v>
      </c>
      <c r="D1" s="135" t="s">
        <v>3</v>
      </c>
      <c r="E1" s="137" t="s">
        <v>4</v>
      </c>
      <c r="F1" s="138" t="s">
        <v>5</v>
      </c>
      <c r="G1" s="139" t="s">
        <v>6</v>
      </c>
      <c r="H1" s="140" t="s">
        <v>7</v>
      </c>
      <c r="I1" s="144" t="s">
        <v>8</v>
      </c>
      <c r="J1" s="144" t="s">
        <v>9</v>
      </c>
      <c r="K1" s="144" t="s">
        <v>10</v>
      </c>
      <c r="L1" s="145" t="s">
        <v>11</v>
      </c>
      <c r="M1" s="146" t="s">
        <v>12</v>
      </c>
      <c r="N1" s="147" t="s">
        <v>13</v>
      </c>
      <c r="O1" s="148" t="s">
        <v>14</v>
      </c>
      <c r="P1" s="149" t="s">
        <v>15</v>
      </c>
      <c r="Q1" s="150" t="s">
        <v>16</v>
      </c>
      <c r="R1" s="151"/>
      <c r="S1" s="152" t="s">
        <v>17</v>
      </c>
      <c r="T1" s="152" t="s">
        <v>18</v>
      </c>
      <c r="U1" s="153" t="s">
        <v>19</v>
      </c>
      <c r="V1" s="152" t="s">
        <v>20</v>
      </c>
    </row>
    <row r="2" s="129" customFormat="1" spans="1:20">
      <c r="A2" s="105" t="s">
        <v>21</v>
      </c>
      <c r="B2" s="105"/>
      <c r="C2" s="105"/>
      <c r="D2" s="141"/>
      <c r="E2" s="141"/>
      <c r="F2" s="142"/>
      <c r="G2" s="143"/>
      <c r="H2" s="142"/>
      <c r="I2" s="141"/>
      <c r="J2" s="141"/>
      <c r="K2" s="141"/>
      <c r="L2" s="142"/>
      <c r="M2" s="142"/>
      <c r="N2" s="142"/>
      <c r="O2" s="141"/>
      <c r="P2" s="141"/>
      <c r="Q2" s="142">
        <v>0</v>
      </c>
      <c r="R2" s="142"/>
      <c r="S2" s="154" t="str">
        <f>get_row</f>
        <v/>
      </c>
      <c r="T2" s="155"/>
    </row>
    <row r="3" s="129" customFormat="1" spans="1:20">
      <c r="A3" s="105">
        <v>43284</v>
      </c>
      <c r="B3" s="105"/>
      <c r="C3" s="105"/>
      <c r="D3" s="141" t="s">
        <v>22</v>
      </c>
      <c r="E3" s="141"/>
      <c r="F3" s="142"/>
      <c r="G3" s="143"/>
      <c r="H3" s="142"/>
      <c r="I3" s="141"/>
      <c r="J3" s="141"/>
      <c r="K3" s="141"/>
      <c r="L3" s="142"/>
      <c r="M3" s="142"/>
      <c r="N3" s="142"/>
      <c r="O3" s="141">
        <v>100</v>
      </c>
      <c r="P3" s="141"/>
      <c r="Q3" s="142">
        <f t="shared" ref="Q3:Q34" si="0">Q2+O3-P3</f>
        <v>100</v>
      </c>
      <c r="R3" s="142"/>
      <c r="S3" s="154" t="str">
        <f>get_row</f>
        <v/>
      </c>
      <c r="T3" s="155"/>
    </row>
    <row r="4" s="129" customFormat="1" spans="1:20">
      <c r="A4" s="105">
        <v>43284</v>
      </c>
      <c r="B4" s="105"/>
      <c r="C4" s="105"/>
      <c r="D4" s="141" t="s">
        <v>23</v>
      </c>
      <c r="E4" s="141"/>
      <c r="F4" s="142"/>
      <c r="G4" s="143"/>
      <c r="H4" s="142"/>
      <c r="I4" s="141"/>
      <c r="J4" s="141"/>
      <c r="K4" s="141"/>
      <c r="L4" s="142"/>
      <c r="M4" s="142"/>
      <c r="N4" s="142"/>
      <c r="O4" s="141"/>
      <c r="P4" s="141">
        <v>100</v>
      </c>
      <c r="Q4" s="142">
        <f t="shared" si="0"/>
        <v>0</v>
      </c>
      <c r="R4" s="142"/>
      <c r="S4" s="154" t="str">
        <f>get_row</f>
        <v/>
      </c>
      <c r="T4" s="155"/>
    </row>
    <row r="5" s="129" customFormat="1" spans="1:20">
      <c r="A5" s="105">
        <v>43298</v>
      </c>
      <c r="B5" s="105"/>
      <c r="C5" s="105"/>
      <c r="D5" s="141" t="s">
        <v>22</v>
      </c>
      <c r="E5" s="141"/>
      <c r="F5" s="142"/>
      <c r="G5" s="143"/>
      <c r="H5" s="142"/>
      <c r="I5" s="141"/>
      <c r="J5" s="141"/>
      <c r="K5" s="141"/>
      <c r="L5" s="142"/>
      <c r="M5" s="142"/>
      <c r="N5" s="142"/>
      <c r="O5" s="141">
        <v>400</v>
      </c>
      <c r="P5" s="141"/>
      <c r="Q5" s="142">
        <f t="shared" si="0"/>
        <v>400</v>
      </c>
      <c r="R5" s="142"/>
      <c r="S5" s="154" t="str">
        <f>get_row</f>
        <v/>
      </c>
      <c r="T5" s="155"/>
    </row>
    <row r="6" s="130" customFormat="1" spans="1:22">
      <c r="A6" s="105">
        <v>43298</v>
      </c>
      <c r="B6" s="141">
        <f>VLOOKUP(C6,收益对照表汇总!A:B,2,0)</f>
        <v>601988</v>
      </c>
      <c r="C6" s="105" t="s">
        <v>24</v>
      </c>
      <c r="D6" s="141" t="s">
        <v>25</v>
      </c>
      <c r="E6" s="141">
        <v>100</v>
      </c>
      <c r="F6" s="132">
        <f>IF(C6="","",SUMIFS(E$1:E6,C$1:C6,C6,D$1:D6,"证券买入清算")-SUMIFS(E$1:E6,C$1:C6,C6,D$1:D6,"证券卖出清算"))</f>
        <v>100</v>
      </c>
      <c r="G6" s="143">
        <f>IF(C6="","",IFERROR(IF(D6="证券买入清算",ROUND((P6-M6)/E6,3),IF(D6="证券卖出清算",ROUND((M6+O6)/E6,3),0)),0))</f>
        <v>3.46</v>
      </c>
      <c r="H6" s="142">
        <f>IF(C6="","",E6*G6)</f>
        <v>346</v>
      </c>
      <c r="I6" s="141">
        <v>5</v>
      </c>
      <c r="J6" s="141"/>
      <c r="K6" s="141">
        <v>0.01</v>
      </c>
      <c r="L6" s="142" t="str">
        <f>IF(C6="","",IF(D6="红股派息",-O6,IF(D6="个人红利所得税扣款",P6,"")))</f>
        <v/>
      </c>
      <c r="M6" s="142">
        <f>IF(C6="","",SUM(I6:L6))</f>
        <v>5.01</v>
      </c>
      <c r="N6" s="142">
        <f>IFERROR(IF(B6="","",M6/H6),"")</f>
        <v>0.0144797687861272</v>
      </c>
      <c r="O6" s="141"/>
      <c r="P6" s="141">
        <v>351.01</v>
      </c>
      <c r="Q6" s="142">
        <f t="shared" si="0"/>
        <v>48.99</v>
      </c>
      <c r="R6" s="142">
        <f>IF(B6="","",IFERROR(IF(F6&lt;&gt;0,MAX(get_row)+1,LARGE(get_row,2)+1),1))</f>
        <v>1</v>
      </c>
      <c r="S6" s="134">
        <f ca="1">IF(B6="","",SUMIFS(INDIRECT("O"&amp;R6&amp;":O"&amp;ROW()),INDIRECT("B"&amp;R6&amp;":B"&amp;ROW()),B6)-SUMIFS(INDIRECT("P"&amp;R6&amp;":P"&amp;ROW()),INDIRECT("B"&amp;R6&amp;":B"&amp;ROW()),B6))</f>
        <v>-351.01</v>
      </c>
      <c r="T6" s="129">
        <f ca="1">IF(B6="","",SUMIFS(INDIRECT("M"&amp;R6&amp;":M"&amp;ROW()),INDIRECT("B"&amp;R6&amp;":B"&amp;ROW()),B6,INDIRECT("M"&amp;R6&amp;":M"&amp;ROW()),"&gt;0"))</f>
        <v>5.01</v>
      </c>
      <c r="U6" s="156">
        <f ca="1">IF(B6="","",IFERROR(SUMIFS(INDIRECT("M"&amp;R6&amp;":M"&amp;ROW()),INDIRECT("B"&amp;R6&amp;":B"&amp;ROW()),B6,INDIRECT("p"&amp;R6&amp;":p"&amp;ROW()),"&lt;&gt;",INDIRECT("M"&amp;R6&amp;":M"&amp;ROW()),"&gt;0")/SUMIFS(INDIRECT("p"&amp;R6&amp;":p"&amp;ROW()),INDIRECT("B"&amp;R6&amp;":B"&amp;ROW()),B6,INDIRECT("p"&amp;R6&amp;":p"&amp;ROW()),"&lt;&gt;",INDIRECT("M"&amp;R6&amp;":M"&amp;ROW()),"&gt;0"),0)+IFERROR(SUMIFS(INDIRECT("M"&amp;R6&amp;":M"&amp;ROW()),INDIRECT("B"&amp;R6&amp;":B"&amp;ROW()),B6,INDIRECT("o"&amp;R6&amp;":o"&amp;ROW()),"&lt;&gt;",INDIRECT("M"&amp;R6&amp;":M"&amp;ROW()),"&gt;0")/SUMIFS(INDIRECT("o"&amp;R6&amp;":o"&amp;ROW()),INDIRECT("B"&amp;R6&amp;":B"&amp;ROW()),B6,INDIRECT("o"&amp;R6&amp;":o"&amp;ROW()),"&lt;&gt;",INDIRECT("M"&amp;R6&amp;":M"&amp;ROW()),"&gt;0"),0))</f>
        <v>0.0142730976325461</v>
      </c>
      <c r="V6" s="157">
        <f ca="1">IF(B6="","",IFERROR(S6/F6,"Over"))</f>
        <v>-3.5101</v>
      </c>
    </row>
    <row r="7" s="130" customFormat="1" spans="1:22">
      <c r="A7" s="105">
        <v>43301</v>
      </c>
      <c r="B7" s="141">
        <f>VLOOKUP(C7,收益对照表汇总!A:B,2,0)</f>
        <v>601988</v>
      </c>
      <c r="C7" s="105" t="s">
        <v>24</v>
      </c>
      <c r="D7" s="141" t="s">
        <v>26</v>
      </c>
      <c r="E7" s="141">
        <v>100</v>
      </c>
      <c r="F7" s="132">
        <f>IF(C7="","",SUMIFS(E$1:E7,C$1:C7,C7,D$1:D7,"证券买入清算")-SUMIFS(E$1:E7,C$1:C7,C7,D$1:D7,"证券卖出清算"))</f>
        <v>0</v>
      </c>
      <c r="G7" s="143">
        <f t="shared" ref="G7:G38" si="1">IF(C7="","",IFERROR(IF(D7="证券买入清算",ROUND((P7-M7)/E7,3),IF(D7="证券卖出清算",ROUND((M7+O7)/E7,3),0)),0))</f>
        <v>3.56</v>
      </c>
      <c r="H7" s="142">
        <f t="shared" ref="H7:H38" si="2">IF(C7="","",E7*G7)</f>
        <v>356</v>
      </c>
      <c r="I7" s="141">
        <v>5</v>
      </c>
      <c r="J7" s="141">
        <v>0.36</v>
      </c>
      <c r="K7" s="141">
        <v>0.00999999999999979</v>
      </c>
      <c r="L7" s="142" t="str">
        <f t="shared" ref="L7:L38" si="3">IF(C7="","",IF(D7="红股派息",-O7,IF(D7="个人红利所得税扣款",P7,"")))</f>
        <v/>
      </c>
      <c r="M7" s="142">
        <f t="shared" ref="M7:M38" si="4">IF(C7="","",SUM(I7:L7))</f>
        <v>5.37</v>
      </c>
      <c r="N7" s="142">
        <f t="shared" ref="N7:N38" si="5">IFERROR(IF(B7="","",M7/H7),"")</f>
        <v>0.0150842696629213</v>
      </c>
      <c r="O7" s="141">
        <v>350.63</v>
      </c>
      <c r="P7" s="141"/>
      <c r="Q7" s="142">
        <f t="shared" si="0"/>
        <v>399.62</v>
      </c>
      <c r="R7" s="142">
        <f>IF(B7="","",IFERROR(IF(F7&lt;&gt;0,MAX(get_row)+1,LARGE(get_row,2)+1),1))</f>
        <v>1</v>
      </c>
      <c r="S7" s="134">
        <f ca="1" t="shared" ref="S7:S38" si="6">IF(B7="","",SUMIFS(INDIRECT("O"&amp;R7&amp;":O"&amp;ROW()),INDIRECT("B"&amp;R7&amp;":B"&amp;ROW()),B7)-SUMIFS(INDIRECT("P"&amp;R7&amp;":P"&amp;ROW()),INDIRECT("B"&amp;R7&amp;":B"&amp;ROW()),B7))</f>
        <v>-0.379999999999995</v>
      </c>
      <c r="T7" s="129">
        <f ca="1" t="shared" ref="T7:T38" si="7">IF(B7="","",SUMIFS(INDIRECT("M"&amp;R7&amp;":M"&amp;ROW()),INDIRECT("B"&amp;R7&amp;":B"&amp;ROW()),B7,INDIRECT("M"&amp;R7&amp;":M"&amp;ROW()),"&gt;0"))</f>
        <v>10.38</v>
      </c>
      <c r="U7" s="156">
        <f ca="1" t="shared" ref="U7:U38" si="8">IF(B7="","",IFERROR(SUMIFS(INDIRECT("M"&amp;R7&amp;":M"&amp;ROW()),INDIRECT("B"&amp;R7&amp;":B"&amp;ROW()),B7,INDIRECT("p"&amp;R7&amp;":p"&amp;ROW()),"&lt;&gt;",INDIRECT("M"&amp;R7&amp;":M"&amp;ROW()),"&gt;0")/SUMIFS(INDIRECT("p"&amp;R7&amp;":p"&amp;ROW()),INDIRECT("B"&amp;R7&amp;":B"&amp;ROW()),B7,INDIRECT("p"&amp;R7&amp;":p"&amp;ROW()),"&lt;&gt;",INDIRECT("M"&amp;R7&amp;":M"&amp;ROW()),"&gt;0"),0)+IFERROR(SUMIFS(INDIRECT("M"&amp;R7&amp;":M"&amp;ROW()),INDIRECT("B"&amp;R7&amp;":B"&amp;ROW()),B7,INDIRECT("o"&amp;R7&amp;":o"&amp;ROW()),"&lt;&gt;",INDIRECT("M"&amp;R7&amp;":M"&amp;ROW()),"&gt;0")/SUMIFS(INDIRECT("o"&amp;R7&amp;":o"&amp;ROW()),INDIRECT("B"&amp;R7&amp;":B"&amp;ROW()),B7,INDIRECT("o"&amp;R7&amp;":o"&amp;ROW()),"&lt;&gt;",INDIRECT("M"&amp;R7&amp;":M"&amp;ROW()),"&gt;0"),0))</f>
        <v>0.0295883872540845</v>
      </c>
      <c r="V7" s="157" t="str">
        <f ca="1" t="shared" ref="V7:V38" si="9">IF(B7="","",IFERROR(S7/F7,"Over"))</f>
        <v>Over</v>
      </c>
    </row>
    <row r="8" s="129" customFormat="1" spans="1:22">
      <c r="A8" s="105">
        <v>43311</v>
      </c>
      <c r="B8" s="105"/>
      <c r="C8" s="105"/>
      <c r="D8" s="141" t="s">
        <v>22</v>
      </c>
      <c r="E8" s="141"/>
      <c r="F8" s="132" t="str">
        <f>IF(C8="","",SUMIFS(E$1:E8,C$1:C8,C8,D$1:D8,"证券买入清算")-SUMIFS(E$1:E8,C$1:C8,C8,D$1:D8,"证券卖出清算"))</f>
        <v/>
      </c>
      <c r="G8" s="143" t="str">
        <f t="shared" si="1"/>
        <v/>
      </c>
      <c r="H8" s="142" t="str">
        <f t="shared" si="2"/>
        <v/>
      </c>
      <c r="I8" s="141"/>
      <c r="J8" s="141"/>
      <c r="K8" s="141"/>
      <c r="L8" s="142" t="str">
        <f t="shared" si="3"/>
        <v/>
      </c>
      <c r="M8" s="142" t="str">
        <f t="shared" si="4"/>
        <v/>
      </c>
      <c r="N8" s="142" t="str">
        <f t="shared" si="5"/>
        <v/>
      </c>
      <c r="O8" s="141">
        <v>200</v>
      </c>
      <c r="P8" s="141"/>
      <c r="Q8" s="142">
        <f t="shared" si="0"/>
        <v>599.62</v>
      </c>
      <c r="R8" s="142" t="str">
        <f>IF(B8="","",IFERROR(IF(F8&lt;&gt;0,MAX(get_row)+1,LARGE(get_row,2)+1),1))</f>
        <v/>
      </c>
      <c r="S8" s="134" t="str">
        <f ca="1" t="shared" si="6"/>
        <v/>
      </c>
      <c r="T8" s="129" t="str">
        <f ca="1" t="shared" si="7"/>
        <v/>
      </c>
      <c r="U8" s="156" t="str">
        <f ca="1" t="shared" si="8"/>
        <v/>
      </c>
      <c r="V8" s="157" t="str">
        <f ca="1" t="shared" si="9"/>
        <v/>
      </c>
    </row>
    <row r="9" s="129" customFormat="1" spans="1:22">
      <c r="A9" s="105">
        <v>43311</v>
      </c>
      <c r="B9" s="141">
        <f>VLOOKUP(C9,收益对照表汇总!A:B,2,0)</f>
        <v>600115</v>
      </c>
      <c r="C9" s="105" t="s">
        <v>27</v>
      </c>
      <c r="D9" s="141" t="s">
        <v>25</v>
      </c>
      <c r="E9" s="141">
        <v>100</v>
      </c>
      <c r="F9" s="132">
        <f>IF(C9="","",SUMIFS(E$1:E9,C$1:C9,C9,D$1:D9,"证券买入清算")-SUMIFS(E$1:E9,C$1:C9,C9,D$1:D9,"证券卖出清算"))</f>
        <v>100</v>
      </c>
      <c r="G9" s="143">
        <f t="shared" si="1"/>
        <v>5.82</v>
      </c>
      <c r="H9" s="142">
        <f t="shared" si="2"/>
        <v>582</v>
      </c>
      <c r="I9" s="141">
        <v>5</v>
      </c>
      <c r="J9" s="141"/>
      <c r="K9" s="141">
        <v>0.01</v>
      </c>
      <c r="L9" s="142" t="str">
        <f t="shared" si="3"/>
        <v/>
      </c>
      <c r="M9" s="142">
        <f t="shared" si="4"/>
        <v>5.01</v>
      </c>
      <c r="N9" s="142">
        <f t="shared" si="5"/>
        <v>0.00860824742268041</v>
      </c>
      <c r="O9" s="141"/>
      <c r="P9" s="141">
        <v>587.01</v>
      </c>
      <c r="Q9" s="142">
        <f t="shared" si="0"/>
        <v>12.61</v>
      </c>
      <c r="R9" s="142">
        <f>IF(B9="","",IFERROR(IF(F9&lt;&gt;0,MAX(get_row)+1,LARGE(get_row,2)+1),1))</f>
        <v>1</v>
      </c>
      <c r="S9" s="134">
        <f ca="1" t="shared" si="6"/>
        <v>-587.01</v>
      </c>
      <c r="T9" s="129">
        <f ca="1" t="shared" si="7"/>
        <v>5.01</v>
      </c>
      <c r="U9" s="156">
        <f ca="1" t="shared" si="8"/>
        <v>0.00853477794245413</v>
      </c>
      <c r="V9" s="157">
        <f ca="1" t="shared" si="9"/>
        <v>-5.8701</v>
      </c>
    </row>
    <row r="10" s="129" customFormat="1" spans="1:22">
      <c r="A10" s="105">
        <v>43341</v>
      </c>
      <c r="B10" s="141">
        <f>VLOOKUP(C10,收益对照表汇总!A:B,2,0)</f>
        <v>600115</v>
      </c>
      <c r="C10" s="105" t="s">
        <v>27</v>
      </c>
      <c r="D10" s="141" t="s">
        <v>26</v>
      </c>
      <c r="E10" s="141">
        <v>100</v>
      </c>
      <c r="F10" s="132">
        <f>IF(C10="","",SUMIFS(E$1:E10,C$1:C10,C10,D$1:D10,"证券买入清算")-SUMIFS(E$1:E10,C$1:C10,C10,D$1:D10,"证券卖出清算"))</f>
        <v>0</v>
      </c>
      <c r="G10" s="143">
        <f t="shared" si="1"/>
        <v>5.7</v>
      </c>
      <c r="H10" s="142">
        <f t="shared" si="2"/>
        <v>570</v>
      </c>
      <c r="I10" s="141">
        <v>5</v>
      </c>
      <c r="J10" s="141">
        <v>0.57</v>
      </c>
      <c r="K10" s="141">
        <v>0.00999999999999979</v>
      </c>
      <c r="L10" s="142" t="str">
        <f t="shared" si="3"/>
        <v/>
      </c>
      <c r="M10" s="142">
        <f t="shared" si="4"/>
        <v>5.58</v>
      </c>
      <c r="N10" s="142">
        <f t="shared" si="5"/>
        <v>0.00978947368421053</v>
      </c>
      <c r="O10" s="141">
        <v>564.42</v>
      </c>
      <c r="P10" s="141"/>
      <c r="Q10" s="142">
        <f t="shared" si="0"/>
        <v>577.03</v>
      </c>
      <c r="R10" s="142">
        <f>IF(B10="","",IFERROR(IF(F10&lt;&gt;0,MAX(get_row)+1,LARGE(get_row,2)+1),1))</f>
        <v>1</v>
      </c>
      <c r="S10" s="134">
        <f ca="1" t="shared" si="6"/>
        <v>-22.59</v>
      </c>
      <c r="T10" s="129">
        <f ca="1" t="shared" si="7"/>
        <v>10.59</v>
      </c>
      <c r="U10" s="156">
        <f ca="1" t="shared" si="8"/>
        <v>0.0184210328590056</v>
      </c>
      <c r="V10" s="157" t="str">
        <f ca="1" t="shared" si="9"/>
        <v>Over</v>
      </c>
    </row>
    <row r="11" s="129" customFormat="1" spans="1:22">
      <c r="A11" s="105">
        <v>43349</v>
      </c>
      <c r="B11" s="141">
        <f>VLOOKUP(C11,收益对照表汇总!A:B,2,0)</f>
        <v>600115</v>
      </c>
      <c r="C11" s="105" t="s">
        <v>27</v>
      </c>
      <c r="D11" s="141" t="s">
        <v>25</v>
      </c>
      <c r="E11" s="141">
        <v>100</v>
      </c>
      <c r="F11" s="132">
        <f>IF(C11="","",SUMIFS(E$1:E11,C$1:C11,C11,D$1:D11,"证券买入清算")-SUMIFS(E$1:E11,C$1:C11,C11,D$1:D11,"证券卖出清算"))</f>
        <v>100</v>
      </c>
      <c r="G11" s="143">
        <f t="shared" si="1"/>
        <v>5.43</v>
      </c>
      <c r="H11" s="142">
        <f t="shared" si="2"/>
        <v>543</v>
      </c>
      <c r="I11" s="141">
        <v>5</v>
      </c>
      <c r="J11" s="141"/>
      <c r="K11" s="141">
        <v>0.01</v>
      </c>
      <c r="L11" s="142" t="str">
        <f t="shared" si="3"/>
        <v/>
      </c>
      <c r="M11" s="142">
        <f t="shared" si="4"/>
        <v>5.01</v>
      </c>
      <c r="N11" s="142">
        <f t="shared" si="5"/>
        <v>0.00922651933701657</v>
      </c>
      <c r="O11" s="141"/>
      <c r="P11" s="141">
        <v>548.01</v>
      </c>
      <c r="Q11" s="142">
        <f t="shared" si="0"/>
        <v>29.02</v>
      </c>
      <c r="R11" s="142">
        <f>IF(B11="","",IFERROR(IF(F11&lt;&gt;0,MAX(get_row)+1,LARGE(get_row,2)+1),1))</f>
        <v>11</v>
      </c>
      <c r="S11" s="134">
        <f ca="1" t="shared" si="6"/>
        <v>-548.01</v>
      </c>
      <c r="T11" s="129">
        <f ca="1" t="shared" si="7"/>
        <v>5.01</v>
      </c>
      <c r="U11" s="156">
        <f ca="1" t="shared" si="8"/>
        <v>0.00914216893852302</v>
      </c>
      <c r="V11" s="157">
        <f ca="1" t="shared" si="9"/>
        <v>-5.4801</v>
      </c>
    </row>
    <row r="12" s="129" customFormat="1" spans="1:22">
      <c r="A12" s="105">
        <v>43350</v>
      </c>
      <c r="B12" s="141">
        <f>VLOOKUP(C12,收益对照表汇总!A:B,2,0)</f>
        <v>600115</v>
      </c>
      <c r="C12" s="105" t="s">
        <v>27</v>
      </c>
      <c r="D12" s="141" t="s">
        <v>26</v>
      </c>
      <c r="E12" s="141">
        <v>100</v>
      </c>
      <c r="F12" s="132">
        <f>IF(C12="","",SUMIFS(E$1:E12,C$1:C12,C12,D$1:D12,"证券买入清算")-SUMIFS(E$1:E12,C$1:C12,C12,D$1:D12,"证券卖出清算"))</f>
        <v>0</v>
      </c>
      <c r="G12" s="143">
        <f t="shared" si="1"/>
        <v>5.54</v>
      </c>
      <c r="H12" s="142">
        <f t="shared" si="2"/>
        <v>554</v>
      </c>
      <c r="I12" s="141">
        <v>5</v>
      </c>
      <c r="J12" s="141">
        <v>0.55</v>
      </c>
      <c r="K12" s="141">
        <v>0.00999999999999979</v>
      </c>
      <c r="L12" s="142" t="str">
        <f t="shared" si="3"/>
        <v/>
      </c>
      <c r="M12" s="142">
        <f t="shared" si="4"/>
        <v>5.56</v>
      </c>
      <c r="N12" s="142">
        <f t="shared" si="5"/>
        <v>0.0100361010830325</v>
      </c>
      <c r="O12" s="141">
        <v>548.44</v>
      </c>
      <c r="P12" s="141"/>
      <c r="Q12" s="142">
        <f t="shared" si="0"/>
        <v>577.46</v>
      </c>
      <c r="R12" s="142">
        <f>IF(B12="","",IFERROR(IF(F12&lt;&gt;0,MAX(get_row)+1,LARGE(get_row,2)+1),1))</f>
        <v>11</v>
      </c>
      <c r="S12" s="134">
        <f ca="1" t="shared" si="6"/>
        <v>0.430000000000064</v>
      </c>
      <c r="T12" s="129">
        <f ca="1" t="shared" si="7"/>
        <v>10.57</v>
      </c>
      <c r="U12" s="156">
        <f ca="1" t="shared" si="8"/>
        <v>0.0192800144640135</v>
      </c>
      <c r="V12" s="157" t="str">
        <f ca="1" t="shared" si="9"/>
        <v>Over</v>
      </c>
    </row>
    <row r="13" s="129" customFormat="1" spans="1:22">
      <c r="A13" s="105">
        <v>43353</v>
      </c>
      <c r="B13" s="105"/>
      <c r="C13" s="105"/>
      <c r="D13" s="141" t="s">
        <v>23</v>
      </c>
      <c r="E13" s="141"/>
      <c r="F13" s="132" t="str">
        <f>IF(C13="","",SUMIFS(E$1:E13,C$1:C13,C13,D$1:D13,"证券买入清算")-SUMIFS(E$1:E13,C$1:C13,C13,D$1:D13,"证券卖出清算"))</f>
        <v/>
      </c>
      <c r="G13" s="143" t="str">
        <f t="shared" si="1"/>
        <v/>
      </c>
      <c r="H13" s="142" t="str">
        <f t="shared" si="2"/>
        <v/>
      </c>
      <c r="I13" s="141"/>
      <c r="J13" s="141"/>
      <c r="K13" s="141"/>
      <c r="L13" s="142" t="str">
        <f t="shared" si="3"/>
        <v/>
      </c>
      <c r="M13" s="142" t="str">
        <f t="shared" si="4"/>
        <v/>
      </c>
      <c r="N13" s="142" t="str">
        <f t="shared" si="5"/>
        <v/>
      </c>
      <c r="O13" s="141"/>
      <c r="P13" s="141">
        <v>20</v>
      </c>
      <c r="Q13" s="142">
        <f t="shared" si="0"/>
        <v>557.46</v>
      </c>
      <c r="R13" s="142" t="str">
        <f>IF(B13="","",IFERROR(IF(F13&lt;&gt;0,MAX(get_row)+1,LARGE(get_row,2)+1),1))</f>
        <v/>
      </c>
      <c r="S13" s="134" t="str">
        <f ca="1" t="shared" si="6"/>
        <v/>
      </c>
      <c r="T13" s="129" t="str">
        <f ca="1" t="shared" si="7"/>
        <v/>
      </c>
      <c r="U13" s="156" t="str">
        <f ca="1" t="shared" si="8"/>
        <v/>
      </c>
      <c r="V13" s="157" t="str">
        <f ca="1" t="shared" si="9"/>
        <v/>
      </c>
    </row>
    <row r="14" s="129" customFormat="1" spans="1:22">
      <c r="A14" s="105">
        <v>43353</v>
      </c>
      <c r="B14" s="105"/>
      <c r="C14" s="105"/>
      <c r="D14" s="141" t="s">
        <v>22</v>
      </c>
      <c r="E14" s="141"/>
      <c r="F14" s="132" t="str">
        <f>IF(C14="","",SUMIFS(E$1:E14,C$1:C14,C14,D$1:D14,"证券买入清算")-SUMIFS(E$1:E14,C$1:C14,C14,D$1:D14,"证券卖出清算"))</f>
        <v/>
      </c>
      <c r="G14" s="143" t="str">
        <f t="shared" si="1"/>
        <v/>
      </c>
      <c r="H14" s="142" t="str">
        <f t="shared" si="2"/>
        <v/>
      </c>
      <c r="I14" s="141"/>
      <c r="J14" s="141"/>
      <c r="K14" s="141"/>
      <c r="L14" s="142" t="str">
        <f t="shared" si="3"/>
        <v/>
      </c>
      <c r="M14" s="142" t="str">
        <f t="shared" si="4"/>
        <v/>
      </c>
      <c r="N14" s="142" t="str">
        <f t="shared" si="5"/>
        <v/>
      </c>
      <c r="O14" s="141">
        <v>600</v>
      </c>
      <c r="P14" s="141"/>
      <c r="Q14" s="142">
        <f t="shared" si="0"/>
        <v>1157.46</v>
      </c>
      <c r="R14" s="142" t="str">
        <f>IF(B14="","",IFERROR(IF(F14&lt;&gt;0,MAX(get_row)+1,LARGE(get_row,2)+1),1))</f>
        <v/>
      </c>
      <c r="S14" s="134" t="str">
        <f ca="1" t="shared" si="6"/>
        <v/>
      </c>
      <c r="T14" s="129" t="str">
        <f ca="1" t="shared" si="7"/>
        <v/>
      </c>
      <c r="U14" s="156" t="str">
        <f ca="1" t="shared" si="8"/>
        <v/>
      </c>
      <c r="V14" s="157" t="str">
        <f ca="1" t="shared" si="9"/>
        <v/>
      </c>
    </row>
    <row r="15" s="129" customFormat="1" spans="1:22">
      <c r="A15" s="105">
        <v>43353</v>
      </c>
      <c r="B15" s="141">
        <f>VLOOKUP(C15,收益对照表汇总!A:B,2,0)</f>
        <v>600115</v>
      </c>
      <c r="C15" s="105" t="s">
        <v>27</v>
      </c>
      <c r="D15" s="141" t="s">
        <v>25</v>
      </c>
      <c r="E15" s="141">
        <v>200</v>
      </c>
      <c r="F15" s="132">
        <f>IF(C15="","",SUMIFS(E$1:E15,C$1:C15,C15,D$1:D15,"证券买入清算")-SUMIFS(E$1:E15,C$1:C15,C15,D$1:D15,"证券卖出清算"))</f>
        <v>200</v>
      </c>
      <c r="G15" s="143">
        <f t="shared" si="1"/>
        <v>5.36</v>
      </c>
      <c r="H15" s="142">
        <f t="shared" si="2"/>
        <v>1072</v>
      </c>
      <c r="I15" s="141">
        <v>5</v>
      </c>
      <c r="J15" s="141"/>
      <c r="K15" s="141">
        <v>0.02</v>
      </c>
      <c r="L15" s="142" t="str">
        <f t="shared" si="3"/>
        <v/>
      </c>
      <c r="M15" s="142">
        <f t="shared" si="4"/>
        <v>5.02</v>
      </c>
      <c r="N15" s="142">
        <f t="shared" si="5"/>
        <v>0.00468283582089552</v>
      </c>
      <c r="O15" s="141"/>
      <c r="P15" s="141">
        <v>1077.02</v>
      </c>
      <c r="Q15" s="142">
        <f t="shared" si="0"/>
        <v>80.4400000000001</v>
      </c>
      <c r="R15" s="142">
        <f>IF(B15="","",IFERROR(IF(F15&lt;&gt;0,MAX(get_row)+1,LARGE(get_row,2)+1),1))</f>
        <v>13</v>
      </c>
      <c r="S15" s="134">
        <f ca="1" t="shared" si="6"/>
        <v>-1077.02</v>
      </c>
      <c r="T15" s="129">
        <f ca="1" t="shared" si="7"/>
        <v>5.02</v>
      </c>
      <c r="U15" s="156">
        <f ca="1" t="shared" si="8"/>
        <v>0.00466100908061132</v>
      </c>
      <c r="V15" s="157">
        <f ca="1" t="shared" si="9"/>
        <v>-5.3851</v>
      </c>
    </row>
    <row r="16" s="129" customFormat="1" spans="1:22">
      <c r="A16" s="105">
        <v>43364</v>
      </c>
      <c r="B16" s="105"/>
      <c r="C16" s="105"/>
      <c r="D16" s="141" t="s">
        <v>22</v>
      </c>
      <c r="E16" s="141"/>
      <c r="F16" s="132" t="str">
        <f>IF(C16="","",SUMIFS(E$1:E16,C$1:C16,C16,D$1:D16,"证券买入清算")-SUMIFS(E$1:E16,C$1:C16,C16,D$1:D16,"证券卖出清算"))</f>
        <v/>
      </c>
      <c r="G16" s="143" t="str">
        <f t="shared" si="1"/>
        <v/>
      </c>
      <c r="H16" s="142" t="str">
        <f t="shared" si="2"/>
        <v/>
      </c>
      <c r="I16" s="141"/>
      <c r="J16" s="141"/>
      <c r="K16" s="141"/>
      <c r="L16" s="142" t="str">
        <f t="shared" si="3"/>
        <v/>
      </c>
      <c r="M16" s="142" t="str">
        <f t="shared" si="4"/>
        <v/>
      </c>
      <c r="N16" s="142" t="str">
        <f t="shared" si="5"/>
        <v/>
      </c>
      <c r="O16" s="141">
        <v>500</v>
      </c>
      <c r="P16" s="141"/>
      <c r="Q16" s="142">
        <f t="shared" si="0"/>
        <v>580.44</v>
      </c>
      <c r="R16" s="142" t="str">
        <f>IF(B16="","",IFERROR(IF(F16&lt;&gt;0,MAX(get_row)+1,LARGE(get_row,2)+1),1))</f>
        <v/>
      </c>
      <c r="S16" s="134" t="str">
        <f ca="1" t="shared" si="6"/>
        <v/>
      </c>
      <c r="T16" s="129" t="str">
        <f ca="1" t="shared" si="7"/>
        <v/>
      </c>
      <c r="U16" s="156" t="str">
        <f ca="1" t="shared" si="8"/>
        <v/>
      </c>
      <c r="V16" s="157" t="str">
        <f ca="1" t="shared" si="9"/>
        <v/>
      </c>
    </row>
    <row r="17" s="129" customFormat="1" spans="1:22">
      <c r="A17" s="105">
        <v>43364</v>
      </c>
      <c r="B17" s="105"/>
      <c r="C17" s="105"/>
      <c r="D17" s="141" t="s">
        <v>28</v>
      </c>
      <c r="E17" s="141"/>
      <c r="F17" s="132" t="str">
        <f>IF(C17="","",SUMIFS(E$1:E17,C$1:C17,C17,D$1:D17,"证券买入清算")-SUMIFS(E$1:E17,C$1:C17,C17,D$1:D17,"证券卖出清算"))</f>
        <v/>
      </c>
      <c r="G17" s="143" t="str">
        <f t="shared" si="1"/>
        <v/>
      </c>
      <c r="H17" s="142" t="str">
        <f t="shared" si="2"/>
        <v/>
      </c>
      <c r="I17" s="141"/>
      <c r="J17" s="141"/>
      <c r="K17" s="141"/>
      <c r="L17" s="142" t="str">
        <f t="shared" si="3"/>
        <v/>
      </c>
      <c r="M17" s="142" t="str">
        <f t="shared" si="4"/>
        <v/>
      </c>
      <c r="N17" s="142" t="str">
        <f t="shared" si="5"/>
        <v/>
      </c>
      <c r="O17" s="141">
        <v>0.11</v>
      </c>
      <c r="P17" s="141"/>
      <c r="Q17" s="142">
        <f t="shared" si="0"/>
        <v>580.55</v>
      </c>
      <c r="R17" s="142" t="str">
        <f>IF(B17="","",IFERROR(IF(F17&lt;&gt;0,MAX(get_row)+1,LARGE(get_row,2)+1),1))</f>
        <v/>
      </c>
      <c r="S17" s="134" t="str">
        <f ca="1" t="shared" si="6"/>
        <v/>
      </c>
      <c r="T17" s="129" t="str">
        <f ca="1" t="shared" si="7"/>
        <v/>
      </c>
      <c r="U17" s="156" t="str">
        <f ca="1" t="shared" si="8"/>
        <v/>
      </c>
      <c r="V17" s="157" t="str">
        <f ca="1" t="shared" si="9"/>
        <v/>
      </c>
    </row>
    <row r="18" s="129" customFormat="1" spans="1:22">
      <c r="A18" s="105">
        <v>43364</v>
      </c>
      <c r="B18" s="141">
        <f>VLOOKUP(C18,收益对照表汇总!A:B,2,0)</f>
        <v>600115</v>
      </c>
      <c r="C18" s="105" t="s">
        <v>27</v>
      </c>
      <c r="D18" s="141" t="s">
        <v>26</v>
      </c>
      <c r="E18" s="141">
        <v>200</v>
      </c>
      <c r="F18" s="132">
        <f>IF(C18="","",SUMIFS(E$1:E18,C$1:C18,C18,D$1:D18,"证券买入清算")-SUMIFS(E$1:E18,C$1:C18,C18,D$1:D18,"证券卖出清算"))</f>
        <v>0</v>
      </c>
      <c r="G18" s="143">
        <f t="shared" si="1"/>
        <v>5.45</v>
      </c>
      <c r="H18" s="142">
        <f t="shared" si="2"/>
        <v>1090</v>
      </c>
      <c r="I18" s="141">
        <v>5</v>
      </c>
      <c r="J18" s="141">
        <v>1.09</v>
      </c>
      <c r="K18" s="141">
        <v>0.0200000000000005</v>
      </c>
      <c r="L18" s="142" t="str">
        <f t="shared" si="3"/>
        <v/>
      </c>
      <c r="M18" s="142">
        <f t="shared" si="4"/>
        <v>6.11</v>
      </c>
      <c r="N18" s="142">
        <f t="shared" si="5"/>
        <v>0.00560550458715596</v>
      </c>
      <c r="O18" s="141">
        <v>1083.89</v>
      </c>
      <c r="P18" s="141"/>
      <c r="Q18" s="142">
        <f t="shared" si="0"/>
        <v>1664.44</v>
      </c>
      <c r="R18" s="142">
        <f>IF(B18="","",IFERROR(IF(F18&lt;&gt;0,MAX(get_row)+1,LARGE(get_row,2)+1),1))</f>
        <v>13</v>
      </c>
      <c r="S18" s="134">
        <f ca="1" t="shared" si="6"/>
        <v>6.87000000000012</v>
      </c>
      <c r="T18" s="129">
        <f ca="1" t="shared" si="7"/>
        <v>11.13</v>
      </c>
      <c r="U18" s="156">
        <f ca="1" t="shared" si="8"/>
        <v>0.0102981124767124</v>
      </c>
      <c r="V18" s="157" t="str">
        <f ca="1" t="shared" si="9"/>
        <v>Over</v>
      </c>
    </row>
    <row r="19" s="129" customFormat="1" spans="1:22">
      <c r="A19" s="105">
        <v>43370</v>
      </c>
      <c r="B19" s="105"/>
      <c r="C19" s="105"/>
      <c r="D19" s="141" t="s">
        <v>22</v>
      </c>
      <c r="E19" s="141"/>
      <c r="F19" s="132" t="str">
        <f>IF(C19="","",SUMIFS(E$1:E19,C$1:C19,C19,D$1:D19,"证券买入清算")-SUMIFS(E$1:E19,C$1:C19,C19,D$1:D19,"证券卖出清算"))</f>
        <v/>
      </c>
      <c r="G19" s="143" t="str">
        <f t="shared" si="1"/>
        <v/>
      </c>
      <c r="H19" s="142" t="str">
        <f t="shared" si="2"/>
        <v/>
      </c>
      <c r="I19" s="141"/>
      <c r="J19" s="141"/>
      <c r="K19" s="141"/>
      <c r="L19" s="142" t="str">
        <f t="shared" si="3"/>
        <v/>
      </c>
      <c r="M19" s="142" t="str">
        <f t="shared" si="4"/>
        <v/>
      </c>
      <c r="N19" s="142" t="str">
        <f t="shared" si="5"/>
        <v/>
      </c>
      <c r="O19" s="141">
        <v>1000</v>
      </c>
      <c r="P19" s="141"/>
      <c r="Q19" s="142">
        <f t="shared" si="0"/>
        <v>2664.44</v>
      </c>
      <c r="R19" s="142" t="str">
        <f>IF(B19="","",IFERROR(IF(F19&lt;&gt;0,MAX(get_row)+1,LARGE(get_row,2)+1),1))</f>
        <v/>
      </c>
      <c r="S19" s="134" t="str">
        <f ca="1" t="shared" si="6"/>
        <v/>
      </c>
      <c r="T19" s="129" t="str">
        <f ca="1" t="shared" si="7"/>
        <v/>
      </c>
      <c r="U19" s="156" t="str">
        <f ca="1" t="shared" si="8"/>
        <v/>
      </c>
      <c r="V19" s="157" t="str">
        <f ca="1" t="shared" si="9"/>
        <v/>
      </c>
    </row>
    <row r="20" s="129" customFormat="1" spans="1:22">
      <c r="A20" s="105">
        <v>43370</v>
      </c>
      <c r="B20" s="141">
        <f>VLOOKUP(C20,收益对照表汇总!A:B,2,0)</f>
        <v>601633</v>
      </c>
      <c r="C20" s="105" t="s">
        <v>29</v>
      </c>
      <c r="D20" s="141" t="s">
        <v>25</v>
      </c>
      <c r="E20" s="141">
        <v>200</v>
      </c>
      <c r="F20" s="132">
        <f>IF(C20="","",SUMIFS(E$1:E20,C$1:C20,C20,D$1:D20,"证券买入清算")-SUMIFS(E$1:E20,C$1:C20,C20,D$1:D20,"证券卖出清算"))</f>
        <v>200</v>
      </c>
      <c r="G20" s="143">
        <f t="shared" si="1"/>
        <v>7.75</v>
      </c>
      <c r="H20" s="142">
        <f t="shared" si="2"/>
        <v>1550</v>
      </c>
      <c r="I20" s="141">
        <v>5</v>
      </c>
      <c r="J20" s="141"/>
      <c r="K20" s="141">
        <v>0.03</v>
      </c>
      <c r="L20" s="142" t="str">
        <f t="shared" si="3"/>
        <v/>
      </c>
      <c r="M20" s="142">
        <f t="shared" si="4"/>
        <v>5.03</v>
      </c>
      <c r="N20" s="142">
        <f t="shared" si="5"/>
        <v>0.00324516129032258</v>
      </c>
      <c r="O20" s="141"/>
      <c r="P20" s="141">
        <v>1555.03</v>
      </c>
      <c r="Q20" s="142">
        <f t="shared" si="0"/>
        <v>1109.41</v>
      </c>
      <c r="R20" s="142">
        <f>IF(B20="","",IFERROR(IF(F20&lt;&gt;0,MAX(get_row)+1,LARGE(get_row,2)+1),1))</f>
        <v>1</v>
      </c>
      <c r="S20" s="134">
        <f ca="1" t="shared" si="6"/>
        <v>-1555.03</v>
      </c>
      <c r="T20" s="129">
        <f ca="1" t="shared" si="7"/>
        <v>5.03</v>
      </c>
      <c r="U20" s="156">
        <f ca="1" t="shared" si="8"/>
        <v>0.00323466428300419</v>
      </c>
      <c r="V20" s="157">
        <f ca="1" t="shared" si="9"/>
        <v>-7.77515</v>
      </c>
    </row>
    <row r="21" s="129" customFormat="1" spans="1:22">
      <c r="A21" s="105">
        <v>43371</v>
      </c>
      <c r="B21" s="141">
        <f>VLOOKUP(C21,收益对照表汇总!A:B,2,0)</f>
        <v>601633</v>
      </c>
      <c r="C21" s="105" t="s">
        <v>29</v>
      </c>
      <c r="D21" s="141" t="s">
        <v>26</v>
      </c>
      <c r="E21" s="141">
        <v>200</v>
      </c>
      <c r="F21" s="132">
        <f>IF(C21="","",SUMIFS(E$1:E21,C$1:C21,C21,D$1:D21,"证券买入清算")-SUMIFS(E$1:E21,C$1:C21,C21,D$1:D21,"证券卖出清算"))</f>
        <v>0</v>
      </c>
      <c r="G21" s="143">
        <f t="shared" si="1"/>
        <v>7.86</v>
      </c>
      <c r="H21" s="142">
        <f t="shared" si="2"/>
        <v>1572</v>
      </c>
      <c r="I21" s="141">
        <v>5</v>
      </c>
      <c r="J21" s="141">
        <v>1.57</v>
      </c>
      <c r="K21" s="141">
        <v>0.0299999999999994</v>
      </c>
      <c r="L21" s="142" t="str">
        <f t="shared" si="3"/>
        <v/>
      </c>
      <c r="M21" s="142">
        <f t="shared" si="4"/>
        <v>6.6</v>
      </c>
      <c r="N21" s="142">
        <f t="shared" si="5"/>
        <v>0.00419847328244275</v>
      </c>
      <c r="O21" s="141">
        <v>1565.4</v>
      </c>
      <c r="P21" s="141"/>
      <c r="Q21" s="142">
        <f t="shared" si="0"/>
        <v>2674.81</v>
      </c>
      <c r="R21" s="142">
        <f>IF(B21="","",IFERROR(IF(F21&lt;&gt;0,MAX(get_row)+1,LARGE(get_row,2)+1),1))</f>
        <v>1</v>
      </c>
      <c r="S21" s="134">
        <f ca="1" t="shared" si="6"/>
        <v>10.3700000000001</v>
      </c>
      <c r="T21" s="129">
        <f ca="1" t="shared" si="7"/>
        <v>11.63</v>
      </c>
      <c r="U21" s="156">
        <f ca="1" t="shared" si="8"/>
        <v>0.00745083906261323</v>
      </c>
      <c r="V21" s="157" t="str">
        <f ca="1" t="shared" si="9"/>
        <v>Over</v>
      </c>
    </row>
    <row r="22" s="129" customFormat="1" spans="1:22">
      <c r="A22" s="105">
        <v>43381</v>
      </c>
      <c r="B22" s="105"/>
      <c r="C22" s="105"/>
      <c r="D22" s="141" t="s">
        <v>22</v>
      </c>
      <c r="E22" s="141"/>
      <c r="F22" s="132" t="str">
        <f>IF(C22="","",SUMIFS(E$1:E22,C$1:C22,C22,D$1:D22,"证券买入清算")-SUMIFS(E$1:E22,C$1:C22,C22,D$1:D22,"证券卖出清算"))</f>
        <v/>
      </c>
      <c r="G22" s="143" t="str">
        <f t="shared" si="1"/>
        <v/>
      </c>
      <c r="H22" s="142" t="str">
        <f t="shared" si="2"/>
        <v/>
      </c>
      <c r="I22" s="141"/>
      <c r="J22" s="141"/>
      <c r="K22" s="141"/>
      <c r="L22" s="142" t="str">
        <f t="shared" si="3"/>
        <v/>
      </c>
      <c r="M22" s="142" t="str">
        <f t="shared" si="4"/>
        <v/>
      </c>
      <c r="N22" s="142" t="str">
        <f t="shared" si="5"/>
        <v/>
      </c>
      <c r="O22" s="141">
        <v>500</v>
      </c>
      <c r="P22" s="141"/>
      <c r="Q22" s="142">
        <f t="shared" si="0"/>
        <v>3174.81</v>
      </c>
      <c r="R22" s="142" t="str">
        <f>IF(B22="","",IFERROR(IF(F22&lt;&gt;0,MAX(get_row)+1,LARGE(get_row,2)+1),1))</f>
        <v/>
      </c>
      <c r="S22" s="134" t="str">
        <f ca="1" t="shared" si="6"/>
        <v/>
      </c>
      <c r="T22" s="129" t="str">
        <f ca="1" t="shared" si="7"/>
        <v/>
      </c>
      <c r="U22" s="156" t="str">
        <f ca="1" t="shared" si="8"/>
        <v/>
      </c>
      <c r="V22" s="157" t="str">
        <f ca="1" t="shared" si="9"/>
        <v/>
      </c>
    </row>
    <row r="23" s="129" customFormat="1" spans="1:22">
      <c r="A23" s="105">
        <v>43381</v>
      </c>
      <c r="B23" s="141">
        <f>VLOOKUP(C23,收益对照表汇总!A:B,2,0)</f>
        <v>600115</v>
      </c>
      <c r="C23" s="105" t="s">
        <v>27</v>
      </c>
      <c r="D23" s="141" t="s">
        <v>25</v>
      </c>
      <c r="E23" s="141">
        <v>300</v>
      </c>
      <c r="F23" s="132">
        <f>IF(C23="","",SUMIFS(E$1:E23,C$1:C23,C23,D$1:D23,"证券买入清算")-SUMIFS(E$1:E23,C$1:C23,C23,D$1:D23,"证券卖出清算"))</f>
        <v>300</v>
      </c>
      <c r="G23" s="143">
        <f t="shared" si="1"/>
        <v>5.25</v>
      </c>
      <c r="H23" s="142">
        <f t="shared" si="2"/>
        <v>1575</v>
      </c>
      <c r="I23" s="141">
        <v>5</v>
      </c>
      <c r="J23" s="141"/>
      <c r="K23" s="141">
        <v>0.03</v>
      </c>
      <c r="L23" s="142" t="str">
        <f t="shared" si="3"/>
        <v/>
      </c>
      <c r="M23" s="142">
        <f t="shared" si="4"/>
        <v>5.03</v>
      </c>
      <c r="N23" s="142">
        <f t="shared" si="5"/>
        <v>0.00319365079365079</v>
      </c>
      <c r="O23" s="141"/>
      <c r="P23" s="141">
        <v>1580.03</v>
      </c>
      <c r="Q23" s="142">
        <f t="shared" si="0"/>
        <v>1594.78</v>
      </c>
      <c r="R23" s="142">
        <f>IF(B23="","",IFERROR(IF(F23&lt;&gt;0,MAX(get_row)+1,LARGE(get_row,2)+1),1))</f>
        <v>19</v>
      </c>
      <c r="S23" s="134">
        <f ca="1" t="shared" si="6"/>
        <v>-1580.03</v>
      </c>
      <c r="T23" s="129">
        <f ca="1" t="shared" si="7"/>
        <v>5.03</v>
      </c>
      <c r="U23" s="156">
        <f ca="1" t="shared" si="8"/>
        <v>0.00318348385790143</v>
      </c>
      <c r="V23" s="157">
        <f ca="1" t="shared" si="9"/>
        <v>-5.26676666666667</v>
      </c>
    </row>
    <row r="24" s="129" customFormat="1" spans="1:22">
      <c r="A24" s="105">
        <v>43381</v>
      </c>
      <c r="B24" s="141">
        <f>VLOOKUP(C24,收益对照表汇总!A:B,2,0)</f>
        <v>601633</v>
      </c>
      <c r="C24" s="105" t="s">
        <v>29</v>
      </c>
      <c r="D24" s="141" t="s">
        <v>25</v>
      </c>
      <c r="E24" s="141">
        <v>200</v>
      </c>
      <c r="F24" s="132">
        <f>IF(C24="","",SUMIFS(E$1:E24,C$1:C24,C24,D$1:D24,"证券买入清算")-SUMIFS(E$1:E24,C$1:C24,C24,D$1:D24,"证券卖出清算"))</f>
        <v>200</v>
      </c>
      <c r="G24" s="143">
        <f t="shared" si="1"/>
        <v>7.74</v>
      </c>
      <c r="H24" s="142">
        <f t="shared" si="2"/>
        <v>1548</v>
      </c>
      <c r="I24" s="141">
        <v>5</v>
      </c>
      <c r="J24" s="141"/>
      <c r="K24" s="141">
        <v>0.04</v>
      </c>
      <c r="L24" s="142" t="str">
        <f t="shared" si="3"/>
        <v/>
      </c>
      <c r="M24" s="142">
        <f t="shared" si="4"/>
        <v>5.04</v>
      </c>
      <c r="N24" s="142">
        <f t="shared" si="5"/>
        <v>0.00325581395348837</v>
      </c>
      <c r="O24" s="141"/>
      <c r="P24" s="141">
        <v>1553.04</v>
      </c>
      <c r="Q24" s="142">
        <f t="shared" si="0"/>
        <v>41.7400000000005</v>
      </c>
      <c r="R24" s="142">
        <f>IF(B24="","",IFERROR(IF(F24&lt;&gt;0,MAX(get_row)+1,LARGE(get_row,2)+1),1))</f>
        <v>22</v>
      </c>
      <c r="S24" s="134">
        <f ca="1" t="shared" si="6"/>
        <v>-1553.04</v>
      </c>
      <c r="T24" s="129">
        <f ca="1" t="shared" si="7"/>
        <v>5.04</v>
      </c>
      <c r="U24" s="156">
        <f ca="1" t="shared" si="8"/>
        <v>0.00324524802967084</v>
      </c>
      <c r="V24" s="157">
        <f ca="1" t="shared" si="9"/>
        <v>-7.7652</v>
      </c>
    </row>
    <row r="25" s="129" customFormat="1" spans="1:22">
      <c r="A25" s="105">
        <v>43385</v>
      </c>
      <c r="B25" s="105"/>
      <c r="C25" s="105"/>
      <c r="D25" s="141" t="s">
        <v>23</v>
      </c>
      <c r="E25" s="141"/>
      <c r="F25" s="132" t="str">
        <f>IF(C25="","",SUMIFS(E$1:E25,C$1:C25,C25,D$1:D25,"证券买入清算")-SUMIFS(E$1:E25,C$1:C25,C25,D$1:D25,"证券卖出清算"))</f>
        <v/>
      </c>
      <c r="G25" s="143" t="str">
        <f t="shared" si="1"/>
        <v/>
      </c>
      <c r="H25" s="142" t="str">
        <f t="shared" si="2"/>
        <v/>
      </c>
      <c r="I25" s="141"/>
      <c r="J25" s="141"/>
      <c r="K25" s="141"/>
      <c r="L25" s="142" t="str">
        <f t="shared" si="3"/>
        <v/>
      </c>
      <c r="M25" s="142" t="str">
        <f t="shared" si="4"/>
        <v/>
      </c>
      <c r="N25" s="142" t="str">
        <f t="shared" si="5"/>
        <v/>
      </c>
      <c r="O25" s="141"/>
      <c r="P25" s="141">
        <v>40</v>
      </c>
      <c r="Q25" s="142">
        <f t="shared" si="0"/>
        <v>1.74000000000046</v>
      </c>
      <c r="R25" s="142" t="str">
        <f>IF(B25="","",IFERROR(IF(F25&lt;&gt;0,MAX(get_row)+1,LARGE(get_row,2)+1),1))</f>
        <v/>
      </c>
      <c r="S25" s="134" t="str">
        <f ca="1" t="shared" si="6"/>
        <v/>
      </c>
      <c r="T25" s="129" t="str">
        <f ca="1" t="shared" si="7"/>
        <v/>
      </c>
      <c r="U25" s="156" t="str">
        <f ca="1" t="shared" si="8"/>
        <v/>
      </c>
      <c r="V25" s="157" t="str">
        <f ca="1" t="shared" si="9"/>
        <v/>
      </c>
    </row>
    <row r="26" s="129" customFormat="1" spans="1:22">
      <c r="A26" s="105">
        <v>43402</v>
      </c>
      <c r="B26" s="141">
        <f>VLOOKUP(C26,收益对照表汇总!A:B,2,0)</f>
        <v>600115</v>
      </c>
      <c r="C26" s="105" t="s">
        <v>27</v>
      </c>
      <c r="D26" s="141" t="s">
        <v>26</v>
      </c>
      <c r="E26" s="141">
        <v>300</v>
      </c>
      <c r="F26" s="132">
        <f>IF(C26="","",SUMIFS(E$1:E26,C$1:C26,C26,D$1:D26,"证券买入清算")-SUMIFS(E$1:E26,C$1:C26,C26,D$1:D26,"证券卖出清算"))</f>
        <v>0</v>
      </c>
      <c r="G26" s="143">
        <f t="shared" si="1"/>
        <v>4.95</v>
      </c>
      <c r="H26" s="142">
        <f t="shared" si="2"/>
        <v>1485</v>
      </c>
      <c r="I26" s="141">
        <v>5</v>
      </c>
      <c r="J26" s="141">
        <v>1.49</v>
      </c>
      <c r="K26" s="141">
        <v>0.0299999999999994</v>
      </c>
      <c r="L26" s="142" t="str">
        <f t="shared" si="3"/>
        <v/>
      </c>
      <c r="M26" s="142">
        <f t="shared" si="4"/>
        <v>6.52</v>
      </c>
      <c r="N26" s="142">
        <f t="shared" si="5"/>
        <v>0.00439057239057239</v>
      </c>
      <c r="O26" s="141">
        <v>1478.48</v>
      </c>
      <c r="P26" s="141"/>
      <c r="Q26" s="142">
        <f t="shared" si="0"/>
        <v>1480.22</v>
      </c>
      <c r="R26" s="142">
        <f>IF(B26="","",IFERROR(IF(F26&lt;&gt;0,MAX(get_row)+1,LARGE(get_row,2)+1),1))</f>
        <v>19</v>
      </c>
      <c r="S26" s="134">
        <f ca="1" t="shared" si="6"/>
        <v>-101.55</v>
      </c>
      <c r="T26" s="129">
        <f ca="1" t="shared" si="7"/>
        <v>11.55</v>
      </c>
      <c r="U26" s="156">
        <f ca="1" t="shared" si="8"/>
        <v>0.00759341838525385</v>
      </c>
      <c r="V26" s="157" t="str">
        <f ca="1" t="shared" si="9"/>
        <v>Over</v>
      </c>
    </row>
    <row r="27" s="129" customFormat="1" spans="1:22">
      <c r="A27" s="105">
        <v>43402</v>
      </c>
      <c r="B27" s="141">
        <f>VLOOKUP(C27,收益对照表汇总!A:B,2,0)</f>
        <v>601238</v>
      </c>
      <c r="C27" s="105" t="s">
        <v>30</v>
      </c>
      <c r="D27" s="141" t="s">
        <v>25</v>
      </c>
      <c r="E27" s="141">
        <v>100</v>
      </c>
      <c r="F27" s="132">
        <f>IF(C27="","",SUMIFS(E$1:E27,C$1:C27,C27,D$1:D27,"证券买入清算")-SUMIFS(E$1:E27,C$1:C27,C27,D$1:D27,"证券卖出清算"))</f>
        <v>100</v>
      </c>
      <c r="G27" s="143">
        <f t="shared" si="1"/>
        <v>10.4</v>
      </c>
      <c r="H27" s="142">
        <f t="shared" si="2"/>
        <v>1040</v>
      </c>
      <c r="I27" s="141">
        <v>5</v>
      </c>
      <c r="J27" s="141"/>
      <c r="K27" s="141">
        <v>0.02</v>
      </c>
      <c r="L27" s="142" t="str">
        <f t="shared" si="3"/>
        <v/>
      </c>
      <c r="M27" s="142">
        <f t="shared" si="4"/>
        <v>5.02</v>
      </c>
      <c r="N27" s="142">
        <f t="shared" si="5"/>
        <v>0.00482692307692308</v>
      </c>
      <c r="O27" s="141"/>
      <c r="P27" s="141">
        <v>1045.02</v>
      </c>
      <c r="Q27" s="142">
        <f t="shared" si="0"/>
        <v>435.200000000001</v>
      </c>
      <c r="R27" s="142">
        <f>IF(B27="","",IFERROR(IF(F27&lt;&gt;0,MAX(get_row)+1,LARGE(get_row,2)+1),1))</f>
        <v>1</v>
      </c>
      <c r="S27" s="134">
        <f ca="1" t="shared" si="6"/>
        <v>-1045.02</v>
      </c>
      <c r="T27" s="129">
        <f ca="1" t="shared" si="7"/>
        <v>5.02</v>
      </c>
      <c r="U27" s="156">
        <f ca="1" t="shared" si="8"/>
        <v>0.00480373581366864</v>
      </c>
      <c r="V27" s="157">
        <f ca="1" t="shared" si="9"/>
        <v>-10.4502</v>
      </c>
    </row>
    <row r="28" s="129" customFormat="1" spans="1:22">
      <c r="A28" s="105">
        <v>43403</v>
      </c>
      <c r="B28" s="141">
        <f>VLOOKUP(C28,收益对照表汇总!A:B,2,0)</f>
        <v>601238</v>
      </c>
      <c r="C28" s="105" t="s">
        <v>30</v>
      </c>
      <c r="D28" s="141" t="s">
        <v>26</v>
      </c>
      <c r="E28" s="141">
        <v>100</v>
      </c>
      <c r="F28" s="132">
        <f>IF(C28="","",SUMIFS(E$1:E28,C$1:C28,C28,D$1:D28,"证券买入清算")-SUMIFS(E$1:E28,C$1:C28,C28,D$1:D28,"证券卖出清算"))</f>
        <v>0</v>
      </c>
      <c r="G28" s="143">
        <f t="shared" si="1"/>
        <v>10.59</v>
      </c>
      <c r="H28" s="142">
        <f t="shared" si="2"/>
        <v>1059</v>
      </c>
      <c r="I28" s="141">
        <v>5</v>
      </c>
      <c r="J28" s="141">
        <v>1.06</v>
      </c>
      <c r="K28" s="141">
        <v>0.0199999999999996</v>
      </c>
      <c r="L28" s="142" t="str">
        <f t="shared" si="3"/>
        <v/>
      </c>
      <c r="M28" s="142">
        <f t="shared" si="4"/>
        <v>6.08</v>
      </c>
      <c r="N28" s="142">
        <f t="shared" si="5"/>
        <v>0.00574126534466478</v>
      </c>
      <c r="O28" s="141">
        <v>1052.92</v>
      </c>
      <c r="P28" s="141"/>
      <c r="Q28" s="142">
        <f t="shared" si="0"/>
        <v>1488.12</v>
      </c>
      <c r="R28" s="142">
        <f>IF(B28="","",IFERROR(IF(F28&lt;&gt;0,MAX(get_row)+1,LARGE(get_row,2)+1),1))</f>
        <v>1</v>
      </c>
      <c r="S28" s="134">
        <f ca="1" t="shared" si="6"/>
        <v>7.90000000000009</v>
      </c>
      <c r="T28" s="129">
        <f ca="1" t="shared" si="7"/>
        <v>11.1</v>
      </c>
      <c r="U28" s="156">
        <f ca="1" t="shared" si="8"/>
        <v>0.0105781536231888</v>
      </c>
      <c r="V28" s="157" t="str">
        <f ca="1" t="shared" si="9"/>
        <v>Over</v>
      </c>
    </row>
    <row r="29" s="129" customFormat="1" spans="1:22">
      <c r="A29" s="105">
        <v>43403</v>
      </c>
      <c r="B29" s="141">
        <f>VLOOKUP(C29,收益对照表汇总!A:B,2,0)</f>
        <v>601633</v>
      </c>
      <c r="C29" s="105" t="s">
        <v>29</v>
      </c>
      <c r="D29" s="141" t="s">
        <v>26</v>
      </c>
      <c r="E29" s="141">
        <v>200</v>
      </c>
      <c r="F29" s="132">
        <f>IF(C29="","",SUMIFS(E$1:E29,C$1:C29,C29,D$1:D29,"证券买入清算")-SUMIFS(E$1:E29,C$1:C29,C29,D$1:D29,"证券卖出清算"))</f>
        <v>0</v>
      </c>
      <c r="G29" s="143">
        <f t="shared" si="1"/>
        <v>6.14</v>
      </c>
      <c r="H29" s="142">
        <f t="shared" si="2"/>
        <v>1228</v>
      </c>
      <c r="I29" s="141">
        <v>5</v>
      </c>
      <c r="J29" s="141">
        <v>1.23</v>
      </c>
      <c r="K29" s="141">
        <v>0.0199999999999996</v>
      </c>
      <c r="L29" s="142" t="str">
        <f t="shared" si="3"/>
        <v/>
      </c>
      <c r="M29" s="142">
        <f t="shared" si="4"/>
        <v>6.25</v>
      </c>
      <c r="N29" s="142">
        <f t="shared" si="5"/>
        <v>0.00508957654723127</v>
      </c>
      <c r="O29" s="141">
        <v>1221.75</v>
      </c>
      <c r="P29" s="141"/>
      <c r="Q29" s="142">
        <f t="shared" si="0"/>
        <v>2709.87</v>
      </c>
      <c r="R29" s="142">
        <f>IF(B29="","",IFERROR(IF(F29&lt;&gt;0,MAX(get_row)+1,LARGE(get_row,2)+1),1))</f>
        <v>22</v>
      </c>
      <c r="S29" s="134">
        <f ca="1" t="shared" si="6"/>
        <v>-331.29</v>
      </c>
      <c r="T29" s="129">
        <f ca="1" t="shared" si="7"/>
        <v>11.29</v>
      </c>
      <c r="U29" s="156">
        <f ca="1" t="shared" si="8"/>
        <v>0.00836086088009032</v>
      </c>
      <c r="V29" s="157" t="str">
        <f ca="1" t="shared" si="9"/>
        <v>Over</v>
      </c>
    </row>
    <row r="30" s="129" customFormat="1" spans="1:22">
      <c r="A30" s="105">
        <v>43406</v>
      </c>
      <c r="B30" s="105"/>
      <c r="C30" s="105"/>
      <c r="D30" s="141" t="s">
        <v>23</v>
      </c>
      <c r="E30" s="141"/>
      <c r="F30" s="132" t="str">
        <f>IF(C30="","",SUMIFS(E$1:E30,C$1:C30,C30,D$1:D30,"证券买入清算")-SUMIFS(E$1:E30,C$1:C30,C30,D$1:D30,"证券卖出清算"))</f>
        <v/>
      </c>
      <c r="G30" s="143" t="str">
        <f t="shared" si="1"/>
        <v/>
      </c>
      <c r="H30" s="142" t="str">
        <f t="shared" si="2"/>
        <v/>
      </c>
      <c r="I30" s="141"/>
      <c r="J30" s="141"/>
      <c r="K30" s="141"/>
      <c r="L30" s="142" t="str">
        <f t="shared" si="3"/>
        <v/>
      </c>
      <c r="M30" s="142" t="str">
        <f t="shared" si="4"/>
        <v/>
      </c>
      <c r="N30" s="142" t="str">
        <f t="shared" si="5"/>
        <v/>
      </c>
      <c r="O30" s="141"/>
      <c r="P30" s="141">
        <v>340</v>
      </c>
      <c r="Q30" s="142">
        <f t="shared" si="0"/>
        <v>2369.87</v>
      </c>
      <c r="R30" s="142" t="str">
        <f>IF(B30="","",IFERROR(IF(F30&lt;&gt;0,MAX(get_row)+1,LARGE(get_row,2)+1),1))</f>
        <v/>
      </c>
      <c r="S30" s="134" t="str">
        <f ca="1" t="shared" si="6"/>
        <v/>
      </c>
      <c r="T30" s="129" t="str">
        <f ca="1" t="shared" si="7"/>
        <v/>
      </c>
      <c r="U30" s="156" t="str">
        <f ca="1" t="shared" si="8"/>
        <v/>
      </c>
      <c r="V30" s="157" t="str">
        <f ca="1" t="shared" si="9"/>
        <v/>
      </c>
    </row>
    <row r="31" s="129" customFormat="1" spans="1:22">
      <c r="A31" s="105">
        <v>43411</v>
      </c>
      <c r="B31" s="105"/>
      <c r="C31" s="105"/>
      <c r="D31" s="141" t="s">
        <v>23</v>
      </c>
      <c r="E31" s="141"/>
      <c r="F31" s="132" t="str">
        <f>IF(C31="","",SUMIFS(E$1:E31,C$1:C31,C31,D$1:D31,"证券买入清算")-SUMIFS(E$1:E31,C$1:C31,C31,D$1:D31,"证券卖出清算"))</f>
        <v/>
      </c>
      <c r="G31" s="143" t="str">
        <f t="shared" si="1"/>
        <v/>
      </c>
      <c r="H31" s="142" t="str">
        <f t="shared" si="2"/>
        <v/>
      </c>
      <c r="I31" s="141"/>
      <c r="J31" s="141"/>
      <c r="K31" s="141"/>
      <c r="L31" s="142" t="str">
        <f t="shared" si="3"/>
        <v/>
      </c>
      <c r="M31" s="142" t="str">
        <f t="shared" si="4"/>
        <v/>
      </c>
      <c r="N31" s="142" t="str">
        <f t="shared" si="5"/>
        <v/>
      </c>
      <c r="O31" s="141"/>
      <c r="P31" s="141">
        <v>150</v>
      </c>
      <c r="Q31" s="142">
        <f t="shared" si="0"/>
        <v>2219.87</v>
      </c>
      <c r="R31" s="142" t="str">
        <f>IF(B31="","",IFERROR(IF(F31&lt;&gt;0,MAX(get_row)+1,LARGE(get_row,2)+1),1))</f>
        <v/>
      </c>
      <c r="S31" s="134" t="str">
        <f ca="1" t="shared" si="6"/>
        <v/>
      </c>
      <c r="T31" s="129" t="str">
        <f ca="1" t="shared" si="7"/>
        <v/>
      </c>
      <c r="U31" s="156" t="str">
        <f ca="1" t="shared" si="8"/>
        <v/>
      </c>
      <c r="V31" s="157" t="str">
        <f ca="1" t="shared" si="9"/>
        <v/>
      </c>
    </row>
    <row r="32" s="129" customFormat="1" spans="1:22">
      <c r="A32" s="105">
        <v>43413</v>
      </c>
      <c r="B32" s="105"/>
      <c r="C32" s="105"/>
      <c r="D32" s="141" t="s">
        <v>23</v>
      </c>
      <c r="E32" s="141"/>
      <c r="F32" s="132" t="str">
        <f>IF(C32="","",SUMIFS(E$1:E32,C$1:C32,C32,D$1:D32,"证券买入清算")-SUMIFS(E$1:E32,C$1:C32,C32,D$1:D32,"证券卖出清算"))</f>
        <v/>
      </c>
      <c r="G32" s="143" t="str">
        <f t="shared" si="1"/>
        <v/>
      </c>
      <c r="H32" s="142" t="str">
        <f t="shared" si="2"/>
        <v/>
      </c>
      <c r="I32" s="141"/>
      <c r="J32" s="141"/>
      <c r="K32" s="141"/>
      <c r="L32" s="142" t="str">
        <f t="shared" si="3"/>
        <v/>
      </c>
      <c r="M32" s="142" t="str">
        <f t="shared" si="4"/>
        <v/>
      </c>
      <c r="N32" s="142" t="str">
        <f t="shared" si="5"/>
        <v/>
      </c>
      <c r="O32" s="141"/>
      <c r="P32" s="141">
        <v>100</v>
      </c>
      <c r="Q32" s="142">
        <f t="shared" si="0"/>
        <v>2119.87</v>
      </c>
      <c r="R32" s="142" t="str">
        <f>IF(B32="","",IFERROR(IF(F32&lt;&gt;0,MAX(get_row)+1,LARGE(get_row,2)+1),1))</f>
        <v/>
      </c>
      <c r="S32" s="134" t="str">
        <f ca="1" t="shared" si="6"/>
        <v/>
      </c>
      <c r="T32" s="129" t="str">
        <f ca="1" t="shared" si="7"/>
        <v/>
      </c>
      <c r="U32" s="156" t="str">
        <f ca="1" t="shared" si="8"/>
        <v/>
      </c>
      <c r="V32" s="157" t="str">
        <f ca="1" t="shared" si="9"/>
        <v/>
      </c>
    </row>
    <row r="33" s="129" customFormat="1" spans="1:22">
      <c r="A33" s="105">
        <v>43413</v>
      </c>
      <c r="B33" s="141">
        <f>VLOOKUP(C33,收益对照表汇总!A:B,2,0)</f>
        <v>601288</v>
      </c>
      <c r="C33" s="105" t="s">
        <v>31</v>
      </c>
      <c r="D33" s="141" t="s">
        <v>25</v>
      </c>
      <c r="E33" s="141">
        <v>400</v>
      </c>
      <c r="F33" s="132">
        <f>IF(C33="","",SUMIFS(E$1:E33,C$1:C33,C33,D$1:D33,"证券买入清算")-SUMIFS(E$1:E33,C$1:C33,C33,D$1:D33,"证券卖出清算"))</f>
        <v>400</v>
      </c>
      <c r="G33" s="143">
        <f t="shared" si="1"/>
        <v>3.64</v>
      </c>
      <c r="H33" s="142">
        <f t="shared" si="2"/>
        <v>1456</v>
      </c>
      <c r="I33" s="141">
        <v>5</v>
      </c>
      <c r="J33" s="141"/>
      <c r="K33" s="141">
        <v>0.03</v>
      </c>
      <c r="L33" s="142" t="str">
        <f t="shared" si="3"/>
        <v/>
      </c>
      <c r="M33" s="142">
        <f t="shared" si="4"/>
        <v>5.03</v>
      </c>
      <c r="N33" s="142">
        <f t="shared" si="5"/>
        <v>0.00345467032967033</v>
      </c>
      <c r="O33" s="141"/>
      <c r="P33" s="141">
        <v>1461.03</v>
      </c>
      <c r="Q33" s="142">
        <f t="shared" si="0"/>
        <v>658.840000000001</v>
      </c>
      <c r="R33" s="142">
        <f>IF(B33="","",IFERROR(IF(F33&lt;&gt;0,MAX(get_row)+1,LARGE(get_row,2)+1),1))</f>
        <v>1</v>
      </c>
      <c r="S33" s="134">
        <f ca="1" t="shared" si="6"/>
        <v>-1461.03</v>
      </c>
      <c r="T33" s="129">
        <f ca="1" t="shared" si="7"/>
        <v>5.03</v>
      </c>
      <c r="U33" s="156">
        <f ca="1" t="shared" si="8"/>
        <v>0.00344277667125247</v>
      </c>
      <c r="V33" s="157">
        <f ca="1" t="shared" si="9"/>
        <v>-3.652575</v>
      </c>
    </row>
    <row r="34" s="129" customFormat="1" spans="1:22">
      <c r="A34" s="105">
        <v>43430</v>
      </c>
      <c r="B34" s="105"/>
      <c r="C34" s="105"/>
      <c r="D34" s="141" t="s">
        <v>22</v>
      </c>
      <c r="E34" s="141"/>
      <c r="F34" s="132" t="str">
        <f>IF(C34="","",SUMIFS(E$1:E34,C$1:C34,C34,D$1:D34,"证券买入清算")-SUMIFS(E$1:E34,C$1:C34,C34,D$1:D34,"证券卖出清算"))</f>
        <v/>
      </c>
      <c r="G34" s="143" t="str">
        <f t="shared" si="1"/>
        <v/>
      </c>
      <c r="H34" s="142" t="str">
        <f t="shared" si="2"/>
        <v/>
      </c>
      <c r="I34" s="141"/>
      <c r="J34" s="141"/>
      <c r="K34" s="141"/>
      <c r="L34" s="142" t="str">
        <f t="shared" si="3"/>
        <v/>
      </c>
      <c r="M34" s="142" t="str">
        <f t="shared" si="4"/>
        <v/>
      </c>
      <c r="N34" s="142" t="str">
        <f t="shared" si="5"/>
        <v/>
      </c>
      <c r="O34" s="141">
        <v>600</v>
      </c>
      <c r="P34" s="141"/>
      <c r="Q34" s="142">
        <f t="shared" si="0"/>
        <v>1258.84</v>
      </c>
      <c r="R34" s="142" t="str">
        <f>IF(B34="","",IFERROR(IF(F34&lt;&gt;0,MAX(get_row)+1,LARGE(get_row,2)+1),1))</f>
        <v/>
      </c>
      <c r="S34" s="134" t="str">
        <f ca="1" t="shared" si="6"/>
        <v/>
      </c>
      <c r="T34" s="129" t="str">
        <f ca="1" t="shared" si="7"/>
        <v/>
      </c>
      <c r="U34" s="156" t="str">
        <f ca="1" t="shared" si="8"/>
        <v/>
      </c>
      <c r="V34" s="157" t="str">
        <f ca="1" t="shared" si="9"/>
        <v/>
      </c>
    </row>
    <row r="35" s="129" customFormat="1" spans="1:22">
      <c r="A35" s="105">
        <v>43430</v>
      </c>
      <c r="B35" s="165" t="str">
        <f>VLOOKUP(C35,收益对照表汇总!A:B,2,0)</f>
        <v>002661</v>
      </c>
      <c r="C35" s="105" t="s">
        <v>32</v>
      </c>
      <c r="D35" s="141" t="s">
        <v>25</v>
      </c>
      <c r="E35" s="141">
        <v>100</v>
      </c>
      <c r="F35" s="132">
        <f>IF(C35="","",SUMIFS(E$1:E35,C$1:C35,C35,D$1:D35,"证券买入清算")-SUMIFS(E$1:E35,C$1:C35,C35,D$1:D35,"证券卖出清算"))</f>
        <v>100</v>
      </c>
      <c r="G35" s="143">
        <f t="shared" si="1"/>
        <v>12.2</v>
      </c>
      <c r="H35" s="142">
        <f t="shared" si="2"/>
        <v>1220</v>
      </c>
      <c r="I35" s="141">
        <v>5</v>
      </c>
      <c r="J35" s="141"/>
      <c r="K35" s="141"/>
      <c r="L35" s="142" t="str">
        <f t="shared" si="3"/>
        <v/>
      </c>
      <c r="M35" s="142">
        <f t="shared" si="4"/>
        <v>5</v>
      </c>
      <c r="N35" s="142">
        <f t="shared" si="5"/>
        <v>0.00409836065573771</v>
      </c>
      <c r="O35" s="141"/>
      <c r="P35" s="141">
        <v>1225</v>
      </c>
      <c r="Q35" s="142">
        <f t="shared" ref="Q35:Q66" si="10">Q34+O35-P35</f>
        <v>33.8400000000008</v>
      </c>
      <c r="R35" s="142">
        <f>IF(B35="","",IFERROR(IF(F35&lt;&gt;0,MAX(get_row)+1,LARGE(get_row,2)+1),1))</f>
        <v>1</v>
      </c>
      <c r="S35" s="134">
        <f ca="1" t="shared" si="6"/>
        <v>-1225</v>
      </c>
      <c r="T35" s="129">
        <f ca="1" t="shared" si="7"/>
        <v>5</v>
      </c>
      <c r="U35" s="156">
        <f ca="1" t="shared" si="8"/>
        <v>0.00408163265306122</v>
      </c>
      <c r="V35" s="157">
        <f ca="1" t="shared" si="9"/>
        <v>-12.25</v>
      </c>
    </row>
    <row r="36" s="129" customFormat="1" spans="1:22">
      <c r="A36" s="105">
        <v>43434</v>
      </c>
      <c r="B36" s="141">
        <f>VLOOKUP(C36,收益对照表汇总!A:B,2,0)</f>
        <v>601288</v>
      </c>
      <c r="C36" s="105" t="s">
        <v>31</v>
      </c>
      <c r="D36" s="141" t="s">
        <v>26</v>
      </c>
      <c r="E36" s="141">
        <v>400</v>
      </c>
      <c r="F36" s="132">
        <f>IF(C36="","",SUMIFS(E$1:E36,C$1:C36,C36,D$1:D36,"证券买入清算")-SUMIFS(E$1:E36,C$1:C36,C36,D$1:D36,"证券卖出清算"))</f>
        <v>0</v>
      </c>
      <c r="G36" s="143">
        <f t="shared" si="1"/>
        <v>3.56</v>
      </c>
      <c r="H36" s="142">
        <f t="shared" si="2"/>
        <v>1424</v>
      </c>
      <c r="I36" s="141">
        <v>5</v>
      </c>
      <c r="J36" s="141">
        <v>1.42</v>
      </c>
      <c r="K36" s="141">
        <v>0.0300000000000002</v>
      </c>
      <c r="L36" s="142" t="str">
        <f t="shared" si="3"/>
        <v/>
      </c>
      <c r="M36" s="142">
        <f t="shared" si="4"/>
        <v>6.45</v>
      </c>
      <c r="N36" s="142">
        <f t="shared" si="5"/>
        <v>0.00452949438202247</v>
      </c>
      <c r="O36" s="141">
        <v>1417.55</v>
      </c>
      <c r="P36" s="141"/>
      <c r="Q36" s="142">
        <f t="shared" si="10"/>
        <v>1451.39</v>
      </c>
      <c r="R36" s="142">
        <f>IF(B36="","",IFERROR(IF(F36&lt;&gt;0,MAX(get_row)+1,LARGE(get_row,2)+1),1))</f>
        <v>1</v>
      </c>
      <c r="S36" s="134">
        <f ca="1" t="shared" si="6"/>
        <v>-43.48</v>
      </c>
      <c r="T36" s="129">
        <f ca="1" t="shared" si="7"/>
        <v>11.48</v>
      </c>
      <c r="U36" s="156">
        <f ca="1" t="shared" si="8"/>
        <v>0.00799288072401957</v>
      </c>
      <c r="V36" s="157" t="str">
        <f ca="1" t="shared" si="9"/>
        <v>Over</v>
      </c>
    </row>
    <row r="37" s="129" customFormat="1" spans="1:22">
      <c r="A37" s="105">
        <v>43438</v>
      </c>
      <c r="B37" s="165" t="str">
        <f>VLOOKUP(C37,收益对照表汇总!A:B,2,0)</f>
        <v>002661</v>
      </c>
      <c r="C37" s="105" t="s">
        <v>32</v>
      </c>
      <c r="D37" s="141" t="s">
        <v>26</v>
      </c>
      <c r="E37" s="141">
        <v>100</v>
      </c>
      <c r="F37" s="132">
        <f>IF(C37="","",SUMIFS(E$1:E37,C$1:C37,C37,D$1:D37,"证券买入清算")-SUMIFS(E$1:E37,C$1:C37,C37,D$1:D37,"证券卖出清算"))</f>
        <v>0</v>
      </c>
      <c r="G37" s="143">
        <f t="shared" si="1"/>
        <v>13.04</v>
      </c>
      <c r="H37" s="142">
        <f t="shared" si="2"/>
        <v>1304</v>
      </c>
      <c r="I37" s="141">
        <v>5</v>
      </c>
      <c r="J37" s="141">
        <v>1.3</v>
      </c>
      <c r="K37" s="141">
        <v>0</v>
      </c>
      <c r="L37" s="142" t="str">
        <f t="shared" si="3"/>
        <v/>
      </c>
      <c r="M37" s="142">
        <f t="shared" si="4"/>
        <v>6.3</v>
      </c>
      <c r="N37" s="142">
        <f t="shared" si="5"/>
        <v>0.00483128834355828</v>
      </c>
      <c r="O37" s="141">
        <v>1297.7</v>
      </c>
      <c r="P37" s="141"/>
      <c r="Q37" s="142">
        <f t="shared" si="10"/>
        <v>2749.09</v>
      </c>
      <c r="R37" s="142">
        <f>IF(B37="","",IFERROR(IF(F37&lt;&gt;0,MAX(get_row)+1,LARGE(get_row,2)+1),1))</f>
        <v>1</v>
      </c>
      <c r="S37" s="134">
        <f ca="1" t="shared" si="6"/>
        <v>72.7</v>
      </c>
      <c r="T37" s="129">
        <f ca="1" t="shared" si="7"/>
        <v>11.3</v>
      </c>
      <c r="U37" s="156">
        <f ca="1" t="shared" si="8"/>
        <v>0.00893637565991951</v>
      </c>
      <c r="V37" s="157" t="str">
        <f ca="1" t="shared" si="9"/>
        <v>Over</v>
      </c>
    </row>
    <row r="38" s="129" customFormat="1" spans="1:22">
      <c r="A38" s="105">
        <v>43440</v>
      </c>
      <c r="B38" s="105"/>
      <c r="C38" s="105"/>
      <c r="D38" s="141" t="s">
        <v>22</v>
      </c>
      <c r="E38" s="141"/>
      <c r="F38" s="132" t="str">
        <f>IF(C38="","",SUMIFS(E$1:E38,C$1:C38,C38,D$1:D38,"证券买入清算")-SUMIFS(E$1:E38,C$1:C38,C38,D$1:D38,"证券卖出清算"))</f>
        <v/>
      </c>
      <c r="G38" s="143" t="str">
        <f t="shared" si="1"/>
        <v/>
      </c>
      <c r="H38" s="142" t="str">
        <f t="shared" si="2"/>
        <v/>
      </c>
      <c r="I38" s="141"/>
      <c r="J38" s="141"/>
      <c r="K38" s="141"/>
      <c r="L38" s="142" t="str">
        <f t="shared" si="3"/>
        <v/>
      </c>
      <c r="M38" s="142" t="str">
        <f t="shared" si="4"/>
        <v/>
      </c>
      <c r="N38" s="142" t="str">
        <f t="shared" si="5"/>
        <v/>
      </c>
      <c r="O38" s="141">
        <v>1000</v>
      </c>
      <c r="P38" s="141"/>
      <c r="Q38" s="142">
        <f t="shared" si="10"/>
        <v>3749.09</v>
      </c>
      <c r="R38" s="142" t="str">
        <f>IF(B38="","",IFERROR(IF(F38&lt;&gt;0,MAX(get_row)+1,LARGE(get_row,2)+1),1))</f>
        <v/>
      </c>
      <c r="S38" s="134" t="str">
        <f ca="1" t="shared" si="6"/>
        <v/>
      </c>
      <c r="T38" s="129" t="str">
        <f ca="1" t="shared" si="7"/>
        <v/>
      </c>
      <c r="U38" s="156" t="str">
        <f ca="1" t="shared" si="8"/>
        <v/>
      </c>
      <c r="V38" s="157" t="str">
        <f ca="1" t="shared" si="9"/>
        <v/>
      </c>
    </row>
    <row r="39" s="129" customFormat="1" spans="1:22">
      <c r="A39" s="105">
        <v>43440</v>
      </c>
      <c r="B39" s="165" t="str">
        <f>VLOOKUP(C39,收益对照表汇总!A:B,2,0)</f>
        <v>000651</v>
      </c>
      <c r="C39" s="105" t="s">
        <v>33</v>
      </c>
      <c r="D39" s="141" t="s">
        <v>25</v>
      </c>
      <c r="E39" s="141">
        <v>100</v>
      </c>
      <c r="F39" s="132">
        <f>IF(C39="","",SUMIFS(E$1:E39,C$1:C39,C39,D$1:D39,"证券买入清算")-SUMIFS(E$1:E39,C$1:C39,C39,D$1:D39,"证券卖出清算"))</f>
        <v>100</v>
      </c>
      <c r="G39" s="143">
        <f t="shared" ref="G39:G70" si="11">IF(C39="","",IFERROR(IF(D39="证券买入清算",ROUND((P39-M39)/E39,3),IF(D39="证券卖出清算",ROUND((M39+O39)/E39,3),0)),0))</f>
        <v>36.72</v>
      </c>
      <c r="H39" s="142">
        <f t="shared" ref="H39:H70" si="12">IF(C39="","",E39*G39)</f>
        <v>3672</v>
      </c>
      <c r="I39" s="141">
        <v>5</v>
      </c>
      <c r="J39" s="141"/>
      <c r="K39" s="141"/>
      <c r="L39" s="142" t="str">
        <f t="shared" ref="L39:L70" si="13">IF(C39="","",IF(D39="红股派息",-O39,IF(D39="个人红利所得税扣款",P39,"")))</f>
        <v/>
      </c>
      <c r="M39" s="142">
        <f t="shared" ref="M39:M70" si="14">IF(C39="","",SUM(I39:L39))</f>
        <v>5</v>
      </c>
      <c r="N39" s="142">
        <f t="shared" ref="N39:N70" si="15">IFERROR(IF(B39="","",M39/H39),"")</f>
        <v>0.00136165577342048</v>
      </c>
      <c r="O39" s="141"/>
      <c r="P39" s="141">
        <v>3677</v>
      </c>
      <c r="Q39" s="142">
        <f t="shared" si="10"/>
        <v>72.0900000000011</v>
      </c>
      <c r="R39" s="142">
        <f>IF(B39="","",IFERROR(IF(F39&lt;&gt;0,MAX(get_row)+1,LARGE(get_row,2)+1),1))</f>
        <v>1</v>
      </c>
      <c r="S39" s="134">
        <f ca="1" t="shared" ref="S39:S70" si="16">IF(B39="","",SUMIFS(INDIRECT("O"&amp;R39&amp;":O"&amp;ROW()),INDIRECT("B"&amp;R39&amp;":B"&amp;ROW()),B39)-SUMIFS(INDIRECT("P"&amp;R39&amp;":P"&amp;ROW()),INDIRECT("B"&amp;R39&amp;":B"&amp;ROW()),B39))</f>
        <v>-3677</v>
      </c>
      <c r="T39" s="129">
        <f ca="1" t="shared" ref="T39:T70" si="17">IF(B39="","",SUMIFS(INDIRECT("M"&amp;R39&amp;":M"&amp;ROW()),INDIRECT("B"&amp;R39&amp;":B"&amp;ROW()),B39,INDIRECT("M"&amp;R39&amp;":M"&amp;ROW()),"&gt;0"))</f>
        <v>5</v>
      </c>
      <c r="U39" s="156">
        <f ca="1" t="shared" ref="U39:U70" si="18">IF(B39="","",IFERROR(SUMIFS(INDIRECT("M"&amp;R39&amp;":M"&amp;ROW()),INDIRECT("B"&amp;R39&amp;":B"&amp;ROW()),B39,INDIRECT("p"&amp;R39&amp;":p"&amp;ROW()),"&lt;&gt;",INDIRECT("M"&amp;R39&amp;":M"&amp;ROW()),"&gt;0")/SUMIFS(INDIRECT("p"&amp;R39&amp;":p"&amp;ROW()),INDIRECT("B"&amp;R39&amp;":B"&amp;ROW()),B39,INDIRECT("p"&amp;R39&amp;":p"&amp;ROW()),"&lt;&gt;",INDIRECT("M"&amp;R39&amp;":M"&amp;ROW()),"&gt;0"),0)+IFERROR(SUMIFS(INDIRECT("M"&amp;R39&amp;":M"&amp;ROW()),INDIRECT("B"&amp;R39&amp;":B"&amp;ROW()),B39,INDIRECT("o"&amp;R39&amp;":o"&amp;ROW()),"&lt;&gt;",INDIRECT("M"&amp;R39&amp;":M"&amp;ROW()),"&gt;0")/SUMIFS(INDIRECT("o"&amp;R39&amp;":o"&amp;ROW()),INDIRECT("B"&amp;R39&amp;":B"&amp;ROW()),B39,INDIRECT("o"&amp;R39&amp;":o"&amp;ROW()),"&lt;&gt;",INDIRECT("M"&amp;R39&amp;":M"&amp;ROW()),"&gt;0"),0))</f>
        <v>0.0013598041881969</v>
      </c>
      <c r="V39" s="157">
        <f ca="1" t="shared" ref="V39:V70" si="19">IF(B39="","",IFERROR(S39/F39,"Over"))</f>
        <v>-36.77</v>
      </c>
    </row>
    <row r="40" s="129" customFormat="1" spans="1:22">
      <c r="A40" s="105">
        <v>43447</v>
      </c>
      <c r="B40" s="165" t="str">
        <f>VLOOKUP(C40,收益对照表汇总!A:B,2,0)</f>
        <v>000651</v>
      </c>
      <c r="C40" s="105" t="s">
        <v>33</v>
      </c>
      <c r="D40" s="141" t="s">
        <v>26</v>
      </c>
      <c r="E40" s="141">
        <v>100</v>
      </c>
      <c r="F40" s="132">
        <f>IF(C40="","",SUMIFS(E$1:E40,C$1:C40,C40,D$1:D40,"证券买入清算")-SUMIFS(E$1:E40,C$1:C40,C40,D$1:D40,"证券卖出清算"))</f>
        <v>0</v>
      </c>
      <c r="G40" s="143">
        <f t="shared" si="11"/>
        <v>37.52</v>
      </c>
      <c r="H40" s="142">
        <f t="shared" si="12"/>
        <v>3752</v>
      </c>
      <c r="I40" s="141">
        <v>5</v>
      </c>
      <c r="J40" s="141">
        <v>3.75</v>
      </c>
      <c r="K40" s="141">
        <v>0</v>
      </c>
      <c r="L40" s="142" t="str">
        <f t="shared" si="13"/>
        <v/>
      </c>
      <c r="M40" s="142">
        <f t="shared" si="14"/>
        <v>8.75</v>
      </c>
      <c r="N40" s="142">
        <f t="shared" si="15"/>
        <v>0.00233208955223881</v>
      </c>
      <c r="O40" s="141">
        <v>3743.25</v>
      </c>
      <c r="P40" s="141"/>
      <c r="Q40" s="142">
        <f t="shared" si="10"/>
        <v>3815.34</v>
      </c>
      <c r="R40" s="142">
        <f>IF(B40="","",IFERROR(IF(F40&lt;&gt;0,MAX(get_row)+1,LARGE(get_row,2)+1),1))</f>
        <v>1</v>
      </c>
      <c r="S40" s="134">
        <f ca="1" t="shared" si="16"/>
        <v>66.25</v>
      </c>
      <c r="T40" s="129">
        <f ca="1" t="shared" si="17"/>
        <v>13.75</v>
      </c>
      <c r="U40" s="156">
        <f ca="1" t="shared" si="18"/>
        <v>0.00369734509516277</v>
      </c>
      <c r="V40" s="157" t="str">
        <f ca="1" t="shared" si="19"/>
        <v>Over</v>
      </c>
    </row>
    <row r="41" s="129" customFormat="1" spans="1:22">
      <c r="A41" s="105">
        <v>43452</v>
      </c>
      <c r="B41" s="165" t="str">
        <f>VLOOKUP(C41,收益对照表汇总!A:B,2,0)</f>
        <v>000651</v>
      </c>
      <c r="C41" s="105" t="s">
        <v>33</v>
      </c>
      <c r="D41" s="141" t="s">
        <v>25</v>
      </c>
      <c r="E41" s="141">
        <v>100</v>
      </c>
      <c r="F41" s="132">
        <f>IF(C41="","",SUMIFS(E$1:E41,C$1:C41,C41,D$1:D41,"证券买入清算")-SUMIFS(E$1:E41,C$1:C41,C41,D$1:D41,"证券卖出清算"))</f>
        <v>100</v>
      </c>
      <c r="G41" s="143">
        <f t="shared" si="11"/>
        <v>36.64</v>
      </c>
      <c r="H41" s="142">
        <f t="shared" si="12"/>
        <v>3664</v>
      </c>
      <c r="I41" s="141">
        <v>5</v>
      </c>
      <c r="J41" s="141"/>
      <c r="K41" s="141"/>
      <c r="L41" s="142" t="str">
        <f t="shared" si="13"/>
        <v/>
      </c>
      <c r="M41" s="142">
        <f t="shared" si="14"/>
        <v>5</v>
      </c>
      <c r="N41" s="142">
        <f t="shared" si="15"/>
        <v>0.0013646288209607</v>
      </c>
      <c r="O41" s="141"/>
      <c r="P41" s="141">
        <v>3669</v>
      </c>
      <c r="Q41" s="142">
        <f t="shared" si="10"/>
        <v>146.340000000001</v>
      </c>
      <c r="R41" s="142">
        <f>IF(B41="","",IFERROR(IF(F41&lt;&gt;0,MAX(get_row)+1,LARGE(get_row,2)+1),1))</f>
        <v>41</v>
      </c>
      <c r="S41" s="134">
        <f ca="1" t="shared" si="16"/>
        <v>-3669</v>
      </c>
      <c r="T41" s="129">
        <f ca="1" t="shared" si="17"/>
        <v>5</v>
      </c>
      <c r="U41" s="156">
        <f ca="1" t="shared" si="18"/>
        <v>0.00136276914690651</v>
      </c>
      <c r="V41" s="157">
        <f ca="1" t="shared" si="19"/>
        <v>-36.69</v>
      </c>
    </row>
    <row r="42" s="129" customFormat="1" spans="1:22">
      <c r="A42" s="105">
        <v>43455</v>
      </c>
      <c r="B42" s="105"/>
      <c r="C42" s="105"/>
      <c r="D42" s="141" t="s">
        <v>28</v>
      </c>
      <c r="E42" s="141"/>
      <c r="F42" s="132" t="str">
        <f>IF(C42="","",SUMIFS(E$1:E42,C$1:C42,C42,D$1:D42,"证券买入清算")-SUMIFS(E$1:E42,C$1:C42,C42,D$1:D42,"证券卖出清算"))</f>
        <v/>
      </c>
      <c r="G42" s="143" t="str">
        <f t="shared" si="11"/>
        <v/>
      </c>
      <c r="H42" s="142" t="str">
        <f t="shared" si="12"/>
        <v/>
      </c>
      <c r="I42" s="141"/>
      <c r="J42" s="141"/>
      <c r="K42" s="141"/>
      <c r="L42" s="142" t="str">
        <f t="shared" si="13"/>
        <v/>
      </c>
      <c r="M42" s="142" t="str">
        <f t="shared" si="14"/>
        <v/>
      </c>
      <c r="N42" s="142" t="str">
        <f t="shared" si="15"/>
        <v/>
      </c>
      <c r="O42" s="141">
        <v>0.89</v>
      </c>
      <c r="P42" s="141"/>
      <c r="Q42" s="142">
        <f t="shared" si="10"/>
        <v>147.230000000001</v>
      </c>
      <c r="R42" s="142" t="str">
        <f>IF(B42="","",IFERROR(IF(F42&lt;&gt;0,MAX(get_row)+1,LARGE(get_row,2)+1),1))</f>
        <v/>
      </c>
      <c r="S42" s="134" t="str">
        <f ca="1" t="shared" si="16"/>
        <v/>
      </c>
      <c r="T42" s="129" t="str">
        <f ca="1" t="shared" si="17"/>
        <v/>
      </c>
      <c r="U42" s="156" t="str">
        <f ca="1" t="shared" si="18"/>
        <v/>
      </c>
      <c r="V42" s="157" t="str">
        <f ca="1" t="shared" si="19"/>
        <v/>
      </c>
    </row>
    <row r="43" s="129" customFormat="1" spans="1:22">
      <c r="A43" s="105">
        <v>43459</v>
      </c>
      <c r="B43" s="105"/>
      <c r="C43" s="105"/>
      <c r="D43" s="141" t="s">
        <v>22</v>
      </c>
      <c r="E43" s="141"/>
      <c r="F43" s="132" t="str">
        <f>IF(C43="","",SUMIFS(E$1:E43,C$1:C43,C43,D$1:D43,"证券买入清算")-SUMIFS(E$1:E43,C$1:C43,C43,D$1:D43,"证券卖出清算"))</f>
        <v/>
      </c>
      <c r="G43" s="143" t="str">
        <f t="shared" si="11"/>
        <v/>
      </c>
      <c r="H43" s="142" t="str">
        <f t="shared" si="12"/>
        <v/>
      </c>
      <c r="I43" s="141"/>
      <c r="J43" s="141"/>
      <c r="K43" s="141"/>
      <c r="L43" s="142" t="str">
        <f t="shared" si="13"/>
        <v/>
      </c>
      <c r="M43" s="142" t="str">
        <f t="shared" si="14"/>
        <v/>
      </c>
      <c r="N43" s="142" t="str">
        <f t="shared" si="15"/>
        <v/>
      </c>
      <c r="O43" s="141">
        <v>3500</v>
      </c>
      <c r="P43" s="141"/>
      <c r="Q43" s="142">
        <f t="shared" si="10"/>
        <v>3647.23</v>
      </c>
      <c r="R43" s="142" t="str">
        <f>IF(B43="","",IFERROR(IF(F43&lt;&gt;0,MAX(get_row)+1,LARGE(get_row,2)+1),1))</f>
        <v/>
      </c>
      <c r="S43" s="134" t="str">
        <f ca="1" t="shared" si="16"/>
        <v/>
      </c>
      <c r="T43" s="129" t="str">
        <f ca="1" t="shared" si="17"/>
        <v/>
      </c>
      <c r="U43" s="156" t="str">
        <f ca="1" t="shared" si="18"/>
        <v/>
      </c>
      <c r="V43" s="157" t="str">
        <f ca="1" t="shared" si="19"/>
        <v/>
      </c>
    </row>
    <row r="44" s="129" customFormat="1" spans="1:22">
      <c r="A44" s="105">
        <v>43462</v>
      </c>
      <c r="B44" s="105"/>
      <c r="C44" s="105"/>
      <c r="D44" s="141" t="s">
        <v>23</v>
      </c>
      <c r="E44" s="141"/>
      <c r="F44" s="132" t="str">
        <f>IF(C44="","",SUMIFS(E$1:E44,C$1:C44,C44,D$1:D44,"证券买入清算")-SUMIFS(E$1:E44,C$1:C44,C44,D$1:D44,"证券卖出清算"))</f>
        <v/>
      </c>
      <c r="G44" s="143" t="str">
        <f t="shared" si="11"/>
        <v/>
      </c>
      <c r="H44" s="142" t="str">
        <f t="shared" si="12"/>
        <v/>
      </c>
      <c r="I44" s="141"/>
      <c r="J44" s="141"/>
      <c r="K44" s="141"/>
      <c r="L44" s="142" t="str">
        <f t="shared" si="13"/>
        <v/>
      </c>
      <c r="M44" s="142" t="str">
        <f t="shared" si="14"/>
        <v/>
      </c>
      <c r="N44" s="142" t="str">
        <f t="shared" si="15"/>
        <v/>
      </c>
      <c r="O44" s="141"/>
      <c r="P44" s="141">
        <v>3500</v>
      </c>
      <c r="Q44" s="142">
        <f t="shared" si="10"/>
        <v>147.230000000001</v>
      </c>
      <c r="R44" s="142" t="str">
        <f>IF(B44="","",IFERROR(IF(F44&lt;&gt;0,MAX(get_row)+1,LARGE(get_row,2)+1),1))</f>
        <v/>
      </c>
      <c r="S44" s="134" t="str">
        <f ca="1" t="shared" si="16"/>
        <v/>
      </c>
      <c r="T44" s="129" t="str">
        <f ca="1" t="shared" si="17"/>
        <v/>
      </c>
      <c r="U44" s="156" t="str">
        <f ca="1" t="shared" si="18"/>
        <v/>
      </c>
      <c r="V44" s="157" t="str">
        <f ca="1" t="shared" si="19"/>
        <v/>
      </c>
    </row>
    <row r="45" s="129" customFormat="1" spans="1:22">
      <c r="A45" s="105">
        <v>43467</v>
      </c>
      <c r="B45" s="105"/>
      <c r="C45" s="105"/>
      <c r="D45" s="141" t="s">
        <v>22</v>
      </c>
      <c r="E45" s="141"/>
      <c r="F45" s="132" t="str">
        <f>IF(C45="","",SUMIFS(E$1:E45,C$1:C45,C45,D$1:D45,"证券买入清算")-SUMIFS(E$1:E45,C$1:C45,C45,D$1:D45,"证券卖出清算"))</f>
        <v/>
      </c>
      <c r="G45" s="143" t="str">
        <f t="shared" si="11"/>
        <v/>
      </c>
      <c r="H45" s="142" t="str">
        <f t="shared" si="12"/>
        <v/>
      </c>
      <c r="I45" s="141"/>
      <c r="J45" s="141"/>
      <c r="K45" s="141"/>
      <c r="L45" s="142" t="str">
        <f t="shared" si="13"/>
        <v/>
      </c>
      <c r="M45" s="142" t="str">
        <f t="shared" si="14"/>
        <v/>
      </c>
      <c r="N45" s="142" t="str">
        <f t="shared" si="15"/>
        <v/>
      </c>
      <c r="O45" s="141">
        <v>1100</v>
      </c>
      <c r="P45" s="141"/>
      <c r="Q45" s="142">
        <f t="shared" si="10"/>
        <v>1247.23</v>
      </c>
      <c r="R45" s="142" t="str">
        <f>IF(B45="","",IFERROR(IF(F45&lt;&gt;0,MAX(get_row)+1,LARGE(get_row,2)+1),1))</f>
        <v/>
      </c>
      <c r="S45" s="134" t="str">
        <f ca="1" t="shared" si="16"/>
        <v/>
      </c>
      <c r="T45" s="129" t="str">
        <f ca="1" t="shared" si="17"/>
        <v/>
      </c>
      <c r="U45" s="156" t="str">
        <f ca="1" t="shared" si="18"/>
        <v/>
      </c>
      <c r="V45" s="157" t="str">
        <f ca="1" t="shared" si="19"/>
        <v/>
      </c>
    </row>
    <row r="46" s="129" customFormat="1" spans="1:22">
      <c r="A46" s="105">
        <v>43467</v>
      </c>
      <c r="B46" s="165" t="str">
        <f>VLOOKUP(C46,收益对照表汇总!A:B,2,0)</f>
        <v>002661</v>
      </c>
      <c r="C46" s="105" t="s">
        <v>32</v>
      </c>
      <c r="D46" s="141" t="s">
        <v>25</v>
      </c>
      <c r="E46" s="141">
        <v>100</v>
      </c>
      <c r="F46" s="132">
        <f>IF(C46="","",SUMIFS(E$1:E46,C$1:C46,C46,D$1:D46,"证券买入清算")-SUMIFS(E$1:E46,C$1:C46,C46,D$1:D46,"证券卖出清算"))</f>
        <v>100</v>
      </c>
      <c r="G46" s="143">
        <f t="shared" si="11"/>
        <v>12.24</v>
      </c>
      <c r="H46" s="142">
        <f t="shared" si="12"/>
        <v>1224</v>
      </c>
      <c r="I46" s="141">
        <v>5</v>
      </c>
      <c r="J46" s="141"/>
      <c r="K46" s="141"/>
      <c r="L46" s="142" t="str">
        <f t="shared" si="13"/>
        <v/>
      </c>
      <c r="M46" s="142">
        <f t="shared" si="14"/>
        <v>5</v>
      </c>
      <c r="N46" s="142">
        <f t="shared" si="15"/>
        <v>0.00408496732026144</v>
      </c>
      <c r="O46" s="141"/>
      <c r="P46" s="141">
        <v>1229</v>
      </c>
      <c r="Q46" s="142">
        <f t="shared" si="10"/>
        <v>18.2300000000009</v>
      </c>
      <c r="R46" s="142">
        <f>IF(B46="","",IFERROR(IF(F46&lt;&gt;0,MAX(get_row)+1,LARGE(get_row,2)+1),1))</f>
        <v>38</v>
      </c>
      <c r="S46" s="134">
        <f ca="1" t="shared" si="16"/>
        <v>-1229</v>
      </c>
      <c r="T46" s="129">
        <f ca="1" t="shared" si="17"/>
        <v>5</v>
      </c>
      <c r="U46" s="156">
        <f ca="1" t="shared" si="18"/>
        <v>0.00406834825061025</v>
      </c>
      <c r="V46" s="157">
        <f ca="1" t="shared" si="19"/>
        <v>-12.29</v>
      </c>
    </row>
    <row r="47" s="129" customFormat="1" spans="1:22">
      <c r="A47" s="105">
        <v>43467</v>
      </c>
      <c r="B47" s="165" t="str">
        <f>VLOOKUP(C47,收益对照表汇总!A:B,2,0)</f>
        <v>000651</v>
      </c>
      <c r="C47" s="105" t="s">
        <v>33</v>
      </c>
      <c r="D47" s="141" t="s">
        <v>26</v>
      </c>
      <c r="E47" s="141">
        <v>100</v>
      </c>
      <c r="F47" s="132">
        <f>IF(C47="","",SUMIFS(E$1:E47,C$1:C47,C47,D$1:D47,"证券买入清算")-SUMIFS(E$1:E47,C$1:C47,C47,D$1:D47,"证券卖出清算"))</f>
        <v>0</v>
      </c>
      <c r="G47" s="143">
        <f t="shared" si="11"/>
        <v>36.13</v>
      </c>
      <c r="H47" s="142">
        <f t="shared" si="12"/>
        <v>3613</v>
      </c>
      <c r="I47" s="141">
        <v>5</v>
      </c>
      <c r="J47" s="141">
        <v>3.61</v>
      </c>
      <c r="K47" s="141">
        <v>0</v>
      </c>
      <c r="L47" s="142" t="str">
        <f t="shared" si="13"/>
        <v/>
      </c>
      <c r="M47" s="142">
        <f t="shared" si="14"/>
        <v>8.61</v>
      </c>
      <c r="N47" s="142">
        <f t="shared" si="15"/>
        <v>0.00238306116800443</v>
      </c>
      <c r="O47" s="141">
        <v>3604.39</v>
      </c>
      <c r="P47" s="141"/>
      <c r="Q47" s="142">
        <f t="shared" si="10"/>
        <v>3622.62</v>
      </c>
      <c r="R47" s="142">
        <f>IF(B47="","",IFERROR(IF(F47&lt;&gt;0,MAX(get_row)+1,LARGE(get_row,2)+1),1))</f>
        <v>41</v>
      </c>
      <c r="S47" s="134">
        <f ca="1" t="shared" si="16"/>
        <v>-64.6100000000001</v>
      </c>
      <c r="T47" s="129">
        <f ca="1" t="shared" si="17"/>
        <v>13.61</v>
      </c>
      <c r="U47" s="156">
        <f ca="1" t="shared" si="18"/>
        <v>0.00375152286112723</v>
      </c>
      <c r="V47" s="157" t="str">
        <f ca="1" t="shared" si="19"/>
        <v>Over</v>
      </c>
    </row>
    <row r="48" s="129" customFormat="1" spans="1:22">
      <c r="A48" s="105">
        <v>43468</v>
      </c>
      <c r="B48" s="165" t="str">
        <f>VLOOKUP(C48,收益对照表汇总!A:B,2,0)</f>
        <v>000333</v>
      </c>
      <c r="C48" s="105" t="s">
        <v>34</v>
      </c>
      <c r="D48" s="141" t="s">
        <v>25</v>
      </c>
      <c r="E48" s="141">
        <v>100</v>
      </c>
      <c r="F48" s="132">
        <f>IF(C48="","",SUMIFS(E$1:E48,C$1:C48,C48,D$1:D48,"证券买入清算")-SUMIFS(E$1:E48,C$1:C48,C48,D$1:D48,"证券卖出清算"))</f>
        <v>100</v>
      </c>
      <c r="G48" s="143">
        <f t="shared" si="11"/>
        <v>36.17</v>
      </c>
      <c r="H48" s="142">
        <f t="shared" si="12"/>
        <v>3617</v>
      </c>
      <c r="I48" s="141">
        <v>5</v>
      </c>
      <c r="J48" s="141"/>
      <c r="K48" s="141"/>
      <c r="L48" s="142" t="str">
        <f t="shared" si="13"/>
        <v/>
      </c>
      <c r="M48" s="142">
        <f t="shared" si="14"/>
        <v>5</v>
      </c>
      <c r="N48" s="142">
        <f t="shared" si="15"/>
        <v>0.00138236107271219</v>
      </c>
      <c r="O48" s="141"/>
      <c r="P48" s="141">
        <v>3622</v>
      </c>
      <c r="Q48" s="142">
        <f t="shared" si="10"/>
        <v>0.6200000000008</v>
      </c>
      <c r="R48" s="142">
        <f>IF(B48="","",IFERROR(IF(F48&lt;&gt;0,MAX(get_row)+1,LARGE(get_row,2)+1),1))</f>
        <v>1</v>
      </c>
      <c r="S48" s="134">
        <f ca="1" t="shared" si="16"/>
        <v>-3622</v>
      </c>
      <c r="T48" s="129">
        <f ca="1" t="shared" si="17"/>
        <v>5</v>
      </c>
      <c r="U48" s="156">
        <f ca="1" t="shared" si="18"/>
        <v>0.00138045278851463</v>
      </c>
      <c r="V48" s="157">
        <f ca="1" t="shared" si="19"/>
        <v>-36.22</v>
      </c>
    </row>
    <row r="49" s="129" customFormat="1" spans="1:22">
      <c r="A49" s="105">
        <v>43469</v>
      </c>
      <c r="B49" s="165" t="str">
        <f>VLOOKUP(C49,收益对照表汇总!A:B,2,0)</f>
        <v>000333</v>
      </c>
      <c r="C49" s="105" t="s">
        <v>34</v>
      </c>
      <c r="D49" s="141" t="s">
        <v>26</v>
      </c>
      <c r="E49" s="141">
        <v>100</v>
      </c>
      <c r="F49" s="132">
        <f>IF(C49="","",SUMIFS(E$1:E49,C$1:C49,C49,D$1:D49,"证券买入清算")-SUMIFS(E$1:E49,C$1:C49,C49,D$1:D49,"证券卖出清算"))</f>
        <v>0</v>
      </c>
      <c r="G49" s="143">
        <f t="shared" si="11"/>
        <v>36.49</v>
      </c>
      <c r="H49" s="142">
        <f t="shared" si="12"/>
        <v>3649</v>
      </c>
      <c r="I49" s="141">
        <v>5</v>
      </c>
      <c r="J49" s="141">
        <v>3.65</v>
      </c>
      <c r="K49" s="141">
        <v>0</v>
      </c>
      <c r="L49" s="142" t="str">
        <f t="shared" si="13"/>
        <v/>
      </c>
      <c r="M49" s="142">
        <f t="shared" si="14"/>
        <v>8.65</v>
      </c>
      <c r="N49" s="142">
        <f t="shared" si="15"/>
        <v>0.00237051246916964</v>
      </c>
      <c r="O49" s="141">
        <v>3640.35</v>
      </c>
      <c r="P49" s="141"/>
      <c r="Q49" s="142">
        <f t="shared" si="10"/>
        <v>3640.97</v>
      </c>
      <c r="R49" s="142">
        <f>IF(B49="","",IFERROR(IF(F49&lt;&gt;0,MAX(get_row)+1,LARGE(get_row,2)+1),1))</f>
        <v>1</v>
      </c>
      <c r="S49" s="134">
        <f ca="1" t="shared" si="16"/>
        <v>18.3499999999999</v>
      </c>
      <c r="T49" s="129">
        <f ca="1" t="shared" si="17"/>
        <v>13.65</v>
      </c>
      <c r="U49" s="156">
        <f ca="1" t="shared" si="18"/>
        <v>0.00375659793939298</v>
      </c>
      <c r="V49" s="157" t="str">
        <f ca="1" t="shared" si="19"/>
        <v>Over</v>
      </c>
    </row>
    <row r="50" s="129" customFormat="1" spans="1:22">
      <c r="A50" s="105">
        <v>43469</v>
      </c>
      <c r="B50" s="165" t="str">
        <f>VLOOKUP(C50,收益对照表汇总!A:B,2,0)</f>
        <v>002661</v>
      </c>
      <c r="C50" s="105" t="s">
        <v>32</v>
      </c>
      <c r="D50" s="141" t="s">
        <v>26</v>
      </c>
      <c r="E50" s="141">
        <v>100</v>
      </c>
      <c r="F50" s="132">
        <f>IF(C50="","",SUMIFS(E$1:E50,C$1:C50,C50,D$1:D50,"证券买入清算")-SUMIFS(E$1:E50,C$1:C50,C50,D$1:D50,"证券卖出清算"))</f>
        <v>0</v>
      </c>
      <c r="G50" s="143">
        <f t="shared" si="11"/>
        <v>12.32</v>
      </c>
      <c r="H50" s="142">
        <f t="shared" si="12"/>
        <v>1232</v>
      </c>
      <c r="I50" s="141">
        <v>5</v>
      </c>
      <c r="J50" s="141">
        <v>1.23</v>
      </c>
      <c r="K50" s="141">
        <v>0</v>
      </c>
      <c r="L50" s="142" t="str">
        <f t="shared" si="13"/>
        <v/>
      </c>
      <c r="M50" s="142">
        <f t="shared" si="14"/>
        <v>6.23</v>
      </c>
      <c r="N50" s="142">
        <f t="shared" si="15"/>
        <v>0.00505681818181818</v>
      </c>
      <c r="O50" s="141">
        <v>1225.77</v>
      </c>
      <c r="P50" s="141"/>
      <c r="Q50" s="142">
        <f t="shared" si="10"/>
        <v>4866.74</v>
      </c>
      <c r="R50" s="142">
        <f>IF(B50="","",IFERROR(IF(F50&lt;&gt;0,MAX(get_row)+1,LARGE(get_row,2)+1),1))</f>
        <v>38</v>
      </c>
      <c r="S50" s="134">
        <f ca="1" t="shared" si="16"/>
        <v>-3.23000000000002</v>
      </c>
      <c r="T50" s="129">
        <f ca="1" t="shared" si="17"/>
        <v>11.23</v>
      </c>
      <c r="U50" s="156">
        <f ca="1" t="shared" si="18"/>
        <v>0.00915086780974451</v>
      </c>
      <c r="V50" s="157" t="str">
        <f ca="1" t="shared" si="19"/>
        <v>Over</v>
      </c>
    </row>
    <row r="51" s="129" customFormat="1" spans="1:22">
      <c r="A51" s="105">
        <v>43486</v>
      </c>
      <c r="B51" s="105"/>
      <c r="C51" s="105"/>
      <c r="D51" s="141" t="s">
        <v>23</v>
      </c>
      <c r="E51" s="141"/>
      <c r="F51" s="132" t="str">
        <f>IF(C51="","",SUMIFS(E$1:E51,C$1:C51,C51,D$1:D51,"证券买入清算")-SUMIFS(E$1:E51,C$1:C51,C51,D$1:D51,"证券卖出清算"))</f>
        <v/>
      </c>
      <c r="G51" s="143" t="str">
        <f t="shared" si="11"/>
        <v/>
      </c>
      <c r="H51" s="142" t="str">
        <f t="shared" si="12"/>
        <v/>
      </c>
      <c r="I51" s="141"/>
      <c r="J51" s="141"/>
      <c r="K51" s="141"/>
      <c r="L51" s="142" t="str">
        <f t="shared" si="13"/>
        <v/>
      </c>
      <c r="M51" s="142" t="str">
        <f t="shared" si="14"/>
        <v/>
      </c>
      <c r="N51" s="142" t="str">
        <f t="shared" si="15"/>
        <v/>
      </c>
      <c r="O51" s="141"/>
      <c r="P51" s="141">
        <v>4866.74</v>
      </c>
      <c r="Q51" s="142">
        <f t="shared" si="10"/>
        <v>0</v>
      </c>
      <c r="R51" s="142" t="str">
        <f>IF(B51="","",IFERROR(IF(F51&lt;&gt;0,MAX(get_row)+1,LARGE(get_row,2)+1),1))</f>
        <v/>
      </c>
      <c r="S51" s="134" t="str">
        <f ca="1" t="shared" si="16"/>
        <v/>
      </c>
      <c r="T51" s="129" t="str">
        <f ca="1" t="shared" si="17"/>
        <v/>
      </c>
      <c r="U51" s="156" t="str">
        <f ca="1" t="shared" si="18"/>
        <v/>
      </c>
      <c r="V51" s="157" t="str">
        <f ca="1" t="shared" si="19"/>
        <v/>
      </c>
    </row>
    <row r="52" s="129" customFormat="1" spans="1:22">
      <c r="A52" s="105">
        <v>43493</v>
      </c>
      <c r="B52" s="105"/>
      <c r="C52" s="105"/>
      <c r="D52" s="141" t="s">
        <v>22</v>
      </c>
      <c r="E52" s="141"/>
      <c r="F52" s="132" t="str">
        <f>IF(C52="","",SUMIFS(E$1:E52,C$1:C52,C52,D$1:D52,"证券买入清算")-SUMIFS(E$1:E52,C$1:C52,C52,D$1:D52,"证券卖出清算"))</f>
        <v/>
      </c>
      <c r="G52" s="143" t="str">
        <f t="shared" si="11"/>
        <v/>
      </c>
      <c r="H52" s="142" t="str">
        <f t="shared" si="12"/>
        <v/>
      </c>
      <c r="I52" s="141"/>
      <c r="J52" s="141"/>
      <c r="K52" s="141"/>
      <c r="L52" s="142" t="str">
        <f t="shared" si="13"/>
        <v/>
      </c>
      <c r="M52" s="142" t="str">
        <f t="shared" si="14"/>
        <v/>
      </c>
      <c r="N52" s="142" t="str">
        <f t="shared" si="15"/>
        <v/>
      </c>
      <c r="O52" s="141">
        <v>1300</v>
      </c>
      <c r="P52" s="141"/>
      <c r="Q52" s="142">
        <f t="shared" si="10"/>
        <v>1300</v>
      </c>
      <c r="R52" s="142" t="str">
        <f>IF(B52="","",IFERROR(IF(F52&lt;&gt;0,MAX(get_row)+1,LARGE(get_row,2)+1),1))</f>
        <v/>
      </c>
      <c r="S52" s="134" t="str">
        <f ca="1" t="shared" si="16"/>
        <v/>
      </c>
      <c r="T52" s="129" t="str">
        <f ca="1" t="shared" si="17"/>
        <v/>
      </c>
      <c r="U52" s="156" t="str">
        <f ca="1" t="shared" si="18"/>
        <v/>
      </c>
      <c r="V52" s="157" t="str">
        <f ca="1" t="shared" si="19"/>
        <v/>
      </c>
    </row>
    <row r="53" s="129" customFormat="1" spans="1:22">
      <c r="A53" s="105">
        <v>43493</v>
      </c>
      <c r="B53" s="165" t="str">
        <f>VLOOKUP(C53,收益对照表汇总!A:B,2,0)</f>
        <v>002661</v>
      </c>
      <c r="C53" s="105" t="s">
        <v>32</v>
      </c>
      <c r="D53" s="141" t="s">
        <v>25</v>
      </c>
      <c r="E53" s="141">
        <v>100</v>
      </c>
      <c r="F53" s="132">
        <f>IF(C53="","",SUMIFS(E$1:E53,C$1:C53,C53,D$1:D53,"证券买入清算")-SUMIFS(E$1:E53,C$1:C53,C53,D$1:D53,"证券卖出清算"))</f>
        <v>100</v>
      </c>
      <c r="G53" s="143">
        <f t="shared" si="11"/>
        <v>12.2</v>
      </c>
      <c r="H53" s="142">
        <f t="shared" si="12"/>
        <v>1220</v>
      </c>
      <c r="I53" s="141">
        <v>5</v>
      </c>
      <c r="J53" s="141"/>
      <c r="K53" s="141"/>
      <c r="L53" s="142" t="str">
        <f t="shared" si="13"/>
        <v/>
      </c>
      <c r="M53" s="142">
        <f t="shared" si="14"/>
        <v>5</v>
      </c>
      <c r="N53" s="142">
        <f t="shared" si="15"/>
        <v>0.00409836065573771</v>
      </c>
      <c r="O53" s="141"/>
      <c r="P53" s="141">
        <v>1225</v>
      </c>
      <c r="Q53" s="142">
        <f t="shared" si="10"/>
        <v>75</v>
      </c>
      <c r="R53" s="142">
        <f>IF(B53="","",IFERROR(IF(F53&lt;&gt;0,MAX(get_row)+1,LARGE(get_row,2)+1),1))</f>
        <v>51</v>
      </c>
      <c r="S53" s="134">
        <f ca="1" t="shared" si="16"/>
        <v>-1225</v>
      </c>
      <c r="T53" s="129">
        <f ca="1" t="shared" si="17"/>
        <v>5</v>
      </c>
      <c r="U53" s="156">
        <f ca="1" t="shared" si="18"/>
        <v>0.00408163265306122</v>
      </c>
      <c r="V53" s="157">
        <f ca="1" t="shared" si="19"/>
        <v>-12.25</v>
      </c>
    </row>
    <row r="54" s="129" customFormat="1" spans="1:22">
      <c r="A54" s="105">
        <v>43495</v>
      </c>
      <c r="B54" s="105"/>
      <c r="C54" s="105"/>
      <c r="D54" s="141" t="s">
        <v>22</v>
      </c>
      <c r="E54" s="141"/>
      <c r="F54" s="132" t="str">
        <f>IF(C54="","",SUMIFS(E$1:E54,C$1:C54,C54,D$1:D54,"证券买入清算")-SUMIFS(E$1:E54,C$1:C54,C54,D$1:D54,"证券卖出清算"))</f>
        <v/>
      </c>
      <c r="G54" s="143" t="str">
        <f t="shared" si="11"/>
        <v/>
      </c>
      <c r="H54" s="142" t="str">
        <f t="shared" si="12"/>
        <v/>
      </c>
      <c r="I54" s="141"/>
      <c r="J54" s="141"/>
      <c r="K54" s="141"/>
      <c r="L54" s="142" t="str">
        <f t="shared" si="13"/>
        <v/>
      </c>
      <c r="M54" s="142" t="str">
        <f t="shared" si="14"/>
        <v/>
      </c>
      <c r="N54" s="142" t="str">
        <f t="shared" si="15"/>
        <v/>
      </c>
      <c r="O54" s="141">
        <v>1150</v>
      </c>
      <c r="P54" s="141"/>
      <c r="Q54" s="142">
        <f t="shared" si="10"/>
        <v>1225</v>
      </c>
      <c r="R54" s="142" t="str">
        <f>IF(B54="","",IFERROR(IF(F54&lt;&gt;0,MAX(get_row)+1,LARGE(get_row,2)+1),1))</f>
        <v/>
      </c>
      <c r="S54" s="134" t="str">
        <f ca="1" t="shared" si="16"/>
        <v/>
      </c>
      <c r="T54" s="129" t="str">
        <f ca="1" t="shared" si="17"/>
        <v/>
      </c>
      <c r="U54" s="156" t="str">
        <f ca="1" t="shared" si="18"/>
        <v/>
      </c>
      <c r="V54" s="157" t="str">
        <f ca="1" t="shared" si="19"/>
        <v/>
      </c>
    </row>
    <row r="55" s="129" customFormat="1" spans="1:22">
      <c r="A55" s="105">
        <v>43495</v>
      </c>
      <c r="B55" s="105"/>
      <c r="C55" s="105"/>
      <c r="D55" s="141" t="s">
        <v>22</v>
      </c>
      <c r="E55" s="141"/>
      <c r="F55" s="132" t="str">
        <f>IF(C55="","",SUMIFS(E$1:E55,C$1:C55,C55,D$1:D55,"证券买入清算")-SUMIFS(E$1:E55,C$1:C55,C55,D$1:D55,"证券卖出清算"))</f>
        <v/>
      </c>
      <c r="G55" s="143" t="str">
        <f t="shared" si="11"/>
        <v/>
      </c>
      <c r="H55" s="142" t="str">
        <f t="shared" si="12"/>
        <v/>
      </c>
      <c r="I55" s="141"/>
      <c r="J55" s="141"/>
      <c r="K55" s="141"/>
      <c r="L55" s="142" t="str">
        <f t="shared" si="13"/>
        <v/>
      </c>
      <c r="M55" s="142" t="str">
        <f t="shared" si="14"/>
        <v/>
      </c>
      <c r="N55" s="142" t="str">
        <f t="shared" si="15"/>
        <v/>
      </c>
      <c r="O55" s="141">
        <v>500</v>
      </c>
      <c r="P55" s="141"/>
      <c r="Q55" s="142">
        <f t="shared" si="10"/>
        <v>1725</v>
      </c>
      <c r="R55" s="142" t="str">
        <f>IF(B55="","",IFERROR(IF(F55&lt;&gt;0,MAX(get_row)+1,LARGE(get_row,2)+1),1))</f>
        <v/>
      </c>
      <c r="S55" s="134" t="str">
        <f ca="1" t="shared" si="16"/>
        <v/>
      </c>
      <c r="T55" s="129" t="str">
        <f ca="1" t="shared" si="17"/>
        <v/>
      </c>
      <c r="U55" s="156" t="str">
        <f ca="1" t="shared" si="18"/>
        <v/>
      </c>
      <c r="V55" s="157" t="str">
        <f ca="1" t="shared" si="19"/>
        <v/>
      </c>
    </row>
    <row r="56" s="129" customFormat="1" spans="1:22">
      <c r="A56" s="105">
        <v>43495</v>
      </c>
      <c r="B56" s="165" t="str">
        <f>VLOOKUP(C56,收益对照表汇总!A:B,2,0)</f>
        <v>002572</v>
      </c>
      <c r="C56" s="105" t="s">
        <v>35</v>
      </c>
      <c r="D56" s="141" t="s">
        <v>25</v>
      </c>
      <c r="E56" s="141">
        <v>100</v>
      </c>
      <c r="F56" s="132">
        <f>IF(C56="","",SUMIFS(E$1:E56,C$1:C56,C56,D$1:D56,"证券买入清算")-SUMIFS(E$1:E56,C$1:C56,C56,D$1:D56,"证券卖出清算"))</f>
        <v>100</v>
      </c>
      <c r="G56" s="143">
        <f t="shared" si="11"/>
        <v>16.41</v>
      </c>
      <c r="H56" s="142">
        <f t="shared" si="12"/>
        <v>1641</v>
      </c>
      <c r="I56" s="141">
        <v>5</v>
      </c>
      <c r="J56" s="141"/>
      <c r="K56" s="141"/>
      <c r="L56" s="142" t="str">
        <f t="shared" si="13"/>
        <v/>
      </c>
      <c r="M56" s="142">
        <f t="shared" si="14"/>
        <v>5</v>
      </c>
      <c r="N56" s="142">
        <f t="shared" si="15"/>
        <v>0.00304692260816575</v>
      </c>
      <c r="O56" s="141"/>
      <c r="P56" s="141">
        <v>1646</v>
      </c>
      <c r="Q56" s="142">
        <f t="shared" si="10"/>
        <v>79</v>
      </c>
      <c r="R56" s="142">
        <f>IF(B56="","",IFERROR(IF(F56&lt;&gt;0,MAX(get_row)+1,LARGE(get_row,2)+1),1))</f>
        <v>1</v>
      </c>
      <c r="S56" s="134">
        <f ca="1" t="shared" si="16"/>
        <v>-1646</v>
      </c>
      <c r="T56" s="129">
        <f ca="1" t="shared" si="17"/>
        <v>5</v>
      </c>
      <c r="U56" s="156">
        <f ca="1" t="shared" si="18"/>
        <v>0.00303766707168894</v>
      </c>
      <c r="V56" s="157">
        <f ca="1" t="shared" si="19"/>
        <v>-16.46</v>
      </c>
    </row>
    <row r="57" s="129" customFormat="1" spans="1:22">
      <c r="A57" s="105">
        <v>43496</v>
      </c>
      <c r="B57" s="105"/>
      <c r="C57" s="105"/>
      <c r="D57" s="141" t="s">
        <v>22</v>
      </c>
      <c r="E57" s="141"/>
      <c r="F57" s="132" t="str">
        <f>IF(C57="","",SUMIFS(E$1:E57,C$1:C57,C57,D$1:D57,"证券买入清算")-SUMIFS(E$1:E57,C$1:C57,C57,D$1:D57,"证券卖出清算"))</f>
        <v/>
      </c>
      <c r="G57" s="143" t="str">
        <f t="shared" si="11"/>
        <v/>
      </c>
      <c r="H57" s="142" t="str">
        <f t="shared" si="12"/>
        <v/>
      </c>
      <c r="I57" s="141"/>
      <c r="J57" s="141"/>
      <c r="K57" s="141"/>
      <c r="L57" s="142" t="str">
        <f t="shared" si="13"/>
        <v/>
      </c>
      <c r="M57" s="142" t="str">
        <f t="shared" si="14"/>
        <v/>
      </c>
      <c r="N57" s="142" t="str">
        <f t="shared" si="15"/>
        <v/>
      </c>
      <c r="O57" s="141">
        <v>1500</v>
      </c>
      <c r="P57" s="141"/>
      <c r="Q57" s="142">
        <f t="shared" si="10"/>
        <v>1579</v>
      </c>
      <c r="R57" s="142" t="str">
        <f>IF(B57="","",IFERROR(IF(F57&lt;&gt;0,MAX(get_row)+1,LARGE(get_row,2)+1),1))</f>
        <v/>
      </c>
      <c r="S57" s="134" t="str">
        <f ca="1" t="shared" si="16"/>
        <v/>
      </c>
      <c r="T57" s="129" t="str">
        <f ca="1" t="shared" si="17"/>
        <v/>
      </c>
      <c r="U57" s="156" t="str">
        <f ca="1" t="shared" si="18"/>
        <v/>
      </c>
      <c r="V57" s="157" t="str">
        <f ca="1" t="shared" si="19"/>
        <v/>
      </c>
    </row>
    <row r="58" s="129" customFormat="1" spans="1:22">
      <c r="A58" s="105">
        <v>43496</v>
      </c>
      <c r="B58" s="165" t="str">
        <f>VLOOKUP(C58,收益对照表汇总!A:B,2,0)</f>
        <v>002572</v>
      </c>
      <c r="C58" s="105" t="s">
        <v>35</v>
      </c>
      <c r="D58" s="141" t="s">
        <v>25</v>
      </c>
      <c r="E58" s="141">
        <v>100</v>
      </c>
      <c r="F58" s="132">
        <f>IF(C58="","",SUMIFS(E$1:E58,C$1:C58,C58,D$1:D58,"证券买入清算")-SUMIFS(E$1:E58,C$1:C58,C58,D$1:D58,"证券卖出清算"))</f>
        <v>200</v>
      </c>
      <c r="G58" s="143">
        <f t="shared" si="11"/>
        <v>14.83</v>
      </c>
      <c r="H58" s="142">
        <f t="shared" si="12"/>
        <v>1483</v>
      </c>
      <c r="I58" s="141">
        <v>5</v>
      </c>
      <c r="J58" s="141"/>
      <c r="K58" s="141"/>
      <c r="L58" s="142" t="str">
        <f t="shared" si="13"/>
        <v/>
      </c>
      <c r="M58" s="142">
        <f t="shared" si="14"/>
        <v>5</v>
      </c>
      <c r="N58" s="142">
        <f t="shared" si="15"/>
        <v>0.00337154416722859</v>
      </c>
      <c r="O58" s="141"/>
      <c r="P58" s="141">
        <v>1488</v>
      </c>
      <c r="Q58" s="142">
        <f t="shared" si="10"/>
        <v>91</v>
      </c>
      <c r="R58" s="142">
        <f>IF(B58="","",IFERROR(IF(F58&lt;&gt;0,MAX(get_row)+1,LARGE(get_row,2)+1),1))</f>
        <v>1</v>
      </c>
      <c r="S58" s="134">
        <f ca="1" t="shared" si="16"/>
        <v>-3134</v>
      </c>
      <c r="T58" s="129">
        <f ca="1" t="shared" si="17"/>
        <v>10</v>
      </c>
      <c r="U58" s="156">
        <f ca="1" t="shared" si="18"/>
        <v>0.00319081046585833</v>
      </c>
      <c r="V58" s="157">
        <f ca="1" t="shared" si="19"/>
        <v>-15.67</v>
      </c>
    </row>
    <row r="59" s="129" customFormat="1" spans="1:22">
      <c r="A59" s="105">
        <v>43497</v>
      </c>
      <c r="B59" s="105"/>
      <c r="C59" s="105"/>
      <c r="D59" s="141" t="s">
        <v>22</v>
      </c>
      <c r="E59" s="141"/>
      <c r="F59" s="132" t="str">
        <f>IF(C59="","",SUMIFS(E$1:E59,C$1:C59,C59,D$1:D59,"证券买入清算")-SUMIFS(E$1:E59,C$1:C59,C59,D$1:D59,"证券卖出清算"))</f>
        <v/>
      </c>
      <c r="G59" s="143" t="str">
        <f t="shared" si="11"/>
        <v/>
      </c>
      <c r="H59" s="142" t="str">
        <f t="shared" si="12"/>
        <v/>
      </c>
      <c r="I59" s="141"/>
      <c r="J59" s="141"/>
      <c r="K59" s="141"/>
      <c r="L59" s="142" t="str">
        <f t="shared" si="13"/>
        <v/>
      </c>
      <c r="M59" s="142" t="str">
        <f t="shared" si="14"/>
        <v/>
      </c>
      <c r="N59" s="142" t="str">
        <f t="shared" si="15"/>
        <v/>
      </c>
      <c r="O59" s="141">
        <v>1200</v>
      </c>
      <c r="P59" s="141"/>
      <c r="Q59" s="142">
        <f t="shared" si="10"/>
        <v>1291</v>
      </c>
      <c r="R59" s="142" t="str">
        <f>IF(B59="","",IFERROR(IF(F59&lt;&gt;0,MAX(get_row)+1,LARGE(get_row,2)+1),1))</f>
        <v/>
      </c>
      <c r="S59" s="134" t="str">
        <f ca="1" t="shared" si="16"/>
        <v/>
      </c>
      <c r="T59" s="129" t="str">
        <f ca="1" t="shared" si="17"/>
        <v/>
      </c>
      <c r="U59" s="156" t="str">
        <f ca="1" t="shared" si="18"/>
        <v/>
      </c>
      <c r="V59" s="157" t="str">
        <f ca="1" t="shared" si="19"/>
        <v/>
      </c>
    </row>
    <row r="60" s="129" customFormat="1" spans="1:22">
      <c r="A60" s="105">
        <v>43497</v>
      </c>
      <c r="B60" s="165" t="str">
        <f>VLOOKUP(C60,收益对照表汇总!A:B,2,0)</f>
        <v>002572</v>
      </c>
      <c r="C60" s="105" t="s">
        <v>35</v>
      </c>
      <c r="D60" s="141" t="s">
        <v>26</v>
      </c>
      <c r="E60" s="141">
        <v>200</v>
      </c>
      <c r="F60" s="132">
        <f>IF(C60="","",SUMIFS(E$1:E60,C$1:C60,C60,D$1:D60,"证券买入清算")-SUMIFS(E$1:E60,C$1:C60,C60,D$1:D60,"证券卖出清算"))</f>
        <v>0</v>
      </c>
      <c r="G60" s="143">
        <f t="shared" si="11"/>
        <v>15.9</v>
      </c>
      <c r="H60" s="142">
        <f t="shared" si="12"/>
        <v>3180</v>
      </c>
      <c r="I60" s="141">
        <v>5</v>
      </c>
      <c r="J60" s="141">
        <v>3.18</v>
      </c>
      <c r="K60" s="141">
        <v>0</v>
      </c>
      <c r="L60" s="142" t="str">
        <f t="shared" si="13"/>
        <v/>
      </c>
      <c r="M60" s="142">
        <f t="shared" si="14"/>
        <v>8.18</v>
      </c>
      <c r="N60" s="142">
        <f t="shared" si="15"/>
        <v>0.00257232704402516</v>
      </c>
      <c r="O60" s="141">
        <v>3171.82</v>
      </c>
      <c r="P60" s="141"/>
      <c r="Q60" s="142">
        <f t="shared" si="10"/>
        <v>4462.82</v>
      </c>
      <c r="R60" s="142">
        <f>IF(B60="","",IFERROR(IF(F60&lt;&gt;0,MAX(get_row)+1,LARGE(get_row,2)+1),1))</f>
        <v>1</v>
      </c>
      <c r="S60" s="134">
        <f ca="1" t="shared" si="16"/>
        <v>37.8200000000002</v>
      </c>
      <c r="T60" s="129">
        <f ca="1" t="shared" si="17"/>
        <v>18.18</v>
      </c>
      <c r="U60" s="156">
        <f ca="1" t="shared" si="18"/>
        <v>0.00576977144094519</v>
      </c>
      <c r="V60" s="157" t="str">
        <f ca="1" t="shared" si="19"/>
        <v>Over</v>
      </c>
    </row>
    <row r="61" s="129" customFormat="1" spans="1:22">
      <c r="A61" s="105">
        <v>43507</v>
      </c>
      <c r="B61" s="165" t="str">
        <f>VLOOKUP(C61,收益对照表汇总!A:B,2,0)</f>
        <v>002661</v>
      </c>
      <c r="C61" s="105" t="s">
        <v>32</v>
      </c>
      <c r="D61" s="141" t="s">
        <v>26</v>
      </c>
      <c r="E61" s="141">
        <v>100</v>
      </c>
      <c r="F61" s="132">
        <f>IF(C61="","",SUMIFS(E$1:E61,C$1:C61,C61,D$1:D61,"证券买入清算")-SUMIFS(E$1:E61,C$1:C61,C61,D$1:D61,"证券卖出清算"))</f>
        <v>0</v>
      </c>
      <c r="G61" s="143">
        <f t="shared" si="11"/>
        <v>12.5</v>
      </c>
      <c r="H61" s="142">
        <f t="shared" si="12"/>
        <v>1250</v>
      </c>
      <c r="I61" s="141">
        <v>5</v>
      </c>
      <c r="J61" s="141">
        <v>1.25</v>
      </c>
      <c r="K61" s="141">
        <v>0</v>
      </c>
      <c r="L61" s="142" t="str">
        <f t="shared" si="13"/>
        <v/>
      </c>
      <c r="M61" s="142">
        <f t="shared" si="14"/>
        <v>6.25</v>
      </c>
      <c r="N61" s="142">
        <f t="shared" si="15"/>
        <v>0.005</v>
      </c>
      <c r="O61" s="141">
        <v>1243.75</v>
      </c>
      <c r="P61" s="141"/>
      <c r="Q61" s="142">
        <f t="shared" si="10"/>
        <v>5706.57</v>
      </c>
      <c r="R61" s="142">
        <f>IF(B61="","",IFERROR(IF(F61&lt;&gt;0,MAX(get_row)+1,LARGE(get_row,2)+1),1))</f>
        <v>51</v>
      </c>
      <c r="S61" s="134">
        <f ca="1" t="shared" si="16"/>
        <v>18.75</v>
      </c>
      <c r="T61" s="129">
        <f ca="1" t="shared" si="17"/>
        <v>11.25</v>
      </c>
      <c r="U61" s="156">
        <f ca="1" t="shared" si="18"/>
        <v>0.00910675828120193</v>
      </c>
      <c r="V61" s="157" t="str">
        <f ca="1" t="shared" si="19"/>
        <v>Over</v>
      </c>
    </row>
    <row r="62" s="129" customFormat="1" spans="1:22">
      <c r="A62" s="105">
        <v>43531</v>
      </c>
      <c r="B62" s="105"/>
      <c r="C62" s="105"/>
      <c r="D62" s="141" t="s">
        <v>23</v>
      </c>
      <c r="E62" s="141"/>
      <c r="F62" s="132" t="str">
        <f>IF(C62="","",SUMIFS(E$1:E62,C$1:C62,C62,D$1:D62,"证券买入清算")-SUMIFS(E$1:E62,C$1:C62,C62,D$1:D62,"证券卖出清算"))</f>
        <v/>
      </c>
      <c r="G62" s="143" t="str">
        <f t="shared" si="11"/>
        <v/>
      </c>
      <c r="H62" s="142" t="str">
        <f t="shared" si="12"/>
        <v/>
      </c>
      <c r="I62" s="141"/>
      <c r="J62" s="141"/>
      <c r="K62" s="141"/>
      <c r="L62" s="142" t="str">
        <f t="shared" si="13"/>
        <v/>
      </c>
      <c r="M62" s="142" t="str">
        <f t="shared" si="14"/>
        <v/>
      </c>
      <c r="N62" s="142" t="str">
        <f t="shared" si="15"/>
        <v/>
      </c>
      <c r="O62" s="141"/>
      <c r="P62" s="141">
        <v>700</v>
      </c>
      <c r="Q62" s="142">
        <f t="shared" si="10"/>
        <v>5006.57</v>
      </c>
      <c r="R62" s="142" t="str">
        <f>IF(B62="","",IFERROR(IF(F62&lt;&gt;0,MAX(get_row)+1,LARGE(get_row,2)+1),1))</f>
        <v/>
      </c>
      <c r="S62" s="134" t="str">
        <f ca="1" t="shared" si="16"/>
        <v/>
      </c>
      <c r="T62" s="129" t="str">
        <f ca="1" t="shared" si="17"/>
        <v/>
      </c>
      <c r="U62" s="156" t="str">
        <f ca="1" t="shared" si="18"/>
        <v/>
      </c>
      <c r="V62" s="157" t="str">
        <f ca="1" t="shared" si="19"/>
        <v/>
      </c>
    </row>
    <row r="63" s="129" customFormat="1" spans="1:22">
      <c r="A63" s="105">
        <v>43532</v>
      </c>
      <c r="B63" s="105"/>
      <c r="C63" s="105"/>
      <c r="D63" s="141" t="s">
        <v>23</v>
      </c>
      <c r="E63" s="141"/>
      <c r="F63" s="132" t="str">
        <f>IF(C63="","",SUMIFS(E$1:E63,C$1:C63,C63,D$1:D63,"证券买入清算")-SUMIFS(E$1:E63,C$1:C63,C63,D$1:D63,"证券卖出清算"))</f>
        <v/>
      </c>
      <c r="G63" s="143" t="str">
        <f t="shared" si="11"/>
        <v/>
      </c>
      <c r="H63" s="142" t="str">
        <f t="shared" si="12"/>
        <v/>
      </c>
      <c r="I63" s="141"/>
      <c r="J63" s="141"/>
      <c r="K63" s="141"/>
      <c r="L63" s="142" t="str">
        <f t="shared" si="13"/>
        <v/>
      </c>
      <c r="M63" s="142" t="str">
        <f t="shared" si="14"/>
        <v/>
      </c>
      <c r="N63" s="142" t="str">
        <f t="shared" si="15"/>
        <v/>
      </c>
      <c r="O63" s="141"/>
      <c r="P63" s="141">
        <v>600</v>
      </c>
      <c r="Q63" s="142">
        <f t="shared" si="10"/>
        <v>4406.57</v>
      </c>
      <c r="R63" s="142" t="str">
        <f>IF(B63="","",IFERROR(IF(F63&lt;&gt;0,MAX(get_row)+1,LARGE(get_row,2)+1),1))</f>
        <v/>
      </c>
      <c r="S63" s="134" t="str">
        <f ca="1" t="shared" si="16"/>
        <v/>
      </c>
      <c r="T63" s="129" t="str">
        <f ca="1" t="shared" si="17"/>
        <v/>
      </c>
      <c r="U63" s="156" t="str">
        <f ca="1" t="shared" si="18"/>
        <v/>
      </c>
      <c r="V63" s="157" t="str">
        <f ca="1" t="shared" si="19"/>
        <v/>
      </c>
    </row>
    <row r="64" s="129" customFormat="1" spans="1:22">
      <c r="A64" s="105">
        <v>43544</v>
      </c>
      <c r="B64" s="141">
        <f>VLOOKUP(C64,收益对照表汇总!A:B,2,0)</f>
        <v>600085</v>
      </c>
      <c r="C64" s="105" t="s">
        <v>36</v>
      </c>
      <c r="D64" s="141" t="s">
        <v>25</v>
      </c>
      <c r="E64" s="141">
        <v>100</v>
      </c>
      <c r="F64" s="132">
        <f>IF(C64="","",SUMIFS(E$1:E64,C$1:C64,C64,D$1:D64,"证券买入清算")-SUMIFS(E$1:E64,C$1:C64,C64,D$1:D64,"证券卖出清算"))</f>
        <v>100</v>
      </c>
      <c r="G64" s="143">
        <f t="shared" si="11"/>
        <v>30.33</v>
      </c>
      <c r="H64" s="142">
        <f t="shared" si="12"/>
        <v>3033</v>
      </c>
      <c r="I64" s="141">
        <v>5</v>
      </c>
      <c r="J64" s="141"/>
      <c r="K64" s="141">
        <v>0.06</v>
      </c>
      <c r="L64" s="142" t="str">
        <f t="shared" si="13"/>
        <v/>
      </c>
      <c r="M64" s="142">
        <f t="shared" si="14"/>
        <v>5.06</v>
      </c>
      <c r="N64" s="142">
        <f t="shared" si="15"/>
        <v>0.00166831519947247</v>
      </c>
      <c r="O64" s="141"/>
      <c r="P64" s="141">
        <v>3038.06</v>
      </c>
      <c r="Q64" s="142">
        <f t="shared" si="10"/>
        <v>1368.51</v>
      </c>
      <c r="R64" s="142">
        <f>IF(B64="","",IFERROR(IF(F64&lt;&gt;0,MAX(get_row)+1,LARGE(get_row,2)+1),1))</f>
        <v>1</v>
      </c>
      <c r="S64" s="134">
        <f ca="1" t="shared" si="16"/>
        <v>-3038.06</v>
      </c>
      <c r="T64" s="129">
        <f ca="1" t="shared" si="17"/>
        <v>5.06</v>
      </c>
      <c r="U64" s="156">
        <f ca="1" t="shared" si="18"/>
        <v>0.00166553655951495</v>
      </c>
      <c r="V64" s="157">
        <f ca="1" t="shared" si="19"/>
        <v>-30.3806</v>
      </c>
    </row>
    <row r="65" s="129" customFormat="1" spans="1:22">
      <c r="A65" s="105">
        <v>43545</v>
      </c>
      <c r="B65" s="105"/>
      <c r="C65" s="105"/>
      <c r="D65" s="141" t="s">
        <v>28</v>
      </c>
      <c r="E65" s="141"/>
      <c r="F65" s="132" t="str">
        <f>IF(C65="","",SUMIFS(E$1:E65,C$1:C65,C65,D$1:D65,"证券买入清算")-SUMIFS(E$1:E65,C$1:C65,C65,D$1:D65,"证券卖出清算"))</f>
        <v/>
      </c>
      <c r="G65" s="143" t="str">
        <f t="shared" si="11"/>
        <v/>
      </c>
      <c r="H65" s="142" t="str">
        <f t="shared" si="12"/>
        <v/>
      </c>
      <c r="I65" s="141"/>
      <c r="J65" s="141"/>
      <c r="K65" s="141"/>
      <c r="L65" s="142" t="str">
        <f t="shared" si="13"/>
        <v/>
      </c>
      <c r="M65" s="142" t="str">
        <f t="shared" si="14"/>
        <v/>
      </c>
      <c r="N65" s="142" t="str">
        <f t="shared" si="15"/>
        <v/>
      </c>
      <c r="O65" s="141">
        <v>2.93</v>
      </c>
      <c r="P65" s="141"/>
      <c r="Q65" s="142">
        <f t="shared" si="10"/>
        <v>1371.44</v>
      </c>
      <c r="R65" s="142" t="str">
        <f>IF(B65="","",IFERROR(IF(F65&lt;&gt;0,MAX(get_row)+1,LARGE(get_row,2)+1),1))</f>
        <v/>
      </c>
      <c r="S65" s="134" t="str">
        <f ca="1" t="shared" si="16"/>
        <v/>
      </c>
      <c r="T65" s="129" t="str">
        <f ca="1" t="shared" si="17"/>
        <v/>
      </c>
      <c r="U65" s="156" t="str">
        <f ca="1" t="shared" si="18"/>
        <v/>
      </c>
      <c r="V65" s="157" t="str">
        <f ca="1" t="shared" si="19"/>
        <v/>
      </c>
    </row>
    <row r="66" s="129" customFormat="1" spans="1:22">
      <c r="A66" s="105">
        <v>43545</v>
      </c>
      <c r="B66" s="141">
        <f>VLOOKUP(C66,收益对照表汇总!A:B,2,0)</f>
        <v>600085</v>
      </c>
      <c r="C66" s="105" t="s">
        <v>36</v>
      </c>
      <c r="D66" s="141" t="s">
        <v>26</v>
      </c>
      <c r="E66" s="141">
        <v>100</v>
      </c>
      <c r="F66" s="132">
        <f>IF(C66="","",SUMIFS(E$1:E66,C$1:C66,C66,D$1:D66,"证券买入清算")-SUMIFS(E$1:E66,C$1:C66,C66,D$1:D66,"证券卖出清算"))</f>
        <v>0</v>
      </c>
      <c r="G66" s="143">
        <f t="shared" si="11"/>
        <v>30.47</v>
      </c>
      <c r="H66" s="142">
        <f t="shared" si="12"/>
        <v>3047</v>
      </c>
      <c r="I66" s="141">
        <v>5</v>
      </c>
      <c r="J66" s="141">
        <v>3.05</v>
      </c>
      <c r="K66" s="141">
        <v>0.0599999999999987</v>
      </c>
      <c r="L66" s="142" t="str">
        <f t="shared" si="13"/>
        <v/>
      </c>
      <c r="M66" s="142">
        <f t="shared" si="14"/>
        <v>8.11</v>
      </c>
      <c r="N66" s="142">
        <f t="shared" si="15"/>
        <v>0.00266163439448638</v>
      </c>
      <c r="O66" s="141">
        <v>3038.89</v>
      </c>
      <c r="P66" s="141"/>
      <c r="Q66" s="142">
        <f t="shared" si="10"/>
        <v>4410.33</v>
      </c>
      <c r="R66" s="142">
        <f>IF(B66="","",IFERROR(IF(F66&lt;&gt;0,MAX(get_row)+1,LARGE(get_row,2)+1),1))</f>
        <v>1</v>
      </c>
      <c r="S66" s="134">
        <f ca="1" t="shared" si="16"/>
        <v>0.829999999999927</v>
      </c>
      <c r="T66" s="129">
        <f ca="1" t="shared" si="17"/>
        <v>13.17</v>
      </c>
      <c r="U66" s="156">
        <f ca="1" t="shared" si="18"/>
        <v>0.00433427415778274</v>
      </c>
      <c r="V66" s="157" t="str">
        <f ca="1" t="shared" si="19"/>
        <v>Over</v>
      </c>
    </row>
    <row r="67" s="129" customFormat="1" spans="1:22">
      <c r="A67" s="105">
        <v>43545</v>
      </c>
      <c r="B67" s="141">
        <f>VLOOKUP(C67,收益对照表汇总!A:B,2,0)</f>
        <v>603043</v>
      </c>
      <c r="C67" s="105" t="s">
        <v>37</v>
      </c>
      <c r="D67" s="141" t="s">
        <v>25</v>
      </c>
      <c r="E67" s="141">
        <v>100</v>
      </c>
      <c r="F67" s="132">
        <f>IF(C67="","",SUMIFS(E$1:E67,C$1:C67,C67,D$1:D67,"证券买入清算")-SUMIFS(E$1:E67,C$1:C67,C67,D$1:D67,"证券卖出清算"))</f>
        <v>100</v>
      </c>
      <c r="G67" s="143">
        <f t="shared" si="11"/>
        <v>30.5</v>
      </c>
      <c r="H67" s="142">
        <f t="shared" si="12"/>
        <v>3050</v>
      </c>
      <c r="I67" s="141">
        <v>5</v>
      </c>
      <c r="J67" s="141"/>
      <c r="K67" s="141">
        <v>0.06</v>
      </c>
      <c r="L67" s="142" t="str">
        <f t="shared" si="13"/>
        <v/>
      </c>
      <c r="M67" s="142">
        <f t="shared" si="14"/>
        <v>5.06</v>
      </c>
      <c r="N67" s="142">
        <f t="shared" si="15"/>
        <v>0.00165901639344262</v>
      </c>
      <c r="O67" s="141"/>
      <c r="P67" s="141">
        <v>3055.06</v>
      </c>
      <c r="Q67" s="142">
        <f t="shared" ref="Q67:Q98" si="20">Q66+O67-P67</f>
        <v>1355.27</v>
      </c>
      <c r="R67" s="142">
        <f>IF(B67="","",IFERROR(IF(F67&lt;&gt;0,MAX(get_row)+1,LARGE(get_row,2)+1),1))</f>
        <v>1</v>
      </c>
      <c r="S67" s="134">
        <f ca="1" t="shared" si="16"/>
        <v>-3055.06</v>
      </c>
      <c r="T67" s="129">
        <f ca="1" t="shared" si="17"/>
        <v>5.06</v>
      </c>
      <c r="U67" s="156">
        <f ca="1" t="shared" si="18"/>
        <v>0.00165626861665565</v>
      </c>
      <c r="V67" s="157">
        <f ca="1" t="shared" si="19"/>
        <v>-30.5506</v>
      </c>
    </row>
    <row r="68" s="129" customFormat="1" spans="1:22">
      <c r="A68" s="105">
        <v>43546</v>
      </c>
      <c r="B68" s="105"/>
      <c r="C68" s="105"/>
      <c r="D68" s="141" t="s">
        <v>22</v>
      </c>
      <c r="E68" s="141"/>
      <c r="F68" s="132" t="str">
        <f>IF(C68="","",SUMIFS(E$1:E68,C$1:C68,C68,D$1:D68,"证券买入清算")-SUMIFS(E$1:E68,C$1:C68,C68,D$1:D68,"证券卖出清算"))</f>
        <v/>
      </c>
      <c r="G68" s="143" t="str">
        <f t="shared" si="11"/>
        <v/>
      </c>
      <c r="H68" s="142" t="str">
        <f t="shared" si="12"/>
        <v/>
      </c>
      <c r="I68" s="141"/>
      <c r="J68" s="141"/>
      <c r="K68" s="141"/>
      <c r="L68" s="142" t="str">
        <f t="shared" si="13"/>
        <v/>
      </c>
      <c r="M68" s="142" t="str">
        <f t="shared" si="14"/>
        <v/>
      </c>
      <c r="N68" s="142" t="str">
        <f t="shared" si="15"/>
        <v/>
      </c>
      <c r="O68" s="141">
        <v>2000</v>
      </c>
      <c r="P68" s="141"/>
      <c r="Q68" s="142">
        <f t="shared" si="20"/>
        <v>3355.27</v>
      </c>
      <c r="R68" s="142" t="str">
        <f>IF(B68="","",IFERROR(IF(F68&lt;&gt;0,MAX(get_row)+1,LARGE(get_row,2)+1),1))</f>
        <v/>
      </c>
      <c r="S68" s="134" t="str">
        <f ca="1" t="shared" si="16"/>
        <v/>
      </c>
      <c r="T68" s="129" t="str">
        <f ca="1" t="shared" si="17"/>
        <v/>
      </c>
      <c r="U68" s="156" t="str">
        <f ca="1" t="shared" si="18"/>
        <v/>
      </c>
      <c r="V68" s="157" t="str">
        <f ca="1" t="shared" si="19"/>
        <v/>
      </c>
    </row>
    <row r="69" s="129" customFormat="1" spans="1:22">
      <c r="A69" s="105">
        <v>43557</v>
      </c>
      <c r="B69" s="141">
        <f>VLOOKUP(C69,收益对照表汇总!A:B,2,0)</f>
        <v>603043</v>
      </c>
      <c r="C69" s="105" t="s">
        <v>37</v>
      </c>
      <c r="D69" s="141" t="s">
        <v>26</v>
      </c>
      <c r="E69" s="141">
        <v>100</v>
      </c>
      <c r="F69" s="132">
        <f>IF(C69="","",SUMIFS(E$1:E69,C$1:C69,C69,D$1:D69,"证券买入清算")-SUMIFS(E$1:E69,C$1:C69,C69,D$1:D69,"证券卖出清算"))</f>
        <v>0</v>
      </c>
      <c r="G69" s="143">
        <f t="shared" si="11"/>
        <v>30.92</v>
      </c>
      <c r="H69" s="142">
        <f t="shared" si="12"/>
        <v>3092</v>
      </c>
      <c r="I69" s="141">
        <v>5</v>
      </c>
      <c r="J69" s="141">
        <v>3.09</v>
      </c>
      <c r="K69" s="141">
        <v>0.0600000000000005</v>
      </c>
      <c r="L69" s="142" t="str">
        <f t="shared" si="13"/>
        <v/>
      </c>
      <c r="M69" s="142">
        <f t="shared" si="14"/>
        <v>8.15</v>
      </c>
      <c r="N69" s="142">
        <f t="shared" si="15"/>
        <v>0.00263583441138422</v>
      </c>
      <c r="O69" s="141">
        <v>3083.85</v>
      </c>
      <c r="P69" s="141"/>
      <c r="Q69" s="142">
        <f t="shared" si="20"/>
        <v>6439.12</v>
      </c>
      <c r="R69" s="142">
        <f>IF(B69="","",IFERROR(IF(F69&lt;&gt;0,MAX(get_row)+1,LARGE(get_row,2)+1),1))</f>
        <v>1</v>
      </c>
      <c r="S69" s="134">
        <f ca="1" t="shared" si="16"/>
        <v>28.79</v>
      </c>
      <c r="T69" s="129">
        <f ca="1" t="shared" si="17"/>
        <v>13.21</v>
      </c>
      <c r="U69" s="156">
        <f ca="1" t="shared" si="18"/>
        <v>0.00429906901226503</v>
      </c>
      <c r="V69" s="157" t="str">
        <f ca="1" t="shared" si="19"/>
        <v>Over</v>
      </c>
    </row>
    <row r="70" s="129" customFormat="1" spans="1:22">
      <c r="A70" s="105">
        <v>43563</v>
      </c>
      <c r="B70" s="165" t="str">
        <f>VLOOKUP(C70,收益对照表汇总!A:B,2,0)</f>
        <v>002572</v>
      </c>
      <c r="C70" s="105" t="s">
        <v>35</v>
      </c>
      <c r="D70" s="141" t="s">
        <v>25</v>
      </c>
      <c r="E70" s="141">
        <v>100</v>
      </c>
      <c r="F70" s="132">
        <f>IF(C70="","",SUMIFS(E$1:E70,C$1:C70,C70,D$1:D70,"证券买入清算")-SUMIFS(E$1:E70,C$1:C70,C70,D$1:D70,"证券卖出清算"))</f>
        <v>100</v>
      </c>
      <c r="G70" s="143">
        <f t="shared" si="11"/>
        <v>24.46</v>
      </c>
      <c r="H70" s="142">
        <f t="shared" si="12"/>
        <v>2446</v>
      </c>
      <c r="I70" s="141">
        <v>5</v>
      </c>
      <c r="J70" s="141"/>
      <c r="K70" s="141"/>
      <c r="L70" s="142" t="str">
        <f t="shared" si="13"/>
        <v/>
      </c>
      <c r="M70" s="142">
        <f t="shared" si="14"/>
        <v>5</v>
      </c>
      <c r="N70" s="142">
        <f t="shared" si="15"/>
        <v>0.00204415372035977</v>
      </c>
      <c r="O70" s="141"/>
      <c r="P70" s="141">
        <v>2451</v>
      </c>
      <c r="Q70" s="142">
        <f t="shared" si="20"/>
        <v>3988.12</v>
      </c>
      <c r="R70" s="142">
        <f>IF(B70="","",IFERROR(IF(F70&lt;&gt;0,MAX(get_row)+1,LARGE(get_row,2)+1),1))</f>
        <v>61</v>
      </c>
      <c r="S70" s="134">
        <f ca="1" t="shared" si="16"/>
        <v>-2451</v>
      </c>
      <c r="T70" s="129">
        <f ca="1" t="shared" si="17"/>
        <v>5</v>
      </c>
      <c r="U70" s="156">
        <f ca="1" t="shared" si="18"/>
        <v>0.00203998368013056</v>
      </c>
      <c r="V70" s="157">
        <f ca="1" t="shared" si="19"/>
        <v>-24.51</v>
      </c>
    </row>
    <row r="71" s="129" customFormat="1" spans="1:22">
      <c r="A71" s="105">
        <v>43564</v>
      </c>
      <c r="B71" s="165" t="str">
        <f>VLOOKUP(C71,收益对照表汇总!A:B,2,0)</f>
        <v>002572</v>
      </c>
      <c r="C71" s="105" t="s">
        <v>35</v>
      </c>
      <c r="D71" s="141" t="s">
        <v>26</v>
      </c>
      <c r="E71" s="141">
        <v>100</v>
      </c>
      <c r="F71" s="132">
        <f>IF(C71="","",SUMIFS(E$1:E71,C$1:C71,C71,D$1:D71,"证券买入清算")-SUMIFS(E$1:E71,C$1:C71,C71,D$1:D71,"证券卖出清算"))</f>
        <v>0</v>
      </c>
      <c r="G71" s="143">
        <f t="shared" ref="G71:G102" si="21">IF(C71="","",IFERROR(IF(D71="证券买入清算",ROUND((P71-M71)/E71,3),IF(D71="证券卖出清算",ROUND((M71+O71)/E71,3),0)),0))</f>
        <v>24.87</v>
      </c>
      <c r="H71" s="142">
        <f t="shared" ref="H71:H102" si="22">IF(C71="","",E71*G71)</f>
        <v>2487</v>
      </c>
      <c r="I71" s="141">
        <v>5</v>
      </c>
      <c r="J71" s="141">
        <v>2.49</v>
      </c>
      <c r="K71" s="141">
        <v>0</v>
      </c>
      <c r="L71" s="142" t="str">
        <f t="shared" ref="L71:L102" si="23">IF(C71="","",IF(D71="红股派息",-O71,IF(D71="个人红利所得税扣款",P71,"")))</f>
        <v/>
      </c>
      <c r="M71" s="142">
        <f t="shared" ref="M71:M102" si="24">IF(C71="","",SUM(I71:L71))</f>
        <v>7.49</v>
      </c>
      <c r="N71" s="142">
        <f t="shared" ref="N71:N102" si="25">IFERROR(IF(B71="","",M71/H71),"")</f>
        <v>0.00301166063530358</v>
      </c>
      <c r="O71" s="141">
        <v>2479.51</v>
      </c>
      <c r="P71" s="141"/>
      <c r="Q71" s="142">
        <f t="shared" si="20"/>
        <v>6467.63</v>
      </c>
      <c r="R71" s="142">
        <f>IF(B71="","",IFERROR(IF(F71&lt;&gt;0,MAX(get_row)+1,LARGE(get_row,2)+1),1))</f>
        <v>61</v>
      </c>
      <c r="S71" s="134">
        <f ca="1" t="shared" ref="S71:S102" si="26">IF(B71="","",SUMIFS(INDIRECT("O"&amp;R71&amp;":O"&amp;ROW()),INDIRECT("B"&amp;R71&amp;":B"&amp;ROW()),B71)-SUMIFS(INDIRECT("P"&amp;R71&amp;":P"&amp;ROW()),INDIRECT("B"&amp;R71&amp;":B"&amp;ROW()),B71))</f>
        <v>28.5100000000002</v>
      </c>
      <c r="T71" s="129">
        <f ca="1" t="shared" ref="T71:T102" si="27">IF(B71="","",SUMIFS(INDIRECT("M"&amp;R71&amp;":M"&amp;ROW()),INDIRECT("B"&amp;R71&amp;":B"&amp;ROW()),B71,INDIRECT("M"&amp;R71&amp;":M"&amp;ROW()),"&gt;0"))</f>
        <v>12.49</v>
      </c>
      <c r="U71" s="156">
        <f ca="1" t="shared" ref="U71:U102" si="28">IF(B71="","",IFERROR(SUMIFS(INDIRECT("M"&amp;R71&amp;":M"&amp;ROW()),INDIRECT("B"&amp;R71&amp;":B"&amp;ROW()),B71,INDIRECT("p"&amp;R71&amp;":p"&amp;ROW()),"&lt;&gt;",INDIRECT("M"&amp;R71&amp;":M"&amp;ROW()),"&gt;0")/SUMIFS(INDIRECT("p"&amp;R71&amp;":p"&amp;ROW()),INDIRECT("B"&amp;R71&amp;":B"&amp;ROW()),B71,INDIRECT("p"&amp;R71&amp;":p"&amp;ROW()),"&lt;&gt;",INDIRECT("M"&amp;R71&amp;":M"&amp;ROW()),"&gt;0"),0)+IFERROR(SUMIFS(INDIRECT("M"&amp;R71&amp;":M"&amp;ROW()),INDIRECT("B"&amp;R71&amp;":B"&amp;ROW()),B71,INDIRECT("o"&amp;R71&amp;":o"&amp;ROW()),"&lt;&gt;",INDIRECT("M"&amp;R71&amp;":M"&amp;ROW()),"&gt;0")/SUMIFS(INDIRECT("o"&amp;R71&amp;":o"&amp;ROW()),INDIRECT("B"&amp;R71&amp;":B"&amp;ROW()),B71,INDIRECT("o"&amp;R71&amp;":o"&amp;ROW()),"&lt;&gt;",INDIRECT("M"&amp;R71&amp;":M"&amp;ROW()),"&gt;0"),0))</f>
        <v>0.00506074181379406</v>
      </c>
      <c r="V71" s="157" t="str">
        <f ca="1" t="shared" ref="V71:V102" si="29">IF(B71="","",IFERROR(S71/F71,"Over"))</f>
        <v>Over</v>
      </c>
    </row>
    <row r="72" s="129" customFormat="1" spans="1:22">
      <c r="A72" s="105">
        <v>43566</v>
      </c>
      <c r="B72" s="141">
        <f>VLOOKUP(C72,收益对照表汇总!A:B,2,0)</f>
        <v>603043</v>
      </c>
      <c r="C72" s="105" t="s">
        <v>37</v>
      </c>
      <c r="D72" s="141" t="s">
        <v>25</v>
      </c>
      <c r="E72" s="141">
        <v>100</v>
      </c>
      <c r="F72" s="132">
        <f>IF(C72="","",SUMIFS(E$1:E72,C$1:C72,C72,D$1:D72,"证券买入清算")-SUMIFS(E$1:E72,C$1:C72,C72,D$1:D72,"证券卖出清算"))</f>
        <v>100</v>
      </c>
      <c r="G72" s="143">
        <f t="shared" si="21"/>
        <v>29</v>
      </c>
      <c r="H72" s="142">
        <f t="shared" si="22"/>
        <v>2900</v>
      </c>
      <c r="I72" s="141">
        <v>5</v>
      </c>
      <c r="J72" s="141"/>
      <c r="K72" s="141">
        <v>0.06</v>
      </c>
      <c r="L72" s="142" t="str">
        <f t="shared" si="23"/>
        <v/>
      </c>
      <c r="M72" s="142">
        <f t="shared" si="24"/>
        <v>5.06</v>
      </c>
      <c r="N72" s="142">
        <f t="shared" si="25"/>
        <v>0.0017448275862069</v>
      </c>
      <c r="O72" s="141"/>
      <c r="P72" s="141">
        <v>2905.06</v>
      </c>
      <c r="Q72" s="142">
        <f t="shared" si="20"/>
        <v>3562.57</v>
      </c>
      <c r="R72" s="142">
        <f>IF(B72="","",IFERROR(IF(F72&lt;&gt;0,MAX(get_row)+1,LARGE(get_row,2)+1),1))</f>
        <v>70</v>
      </c>
      <c r="S72" s="134">
        <f ca="1" t="shared" si="26"/>
        <v>-2905.06</v>
      </c>
      <c r="T72" s="129">
        <f ca="1" t="shared" si="27"/>
        <v>5.06</v>
      </c>
      <c r="U72" s="156">
        <f ca="1" t="shared" si="28"/>
        <v>0.00174178846564271</v>
      </c>
      <c r="V72" s="157">
        <f ca="1" t="shared" si="29"/>
        <v>-29.0506</v>
      </c>
    </row>
    <row r="73" s="129" customFormat="1" spans="1:22">
      <c r="A73" s="105">
        <v>43573</v>
      </c>
      <c r="B73" s="141">
        <f>VLOOKUP(C73,收益对照表汇总!A:B,2,0)</f>
        <v>600588</v>
      </c>
      <c r="C73" s="105" t="s">
        <v>38</v>
      </c>
      <c r="D73" s="141" t="s">
        <v>25</v>
      </c>
      <c r="E73" s="141">
        <v>100</v>
      </c>
      <c r="F73" s="132">
        <f>IF(C73="","",SUMIFS(E$1:E73,C$1:C73,C73,D$1:D73,"证券买入清算")-SUMIFS(E$1:E73,C$1:C73,C73,D$1:D73,"证券卖出清算"))</f>
        <v>100</v>
      </c>
      <c r="G73" s="143">
        <f t="shared" si="21"/>
        <v>32.56</v>
      </c>
      <c r="H73" s="142">
        <f t="shared" si="22"/>
        <v>3256</v>
      </c>
      <c r="I73" s="141">
        <v>5</v>
      </c>
      <c r="J73" s="141"/>
      <c r="K73" s="141">
        <v>0.07</v>
      </c>
      <c r="L73" s="142" t="str">
        <f t="shared" si="23"/>
        <v/>
      </c>
      <c r="M73" s="142">
        <f t="shared" si="24"/>
        <v>5.07</v>
      </c>
      <c r="N73" s="142">
        <f t="shared" si="25"/>
        <v>0.00155712530712531</v>
      </c>
      <c r="O73" s="141"/>
      <c r="P73" s="141">
        <v>3261.07</v>
      </c>
      <c r="Q73" s="142">
        <f t="shared" si="20"/>
        <v>301.5</v>
      </c>
      <c r="R73" s="142">
        <f>IF(B73="","",IFERROR(IF(F73&lt;&gt;0,MAX(get_row)+1,LARGE(get_row,2)+1),1))</f>
        <v>1</v>
      </c>
      <c r="S73" s="134">
        <f ca="1" t="shared" si="26"/>
        <v>-3261.07</v>
      </c>
      <c r="T73" s="129">
        <f ca="1" t="shared" si="27"/>
        <v>5.07</v>
      </c>
      <c r="U73" s="156">
        <f ca="1" t="shared" si="28"/>
        <v>0.00155470443750057</v>
      </c>
      <c r="V73" s="157">
        <f ca="1" t="shared" si="29"/>
        <v>-32.6107</v>
      </c>
    </row>
    <row r="74" s="129" customFormat="1" spans="1:22">
      <c r="A74" s="105">
        <v>43574</v>
      </c>
      <c r="B74" s="141">
        <f>VLOOKUP(C74,收益对照表汇总!A:B,2,0)</f>
        <v>600588</v>
      </c>
      <c r="C74" s="105" t="s">
        <v>38</v>
      </c>
      <c r="D74" s="141" t="s">
        <v>26</v>
      </c>
      <c r="E74" s="141">
        <v>100</v>
      </c>
      <c r="F74" s="132">
        <f>IF(C74="","",SUMIFS(E$1:E74,C$1:C74,C74,D$1:D74,"证券买入清算")-SUMIFS(E$1:E74,C$1:C74,C74,D$1:D74,"证券卖出清算"))</f>
        <v>0</v>
      </c>
      <c r="G74" s="143">
        <f t="shared" si="21"/>
        <v>32.68</v>
      </c>
      <c r="H74" s="142">
        <f t="shared" si="22"/>
        <v>3268</v>
      </c>
      <c r="I74" s="141">
        <v>5</v>
      </c>
      <c r="J74" s="141">
        <v>3.27</v>
      </c>
      <c r="K74" s="141">
        <v>0.0700000000000003</v>
      </c>
      <c r="L74" s="142" t="str">
        <f t="shared" si="23"/>
        <v/>
      </c>
      <c r="M74" s="142">
        <f t="shared" si="24"/>
        <v>8.34</v>
      </c>
      <c r="N74" s="142">
        <f t="shared" si="25"/>
        <v>0.00255201958384333</v>
      </c>
      <c r="O74" s="141">
        <v>3259.66</v>
      </c>
      <c r="P74" s="141"/>
      <c r="Q74" s="142">
        <f t="shared" si="20"/>
        <v>3561.16</v>
      </c>
      <c r="R74" s="142">
        <f>IF(B74="","",IFERROR(IF(F74&lt;&gt;0,MAX(get_row)+1,LARGE(get_row,2)+1),1))</f>
        <v>1</v>
      </c>
      <c r="S74" s="134">
        <f ca="1" t="shared" si="26"/>
        <v>-1.41000000000031</v>
      </c>
      <c r="T74" s="129">
        <f ca="1" t="shared" si="27"/>
        <v>13.41</v>
      </c>
      <c r="U74" s="156">
        <f ca="1" t="shared" si="28"/>
        <v>0.00411325348862861</v>
      </c>
      <c r="V74" s="157" t="str">
        <f ca="1" t="shared" si="29"/>
        <v>Over</v>
      </c>
    </row>
    <row r="75" s="129" customFormat="1" spans="1:22">
      <c r="A75" s="105">
        <v>43574</v>
      </c>
      <c r="B75" s="141">
        <f>VLOOKUP(C75,收益对照表汇总!A:B,2,0)</f>
        <v>603043</v>
      </c>
      <c r="C75" s="105" t="s">
        <v>37</v>
      </c>
      <c r="D75" s="141" t="s">
        <v>26</v>
      </c>
      <c r="E75" s="141">
        <v>100</v>
      </c>
      <c r="F75" s="132">
        <f>IF(C75="","",SUMIFS(E$1:E75,C$1:C75,C75,D$1:D75,"证券买入清算")-SUMIFS(E$1:E75,C$1:C75,C75,D$1:D75,"证券卖出清算"))</f>
        <v>0</v>
      </c>
      <c r="G75" s="143">
        <f t="shared" si="21"/>
        <v>29.07</v>
      </c>
      <c r="H75" s="142">
        <f t="shared" si="22"/>
        <v>2907</v>
      </c>
      <c r="I75" s="141">
        <v>5</v>
      </c>
      <c r="J75" s="141">
        <v>2.91</v>
      </c>
      <c r="K75" s="141">
        <v>0.0599999999999996</v>
      </c>
      <c r="L75" s="142" t="str">
        <f t="shared" si="23"/>
        <v/>
      </c>
      <c r="M75" s="142">
        <f t="shared" si="24"/>
        <v>7.97</v>
      </c>
      <c r="N75" s="142">
        <f t="shared" si="25"/>
        <v>0.00274165806673547</v>
      </c>
      <c r="O75" s="141">
        <v>2899.03</v>
      </c>
      <c r="P75" s="141"/>
      <c r="Q75" s="142">
        <f t="shared" si="20"/>
        <v>6460.19</v>
      </c>
      <c r="R75" s="142">
        <f>IF(B75="","",IFERROR(IF(F75&lt;&gt;0,MAX(get_row)+1,LARGE(get_row,2)+1),1))</f>
        <v>70</v>
      </c>
      <c r="S75" s="134">
        <f ca="1" t="shared" si="26"/>
        <v>-6.02999999999975</v>
      </c>
      <c r="T75" s="129">
        <f ca="1" t="shared" si="27"/>
        <v>13.03</v>
      </c>
      <c r="U75" s="156">
        <f ca="1" t="shared" si="28"/>
        <v>0.00449098388617992</v>
      </c>
      <c r="V75" s="157" t="str">
        <f ca="1" t="shared" si="29"/>
        <v>Over</v>
      </c>
    </row>
    <row r="76" s="129" customFormat="1" spans="1:22">
      <c r="A76" s="105">
        <v>43577</v>
      </c>
      <c r="B76" s="165" t="str">
        <f>VLOOKUP(C76,收益对照表汇总!A:B,2,0)</f>
        <v>002572</v>
      </c>
      <c r="C76" s="105" t="s">
        <v>35</v>
      </c>
      <c r="D76" s="141" t="s">
        <v>25</v>
      </c>
      <c r="E76" s="141">
        <v>100</v>
      </c>
      <c r="F76" s="132">
        <f>IF(C76="","",SUMIFS(E$1:E76,C$1:C76,C76,D$1:D76,"证券买入清算")-SUMIFS(E$1:E76,C$1:C76,C76,D$1:D76,"证券卖出清算"))</f>
        <v>100</v>
      </c>
      <c r="G76" s="143">
        <f t="shared" si="21"/>
        <v>22.01</v>
      </c>
      <c r="H76" s="142">
        <f t="shared" si="22"/>
        <v>2201</v>
      </c>
      <c r="I76" s="141">
        <v>5</v>
      </c>
      <c r="J76" s="141"/>
      <c r="K76" s="141"/>
      <c r="L76" s="142" t="str">
        <f t="shared" si="23"/>
        <v/>
      </c>
      <c r="M76" s="142">
        <f t="shared" si="24"/>
        <v>5</v>
      </c>
      <c r="N76" s="142">
        <f t="shared" si="25"/>
        <v>0.00227169468423444</v>
      </c>
      <c r="O76" s="141"/>
      <c r="P76" s="141">
        <v>2206</v>
      </c>
      <c r="Q76" s="142">
        <f t="shared" si="20"/>
        <v>4254.19</v>
      </c>
      <c r="R76" s="142">
        <f>IF(B76="","",IFERROR(IF(F76&lt;&gt;0,MAX(get_row)+1,LARGE(get_row,2)+1),1))</f>
        <v>72</v>
      </c>
      <c r="S76" s="134">
        <f ca="1" t="shared" si="26"/>
        <v>-2206</v>
      </c>
      <c r="T76" s="129">
        <f ca="1" t="shared" si="27"/>
        <v>5</v>
      </c>
      <c r="U76" s="156">
        <f ca="1" t="shared" si="28"/>
        <v>0.00226654578422484</v>
      </c>
      <c r="V76" s="157">
        <f ca="1" t="shared" si="29"/>
        <v>-22.06</v>
      </c>
    </row>
    <row r="77" s="129" customFormat="1" spans="1:22">
      <c r="A77" s="105">
        <v>43578</v>
      </c>
      <c r="B77" s="165" t="str">
        <f>VLOOKUP(C77,收益对照表汇总!A:B,2,0)</f>
        <v>002572</v>
      </c>
      <c r="C77" s="105" t="s">
        <v>35</v>
      </c>
      <c r="D77" s="141" t="s">
        <v>26</v>
      </c>
      <c r="E77" s="141">
        <v>100</v>
      </c>
      <c r="F77" s="132">
        <f>IF(C77="","",SUMIFS(E$1:E77,C$1:C77,C77,D$1:D77,"证券买入清算")-SUMIFS(E$1:E77,C$1:C77,C77,D$1:D77,"证券卖出清算"))</f>
        <v>0</v>
      </c>
      <c r="G77" s="143">
        <f t="shared" si="21"/>
        <v>22.28</v>
      </c>
      <c r="H77" s="142">
        <f t="shared" si="22"/>
        <v>2228</v>
      </c>
      <c r="I77" s="141">
        <v>5</v>
      </c>
      <c r="J77" s="141">
        <v>2.23</v>
      </c>
      <c r="K77" s="141">
        <v>0</v>
      </c>
      <c r="L77" s="142" t="str">
        <f t="shared" si="23"/>
        <v/>
      </c>
      <c r="M77" s="142">
        <f t="shared" si="24"/>
        <v>7.23</v>
      </c>
      <c r="N77" s="142">
        <f t="shared" si="25"/>
        <v>0.00324506283662478</v>
      </c>
      <c r="O77" s="141">
        <v>2220.77</v>
      </c>
      <c r="P77" s="141"/>
      <c r="Q77" s="142">
        <f t="shared" si="20"/>
        <v>6474.96</v>
      </c>
      <c r="R77" s="142">
        <f>IF(B77="","",IFERROR(IF(F77&lt;&gt;0,MAX(get_row)+1,LARGE(get_row,2)+1),1))</f>
        <v>72</v>
      </c>
      <c r="S77" s="134">
        <f ca="1" t="shared" si="26"/>
        <v>14.77</v>
      </c>
      <c r="T77" s="129">
        <f ca="1" t="shared" si="27"/>
        <v>12.23</v>
      </c>
      <c r="U77" s="156">
        <f ca="1" t="shared" si="28"/>
        <v>0.00552217333683047</v>
      </c>
      <c r="V77" s="157" t="str">
        <f ca="1" t="shared" si="29"/>
        <v>Over</v>
      </c>
    </row>
    <row r="78" s="129" customFormat="1" spans="1:22">
      <c r="A78" s="105">
        <v>43579</v>
      </c>
      <c r="B78" s="165" t="str">
        <f>VLOOKUP(C78,收益对照表汇总!A:B,2,0)</f>
        <v>002572</v>
      </c>
      <c r="C78" s="105" t="s">
        <v>35</v>
      </c>
      <c r="D78" s="141" t="s">
        <v>25</v>
      </c>
      <c r="E78" s="141">
        <v>100</v>
      </c>
      <c r="F78" s="132">
        <f>IF(C78="","",SUMIFS(E$1:E78,C$1:C78,C78,D$1:D78,"证券买入清算")-SUMIFS(E$1:E78,C$1:C78,C78,D$1:D78,"证券卖出清算"))</f>
        <v>100</v>
      </c>
      <c r="G78" s="143">
        <f t="shared" si="21"/>
        <v>21.95</v>
      </c>
      <c r="H78" s="142">
        <f t="shared" si="22"/>
        <v>2195</v>
      </c>
      <c r="I78" s="141">
        <v>5</v>
      </c>
      <c r="J78" s="141"/>
      <c r="K78" s="141"/>
      <c r="L78" s="142" t="str">
        <f t="shared" si="23"/>
        <v/>
      </c>
      <c r="M78" s="142">
        <f t="shared" si="24"/>
        <v>5</v>
      </c>
      <c r="N78" s="142">
        <f t="shared" si="25"/>
        <v>0.00227790432801822</v>
      </c>
      <c r="O78" s="141"/>
      <c r="P78" s="141">
        <v>2200</v>
      </c>
      <c r="Q78" s="142">
        <f t="shared" si="20"/>
        <v>4274.96</v>
      </c>
      <c r="R78" s="142">
        <f>IF(B78="","",IFERROR(IF(F78&lt;&gt;0,MAX(get_row)+1,LARGE(get_row,2)+1),1))</f>
        <v>78</v>
      </c>
      <c r="S78" s="134">
        <f ca="1" t="shared" si="26"/>
        <v>-2200</v>
      </c>
      <c r="T78" s="129">
        <f ca="1" t="shared" si="27"/>
        <v>5</v>
      </c>
      <c r="U78" s="156">
        <f ca="1" t="shared" si="28"/>
        <v>0.00227272727272727</v>
      </c>
      <c r="V78" s="157">
        <f ca="1" t="shared" si="29"/>
        <v>-22</v>
      </c>
    </row>
    <row r="79" s="129" customFormat="1" spans="1:22">
      <c r="A79" s="105">
        <v>43580</v>
      </c>
      <c r="B79" s="165" t="str">
        <f>VLOOKUP(C79,收益对照表汇总!A:B,2,0)</f>
        <v>002572</v>
      </c>
      <c r="C79" s="105" t="s">
        <v>35</v>
      </c>
      <c r="D79" s="141" t="s">
        <v>26</v>
      </c>
      <c r="E79" s="141">
        <v>100</v>
      </c>
      <c r="F79" s="132">
        <f>IF(C79="","",SUMIFS(E$1:E79,C$1:C79,C79,D$1:D79,"证券买入清算")-SUMIFS(E$1:E79,C$1:C79,C79,D$1:D79,"证券卖出清算"))</f>
        <v>0</v>
      </c>
      <c r="G79" s="143">
        <f t="shared" si="21"/>
        <v>22.35</v>
      </c>
      <c r="H79" s="142">
        <f t="shared" si="22"/>
        <v>2235</v>
      </c>
      <c r="I79" s="141">
        <v>5</v>
      </c>
      <c r="J79" s="141">
        <v>2.24</v>
      </c>
      <c r="K79" s="141">
        <v>0</v>
      </c>
      <c r="L79" s="142" t="str">
        <f t="shared" si="23"/>
        <v/>
      </c>
      <c r="M79" s="142">
        <f t="shared" si="24"/>
        <v>7.24</v>
      </c>
      <c r="N79" s="142">
        <f t="shared" si="25"/>
        <v>0.00323937360178971</v>
      </c>
      <c r="O79" s="141">
        <v>2227.76</v>
      </c>
      <c r="P79" s="141"/>
      <c r="Q79" s="142">
        <f t="shared" si="20"/>
        <v>6502.72</v>
      </c>
      <c r="R79" s="142">
        <f>IF(B79="","",IFERROR(IF(F79&lt;&gt;0,MAX(get_row)+1,LARGE(get_row,2)+1),1))</f>
        <v>78</v>
      </c>
      <c r="S79" s="134">
        <f ca="1" t="shared" si="26"/>
        <v>27.7600000000002</v>
      </c>
      <c r="T79" s="129">
        <f ca="1" t="shared" si="27"/>
        <v>12.24</v>
      </c>
      <c r="U79" s="156">
        <f ca="1" t="shared" si="28"/>
        <v>0.005522628518822</v>
      </c>
      <c r="V79" s="157" t="str">
        <f ca="1" t="shared" si="29"/>
        <v>Over</v>
      </c>
    </row>
    <row r="80" s="129" customFormat="1" spans="1:22">
      <c r="A80" s="105">
        <v>43580</v>
      </c>
      <c r="B80" s="165" t="str">
        <f>VLOOKUP(C80,收益对照表汇总!A:B,2,0)</f>
        <v>002572</v>
      </c>
      <c r="C80" s="105" t="s">
        <v>35</v>
      </c>
      <c r="D80" s="141" t="s">
        <v>25</v>
      </c>
      <c r="E80" s="141">
        <v>100</v>
      </c>
      <c r="F80" s="132">
        <f>IF(C80="","",SUMIFS(E$1:E80,C$1:C80,C80,D$1:D80,"证券买入清算")-SUMIFS(E$1:E80,C$1:C80,C80,D$1:D80,"证券卖出清算"))</f>
        <v>100</v>
      </c>
      <c r="G80" s="143">
        <f t="shared" si="21"/>
        <v>21.84</v>
      </c>
      <c r="H80" s="142">
        <f t="shared" si="22"/>
        <v>2184</v>
      </c>
      <c r="I80" s="141">
        <v>5</v>
      </c>
      <c r="J80" s="141"/>
      <c r="K80" s="141"/>
      <c r="L80" s="142" t="str">
        <f t="shared" si="23"/>
        <v/>
      </c>
      <c r="M80" s="142">
        <f t="shared" si="24"/>
        <v>5</v>
      </c>
      <c r="N80" s="142">
        <f t="shared" si="25"/>
        <v>0.00228937728937729</v>
      </c>
      <c r="O80" s="141"/>
      <c r="P80" s="141">
        <v>2189</v>
      </c>
      <c r="Q80" s="142">
        <f t="shared" si="20"/>
        <v>4313.72</v>
      </c>
      <c r="R80" s="142">
        <f>IF(B80="","",IFERROR(IF(F80&lt;&gt;0,MAX(get_row)+1,LARGE(get_row,2)+1),1))</f>
        <v>80</v>
      </c>
      <c r="S80" s="134">
        <f ca="1" t="shared" si="26"/>
        <v>-2189</v>
      </c>
      <c r="T80" s="129">
        <f ca="1" t="shared" si="27"/>
        <v>5</v>
      </c>
      <c r="U80" s="156">
        <f ca="1" t="shared" si="28"/>
        <v>0.00228414801279123</v>
      </c>
      <c r="V80" s="157">
        <f ca="1" t="shared" si="29"/>
        <v>-21.89</v>
      </c>
    </row>
    <row r="81" s="129" customFormat="1" spans="1:22">
      <c r="A81" s="105">
        <v>43581</v>
      </c>
      <c r="B81" s="165" t="str">
        <f>VLOOKUP(C81,收益对照表汇总!A:B,2,0)</f>
        <v>002572</v>
      </c>
      <c r="C81" s="105" t="s">
        <v>35</v>
      </c>
      <c r="D81" s="141" t="s">
        <v>26</v>
      </c>
      <c r="E81" s="141">
        <v>100</v>
      </c>
      <c r="F81" s="132">
        <f>IF(C81="","",SUMIFS(E$1:E81,C$1:C81,C81,D$1:D81,"证券买入清算")-SUMIFS(E$1:E81,C$1:C81,C81,D$1:D81,"证券卖出清算"))</f>
        <v>0</v>
      </c>
      <c r="G81" s="143">
        <f t="shared" si="21"/>
        <v>21.6</v>
      </c>
      <c r="H81" s="142">
        <f t="shared" si="22"/>
        <v>2160</v>
      </c>
      <c r="I81" s="141">
        <v>5</v>
      </c>
      <c r="J81" s="141">
        <v>2.16</v>
      </c>
      <c r="K81" s="141">
        <v>0</v>
      </c>
      <c r="L81" s="142" t="str">
        <f t="shared" si="23"/>
        <v/>
      </c>
      <c r="M81" s="142">
        <f t="shared" si="24"/>
        <v>7.16</v>
      </c>
      <c r="N81" s="142">
        <f t="shared" si="25"/>
        <v>0.00331481481481481</v>
      </c>
      <c r="O81" s="141">
        <v>2152.84</v>
      </c>
      <c r="P81" s="141"/>
      <c r="Q81" s="142">
        <f t="shared" si="20"/>
        <v>6466.56</v>
      </c>
      <c r="R81" s="142">
        <f>IF(B81="","",IFERROR(IF(F81&lt;&gt;0,MAX(get_row)+1,LARGE(get_row,2)+1),1))</f>
        <v>80</v>
      </c>
      <c r="S81" s="134">
        <f ca="1" t="shared" si="26"/>
        <v>-36.1599999999999</v>
      </c>
      <c r="T81" s="129">
        <f ca="1" t="shared" si="27"/>
        <v>12.16</v>
      </c>
      <c r="U81" s="156">
        <f ca="1" t="shared" si="28"/>
        <v>0.00560998736917628</v>
      </c>
      <c r="V81" s="157" t="str">
        <f ca="1" t="shared" si="29"/>
        <v>Over</v>
      </c>
    </row>
    <row r="82" s="129" customFormat="1" spans="1:22">
      <c r="A82" s="105">
        <v>43581</v>
      </c>
      <c r="B82" s="165" t="str">
        <f>VLOOKUP(C82,收益对照表汇总!A:B,2,0)</f>
        <v>600332</v>
      </c>
      <c r="C82" s="105" t="s">
        <v>39</v>
      </c>
      <c r="D82" s="141" t="s">
        <v>25</v>
      </c>
      <c r="E82" s="141">
        <v>100</v>
      </c>
      <c r="F82" s="132">
        <f>IF(C82="","",SUMIFS(E$1:E82,C$1:C82,C82,D$1:D82,"证券买入清算")-SUMIFS(E$1:E82,C$1:C82,C82,D$1:D82,"证券卖出清算"))</f>
        <v>100</v>
      </c>
      <c r="G82" s="143">
        <f t="shared" si="21"/>
        <v>40.51</v>
      </c>
      <c r="H82" s="142">
        <f t="shared" si="22"/>
        <v>4051</v>
      </c>
      <c r="I82" s="141">
        <v>5</v>
      </c>
      <c r="J82" s="141"/>
      <c r="K82" s="141">
        <v>0.08</v>
      </c>
      <c r="L82" s="142" t="str">
        <f t="shared" si="23"/>
        <v/>
      </c>
      <c r="M82" s="142">
        <f t="shared" si="24"/>
        <v>5.08</v>
      </c>
      <c r="N82" s="142">
        <f t="shared" si="25"/>
        <v>0.00125401135522093</v>
      </c>
      <c r="O82" s="141"/>
      <c r="P82" s="141">
        <v>4056.08</v>
      </c>
      <c r="Q82" s="142">
        <f t="shared" si="20"/>
        <v>2410.48</v>
      </c>
      <c r="R82" s="142">
        <f>IF(B82="","",IFERROR(IF(F82&lt;&gt;0,MAX(get_row)+1,LARGE(get_row,2)+1),1))</f>
        <v>1</v>
      </c>
      <c r="S82" s="134">
        <f ca="1" t="shared" si="26"/>
        <v>-4056.08</v>
      </c>
      <c r="T82" s="129">
        <f ca="1" t="shared" si="27"/>
        <v>5.08</v>
      </c>
      <c r="U82" s="156">
        <f ca="1" t="shared" si="28"/>
        <v>0.00125244078026074</v>
      </c>
      <c r="V82" s="157">
        <f ca="1" t="shared" si="29"/>
        <v>-40.5608</v>
      </c>
    </row>
    <row r="83" s="129" customFormat="1" spans="1:22">
      <c r="A83" s="105">
        <v>43584</v>
      </c>
      <c r="B83" s="165" t="str">
        <f>VLOOKUP(C83,收益对照表汇总!A:B,2,0)</f>
        <v>600332</v>
      </c>
      <c r="C83" s="105" t="s">
        <v>39</v>
      </c>
      <c r="D83" s="141" t="s">
        <v>26</v>
      </c>
      <c r="E83" s="141">
        <v>100</v>
      </c>
      <c r="F83" s="132">
        <f>IF(C83="","",SUMIFS(E$1:E83,C$1:C83,C83,D$1:D83,"证券买入清算")-SUMIFS(E$1:E83,C$1:C83,C83,D$1:D83,"证券卖出清算"))</f>
        <v>0</v>
      </c>
      <c r="G83" s="143">
        <f t="shared" si="21"/>
        <v>44.02</v>
      </c>
      <c r="H83" s="142">
        <f t="shared" si="22"/>
        <v>4402</v>
      </c>
      <c r="I83" s="141">
        <v>5</v>
      </c>
      <c r="J83" s="141">
        <v>4.4</v>
      </c>
      <c r="K83" s="141">
        <v>0.0899999999999999</v>
      </c>
      <c r="L83" s="142" t="str">
        <f t="shared" si="23"/>
        <v/>
      </c>
      <c r="M83" s="142">
        <f t="shared" si="24"/>
        <v>9.49</v>
      </c>
      <c r="N83" s="142">
        <f t="shared" si="25"/>
        <v>0.00215583825533848</v>
      </c>
      <c r="O83" s="141">
        <v>4392.51</v>
      </c>
      <c r="P83" s="141"/>
      <c r="Q83" s="142">
        <f t="shared" si="20"/>
        <v>6802.99</v>
      </c>
      <c r="R83" s="142">
        <f>IF(B83="","",IFERROR(IF(F83&lt;&gt;0,MAX(get_row)+1,LARGE(get_row,2)+1),1))</f>
        <v>1</v>
      </c>
      <c r="S83" s="134">
        <f ca="1" t="shared" si="26"/>
        <v>336.43</v>
      </c>
      <c r="T83" s="129">
        <f ca="1" t="shared" si="27"/>
        <v>14.57</v>
      </c>
      <c r="U83" s="156">
        <f ca="1" t="shared" si="28"/>
        <v>0.00341293671538667</v>
      </c>
      <c r="V83" s="157" t="str">
        <f ca="1" t="shared" si="29"/>
        <v>Over</v>
      </c>
    </row>
    <row r="84" s="129" customFormat="1" spans="1:22">
      <c r="A84" s="105">
        <v>43591</v>
      </c>
      <c r="B84" s="141">
        <f>VLOOKUP(C84,收益对照表汇总!A:B,2,0)</f>
        <v>603043</v>
      </c>
      <c r="C84" s="105" t="s">
        <v>37</v>
      </c>
      <c r="D84" s="141" t="s">
        <v>25</v>
      </c>
      <c r="E84" s="141">
        <v>100</v>
      </c>
      <c r="F84" s="132">
        <f>IF(C84="","",SUMIFS(E$1:E84,C$1:C84,C84,D$1:D84,"证券买入清算")-SUMIFS(E$1:E84,C$1:C84,C84,D$1:D84,"证券卖出清算"))</f>
        <v>100</v>
      </c>
      <c r="G84" s="143">
        <f t="shared" si="21"/>
        <v>27.62</v>
      </c>
      <c r="H84" s="142">
        <f t="shared" si="22"/>
        <v>2762</v>
      </c>
      <c r="I84" s="141">
        <v>5</v>
      </c>
      <c r="J84" s="141"/>
      <c r="K84" s="141">
        <v>0.06</v>
      </c>
      <c r="L84" s="142" t="str">
        <f t="shared" si="23"/>
        <v/>
      </c>
      <c r="M84" s="142">
        <f t="shared" si="24"/>
        <v>5.06</v>
      </c>
      <c r="N84" s="142">
        <f t="shared" si="25"/>
        <v>0.00183200579290369</v>
      </c>
      <c r="O84" s="141"/>
      <c r="P84" s="141">
        <v>2767.06</v>
      </c>
      <c r="Q84" s="142">
        <f t="shared" si="20"/>
        <v>4035.93</v>
      </c>
      <c r="R84" s="142">
        <f>IF(B84="","",IFERROR(IF(F84&lt;&gt;0,MAX(get_row)+1,LARGE(get_row,2)+1),1))</f>
        <v>76</v>
      </c>
      <c r="S84" s="134">
        <f ca="1" t="shared" si="26"/>
        <v>-2767.06</v>
      </c>
      <c r="T84" s="129">
        <f ca="1" t="shared" si="27"/>
        <v>5.06</v>
      </c>
      <c r="U84" s="156">
        <f ca="1" t="shared" si="28"/>
        <v>0.00182865568509537</v>
      </c>
      <c r="V84" s="157">
        <f ca="1" t="shared" si="29"/>
        <v>-27.6706</v>
      </c>
    </row>
    <row r="85" s="129" customFormat="1" spans="1:22">
      <c r="A85" s="105">
        <v>43591</v>
      </c>
      <c r="B85" s="165" t="str">
        <f>VLOOKUP(C85,收益对照表汇总!A:B,2,0)</f>
        <v>002572</v>
      </c>
      <c r="C85" s="105" t="s">
        <v>35</v>
      </c>
      <c r="D85" s="141" t="s">
        <v>25</v>
      </c>
      <c r="E85" s="141">
        <v>100</v>
      </c>
      <c r="F85" s="132">
        <f>IF(C85="","",SUMIFS(E$1:E85,C$1:C85,C85,D$1:D85,"证券买入清算")-SUMIFS(E$1:E85,C$1:C85,C85,D$1:D85,"证券卖出清算"))</f>
        <v>100</v>
      </c>
      <c r="G85" s="143">
        <f t="shared" si="21"/>
        <v>20.6</v>
      </c>
      <c r="H85" s="142">
        <f t="shared" si="22"/>
        <v>2060</v>
      </c>
      <c r="I85" s="141">
        <v>5</v>
      </c>
      <c r="J85" s="141"/>
      <c r="K85" s="141"/>
      <c r="L85" s="142" t="str">
        <f t="shared" si="23"/>
        <v/>
      </c>
      <c r="M85" s="142">
        <f t="shared" si="24"/>
        <v>5</v>
      </c>
      <c r="N85" s="142">
        <f t="shared" si="25"/>
        <v>0.00242718446601942</v>
      </c>
      <c r="O85" s="141"/>
      <c r="P85" s="141">
        <v>2065</v>
      </c>
      <c r="Q85" s="142">
        <f t="shared" si="20"/>
        <v>1970.93</v>
      </c>
      <c r="R85" s="142">
        <f>IF(B85="","",IFERROR(IF(F85&lt;&gt;0,MAX(get_row)+1,LARGE(get_row,2)+1),1))</f>
        <v>82</v>
      </c>
      <c r="S85" s="134">
        <f ca="1" t="shared" si="26"/>
        <v>-2065</v>
      </c>
      <c r="T85" s="129">
        <f ca="1" t="shared" si="27"/>
        <v>5</v>
      </c>
      <c r="U85" s="156">
        <f ca="1" t="shared" si="28"/>
        <v>0.00242130750605327</v>
      </c>
      <c r="V85" s="157">
        <f ca="1" t="shared" si="29"/>
        <v>-20.65</v>
      </c>
    </row>
    <row r="86" s="129" customFormat="1" spans="1:22">
      <c r="A86" s="105">
        <v>43592</v>
      </c>
      <c r="B86" s="165" t="str">
        <f>VLOOKUP(C86,收益对照表汇总!A:B,2,0)</f>
        <v>002572</v>
      </c>
      <c r="C86" s="105" t="s">
        <v>35</v>
      </c>
      <c r="D86" s="141" t="s">
        <v>26</v>
      </c>
      <c r="E86" s="141">
        <v>100</v>
      </c>
      <c r="F86" s="132">
        <f>IF(C86="","",SUMIFS(E$1:E86,C$1:C86,C86,D$1:D86,"证券买入清算")-SUMIFS(E$1:E86,C$1:C86,C86,D$1:D86,"证券卖出清算"))</f>
        <v>0</v>
      </c>
      <c r="G86" s="143">
        <f t="shared" si="21"/>
        <v>20.85</v>
      </c>
      <c r="H86" s="142">
        <f t="shared" si="22"/>
        <v>2085</v>
      </c>
      <c r="I86" s="141">
        <v>5</v>
      </c>
      <c r="J86" s="141">
        <v>2.09</v>
      </c>
      <c r="K86" s="141">
        <v>0</v>
      </c>
      <c r="L86" s="142" t="str">
        <f t="shared" si="23"/>
        <v/>
      </c>
      <c r="M86" s="142">
        <f t="shared" si="24"/>
        <v>7.09</v>
      </c>
      <c r="N86" s="142">
        <f t="shared" si="25"/>
        <v>0.00340047961630695</v>
      </c>
      <c r="O86" s="141">
        <v>2077.91</v>
      </c>
      <c r="P86" s="141"/>
      <c r="Q86" s="142">
        <f t="shared" si="20"/>
        <v>4048.84</v>
      </c>
      <c r="R86" s="142">
        <f>IF(B86="","",IFERROR(IF(F86&lt;&gt;0,MAX(get_row)+1,LARGE(get_row,2)+1),1))</f>
        <v>82</v>
      </c>
      <c r="S86" s="134">
        <f ca="1" t="shared" si="26"/>
        <v>12.9099999999999</v>
      </c>
      <c r="T86" s="129">
        <f ca="1" t="shared" si="27"/>
        <v>12.09</v>
      </c>
      <c r="U86" s="156">
        <f ca="1" t="shared" si="28"/>
        <v>0.00583338983878183</v>
      </c>
      <c r="V86" s="157" t="str">
        <f ca="1" t="shared" si="29"/>
        <v>Over</v>
      </c>
    </row>
    <row r="87" s="129" customFormat="1" spans="1:22">
      <c r="A87" s="105">
        <v>43592</v>
      </c>
      <c r="B87" s="141">
        <f>VLOOKUP(C87,收益对照表汇总!A:B,2,0)</f>
        <v>603043</v>
      </c>
      <c r="C87" s="105" t="s">
        <v>37</v>
      </c>
      <c r="D87" s="141" t="s">
        <v>26</v>
      </c>
      <c r="E87" s="141">
        <v>100</v>
      </c>
      <c r="F87" s="132">
        <f>IF(C87="","",SUMIFS(E$1:E87,C$1:C87,C87,D$1:D87,"证券买入清算")-SUMIFS(E$1:E87,C$1:C87,C87,D$1:D87,"证券卖出清算"))</f>
        <v>0</v>
      </c>
      <c r="G87" s="143">
        <f t="shared" si="21"/>
        <v>28.39</v>
      </c>
      <c r="H87" s="142">
        <f t="shared" si="22"/>
        <v>2839</v>
      </c>
      <c r="I87" s="141">
        <v>5</v>
      </c>
      <c r="J87" s="141">
        <v>2.84</v>
      </c>
      <c r="K87" s="141">
        <v>0.0600000000000005</v>
      </c>
      <c r="L87" s="142" t="str">
        <f t="shared" si="23"/>
        <v/>
      </c>
      <c r="M87" s="142">
        <f t="shared" si="24"/>
        <v>7.9</v>
      </c>
      <c r="N87" s="142">
        <f t="shared" si="25"/>
        <v>0.00278266995420923</v>
      </c>
      <c r="O87" s="141">
        <v>2831.1</v>
      </c>
      <c r="P87" s="141"/>
      <c r="Q87" s="142">
        <f t="shared" si="20"/>
        <v>6879.94</v>
      </c>
      <c r="R87" s="142">
        <f>IF(B87="","",IFERROR(IF(F87&lt;&gt;0,MAX(get_row)+1,LARGE(get_row,2)+1),1))</f>
        <v>76</v>
      </c>
      <c r="S87" s="134">
        <f ca="1" t="shared" si="26"/>
        <v>64.04</v>
      </c>
      <c r="T87" s="129">
        <f ca="1" t="shared" si="27"/>
        <v>12.96</v>
      </c>
      <c r="U87" s="156">
        <f ca="1" t="shared" si="28"/>
        <v>0.00461909049841882</v>
      </c>
      <c r="V87" s="157" t="str">
        <f ca="1" t="shared" si="29"/>
        <v>Over</v>
      </c>
    </row>
    <row r="88" s="129" customFormat="1" spans="1:22">
      <c r="A88" s="105">
        <v>43594</v>
      </c>
      <c r="B88" s="141">
        <f>VLOOKUP(C88,收益对照表汇总!A:B,2,0)</f>
        <v>603043</v>
      </c>
      <c r="C88" s="105" t="s">
        <v>37</v>
      </c>
      <c r="D88" s="141" t="s">
        <v>25</v>
      </c>
      <c r="E88" s="141">
        <v>100</v>
      </c>
      <c r="F88" s="132">
        <f>IF(C88="","",SUMIFS(E$1:E88,C$1:C88,C88,D$1:D88,"证券买入清算")-SUMIFS(E$1:E88,C$1:C88,C88,D$1:D88,"证券卖出清算"))</f>
        <v>100</v>
      </c>
      <c r="G88" s="143">
        <f t="shared" si="21"/>
        <v>27.65</v>
      </c>
      <c r="H88" s="142">
        <f t="shared" si="22"/>
        <v>2765</v>
      </c>
      <c r="I88" s="141">
        <v>5</v>
      </c>
      <c r="J88" s="141"/>
      <c r="K88" s="141">
        <v>0.06</v>
      </c>
      <c r="L88" s="142" t="str">
        <f t="shared" si="23"/>
        <v/>
      </c>
      <c r="M88" s="142">
        <f t="shared" si="24"/>
        <v>5.06</v>
      </c>
      <c r="N88" s="142">
        <f t="shared" si="25"/>
        <v>0.00183001808318264</v>
      </c>
      <c r="O88" s="141"/>
      <c r="P88" s="141">
        <v>2770.06</v>
      </c>
      <c r="Q88" s="142">
        <f t="shared" si="20"/>
        <v>4109.88</v>
      </c>
      <c r="R88" s="142">
        <f>IF(B88="","",IFERROR(IF(F88&lt;&gt;0,MAX(get_row)+1,LARGE(get_row,2)+1),1))</f>
        <v>88</v>
      </c>
      <c r="S88" s="134">
        <f ca="1" t="shared" si="26"/>
        <v>-2770.06</v>
      </c>
      <c r="T88" s="129">
        <f ca="1" t="shared" si="27"/>
        <v>5.06</v>
      </c>
      <c r="U88" s="156">
        <f ca="1" t="shared" si="28"/>
        <v>0.00182667523447146</v>
      </c>
      <c r="V88" s="157">
        <f ca="1" t="shared" si="29"/>
        <v>-27.7006</v>
      </c>
    </row>
    <row r="89" s="129" customFormat="1" spans="1:22">
      <c r="A89" s="105">
        <v>43595</v>
      </c>
      <c r="B89" s="141">
        <f>VLOOKUP(C89,收益对照表汇总!A:B,2,0)</f>
        <v>603043</v>
      </c>
      <c r="C89" s="105" t="s">
        <v>37</v>
      </c>
      <c r="D89" s="141" t="s">
        <v>26</v>
      </c>
      <c r="E89" s="141">
        <v>100</v>
      </c>
      <c r="F89" s="132">
        <f>IF(C89="","",SUMIFS(E$1:E89,C$1:C89,C89,D$1:D89,"证券买入清算")-SUMIFS(E$1:E89,C$1:C89,C89,D$1:D89,"证券卖出清算"))</f>
        <v>0</v>
      </c>
      <c r="G89" s="143">
        <f t="shared" si="21"/>
        <v>28.09</v>
      </c>
      <c r="H89" s="142">
        <f t="shared" si="22"/>
        <v>2809</v>
      </c>
      <c r="I89" s="141">
        <v>5</v>
      </c>
      <c r="J89" s="141">
        <v>2.81</v>
      </c>
      <c r="K89" s="141">
        <v>0.0599999999999996</v>
      </c>
      <c r="L89" s="142" t="str">
        <f t="shared" si="23"/>
        <v/>
      </c>
      <c r="M89" s="142">
        <f t="shared" si="24"/>
        <v>7.87</v>
      </c>
      <c r="N89" s="142">
        <f t="shared" si="25"/>
        <v>0.00280170879316483</v>
      </c>
      <c r="O89" s="141">
        <v>2801.13</v>
      </c>
      <c r="P89" s="141"/>
      <c r="Q89" s="142">
        <f t="shared" si="20"/>
        <v>6911.01</v>
      </c>
      <c r="R89" s="142">
        <f>IF(B89="","",IFERROR(IF(F89&lt;&gt;0,MAX(get_row)+1,LARGE(get_row,2)+1),1))</f>
        <v>88</v>
      </c>
      <c r="S89" s="134">
        <f ca="1" t="shared" si="26"/>
        <v>31.0700000000002</v>
      </c>
      <c r="T89" s="129">
        <f ca="1" t="shared" si="27"/>
        <v>12.93</v>
      </c>
      <c r="U89" s="156">
        <f ca="1" t="shared" si="28"/>
        <v>0.00463625565380223</v>
      </c>
      <c r="V89" s="157" t="str">
        <f ca="1" t="shared" si="29"/>
        <v>Over</v>
      </c>
    </row>
    <row r="90" s="129" customFormat="1" spans="1:22">
      <c r="A90" s="105">
        <v>43602</v>
      </c>
      <c r="B90" s="165" t="str">
        <f>VLOOKUP(C90,收益对照表汇总!A:B,2,0)</f>
        <v>002572</v>
      </c>
      <c r="C90" s="105" t="s">
        <v>35</v>
      </c>
      <c r="D90" s="141" t="s">
        <v>25</v>
      </c>
      <c r="E90" s="141">
        <v>100</v>
      </c>
      <c r="F90" s="132">
        <f>IF(C90="","",SUMIFS(E$1:E90,C$1:C90,C90,D$1:D90,"证券买入清算")-SUMIFS(E$1:E90,C$1:C90,C90,D$1:D90,"证券卖出清算"))</f>
        <v>100</v>
      </c>
      <c r="G90" s="143">
        <f t="shared" si="21"/>
        <v>20.74</v>
      </c>
      <c r="H90" s="142">
        <f t="shared" si="22"/>
        <v>2074</v>
      </c>
      <c r="I90" s="141">
        <v>5</v>
      </c>
      <c r="J90" s="141"/>
      <c r="K90" s="141"/>
      <c r="L90" s="142" t="str">
        <f t="shared" si="23"/>
        <v/>
      </c>
      <c r="M90" s="142">
        <f t="shared" si="24"/>
        <v>5</v>
      </c>
      <c r="N90" s="142">
        <f t="shared" si="25"/>
        <v>0.00241080038572806</v>
      </c>
      <c r="O90" s="141"/>
      <c r="P90" s="141">
        <v>2079</v>
      </c>
      <c r="Q90" s="142">
        <f t="shared" si="20"/>
        <v>4832.01</v>
      </c>
      <c r="R90" s="142">
        <f>IF(B90="","",IFERROR(IF(F90&lt;&gt;0,MAX(get_row)+1,LARGE(get_row,2)+1),1))</f>
        <v>87</v>
      </c>
      <c r="S90" s="134">
        <f ca="1" t="shared" si="26"/>
        <v>-2079</v>
      </c>
      <c r="T90" s="129">
        <f ca="1" t="shared" si="27"/>
        <v>5</v>
      </c>
      <c r="U90" s="156">
        <f ca="1" t="shared" si="28"/>
        <v>0.00240500240500241</v>
      </c>
      <c r="V90" s="157">
        <f ca="1" t="shared" si="29"/>
        <v>-20.79</v>
      </c>
    </row>
    <row r="91" s="129" customFormat="1" spans="1:22">
      <c r="A91" s="105">
        <v>43602</v>
      </c>
      <c r="B91" s="165" t="str">
        <f>VLOOKUP(C91,收益对照表汇总!A:B,2,0)</f>
        <v>002572</v>
      </c>
      <c r="C91" s="105" t="s">
        <v>35</v>
      </c>
      <c r="D91" s="141" t="s">
        <v>25</v>
      </c>
      <c r="E91" s="141">
        <v>100</v>
      </c>
      <c r="F91" s="132">
        <f>IF(C91="","",SUMIFS(E$1:E91,C$1:C91,C91,D$1:D91,"证券买入清算")-SUMIFS(E$1:E91,C$1:C91,C91,D$1:D91,"证券卖出清算"))</f>
        <v>200</v>
      </c>
      <c r="G91" s="143">
        <f t="shared" si="21"/>
        <v>20.25</v>
      </c>
      <c r="H91" s="142">
        <f t="shared" si="22"/>
        <v>2025</v>
      </c>
      <c r="I91" s="141">
        <v>5</v>
      </c>
      <c r="J91" s="141"/>
      <c r="K91" s="141"/>
      <c r="L91" s="142" t="str">
        <f t="shared" si="23"/>
        <v/>
      </c>
      <c r="M91" s="142">
        <f t="shared" si="24"/>
        <v>5</v>
      </c>
      <c r="N91" s="142">
        <f t="shared" si="25"/>
        <v>0.00246913580246914</v>
      </c>
      <c r="O91" s="141"/>
      <c r="P91" s="141">
        <v>2030</v>
      </c>
      <c r="Q91" s="142">
        <f t="shared" si="20"/>
        <v>2802.01</v>
      </c>
      <c r="R91" s="142">
        <f>IF(B91="","",IFERROR(IF(F91&lt;&gt;0,MAX(get_row)+1,LARGE(get_row,2)+1),1))</f>
        <v>87</v>
      </c>
      <c r="S91" s="134">
        <f ca="1" t="shared" si="26"/>
        <v>-4109</v>
      </c>
      <c r="T91" s="129">
        <f ca="1" t="shared" si="27"/>
        <v>10</v>
      </c>
      <c r="U91" s="156">
        <f ca="1" t="shared" si="28"/>
        <v>0.00243368216110976</v>
      </c>
      <c r="V91" s="157">
        <f ca="1" t="shared" si="29"/>
        <v>-20.545</v>
      </c>
    </row>
    <row r="92" s="129" customFormat="1" spans="1:22">
      <c r="A92" s="105">
        <v>43605</v>
      </c>
      <c r="B92" s="105"/>
      <c r="C92" s="105"/>
      <c r="D92" s="105" t="s">
        <v>22</v>
      </c>
      <c r="E92" s="141"/>
      <c r="F92" s="132" t="str">
        <f>IF(C92="","",SUMIFS(E$1:E92,C$1:C92,C92,D$1:D92,"证券买入清算")-SUMIFS(E$1:E92,C$1:C92,C92,D$1:D92,"证券卖出清算"))</f>
        <v/>
      </c>
      <c r="G92" s="143" t="str">
        <f t="shared" si="21"/>
        <v/>
      </c>
      <c r="H92" s="142" t="str">
        <f t="shared" si="22"/>
        <v/>
      </c>
      <c r="I92" s="141"/>
      <c r="J92" s="141"/>
      <c r="K92" s="141"/>
      <c r="L92" s="142" t="str">
        <f t="shared" si="23"/>
        <v/>
      </c>
      <c r="M92" s="142" t="str">
        <f t="shared" si="24"/>
        <v/>
      </c>
      <c r="N92" s="142" t="str">
        <f t="shared" si="25"/>
        <v/>
      </c>
      <c r="O92" s="141">
        <v>2000</v>
      </c>
      <c r="P92" s="141"/>
      <c r="Q92" s="142">
        <f t="shared" si="20"/>
        <v>4802.01</v>
      </c>
      <c r="R92" s="142" t="str">
        <f>IF(B92="","",IFERROR(IF(F92&lt;&gt;0,MAX(get_row)+1,LARGE(get_row,2)+1),1))</f>
        <v/>
      </c>
      <c r="S92" s="134" t="str">
        <f ca="1" t="shared" si="26"/>
        <v/>
      </c>
      <c r="T92" s="129" t="str">
        <f ca="1" t="shared" si="27"/>
        <v/>
      </c>
      <c r="U92" s="156" t="str">
        <f ca="1" t="shared" si="28"/>
        <v/>
      </c>
      <c r="V92" s="157" t="str">
        <f ca="1" t="shared" si="29"/>
        <v/>
      </c>
    </row>
    <row r="93" s="129" customFormat="1" spans="1:22">
      <c r="A93" s="105">
        <v>43605</v>
      </c>
      <c r="B93" s="165" t="str">
        <f>VLOOKUP(C93,收益对照表汇总!A:B,2,0)</f>
        <v>002572</v>
      </c>
      <c r="C93" s="105" t="s">
        <v>35</v>
      </c>
      <c r="D93" s="141" t="s">
        <v>25</v>
      </c>
      <c r="E93" s="141">
        <v>100</v>
      </c>
      <c r="F93" s="132">
        <f>IF(C93="","",SUMIFS(E$1:E93,C$1:C93,C93,D$1:D93,"证券买入清算")-SUMIFS(E$1:E93,C$1:C93,C93,D$1:D93,"证券卖出清算"))</f>
        <v>300</v>
      </c>
      <c r="G93" s="143">
        <f t="shared" si="21"/>
        <v>18.68</v>
      </c>
      <c r="H93" s="142">
        <f t="shared" si="22"/>
        <v>1868</v>
      </c>
      <c r="I93" s="141">
        <v>5</v>
      </c>
      <c r="J93" s="141"/>
      <c r="K93" s="141"/>
      <c r="L93" s="142" t="str">
        <f t="shared" si="23"/>
        <v/>
      </c>
      <c r="M93" s="142">
        <f t="shared" si="24"/>
        <v>5</v>
      </c>
      <c r="N93" s="142">
        <f t="shared" si="25"/>
        <v>0.00267665952890792</v>
      </c>
      <c r="O93" s="141"/>
      <c r="P93" s="141">
        <v>1873</v>
      </c>
      <c r="Q93" s="142">
        <f t="shared" si="20"/>
        <v>2929.01</v>
      </c>
      <c r="R93" s="142">
        <f>IF(B93="","",IFERROR(IF(F93&lt;&gt;0,MAX(get_row)+1,LARGE(get_row,2)+1),1))</f>
        <v>87</v>
      </c>
      <c r="S93" s="134">
        <f ca="1" t="shared" si="26"/>
        <v>-5982</v>
      </c>
      <c r="T93" s="129">
        <f ca="1" t="shared" si="27"/>
        <v>15</v>
      </c>
      <c r="U93" s="156">
        <f ca="1" t="shared" si="28"/>
        <v>0.00250752256770311</v>
      </c>
      <c r="V93" s="157">
        <f ca="1" t="shared" si="29"/>
        <v>-19.94</v>
      </c>
    </row>
    <row r="94" s="129" customFormat="1" spans="1:22">
      <c r="A94" s="105">
        <v>43606</v>
      </c>
      <c r="B94" s="165" t="str">
        <f>VLOOKUP(C94,收益对照表汇总!A:B,2,0)</f>
        <v>002572</v>
      </c>
      <c r="C94" s="105" t="s">
        <v>35</v>
      </c>
      <c r="D94" s="141" t="s">
        <v>26</v>
      </c>
      <c r="E94" s="141">
        <v>200</v>
      </c>
      <c r="F94" s="132">
        <f>IF(C94="","",SUMIFS(E$1:E94,C$1:C94,C94,D$1:D94,"证券买入清算")-SUMIFS(E$1:E94,C$1:C94,C94,D$1:D94,"证券卖出清算"))</f>
        <v>100</v>
      </c>
      <c r="G94" s="143">
        <f t="shared" si="21"/>
        <v>19.84</v>
      </c>
      <c r="H94" s="142">
        <f t="shared" si="22"/>
        <v>3968</v>
      </c>
      <c r="I94" s="141">
        <v>5</v>
      </c>
      <c r="J94" s="141">
        <v>3.97</v>
      </c>
      <c r="K94" s="141">
        <v>0</v>
      </c>
      <c r="L94" s="142" t="str">
        <f t="shared" si="23"/>
        <v/>
      </c>
      <c r="M94" s="142">
        <f t="shared" si="24"/>
        <v>8.97</v>
      </c>
      <c r="N94" s="142">
        <f t="shared" si="25"/>
        <v>0.00226058467741935</v>
      </c>
      <c r="O94" s="141">
        <v>3959.03</v>
      </c>
      <c r="P94" s="141"/>
      <c r="Q94" s="142">
        <f t="shared" si="20"/>
        <v>6888.04</v>
      </c>
      <c r="R94" s="142">
        <f>IF(B94="","",IFERROR(IF(F94&lt;&gt;0,MAX(get_row)+1,LARGE(get_row,2)+1),1))</f>
        <v>87</v>
      </c>
      <c r="S94" s="134">
        <f ca="1" t="shared" si="26"/>
        <v>-2022.97</v>
      </c>
      <c r="T94" s="129">
        <f ca="1" t="shared" si="27"/>
        <v>23.97</v>
      </c>
      <c r="U94" s="156">
        <f ca="1" t="shared" si="28"/>
        <v>0.00477322906651721</v>
      </c>
      <c r="V94" s="157">
        <f ca="1" t="shared" si="29"/>
        <v>-20.2297</v>
      </c>
    </row>
    <row r="95" s="129" customFormat="1" spans="1:22">
      <c r="A95" s="105">
        <v>43607</v>
      </c>
      <c r="B95" s="165" t="str">
        <f>VLOOKUP(C95,收益对照表汇总!A:B,2,0)</f>
        <v>002572</v>
      </c>
      <c r="C95" s="105" t="s">
        <v>35</v>
      </c>
      <c r="D95" s="141" t="s">
        <v>26</v>
      </c>
      <c r="E95" s="141">
        <v>100</v>
      </c>
      <c r="F95" s="132">
        <f>IF(C95="","",SUMIFS(E$1:E95,C$1:C95,C95,D$1:D95,"证券买入清算")-SUMIFS(E$1:E95,C$1:C95,C95,D$1:D95,"证券卖出清算"))</f>
        <v>0</v>
      </c>
      <c r="G95" s="143">
        <f t="shared" si="21"/>
        <v>20.1</v>
      </c>
      <c r="H95" s="142">
        <f t="shared" si="22"/>
        <v>2010</v>
      </c>
      <c r="I95" s="141">
        <v>5</v>
      </c>
      <c r="J95" s="141">
        <v>2.01</v>
      </c>
      <c r="K95" s="141">
        <v>0</v>
      </c>
      <c r="L95" s="142" t="str">
        <f t="shared" si="23"/>
        <v/>
      </c>
      <c r="M95" s="142">
        <f t="shared" si="24"/>
        <v>7.01</v>
      </c>
      <c r="N95" s="142">
        <f t="shared" si="25"/>
        <v>0.00348756218905473</v>
      </c>
      <c r="O95" s="141">
        <v>2002.99</v>
      </c>
      <c r="P95" s="141"/>
      <c r="Q95" s="142">
        <f t="shared" si="20"/>
        <v>8891.03</v>
      </c>
      <c r="R95" s="142">
        <f>IF(B95="","",IFERROR(IF(F95&lt;&gt;0,MAX(get_row)+1,LARGE(get_row,2)+1),1))</f>
        <v>87</v>
      </c>
      <c r="S95" s="134">
        <f ca="1" t="shared" si="26"/>
        <v>-19.9799999999996</v>
      </c>
      <c r="T95" s="129">
        <f ca="1" t="shared" si="27"/>
        <v>30.98</v>
      </c>
      <c r="U95" s="156">
        <f ca="1" t="shared" si="28"/>
        <v>0.00518782219769429</v>
      </c>
      <c r="V95" s="157" t="str">
        <f ca="1" t="shared" si="29"/>
        <v>Over</v>
      </c>
    </row>
    <row r="96" s="129" customFormat="1" spans="1:22">
      <c r="A96" s="105">
        <v>43608</v>
      </c>
      <c r="B96" s="165" t="str">
        <f>VLOOKUP(C96,收益对照表汇总!A:B,2,0)</f>
        <v>000513</v>
      </c>
      <c r="C96" s="105" t="s">
        <v>40</v>
      </c>
      <c r="D96" s="141" t="s">
        <v>25</v>
      </c>
      <c r="E96" s="141">
        <v>100</v>
      </c>
      <c r="F96" s="132">
        <f>IF(C96="","",SUMIFS(E$1:E96,C$1:C96,C96,D$1:D96,"证券买入清算")-SUMIFS(E$1:E96,C$1:C96,C96,D$1:D96,"证券卖出清算"))</f>
        <v>100</v>
      </c>
      <c r="G96" s="143">
        <f t="shared" si="21"/>
        <v>32.31</v>
      </c>
      <c r="H96" s="142">
        <f t="shared" si="22"/>
        <v>3231</v>
      </c>
      <c r="I96" s="141">
        <v>5</v>
      </c>
      <c r="J96" s="141"/>
      <c r="K96" s="141"/>
      <c r="L96" s="142" t="str">
        <f t="shared" si="23"/>
        <v/>
      </c>
      <c r="M96" s="142">
        <f t="shared" si="24"/>
        <v>5</v>
      </c>
      <c r="N96" s="142">
        <f t="shared" si="25"/>
        <v>0.00154750851129681</v>
      </c>
      <c r="O96" s="141"/>
      <c r="P96" s="141">
        <v>3236</v>
      </c>
      <c r="Q96" s="142">
        <f t="shared" si="20"/>
        <v>5655.03</v>
      </c>
      <c r="R96" s="142">
        <f>IF(B96="","",IFERROR(IF(F96&lt;&gt;0,MAX(get_row)+1,LARGE(get_row,2)+1),1))</f>
        <v>1</v>
      </c>
      <c r="S96" s="134">
        <f ca="1" t="shared" si="26"/>
        <v>-3236</v>
      </c>
      <c r="T96" s="129">
        <f ca="1" t="shared" si="27"/>
        <v>5</v>
      </c>
      <c r="U96" s="156">
        <f ca="1" t="shared" si="28"/>
        <v>0.0015451174289246</v>
      </c>
      <c r="V96" s="157">
        <f ca="1" t="shared" si="29"/>
        <v>-32.36</v>
      </c>
    </row>
    <row r="97" s="129" customFormat="1" spans="1:22">
      <c r="A97" s="105">
        <v>43612</v>
      </c>
      <c r="B97" s="165" t="str">
        <f>VLOOKUP(C97,收益对照表汇总!A:B,2,0)</f>
        <v>000513</v>
      </c>
      <c r="C97" s="105" t="s">
        <v>40</v>
      </c>
      <c r="D97" s="141" t="s">
        <v>26</v>
      </c>
      <c r="E97" s="141">
        <v>100</v>
      </c>
      <c r="F97" s="132">
        <f>IF(C97="","",SUMIFS(E$1:E97,C$1:C97,C97,D$1:D97,"证券买入清算")-SUMIFS(E$1:E97,C$1:C97,C97,D$1:D97,"证券卖出清算"))</f>
        <v>0</v>
      </c>
      <c r="G97" s="143">
        <f t="shared" si="21"/>
        <v>32.26</v>
      </c>
      <c r="H97" s="142">
        <f t="shared" si="22"/>
        <v>3226</v>
      </c>
      <c r="I97" s="141">
        <v>5</v>
      </c>
      <c r="J97" s="141">
        <v>3.23</v>
      </c>
      <c r="K97" s="141">
        <v>0</v>
      </c>
      <c r="L97" s="142" t="str">
        <f t="shared" si="23"/>
        <v/>
      </c>
      <c r="M97" s="142">
        <f t="shared" si="24"/>
        <v>8.23</v>
      </c>
      <c r="N97" s="142">
        <f t="shared" si="25"/>
        <v>0.00255114693118413</v>
      </c>
      <c r="O97" s="141">
        <v>3217.77</v>
      </c>
      <c r="P97" s="141"/>
      <c r="Q97" s="142">
        <f t="shared" si="20"/>
        <v>8872.8</v>
      </c>
      <c r="R97" s="142">
        <f>IF(B97="","",IFERROR(IF(F97&lt;&gt;0,MAX(get_row)+1,LARGE(get_row,2)+1),1))</f>
        <v>1</v>
      </c>
      <c r="S97" s="134">
        <f ca="1" t="shared" si="26"/>
        <v>-18.23</v>
      </c>
      <c r="T97" s="129">
        <f ca="1" t="shared" si="27"/>
        <v>13.23</v>
      </c>
      <c r="U97" s="156">
        <f ca="1" t="shared" si="28"/>
        <v>0.00410278935699901</v>
      </c>
      <c r="V97" s="157" t="str">
        <f ca="1" t="shared" si="29"/>
        <v>Over</v>
      </c>
    </row>
    <row r="98" s="129" customFormat="1" spans="1:22">
      <c r="A98" s="105">
        <v>43615</v>
      </c>
      <c r="B98" s="165" t="str">
        <f>VLOOKUP(C98,收益对照表汇总!A:B,2,0)</f>
        <v>000513</v>
      </c>
      <c r="C98" s="105" t="s">
        <v>40</v>
      </c>
      <c r="D98" s="141" t="s">
        <v>25</v>
      </c>
      <c r="E98" s="141">
        <v>100</v>
      </c>
      <c r="F98" s="132">
        <f>IF(C98="","",SUMIFS(E$1:E98,C$1:C98,C98,D$1:D98,"证券买入清算")-SUMIFS(E$1:E98,C$1:C98,C98,D$1:D98,"证券卖出清算"))</f>
        <v>100</v>
      </c>
      <c r="G98" s="143">
        <f t="shared" si="21"/>
        <v>30.64</v>
      </c>
      <c r="H98" s="142">
        <f t="shared" si="22"/>
        <v>3064</v>
      </c>
      <c r="I98" s="141">
        <v>5</v>
      </c>
      <c r="J98" s="141"/>
      <c r="K98" s="141"/>
      <c r="L98" s="142" t="str">
        <f t="shared" si="23"/>
        <v/>
      </c>
      <c r="M98" s="142">
        <f t="shared" si="24"/>
        <v>5</v>
      </c>
      <c r="N98" s="142">
        <f t="shared" si="25"/>
        <v>0.00163185378590078</v>
      </c>
      <c r="O98" s="141"/>
      <c r="P98" s="141">
        <v>3069</v>
      </c>
      <c r="Q98" s="142">
        <f t="shared" si="20"/>
        <v>5803.8</v>
      </c>
      <c r="R98" s="142">
        <f>IF(B98="","",IFERROR(IF(F98&lt;&gt;0,MAX(get_row)+1,LARGE(get_row,2)+1),1))</f>
        <v>98</v>
      </c>
      <c r="S98" s="134">
        <f ca="1" t="shared" si="26"/>
        <v>-3069</v>
      </c>
      <c r="T98" s="129">
        <f ca="1" t="shared" si="27"/>
        <v>5</v>
      </c>
      <c r="U98" s="156">
        <f ca="1" t="shared" si="28"/>
        <v>0.00162919517758227</v>
      </c>
      <c r="V98" s="157">
        <f ca="1" t="shared" si="29"/>
        <v>-30.69</v>
      </c>
    </row>
    <row r="99" s="129" customFormat="1" spans="1:22">
      <c r="A99" s="105">
        <v>43616</v>
      </c>
      <c r="B99" s="165" t="str">
        <f>VLOOKUP(C99,收益对照表汇总!A:B,2,0)</f>
        <v>000513</v>
      </c>
      <c r="C99" s="105" t="s">
        <v>40</v>
      </c>
      <c r="D99" s="141" t="s">
        <v>26</v>
      </c>
      <c r="E99" s="141">
        <v>100</v>
      </c>
      <c r="F99" s="132">
        <f>IF(C99="","",SUMIFS(E$1:E99,C$1:C99,C99,D$1:D99,"证券买入清算")-SUMIFS(E$1:E99,C$1:C99,C99,D$1:D99,"证券卖出清算"))</f>
        <v>0</v>
      </c>
      <c r="G99" s="143">
        <f t="shared" si="21"/>
        <v>30.76</v>
      </c>
      <c r="H99" s="142">
        <f t="shared" si="22"/>
        <v>3076</v>
      </c>
      <c r="I99" s="141">
        <v>5</v>
      </c>
      <c r="J99" s="141">
        <v>3.08</v>
      </c>
      <c r="K99" s="141">
        <v>0</v>
      </c>
      <c r="L99" s="142" t="str">
        <f t="shared" si="23"/>
        <v/>
      </c>
      <c r="M99" s="142">
        <f t="shared" si="24"/>
        <v>8.08</v>
      </c>
      <c r="N99" s="142">
        <f t="shared" si="25"/>
        <v>0.00262678803641092</v>
      </c>
      <c r="O99" s="141">
        <v>3067.92</v>
      </c>
      <c r="P99" s="141"/>
      <c r="Q99" s="142">
        <f t="shared" ref="Q99:Q130" si="30">Q98+O99-P99</f>
        <v>8871.72</v>
      </c>
      <c r="R99" s="142">
        <f>IF(B99="","",IFERROR(IF(F99&lt;&gt;0,MAX(get_row)+1,LARGE(get_row,2)+1),1))</f>
        <v>98</v>
      </c>
      <c r="S99" s="134">
        <f ca="1" t="shared" si="26"/>
        <v>-1.07999999999993</v>
      </c>
      <c r="T99" s="129">
        <f ca="1" t="shared" si="27"/>
        <v>13.08</v>
      </c>
      <c r="U99" s="156">
        <f ca="1" t="shared" si="28"/>
        <v>0.00426290140199491</v>
      </c>
      <c r="V99" s="157" t="str">
        <f ca="1" t="shared" si="29"/>
        <v>Over</v>
      </c>
    </row>
    <row r="100" s="129" customFormat="1" spans="1:22">
      <c r="A100" s="105">
        <v>43620</v>
      </c>
      <c r="B100" s="165" t="str">
        <f>VLOOKUP(C100,收益对照表汇总!A:B,2,0)</f>
        <v>600779</v>
      </c>
      <c r="C100" s="105" t="s">
        <v>41</v>
      </c>
      <c r="D100" s="141" t="s">
        <v>25</v>
      </c>
      <c r="E100" s="141">
        <v>100</v>
      </c>
      <c r="F100" s="132">
        <f>IF(C100="","",SUMIFS(E$1:E100,C$1:C100,C100,D$1:D100,"证券买入清算")-SUMIFS(E$1:E100,C$1:C100,C100,D$1:D100,"证券卖出清算"))</f>
        <v>100</v>
      </c>
      <c r="G100" s="143">
        <f t="shared" si="21"/>
        <v>45.2</v>
      </c>
      <c r="H100" s="142">
        <f t="shared" si="22"/>
        <v>4520</v>
      </c>
      <c r="I100" s="141">
        <v>5</v>
      </c>
      <c r="J100" s="141"/>
      <c r="K100" s="141">
        <v>0.09</v>
      </c>
      <c r="L100" s="142" t="str">
        <f t="shared" si="23"/>
        <v/>
      </c>
      <c r="M100" s="142">
        <f t="shared" si="24"/>
        <v>5.09</v>
      </c>
      <c r="N100" s="142">
        <f t="shared" si="25"/>
        <v>0.00112610619469027</v>
      </c>
      <c r="O100" s="141"/>
      <c r="P100" s="141">
        <v>4525.09</v>
      </c>
      <c r="Q100" s="142">
        <f t="shared" si="30"/>
        <v>4346.63</v>
      </c>
      <c r="R100" s="142">
        <f>IF(B100="","",IFERROR(IF(F100&lt;&gt;0,MAX(get_row)+1,LARGE(get_row,2)+1),1))</f>
        <v>1</v>
      </c>
      <c r="S100" s="134">
        <f ca="1" t="shared" si="26"/>
        <v>-4525.09</v>
      </c>
      <c r="T100" s="129">
        <f ca="1" t="shared" si="27"/>
        <v>5.09</v>
      </c>
      <c r="U100" s="156">
        <f ca="1" t="shared" si="28"/>
        <v>0.00112483950595458</v>
      </c>
      <c r="V100" s="157">
        <f ca="1" t="shared" si="29"/>
        <v>-45.2509</v>
      </c>
    </row>
    <row r="101" s="129" customFormat="1" spans="1:22">
      <c r="A101" s="105">
        <v>43621</v>
      </c>
      <c r="B101" s="165" t="str">
        <f>VLOOKUP(C101,收益对照表汇总!A:B,2,0)</f>
        <v>600779</v>
      </c>
      <c r="C101" s="105" t="s">
        <v>41</v>
      </c>
      <c r="D101" s="141" t="s">
        <v>26</v>
      </c>
      <c r="E101" s="141">
        <v>100</v>
      </c>
      <c r="F101" s="132">
        <f>IF(C101="","",SUMIFS(E$1:E101,C$1:C101,C101,D$1:D101,"证券买入清算")-SUMIFS(E$1:E101,C$1:C101,C101,D$1:D101,"证券卖出清算"))</f>
        <v>0</v>
      </c>
      <c r="G101" s="143">
        <f t="shared" si="21"/>
        <v>45.49</v>
      </c>
      <c r="H101" s="142">
        <f t="shared" si="22"/>
        <v>4549</v>
      </c>
      <c r="I101" s="141">
        <v>5</v>
      </c>
      <c r="J101" s="141">
        <v>4.55</v>
      </c>
      <c r="K101" s="141">
        <v>0.0899999999999999</v>
      </c>
      <c r="L101" s="142" t="str">
        <f t="shared" si="23"/>
        <v/>
      </c>
      <c r="M101" s="142">
        <f t="shared" si="24"/>
        <v>9.64</v>
      </c>
      <c r="N101" s="142">
        <f t="shared" si="25"/>
        <v>0.00211914706528907</v>
      </c>
      <c r="O101" s="141">
        <v>4539.36</v>
      </c>
      <c r="P101" s="141"/>
      <c r="Q101" s="142">
        <f t="shared" si="30"/>
        <v>8885.99</v>
      </c>
      <c r="R101" s="142">
        <f>IF(B101="","",IFERROR(IF(F101&lt;&gt;0,MAX(get_row)+1,LARGE(get_row,2)+1),1))</f>
        <v>1</v>
      </c>
      <c r="S101" s="134">
        <f ca="1" t="shared" si="26"/>
        <v>14.2699999999995</v>
      </c>
      <c r="T101" s="129">
        <f ca="1" t="shared" si="27"/>
        <v>14.73</v>
      </c>
      <c r="U101" s="156">
        <f ca="1" t="shared" si="28"/>
        <v>0.00324848689237028</v>
      </c>
      <c r="V101" s="157" t="str">
        <f ca="1" t="shared" si="29"/>
        <v>Over</v>
      </c>
    </row>
    <row r="102" s="129" customFormat="1" spans="1:22">
      <c r="A102" s="105">
        <v>43622</v>
      </c>
      <c r="B102" s="165" t="str">
        <f>VLOOKUP(C102,收益对照表汇总!A:B,2,0)</f>
        <v>000513</v>
      </c>
      <c r="C102" s="105" t="s">
        <v>40</v>
      </c>
      <c r="D102" s="141" t="s">
        <v>25</v>
      </c>
      <c r="E102" s="141">
        <v>100</v>
      </c>
      <c r="F102" s="132">
        <f>IF(C102="","",SUMIFS(E$1:E102,C$1:C102,C102,D$1:D102,"证券买入清算")-SUMIFS(E$1:E102,C$1:C102,C102,D$1:D102,"证券卖出清算"))</f>
        <v>100</v>
      </c>
      <c r="G102" s="143">
        <f t="shared" si="21"/>
        <v>28.92</v>
      </c>
      <c r="H102" s="142">
        <f t="shared" si="22"/>
        <v>2892</v>
      </c>
      <c r="I102" s="141">
        <v>5</v>
      </c>
      <c r="J102" s="141"/>
      <c r="K102" s="141"/>
      <c r="L102" s="142" t="str">
        <f t="shared" si="23"/>
        <v/>
      </c>
      <c r="M102" s="142">
        <f t="shared" si="24"/>
        <v>5</v>
      </c>
      <c r="N102" s="142">
        <f t="shared" si="25"/>
        <v>0.00172890733056708</v>
      </c>
      <c r="O102" s="141"/>
      <c r="P102" s="141">
        <v>2897</v>
      </c>
      <c r="Q102" s="142">
        <f t="shared" si="30"/>
        <v>5988.99</v>
      </c>
      <c r="R102" s="142">
        <f>IF(B102="","",IFERROR(IF(F102&lt;&gt;0,MAX(get_row)+1,LARGE(get_row,2)+1),1))</f>
        <v>100</v>
      </c>
      <c r="S102" s="134">
        <f ca="1" t="shared" si="26"/>
        <v>-2897</v>
      </c>
      <c r="T102" s="129">
        <f ca="1" t="shared" si="27"/>
        <v>5</v>
      </c>
      <c r="U102" s="156">
        <f ca="1" t="shared" si="28"/>
        <v>0.00172592336900242</v>
      </c>
      <c r="V102" s="157">
        <f ca="1" t="shared" si="29"/>
        <v>-28.97</v>
      </c>
    </row>
    <row r="103" s="129" customFormat="1" spans="1:22">
      <c r="A103" s="105">
        <v>43626</v>
      </c>
      <c r="B103" s="165" t="str">
        <f>VLOOKUP(C103,收益对照表汇总!A:B,2,0)</f>
        <v>000513</v>
      </c>
      <c r="C103" s="105" t="s">
        <v>40</v>
      </c>
      <c r="D103" s="141" t="s">
        <v>26</v>
      </c>
      <c r="E103" s="141">
        <v>100</v>
      </c>
      <c r="F103" s="132">
        <f>IF(C103="","",SUMIFS(E$1:E103,C$1:C103,C103,D$1:D103,"证券买入清算")-SUMIFS(E$1:E103,C$1:C103,C103,D$1:D103,"证券卖出清算"))</f>
        <v>0</v>
      </c>
      <c r="G103" s="143">
        <f t="shared" ref="G103:G134" si="31">IF(C103="","",IFERROR(IF(D103="证券买入清算",ROUND((P103-M103)/E103,3),IF(D103="证券卖出清算",ROUND((M103+O103)/E103,3),0)),0))</f>
        <v>29.29</v>
      </c>
      <c r="H103" s="142">
        <f t="shared" ref="H103:H134" si="32">IF(C103="","",E103*G103)</f>
        <v>2929</v>
      </c>
      <c r="I103" s="141">
        <v>5</v>
      </c>
      <c r="J103" s="141">
        <v>2.93</v>
      </c>
      <c r="K103" s="141">
        <v>0</v>
      </c>
      <c r="L103" s="142" t="str">
        <f t="shared" ref="L103:L134" si="33">IF(C103="","",IF(D103="红股派息",-O103,IF(D103="个人红利所得税扣款",P103,"")))</f>
        <v/>
      </c>
      <c r="M103" s="142">
        <f t="shared" ref="M103:M134" si="34">IF(C103="","",SUM(I103:L103))</f>
        <v>7.93</v>
      </c>
      <c r="N103" s="142">
        <f t="shared" ref="N103:N134" si="35">IFERROR(IF(B103="","",M103/H103),"")</f>
        <v>0.00270740867190167</v>
      </c>
      <c r="O103" s="141">
        <v>2921.07</v>
      </c>
      <c r="P103" s="141"/>
      <c r="Q103" s="142">
        <f t="shared" si="30"/>
        <v>8910.06</v>
      </c>
      <c r="R103" s="142">
        <f>IF(B103="","",IFERROR(IF(F103&lt;&gt;0,MAX(get_row)+1,LARGE(get_row,2)+1),1))</f>
        <v>100</v>
      </c>
      <c r="S103" s="134">
        <f ca="1" t="shared" ref="S103:S134" si="36">IF(B103="","",SUMIFS(INDIRECT("O"&amp;R103&amp;":O"&amp;ROW()),INDIRECT("B"&amp;R103&amp;":B"&amp;ROW()),B103)-SUMIFS(INDIRECT("P"&amp;R103&amp;":P"&amp;ROW()),INDIRECT("B"&amp;R103&amp;":B"&amp;ROW()),B103))</f>
        <v>24.0700000000002</v>
      </c>
      <c r="T103" s="129">
        <f ca="1" t="shared" ref="T103:T134" si="37">IF(B103="","",SUMIFS(INDIRECT("M"&amp;R103&amp;":M"&amp;ROW()),INDIRECT("B"&amp;R103&amp;":B"&amp;ROW()),B103,INDIRECT("M"&amp;R103&amp;":M"&amp;ROW()),"&gt;0"))</f>
        <v>12.93</v>
      </c>
      <c r="U103" s="156">
        <f ca="1" t="shared" ref="U103:U134" si="38">IF(B103="","",IFERROR(SUMIFS(INDIRECT("M"&amp;R103&amp;":M"&amp;ROW()),INDIRECT("B"&amp;R103&amp;":B"&amp;ROW()),B103,INDIRECT("p"&amp;R103&amp;":p"&amp;ROW()),"&lt;&gt;",INDIRECT("M"&amp;R103&amp;":M"&amp;ROW()),"&gt;0")/SUMIFS(INDIRECT("p"&amp;R103&amp;":p"&amp;ROW()),INDIRECT("B"&amp;R103&amp;":B"&amp;ROW()),B103,INDIRECT("p"&amp;R103&amp;":p"&amp;ROW()),"&lt;&gt;",INDIRECT("M"&amp;R103&amp;":M"&amp;ROW()),"&gt;0"),0)+IFERROR(SUMIFS(INDIRECT("M"&amp;R103&amp;":M"&amp;ROW()),INDIRECT("B"&amp;R103&amp;":B"&amp;ROW()),B103,INDIRECT("o"&amp;R103&amp;":o"&amp;ROW()),"&lt;&gt;",INDIRECT("M"&amp;R103&amp;":M"&amp;ROW()),"&gt;0")/SUMIFS(INDIRECT("o"&amp;R103&amp;":o"&amp;ROW()),INDIRECT("B"&amp;R103&amp;":B"&amp;ROW()),B103,INDIRECT("o"&amp;R103&amp;":o"&amp;ROW()),"&lt;&gt;",INDIRECT("M"&amp;R103&amp;":M"&amp;ROW()),"&gt;0"),0))</f>
        <v>0.0044406820019691</v>
      </c>
      <c r="V103" s="157" t="str">
        <f ca="1" t="shared" ref="V103:V134" si="39">IF(B103="","",IFERROR(S103/F103,"Over"))</f>
        <v>Over</v>
      </c>
    </row>
    <row r="104" s="129" customFormat="1" spans="1:22">
      <c r="A104" s="105">
        <v>43630</v>
      </c>
      <c r="B104" s="165" t="str">
        <f>VLOOKUP(C104,收益对照表汇总!A:B,2,0)</f>
        <v>002572</v>
      </c>
      <c r="C104" s="105" t="s">
        <v>35</v>
      </c>
      <c r="D104" s="141" t="s">
        <v>25</v>
      </c>
      <c r="E104" s="141">
        <v>100</v>
      </c>
      <c r="F104" s="132">
        <f>IF(C104="","",SUMIFS(E$1:E104,C$1:C104,C104,D$1:D104,"证券买入清算")-SUMIFS(E$1:E104,C$1:C104,C104,D$1:D104,"证券卖出清算"))</f>
        <v>100</v>
      </c>
      <c r="G104" s="143">
        <f t="shared" si="31"/>
        <v>18.19</v>
      </c>
      <c r="H104" s="142">
        <f t="shared" si="32"/>
        <v>1819</v>
      </c>
      <c r="I104" s="141">
        <v>5</v>
      </c>
      <c r="J104" s="141"/>
      <c r="K104" s="141"/>
      <c r="L104" s="142" t="str">
        <f t="shared" si="33"/>
        <v/>
      </c>
      <c r="M104" s="142">
        <f t="shared" si="34"/>
        <v>5</v>
      </c>
      <c r="N104" s="142">
        <f t="shared" si="35"/>
        <v>0.00274876305662452</v>
      </c>
      <c r="O104" s="141"/>
      <c r="P104" s="141">
        <v>1824</v>
      </c>
      <c r="Q104" s="142">
        <f t="shared" si="30"/>
        <v>7086.06</v>
      </c>
      <c r="R104" s="142">
        <f>IF(B104="","",IFERROR(IF(F104&lt;&gt;0,MAX(get_row)+1,LARGE(get_row,2)+1),1))</f>
        <v>96</v>
      </c>
      <c r="S104" s="134">
        <f ca="1" t="shared" si="36"/>
        <v>-1824</v>
      </c>
      <c r="T104" s="129">
        <f ca="1" t="shared" si="37"/>
        <v>5</v>
      </c>
      <c r="U104" s="156">
        <f ca="1" t="shared" si="38"/>
        <v>0.00274122807017544</v>
      </c>
      <c r="V104" s="157">
        <f ca="1" t="shared" si="39"/>
        <v>-18.24</v>
      </c>
    </row>
    <row r="105" s="129" customFormat="1" spans="1:22">
      <c r="A105" s="105">
        <v>43635</v>
      </c>
      <c r="B105" s="165" t="str">
        <f>VLOOKUP(C105,收益对照表汇总!A:B,2,0)</f>
        <v>002572</v>
      </c>
      <c r="C105" s="105" t="s">
        <v>35</v>
      </c>
      <c r="D105" s="141" t="s">
        <v>26</v>
      </c>
      <c r="E105" s="141">
        <v>100</v>
      </c>
      <c r="F105" s="132">
        <f>IF(C105="","",SUMIFS(E$1:E105,C$1:C105,C105,D$1:D105,"证券买入清算")-SUMIFS(E$1:E105,C$1:C105,C105,D$1:D105,"证券卖出清算"))</f>
        <v>0</v>
      </c>
      <c r="G105" s="143">
        <f t="shared" si="31"/>
        <v>18.15</v>
      </c>
      <c r="H105" s="142">
        <f t="shared" si="32"/>
        <v>1815</v>
      </c>
      <c r="I105" s="141">
        <v>5</v>
      </c>
      <c r="J105" s="141">
        <v>1.82</v>
      </c>
      <c r="K105" s="141">
        <v>0</v>
      </c>
      <c r="L105" s="142" t="str">
        <f t="shared" si="33"/>
        <v/>
      </c>
      <c r="M105" s="142">
        <f t="shared" si="34"/>
        <v>6.82</v>
      </c>
      <c r="N105" s="142">
        <f t="shared" si="35"/>
        <v>0.00375757575757576</v>
      </c>
      <c r="O105" s="141">
        <v>1808.18</v>
      </c>
      <c r="P105" s="141"/>
      <c r="Q105" s="142">
        <f t="shared" si="30"/>
        <v>8894.24</v>
      </c>
      <c r="R105" s="142">
        <f>IF(B105="","",IFERROR(IF(F105&lt;&gt;0,MAX(get_row)+1,LARGE(get_row,2)+1),1))</f>
        <v>96</v>
      </c>
      <c r="S105" s="134">
        <f ca="1" t="shared" si="36"/>
        <v>-15.8199999999999</v>
      </c>
      <c r="T105" s="129">
        <f ca="1" t="shared" si="37"/>
        <v>11.82</v>
      </c>
      <c r="U105" s="156">
        <f ca="1" t="shared" si="38"/>
        <v>0.00651297645805718</v>
      </c>
      <c r="V105" s="157" t="str">
        <f ca="1" t="shared" si="39"/>
        <v>Over</v>
      </c>
    </row>
    <row r="106" s="129" customFormat="1" spans="1:22">
      <c r="A106" s="105">
        <v>43637</v>
      </c>
      <c r="B106" s="105"/>
      <c r="C106" s="105"/>
      <c r="D106" s="105" t="s">
        <v>28</v>
      </c>
      <c r="E106" s="141"/>
      <c r="F106" s="132" t="str">
        <f>IF(C106="","",SUMIFS(E$1:E106,C$1:C106,C106,D$1:D106,"证券买入清算")-SUMIFS(E$1:E106,C$1:C106,C106,D$1:D106,"证券卖出清算"))</f>
        <v/>
      </c>
      <c r="G106" s="143" t="str">
        <f t="shared" si="31"/>
        <v/>
      </c>
      <c r="H106" s="142" t="str">
        <f t="shared" si="32"/>
        <v/>
      </c>
      <c r="I106" s="141"/>
      <c r="J106" s="141"/>
      <c r="K106" s="141"/>
      <c r="L106" s="142" t="str">
        <f t="shared" si="33"/>
        <v/>
      </c>
      <c r="M106" s="142" t="str">
        <f t="shared" si="34"/>
        <v/>
      </c>
      <c r="N106" s="142" t="str">
        <f t="shared" si="35"/>
        <v/>
      </c>
      <c r="O106" s="141">
        <v>5.07</v>
      </c>
      <c r="P106" s="141"/>
      <c r="Q106" s="142">
        <f t="shared" si="30"/>
        <v>8899.31</v>
      </c>
      <c r="R106" s="142" t="str">
        <f>IF(B106="","",IFERROR(IF(F106&lt;&gt;0,MAX(get_row)+1,LARGE(get_row,2)+1),1))</f>
        <v/>
      </c>
      <c r="S106" s="134" t="str">
        <f ca="1" t="shared" si="36"/>
        <v/>
      </c>
      <c r="T106" s="129" t="str">
        <f ca="1" t="shared" si="37"/>
        <v/>
      </c>
      <c r="U106" s="156" t="str">
        <f ca="1" t="shared" si="38"/>
        <v/>
      </c>
      <c r="V106" s="157" t="str">
        <f ca="1" t="shared" si="39"/>
        <v/>
      </c>
    </row>
    <row r="107" s="129" customFormat="1" spans="1:22">
      <c r="A107" s="105">
        <v>43640</v>
      </c>
      <c r="B107" s="105"/>
      <c r="C107" s="105"/>
      <c r="D107" s="105" t="s">
        <v>22</v>
      </c>
      <c r="E107" s="141"/>
      <c r="F107" s="132" t="str">
        <f>IF(C107="","",SUMIFS(E$1:E107,C$1:C107,C107,D$1:D107,"证券买入清算")-SUMIFS(E$1:E107,C$1:C107,C107,D$1:D107,"证券卖出清算"))</f>
        <v/>
      </c>
      <c r="G107" s="143" t="str">
        <f t="shared" si="31"/>
        <v/>
      </c>
      <c r="H107" s="142" t="str">
        <f t="shared" si="32"/>
        <v/>
      </c>
      <c r="I107" s="141"/>
      <c r="J107" s="141"/>
      <c r="K107" s="141"/>
      <c r="L107" s="142" t="str">
        <f t="shared" si="33"/>
        <v/>
      </c>
      <c r="M107" s="142" t="str">
        <f t="shared" si="34"/>
        <v/>
      </c>
      <c r="N107" s="142" t="str">
        <f t="shared" si="35"/>
        <v/>
      </c>
      <c r="O107" s="141">
        <v>7500</v>
      </c>
      <c r="P107" s="141"/>
      <c r="Q107" s="142">
        <f t="shared" si="30"/>
        <v>16399.31</v>
      </c>
      <c r="R107" s="142" t="str">
        <f>IF(B107="","",IFERROR(IF(F107&lt;&gt;0,MAX(get_row)+1,LARGE(get_row,2)+1),1))</f>
        <v/>
      </c>
      <c r="S107" s="134" t="str">
        <f ca="1" t="shared" si="36"/>
        <v/>
      </c>
      <c r="T107" s="129" t="str">
        <f ca="1" t="shared" si="37"/>
        <v/>
      </c>
      <c r="U107" s="156" t="str">
        <f ca="1" t="shared" si="38"/>
        <v/>
      </c>
      <c r="V107" s="157" t="str">
        <f ca="1" t="shared" si="39"/>
        <v/>
      </c>
    </row>
    <row r="108" s="129" customFormat="1" spans="1:22">
      <c r="A108" s="105">
        <v>43658</v>
      </c>
      <c r="B108" s="165" t="str">
        <f>VLOOKUP(C108,收益对照表汇总!A:B,2,0)</f>
        <v>000423</v>
      </c>
      <c r="C108" s="105" t="s">
        <v>42</v>
      </c>
      <c r="D108" s="141" t="s">
        <v>25</v>
      </c>
      <c r="E108" s="141">
        <v>100</v>
      </c>
      <c r="F108" s="132">
        <f>IF(C108="","",SUMIFS(E$1:E108,C$1:C108,C108,D$1:D108,"证券买入清算")-SUMIFS(E$1:E108,C$1:C108,C108,D$1:D108,"证券卖出清算"))</f>
        <v>100</v>
      </c>
      <c r="G108" s="143">
        <f t="shared" si="31"/>
        <v>39.38</v>
      </c>
      <c r="H108" s="142">
        <f t="shared" si="32"/>
        <v>3938</v>
      </c>
      <c r="I108" s="141">
        <v>5</v>
      </c>
      <c r="J108" s="141"/>
      <c r="K108" s="141"/>
      <c r="L108" s="142" t="str">
        <f t="shared" si="33"/>
        <v/>
      </c>
      <c r="M108" s="142">
        <f t="shared" si="34"/>
        <v>5</v>
      </c>
      <c r="N108" s="142">
        <f t="shared" si="35"/>
        <v>0.00126968004062976</v>
      </c>
      <c r="O108" s="141"/>
      <c r="P108" s="141">
        <v>3943</v>
      </c>
      <c r="Q108" s="142">
        <f t="shared" si="30"/>
        <v>12456.31</v>
      </c>
      <c r="R108" s="142">
        <f>IF(B108="","",IFERROR(IF(F108&lt;&gt;0,MAX(get_row)+1,LARGE(get_row,2)+1),1))</f>
        <v>1</v>
      </c>
      <c r="S108" s="134">
        <f ca="1" t="shared" si="36"/>
        <v>-3943</v>
      </c>
      <c r="T108" s="129">
        <f ca="1" t="shared" si="37"/>
        <v>5</v>
      </c>
      <c r="U108" s="156">
        <f ca="1" t="shared" si="38"/>
        <v>0.00126806999746386</v>
      </c>
      <c r="V108" s="157">
        <f ca="1" t="shared" si="39"/>
        <v>-39.43</v>
      </c>
    </row>
    <row r="109" s="129" customFormat="1" spans="1:22">
      <c r="A109" s="105">
        <v>43662</v>
      </c>
      <c r="B109" s="165" t="str">
        <f>VLOOKUP(C109,收益对照表汇总!A:B,2,0)</f>
        <v>000423</v>
      </c>
      <c r="C109" s="105" t="s">
        <v>42</v>
      </c>
      <c r="D109" s="141" t="s">
        <v>26</v>
      </c>
      <c r="E109" s="141">
        <v>100</v>
      </c>
      <c r="F109" s="132">
        <f>IF(C109="","",SUMIFS(E$1:E109,C$1:C109,C109,D$1:D109,"证券买入清算")-SUMIFS(E$1:E109,C$1:C109,C109,D$1:D109,"证券卖出清算"))</f>
        <v>0</v>
      </c>
      <c r="G109" s="143">
        <f t="shared" si="31"/>
        <v>33</v>
      </c>
      <c r="H109" s="142">
        <f t="shared" si="32"/>
        <v>3300</v>
      </c>
      <c r="I109" s="141">
        <v>5</v>
      </c>
      <c r="J109" s="141">
        <v>3.3</v>
      </c>
      <c r="K109" s="141">
        <v>0</v>
      </c>
      <c r="L109" s="142" t="str">
        <f t="shared" si="33"/>
        <v/>
      </c>
      <c r="M109" s="142">
        <f t="shared" si="34"/>
        <v>8.3</v>
      </c>
      <c r="N109" s="142">
        <f t="shared" si="35"/>
        <v>0.00251515151515152</v>
      </c>
      <c r="O109" s="141">
        <v>3291.7</v>
      </c>
      <c r="P109" s="141"/>
      <c r="Q109" s="142">
        <f t="shared" si="30"/>
        <v>15748.01</v>
      </c>
      <c r="R109" s="142">
        <f>IF(B109="","",IFERROR(IF(F109&lt;&gt;0,MAX(get_row)+1,LARGE(get_row,2)+1),1))</f>
        <v>1</v>
      </c>
      <c r="S109" s="134">
        <f ca="1" t="shared" si="36"/>
        <v>-651.3</v>
      </c>
      <c r="T109" s="129">
        <f ca="1" t="shared" si="37"/>
        <v>13.3</v>
      </c>
      <c r="U109" s="156">
        <f ca="1" t="shared" si="38"/>
        <v>0.00378956345069471</v>
      </c>
      <c r="V109" s="157" t="str">
        <f ca="1" t="shared" si="39"/>
        <v>Over</v>
      </c>
    </row>
    <row r="110" s="129" customFormat="1" spans="1:22">
      <c r="A110" s="105">
        <v>43668</v>
      </c>
      <c r="B110" s="165" t="str">
        <f>VLOOKUP(C110,收益对照表汇总!A:B,2,0)</f>
        <v>002507</v>
      </c>
      <c r="C110" s="105" t="s">
        <v>43</v>
      </c>
      <c r="D110" s="141" t="s">
        <v>25</v>
      </c>
      <c r="E110" s="141">
        <v>100</v>
      </c>
      <c r="F110" s="132">
        <f>IF(C110="","",SUMIFS(E$1:E110,C$1:C110,C110,D$1:D110,"证券买入清算")-SUMIFS(E$1:E110,C$1:C110,C110,D$1:D110,"证券卖出清算"))</f>
        <v>100</v>
      </c>
      <c r="G110" s="143">
        <f t="shared" si="31"/>
        <v>27.02</v>
      </c>
      <c r="H110" s="142">
        <f t="shared" si="32"/>
        <v>2702</v>
      </c>
      <c r="I110" s="141">
        <v>5</v>
      </c>
      <c r="J110" s="141"/>
      <c r="K110" s="141"/>
      <c r="L110" s="142" t="str">
        <f t="shared" si="33"/>
        <v/>
      </c>
      <c r="M110" s="142">
        <f t="shared" si="34"/>
        <v>5</v>
      </c>
      <c r="N110" s="142">
        <f t="shared" si="35"/>
        <v>0.00185048112509252</v>
      </c>
      <c r="O110" s="141"/>
      <c r="P110" s="141">
        <v>2707</v>
      </c>
      <c r="Q110" s="142">
        <f t="shared" si="30"/>
        <v>13041.01</v>
      </c>
      <c r="R110" s="142">
        <f>IF(B110="","",IFERROR(IF(F110&lt;&gt;0,MAX(get_row)+1,LARGE(get_row,2)+1),1))</f>
        <v>1</v>
      </c>
      <c r="S110" s="134">
        <f ca="1" t="shared" si="36"/>
        <v>-2707</v>
      </c>
      <c r="T110" s="129">
        <f ca="1" t="shared" si="37"/>
        <v>5</v>
      </c>
      <c r="U110" s="156">
        <f ca="1" t="shared" si="38"/>
        <v>0.0018470631695604</v>
      </c>
      <c r="V110" s="157">
        <f ca="1" t="shared" si="39"/>
        <v>-27.07</v>
      </c>
    </row>
    <row r="111" s="129" customFormat="1" spans="1:22">
      <c r="A111" s="105">
        <v>43670</v>
      </c>
      <c r="B111" s="165" t="str">
        <f>VLOOKUP(C111,收益对照表汇总!A:B,2,0)</f>
        <v>002507</v>
      </c>
      <c r="C111" s="105" t="s">
        <v>43</v>
      </c>
      <c r="D111" s="141" t="s">
        <v>26</v>
      </c>
      <c r="E111" s="141">
        <v>100</v>
      </c>
      <c r="F111" s="132">
        <f>IF(C111="","",SUMIFS(E$1:E111,C$1:C111,C111,D$1:D111,"证券买入清算")-SUMIFS(E$1:E111,C$1:C111,C111,D$1:D111,"证券卖出清算"))</f>
        <v>0</v>
      </c>
      <c r="G111" s="143">
        <f t="shared" si="31"/>
        <v>27.16</v>
      </c>
      <c r="H111" s="142">
        <f t="shared" si="32"/>
        <v>2716</v>
      </c>
      <c r="I111" s="141">
        <v>5</v>
      </c>
      <c r="J111" s="141">
        <v>2.72</v>
      </c>
      <c r="K111" s="141">
        <v>0</v>
      </c>
      <c r="L111" s="142" t="str">
        <f t="shared" si="33"/>
        <v/>
      </c>
      <c r="M111" s="142">
        <f t="shared" si="34"/>
        <v>7.72</v>
      </c>
      <c r="N111" s="142">
        <f t="shared" si="35"/>
        <v>0.00284241531664212</v>
      </c>
      <c r="O111" s="141">
        <v>2708.28</v>
      </c>
      <c r="P111" s="141"/>
      <c r="Q111" s="142">
        <f t="shared" si="30"/>
        <v>15749.29</v>
      </c>
      <c r="R111" s="142">
        <f>IF(B111="","",IFERROR(IF(F111&lt;&gt;0,MAX(get_row)+1,LARGE(get_row,2)+1),1))</f>
        <v>1</v>
      </c>
      <c r="S111" s="134">
        <f ca="1" t="shared" si="36"/>
        <v>1.2800000000002</v>
      </c>
      <c r="T111" s="129">
        <f ca="1" t="shared" si="37"/>
        <v>12.72</v>
      </c>
      <c r="U111" s="156">
        <f ca="1" t="shared" si="38"/>
        <v>0.00469758084129301</v>
      </c>
      <c r="V111" s="157" t="str">
        <f ca="1" t="shared" si="39"/>
        <v>Over</v>
      </c>
    </row>
    <row r="112" s="129" customFormat="1" spans="1:22">
      <c r="A112" s="105">
        <v>43684</v>
      </c>
      <c r="B112" s="141">
        <f>VLOOKUP(C112,收益对照表汇总!A:B,2,0)</f>
        <v>601288</v>
      </c>
      <c r="C112" s="105" t="s">
        <v>31</v>
      </c>
      <c r="D112" s="141" t="s">
        <v>25</v>
      </c>
      <c r="E112" s="141">
        <v>500</v>
      </c>
      <c r="F112" s="132">
        <f>IF(C112="","",SUMIFS(E$1:E112,C$1:C112,C112,D$1:D112,"证券买入清算")-SUMIFS(E$1:E112,C$1:C112,C112,D$1:D112,"证券卖出清算"))</f>
        <v>500</v>
      </c>
      <c r="G112" s="143">
        <f t="shared" si="31"/>
        <v>3.43</v>
      </c>
      <c r="H112" s="142">
        <f t="shared" si="32"/>
        <v>1715</v>
      </c>
      <c r="I112" s="141">
        <v>5</v>
      </c>
      <c r="J112" s="141"/>
      <c r="K112" s="141">
        <v>0.03</v>
      </c>
      <c r="L112" s="142" t="str">
        <f t="shared" si="33"/>
        <v/>
      </c>
      <c r="M112" s="142">
        <f t="shared" si="34"/>
        <v>5.03</v>
      </c>
      <c r="N112" s="142">
        <f t="shared" si="35"/>
        <v>0.00293294460641399</v>
      </c>
      <c r="O112" s="141"/>
      <c r="P112" s="141">
        <v>1720.03</v>
      </c>
      <c r="Q112" s="142">
        <f t="shared" si="30"/>
        <v>14029.26</v>
      </c>
      <c r="R112" s="142">
        <f>IF(B112="","",IFERROR(IF(F112&lt;&gt;0,MAX(get_row)+1,LARGE(get_row,2)+1),1))</f>
        <v>37</v>
      </c>
      <c r="S112" s="134">
        <f ca="1" t="shared" si="36"/>
        <v>-1720.03</v>
      </c>
      <c r="T112" s="129">
        <f ca="1" t="shared" si="37"/>
        <v>5.03</v>
      </c>
      <c r="U112" s="156">
        <f ca="1" t="shared" si="38"/>
        <v>0.00292436759823957</v>
      </c>
      <c r="V112" s="157">
        <f ca="1" t="shared" si="39"/>
        <v>-3.44006</v>
      </c>
    </row>
    <row r="113" s="129" customFormat="1" spans="1:22">
      <c r="A113" s="105">
        <v>43684</v>
      </c>
      <c r="B113" s="165" t="str">
        <f>VLOOKUP(C113,收益对照表汇总!A:B,2,0)</f>
        <v>002572</v>
      </c>
      <c r="C113" s="105" t="s">
        <v>35</v>
      </c>
      <c r="D113" s="141" t="s">
        <v>25</v>
      </c>
      <c r="E113" s="141">
        <v>100</v>
      </c>
      <c r="F113" s="132">
        <f>IF(C113="","",SUMIFS(E$1:E113,C$1:C113,C113,D$1:D113,"证券买入清算")-SUMIFS(E$1:E113,C$1:C113,C113,D$1:D113,"证券卖出清算"))</f>
        <v>100</v>
      </c>
      <c r="G113" s="143">
        <f t="shared" si="31"/>
        <v>16.7</v>
      </c>
      <c r="H113" s="142">
        <f t="shared" si="32"/>
        <v>1670</v>
      </c>
      <c r="I113" s="141">
        <v>5</v>
      </c>
      <c r="J113" s="141"/>
      <c r="K113" s="141"/>
      <c r="L113" s="142" t="str">
        <f t="shared" si="33"/>
        <v/>
      </c>
      <c r="M113" s="142">
        <f t="shared" si="34"/>
        <v>5</v>
      </c>
      <c r="N113" s="142">
        <f t="shared" si="35"/>
        <v>0.0029940119760479</v>
      </c>
      <c r="O113" s="141"/>
      <c r="P113" s="141">
        <v>1675</v>
      </c>
      <c r="Q113" s="142">
        <f t="shared" si="30"/>
        <v>12354.26</v>
      </c>
      <c r="R113" s="142">
        <f>IF(B113="","",IFERROR(IF(F113&lt;&gt;0,MAX(get_row)+1,LARGE(get_row,2)+1),1))</f>
        <v>106</v>
      </c>
      <c r="S113" s="134">
        <f ca="1" t="shared" si="36"/>
        <v>-1675</v>
      </c>
      <c r="T113" s="129">
        <f ca="1" t="shared" si="37"/>
        <v>5</v>
      </c>
      <c r="U113" s="156">
        <f ca="1" t="shared" si="38"/>
        <v>0.00298507462686567</v>
      </c>
      <c r="V113" s="157">
        <f ca="1" t="shared" si="39"/>
        <v>-16.75</v>
      </c>
    </row>
    <row r="114" s="129" customFormat="1" spans="1:22">
      <c r="A114" s="105">
        <v>43690</v>
      </c>
      <c r="B114" s="165" t="str">
        <f>VLOOKUP(C114,收益对照表汇总!A:B,2,0)</f>
        <v>002572</v>
      </c>
      <c r="C114" s="105" t="s">
        <v>35</v>
      </c>
      <c r="D114" s="141" t="s">
        <v>26</v>
      </c>
      <c r="E114" s="141">
        <v>100</v>
      </c>
      <c r="F114" s="132">
        <f>IF(C114="","",SUMIFS(E$1:E114,C$1:C114,C114,D$1:D114,"证券买入清算")-SUMIFS(E$1:E114,C$1:C114,C114,D$1:D114,"证券卖出清算"))</f>
        <v>0</v>
      </c>
      <c r="G114" s="143">
        <f t="shared" si="31"/>
        <v>17.02</v>
      </c>
      <c r="H114" s="142">
        <f t="shared" si="32"/>
        <v>1702</v>
      </c>
      <c r="I114" s="141">
        <v>5</v>
      </c>
      <c r="J114" s="141">
        <v>1.7</v>
      </c>
      <c r="K114" s="141">
        <v>0</v>
      </c>
      <c r="L114" s="142" t="str">
        <f t="shared" si="33"/>
        <v/>
      </c>
      <c r="M114" s="142">
        <f t="shared" si="34"/>
        <v>6.7</v>
      </c>
      <c r="N114" s="142">
        <f t="shared" si="35"/>
        <v>0.00393654524089307</v>
      </c>
      <c r="O114" s="141">
        <v>1695.3</v>
      </c>
      <c r="P114" s="141"/>
      <c r="Q114" s="142">
        <f t="shared" si="30"/>
        <v>14049.56</v>
      </c>
      <c r="R114" s="142">
        <f>IF(B114="","",IFERROR(IF(F114&lt;&gt;0,MAX(get_row)+1,LARGE(get_row,2)+1),1))</f>
        <v>106</v>
      </c>
      <c r="S114" s="134">
        <f ca="1" t="shared" si="36"/>
        <v>20.3</v>
      </c>
      <c r="T114" s="129">
        <f ca="1" t="shared" si="37"/>
        <v>11.7</v>
      </c>
      <c r="U114" s="156">
        <f ca="1" t="shared" si="38"/>
        <v>0.00693717749951358</v>
      </c>
      <c r="V114" s="157" t="str">
        <f ca="1" t="shared" si="39"/>
        <v>Over</v>
      </c>
    </row>
    <row r="115" s="129" customFormat="1" spans="1:22">
      <c r="A115" s="105">
        <v>43690</v>
      </c>
      <c r="B115" s="165" t="str">
        <f>VLOOKUP(C115,收益对照表汇总!A:B,2,0)</f>
        <v>002507</v>
      </c>
      <c r="C115" s="105" t="s">
        <v>43</v>
      </c>
      <c r="D115" s="141" t="s">
        <v>25</v>
      </c>
      <c r="E115" s="141">
        <v>100</v>
      </c>
      <c r="F115" s="132">
        <f>IF(C115="","",SUMIFS(E$1:E115,C$1:C115,C115,D$1:D115,"证券买入清算")-SUMIFS(E$1:E115,C$1:C115,C115,D$1:D115,"证券卖出清算"))</f>
        <v>100</v>
      </c>
      <c r="G115" s="143">
        <f t="shared" si="31"/>
        <v>21.65</v>
      </c>
      <c r="H115" s="142">
        <f t="shared" si="32"/>
        <v>2165</v>
      </c>
      <c r="I115" s="141">
        <v>5</v>
      </c>
      <c r="J115" s="141"/>
      <c r="K115" s="141"/>
      <c r="L115" s="142" t="str">
        <f t="shared" si="33"/>
        <v/>
      </c>
      <c r="M115" s="142">
        <f t="shared" si="34"/>
        <v>5</v>
      </c>
      <c r="N115" s="142">
        <f t="shared" si="35"/>
        <v>0.0023094688221709</v>
      </c>
      <c r="O115" s="141"/>
      <c r="P115" s="141">
        <v>2170</v>
      </c>
      <c r="Q115" s="142">
        <f t="shared" si="30"/>
        <v>11879.56</v>
      </c>
      <c r="R115" s="142">
        <f>IF(B115="","",IFERROR(IF(F115&lt;&gt;0,MAX(get_row)+1,LARGE(get_row,2)+1),1))</f>
        <v>112</v>
      </c>
      <c r="S115" s="134">
        <f ca="1" t="shared" si="36"/>
        <v>-2170</v>
      </c>
      <c r="T115" s="129">
        <f ca="1" t="shared" si="37"/>
        <v>5</v>
      </c>
      <c r="U115" s="156">
        <f ca="1" t="shared" si="38"/>
        <v>0.00230414746543779</v>
      </c>
      <c r="V115" s="157">
        <f ca="1" t="shared" si="39"/>
        <v>-21.7</v>
      </c>
    </row>
    <row r="116" s="129" customFormat="1" spans="1:22">
      <c r="A116" s="105">
        <v>43691</v>
      </c>
      <c r="B116" s="165" t="str">
        <f>VLOOKUP(C116,收益对照表汇总!A:B,2,0)</f>
        <v>002507</v>
      </c>
      <c r="C116" s="105" t="s">
        <v>43</v>
      </c>
      <c r="D116" s="141" t="s">
        <v>26</v>
      </c>
      <c r="E116" s="141">
        <v>100</v>
      </c>
      <c r="F116" s="132">
        <f>IF(C116="","",SUMIFS(E$1:E116,C$1:C116,C116,D$1:D116,"证券买入清算")-SUMIFS(E$1:E116,C$1:C116,C116,D$1:D116,"证券卖出清算"))</f>
        <v>0</v>
      </c>
      <c r="G116" s="143">
        <f t="shared" si="31"/>
        <v>21.85</v>
      </c>
      <c r="H116" s="142">
        <f t="shared" si="32"/>
        <v>2185</v>
      </c>
      <c r="I116" s="141">
        <v>5</v>
      </c>
      <c r="J116" s="141">
        <v>2.19</v>
      </c>
      <c r="K116" s="141">
        <v>0</v>
      </c>
      <c r="L116" s="142" t="str">
        <f t="shared" si="33"/>
        <v/>
      </c>
      <c r="M116" s="142">
        <f t="shared" si="34"/>
        <v>7.19</v>
      </c>
      <c r="N116" s="142">
        <f t="shared" si="35"/>
        <v>0.00329061784897025</v>
      </c>
      <c r="O116" s="141">
        <v>2177.81</v>
      </c>
      <c r="P116" s="141"/>
      <c r="Q116" s="142">
        <f t="shared" si="30"/>
        <v>14057.37</v>
      </c>
      <c r="R116" s="142">
        <f>IF(B116="","",IFERROR(IF(F116&lt;&gt;0,MAX(get_row)+1,LARGE(get_row,2)+1),1))</f>
        <v>112</v>
      </c>
      <c r="S116" s="134">
        <f ca="1" t="shared" si="36"/>
        <v>7.80999999999995</v>
      </c>
      <c r="T116" s="129">
        <f ca="1" t="shared" si="37"/>
        <v>12.19</v>
      </c>
      <c r="U116" s="156">
        <f ca="1" t="shared" si="38"/>
        <v>0.00560562922922802</v>
      </c>
      <c r="V116" s="157" t="str">
        <f ca="1" t="shared" si="39"/>
        <v>Over</v>
      </c>
    </row>
    <row r="117" s="129" customFormat="1" spans="1:22">
      <c r="A117" s="105">
        <v>43719</v>
      </c>
      <c r="B117" s="141">
        <f>VLOOKUP(C117,收益对照表汇总!A:B,2,0)</f>
        <v>601288</v>
      </c>
      <c r="C117" s="105" t="s">
        <v>31</v>
      </c>
      <c r="D117" s="141" t="s">
        <v>26</v>
      </c>
      <c r="E117" s="141">
        <v>500</v>
      </c>
      <c r="F117" s="132">
        <f>IF(C117="","",SUMIFS(E$1:E117,C$1:C117,C117,D$1:D117,"证券买入清算")-SUMIFS(E$1:E117,C$1:C117,C117,D$1:D117,"证券卖出清算"))</f>
        <v>0</v>
      </c>
      <c r="G117" s="143">
        <f t="shared" si="31"/>
        <v>3.51</v>
      </c>
      <c r="H117" s="142">
        <f t="shared" si="32"/>
        <v>1755</v>
      </c>
      <c r="I117" s="141">
        <v>5</v>
      </c>
      <c r="J117" s="141">
        <v>1.76</v>
      </c>
      <c r="K117" s="141">
        <v>0.04</v>
      </c>
      <c r="L117" s="142" t="str">
        <f t="shared" si="33"/>
        <v/>
      </c>
      <c r="M117" s="142">
        <f t="shared" si="34"/>
        <v>6.8</v>
      </c>
      <c r="N117" s="142">
        <f t="shared" si="35"/>
        <v>0.00387464387464387</v>
      </c>
      <c r="O117" s="141">
        <v>1748.2</v>
      </c>
      <c r="P117" s="141"/>
      <c r="Q117" s="142">
        <f t="shared" si="30"/>
        <v>15805.57</v>
      </c>
      <c r="R117" s="142">
        <f>IF(B117="","",IFERROR(IF(F117&lt;&gt;0,MAX(get_row)+1,LARGE(get_row,2)+1),1))</f>
        <v>37</v>
      </c>
      <c r="S117" s="134">
        <f ca="1" t="shared" si="36"/>
        <v>28.1700000000001</v>
      </c>
      <c r="T117" s="129">
        <f ca="1" t="shared" si="37"/>
        <v>11.83</v>
      </c>
      <c r="U117" s="156">
        <f ca="1" t="shared" si="38"/>
        <v>0.00681408273380758</v>
      </c>
      <c r="V117" s="157" t="str">
        <f ca="1" t="shared" si="39"/>
        <v>Over</v>
      </c>
    </row>
    <row r="118" s="129" customFormat="1" spans="1:22">
      <c r="A118" s="105">
        <v>43731</v>
      </c>
      <c r="B118" s="105"/>
      <c r="C118" s="105"/>
      <c r="D118" s="105" t="s">
        <v>28</v>
      </c>
      <c r="E118" s="141"/>
      <c r="F118" s="132" t="str">
        <f>IF(C118="","",SUMIFS(E$1:E118,C$1:C118,C118,D$1:D118,"证券买入清算")-SUMIFS(E$1:E118,C$1:C118,C118,D$1:D118,"证券卖出清算"))</f>
        <v/>
      </c>
      <c r="G118" s="143" t="str">
        <f t="shared" si="31"/>
        <v/>
      </c>
      <c r="H118" s="142" t="str">
        <f t="shared" si="32"/>
        <v/>
      </c>
      <c r="I118" s="141"/>
      <c r="J118" s="141"/>
      <c r="K118" s="141"/>
      <c r="L118" s="142" t="str">
        <f t="shared" si="33"/>
        <v/>
      </c>
      <c r="M118" s="142" t="str">
        <f t="shared" si="34"/>
        <v/>
      </c>
      <c r="N118" s="142" t="str">
        <f t="shared" si="35"/>
        <v/>
      </c>
      <c r="O118" s="141">
        <v>13.52</v>
      </c>
      <c r="P118" s="141"/>
      <c r="Q118" s="142">
        <f t="shared" si="30"/>
        <v>15819.09</v>
      </c>
      <c r="R118" s="142" t="str">
        <f>IF(B118="","",IFERROR(IF(F118&lt;&gt;0,MAX(get_row)+1,LARGE(get_row,2)+1),1))</f>
        <v/>
      </c>
      <c r="S118" s="134" t="str">
        <f ca="1" t="shared" si="36"/>
        <v/>
      </c>
      <c r="T118" s="129" t="str">
        <f ca="1" t="shared" si="37"/>
        <v/>
      </c>
      <c r="U118" s="156" t="str">
        <f ca="1" t="shared" si="38"/>
        <v/>
      </c>
      <c r="V118" s="157" t="str">
        <f ca="1" t="shared" si="39"/>
        <v/>
      </c>
    </row>
    <row r="119" s="129" customFormat="1" spans="1:22">
      <c r="A119" s="105">
        <v>43734</v>
      </c>
      <c r="B119" s="165" t="str">
        <f>VLOOKUP(C119,收益对照表汇总!A:B,2,0)</f>
        <v>600332</v>
      </c>
      <c r="C119" s="105" t="s">
        <v>39</v>
      </c>
      <c r="D119" s="141" t="s">
        <v>25</v>
      </c>
      <c r="E119" s="141">
        <v>100</v>
      </c>
      <c r="F119" s="132">
        <f>IF(C119="","",SUMIFS(E$1:E119,C$1:C119,C119,D$1:D119,"证券买入清算")-SUMIFS(E$1:E119,C$1:C119,C119,D$1:D119,"证券卖出清算"))</f>
        <v>100</v>
      </c>
      <c r="G119" s="143">
        <f t="shared" si="31"/>
        <v>34.55</v>
      </c>
      <c r="H119" s="142">
        <f t="shared" si="32"/>
        <v>3455</v>
      </c>
      <c r="I119" s="141">
        <v>5</v>
      </c>
      <c r="J119" s="141"/>
      <c r="K119" s="141">
        <v>0.07</v>
      </c>
      <c r="L119" s="142" t="str">
        <f t="shared" si="33"/>
        <v/>
      </c>
      <c r="M119" s="142">
        <f t="shared" si="34"/>
        <v>5.07</v>
      </c>
      <c r="N119" s="142">
        <f t="shared" si="35"/>
        <v>0.00146743849493488</v>
      </c>
      <c r="O119" s="141"/>
      <c r="P119" s="141">
        <v>3460.07</v>
      </c>
      <c r="Q119" s="142">
        <f t="shared" si="30"/>
        <v>12359.02</v>
      </c>
      <c r="R119" s="142">
        <f>IF(B119="","",IFERROR(IF(F119&lt;&gt;0,MAX(get_row)+1,LARGE(get_row,2)+1),1))</f>
        <v>84</v>
      </c>
      <c r="S119" s="134">
        <f ca="1" t="shared" si="36"/>
        <v>-3460.07</v>
      </c>
      <c r="T119" s="129">
        <f ca="1" t="shared" si="37"/>
        <v>5.07</v>
      </c>
      <c r="U119" s="156">
        <f ca="1" t="shared" si="38"/>
        <v>0.00146528827451468</v>
      </c>
      <c r="V119" s="157">
        <f ca="1" t="shared" si="39"/>
        <v>-34.6007</v>
      </c>
    </row>
    <row r="120" s="129" customFormat="1" spans="1:22">
      <c r="A120" s="105">
        <v>43738</v>
      </c>
      <c r="B120" s="165" t="str">
        <f>VLOOKUP(C120,收益对照表汇总!A:B,2,0)</f>
        <v>600332</v>
      </c>
      <c r="C120" s="105" t="s">
        <v>39</v>
      </c>
      <c r="D120" s="141" t="s">
        <v>26</v>
      </c>
      <c r="E120" s="141">
        <v>100</v>
      </c>
      <c r="F120" s="132">
        <f>IF(C120="","",SUMIFS(E$1:E120,C$1:C120,C120,D$1:D120,"证券买入清算")-SUMIFS(E$1:E120,C$1:C120,C120,D$1:D120,"证券卖出清算"))</f>
        <v>0</v>
      </c>
      <c r="G120" s="143">
        <f t="shared" si="31"/>
        <v>34.93</v>
      </c>
      <c r="H120" s="142">
        <f t="shared" si="32"/>
        <v>3493</v>
      </c>
      <c r="I120" s="141">
        <v>5</v>
      </c>
      <c r="J120" s="141">
        <v>3.49</v>
      </c>
      <c r="K120" s="141">
        <v>0.0700000000000003</v>
      </c>
      <c r="L120" s="142" t="str">
        <f t="shared" si="33"/>
        <v/>
      </c>
      <c r="M120" s="142">
        <f t="shared" si="34"/>
        <v>8.56</v>
      </c>
      <c r="N120" s="142">
        <f t="shared" si="35"/>
        <v>0.00245061551674778</v>
      </c>
      <c r="O120" s="141">
        <v>3484.44</v>
      </c>
      <c r="P120" s="141"/>
      <c r="Q120" s="142">
        <f t="shared" si="30"/>
        <v>15843.46</v>
      </c>
      <c r="R120" s="142">
        <f>IF(B120="","",IFERROR(IF(F120&lt;&gt;0,MAX(get_row)+1,LARGE(get_row,2)+1),1))</f>
        <v>84</v>
      </c>
      <c r="S120" s="134">
        <f ca="1" t="shared" si="36"/>
        <v>24.3699999999999</v>
      </c>
      <c r="T120" s="129">
        <f ca="1" t="shared" si="37"/>
        <v>13.63</v>
      </c>
      <c r="U120" s="156">
        <f ca="1" t="shared" si="38"/>
        <v>0.00392192406103992</v>
      </c>
      <c r="V120" s="157" t="str">
        <f ca="1" t="shared" si="39"/>
        <v>Over</v>
      </c>
    </row>
    <row r="121" s="129" customFormat="1" spans="1:22">
      <c r="A121" s="105">
        <v>43738</v>
      </c>
      <c r="B121" s="141">
        <f>VLOOKUP(C121,收益对照表汇总!A:B,2,0)</f>
        <v>600085</v>
      </c>
      <c r="C121" s="105" t="s">
        <v>36</v>
      </c>
      <c r="D121" s="141" t="s">
        <v>25</v>
      </c>
      <c r="E121" s="141">
        <v>100</v>
      </c>
      <c r="F121" s="132">
        <f>IF(C121="","",SUMIFS(E$1:E121,C$1:C121,C121,D$1:D121,"证券买入清算")-SUMIFS(E$1:E121,C$1:C121,C121,D$1:D121,"证券卖出清算"))</f>
        <v>100</v>
      </c>
      <c r="G121" s="143">
        <f t="shared" si="31"/>
        <v>26.9</v>
      </c>
      <c r="H121" s="142">
        <f t="shared" si="32"/>
        <v>2690</v>
      </c>
      <c r="I121" s="141">
        <v>5</v>
      </c>
      <c r="J121" s="141"/>
      <c r="K121" s="141">
        <v>0.05</v>
      </c>
      <c r="L121" s="142" t="str">
        <f t="shared" si="33"/>
        <v/>
      </c>
      <c r="M121" s="142">
        <f t="shared" si="34"/>
        <v>5.05</v>
      </c>
      <c r="N121" s="142">
        <f t="shared" si="35"/>
        <v>0.00187732342007435</v>
      </c>
      <c r="O121" s="141"/>
      <c r="P121" s="141">
        <v>2695.05</v>
      </c>
      <c r="Q121" s="142">
        <f t="shared" si="30"/>
        <v>13148.41</v>
      </c>
      <c r="R121" s="142">
        <f>IF(B121="","",IFERROR(IF(F121&lt;&gt;0,MAX(get_row)+1,LARGE(get_row,2)+1),1))</f>
        <v>67</v>
      </c>
      <c r="S121" s="134">
        <f ca="1" t="shared" si="36"/>
        <v>-2695.05</v>
      </c>
      <c r="T121" s="129">
        <f ca="1" t="shared" si="37"/>
        <v>5.05</v>
      </c>
      <c r="U121" s="156">
        <f ca="1" t="shared" si="38"/>
        <v>0.00187380568078514</v>
      </c>
      <c r="V121" s="157">
        <f ca="1" t="shared" si="39"/>
        <v>-26.9505</v>
      </c>
    </row>
    <row r="122" s="129" customFormat="1" spans="1:22">
      <c r="A122" s="105">
        <v>43754</v>
      </c>
      <c r="B122" s="165" t="str">
        <f>VLOOKUP(C122,收益对照表汇总!A:B,2,0)</f>
        <v>002661</v>
      </c>
      <c r="C122" s="105" t="s">
        <v>32</v>
      </c>
      <c r="D122" s="141" t="s">
        <v>25</v>
      </c>
      <c r="E122" s="141">
        <v>100</v>
      </c>
      <c r="F122" s="132">
        <f>IF(C122="","",SUMIFS(E$1:E122,C$1:C122,C122,D$1:D122,"证券买入清算")-SUMIFS(E$1:E122,C$1:C122,C122,D$1:D122,"证券卖出清算"))</f>
        <v>100</v>
      </c>
      <c r="G122" s="143">
        <f t="shared" si="31"/>
        <v>12.05</v>
      </c>
      <c r="H122" s="142">
        <f t="shared" si="32"/>
        <v>1205</v>
      </c>
      <c r="I122" s="141">
        <v>5</v>
      </c>
      <c r="J122" s="141"/>
      <c r="K122" s="141"/>
      <c r="L122" s="142" t="str">
        <f t="shared" si="33"/>
        <v/>
      </c>
      <c r="M122" s="142">
        <f t="shared" si="34"/>
        <v>5</v>
      </c>
      <c r="N122" s="142">
        <f t="shared" si="35"/>
        <v>0.004149377593361</v>
      </c>
      <c r="O122" s="141"/>
      <c r="P122" s="141">
        <v>1210</v>
      </c>
      <c r="Q122" s="142">
        <f t="shared" si="30"/>
        <v>11938.41</v>
      </c>
      <c r="R122" s="142">
        <f>IF(B122="","",IFERROR(IF(F122&lt;&gt;0,MAX(get_row)+1,LARGE(get_row,2)+1),1))</f>
        <v>62</v>
      </c>
      <c r="S122" s="134">
        <f ca="1" t="shared" si="36"/>
        <v>-1210</v>
      </c>
      <c r="T122" s="129">
        <f ca="1" t="shared" si="37"/>
        <v>5</v>
      </c>
      <c r="U122" s="156">
        <f ca="1" t="shared" si="38"/>
        <v>0.00413223140495868</v>
      </c>
      <c r="V122" s="157">
        <f ca="1" t="shared" si="39"/>
        <v>-12.1</v>
      </c>
    </row>
    <row r="123" s="129" customFormat="1" spans="1:22">
      <c r="A123" s="105">
        <v>43761</v>
      </c>
      <c r="B123" s="165" t="str">
        <f>VLOOKUP(C123,收益对照表汇总!A:B,2,0)</f>
        <v>002661</v>
      </c>
      <c r="C123" s="105" t="s">
        <v>32</v>
      </c>
      <c r="D123" s="141" t="s">
        <v>26</v>
      </c>
      <c r="E123" s="141">
        <v>100</v>
      </c>
      <c r="F123" s="132">
        <f>IF(C123="","",SUMIFS(E$1:E123,C$1:C123,C123,D$1:D123,"证券买入清算")-SUMIFS(E$1:E123,C$1:C123,C123,D$1:D123,"证券卖出清算"))</f>
        <v>0</v>
      </c>
      <c r="G123" s="143">
        <f t="shared" si="31"/>
        <v>12.1</v>
      </c>
      <c r="H123" s="142">
        <f t="shared" si="32"/>
        <v>1210</v>
      </c>
      <c r="I123" s="141">
        <v>5</v>
      </c>
      <c r="J123" s="141">
        <v>1.21</v>
      </c>
      <c r="K123" s="141">
        <v>0</v>
      </c>
      <c r="L123" s="142" t="str">
        <f t="shared" si="33"/>
        <v/>
      </c>
      <c r="M123" s="142">
        <f t="shared" si="34"/>
        <v>6.21</v>
      </c>
      <c r="N123" s="142">
        <f t="shared" si="35"/>
        <v>0.00513223140495868</v>
      </c>
      <c r="O123" s="141">
        <v>1203.79</v>
      </c>
      <c r="P123" s="141"/>
      <c r="Q123" s="142">
        <f t="shared" si="30"/>
        <v>13142.2</v>
      </c>
      <c r="R123" s="142">
        <f>IF(B123="","",IFERROR(IF(F123&lt;&gt;0,MAX(get_row)+1,LARGE(get_row,2)+1),1))</f>
        <v>62</v>
      </c>
      <c r="S123" s="134">
        <f ca="1" t="shared" si="36"/>
        <v>-6.21000000000004</v>
      </c>
      <c r="T123" s="129">
        <f ca="1" t="shared" si="37"/>
        <v>11.21</v>
      </c>
      <c r="U123" s="156">
        <f ca="1" t="shared" si="38"/>
        <v>0.00929093848842008</v>
      </c>
      <c r="V123" s="157" t="str">
        <f ca="1" t="shared" si="39"/>
        <v>Over</v>
      </c>
    </row>
    <row r="124" s="129" customFormat="1" spans="1:22">
      <c r="A124" s="105">
        <v>43766</v>
      </c>
      <c r="B124" s="141">
        <f>VLOOKUP(C124,收益对照表汇总!A:B,2,0)</f>
        <v>600085</v>
      </c>
      <c r="C124" s="105" t="s">
        <v>36</v>
      </c>
      <c r="D124" s="141" t="s">
        <v>26</v>
      </c>
      <c r="E124" s="141">
        <v>100</v>
      </c>
      <c r="F124" s="132">
        <f>IF(C124="","",SUMIFS(E$1:E124,C$1:C124,C124,D$1:D124,"证券买入清算")-SUMIFS(E$1:E124,C$1:C124,C124,D$1:D124,"证券卖出清算"))</f>
        <v>0</v>
      </c>
      <c r="G124" s="143">
        <f t="shared" si="31"/>
        <v>27.62</v>
      </c>
      <c r="H124" s="142">
        <f t="shared" si="32"/>
        <v>2762</v>
      </c>
      <c r="I124" s="141">
        <v>5</v>
      </c>
      <c r="J124" s="141">
        <v>2.76</v>
      </c>
      <c r="K124" s="141">
        <v>0.0600000000000005</v>
      </c>
      <c r="L124" s="142" t="str">
        <f t="shared" si="33"/>
        <v/>
      </c>
      <c r="M124" s="142">
        <f t="shared" si="34"/>
        <v>7.82</v>
      </c>
      <c r="N124" s="142">
        <f t="shared" si="35"/>
        <v>0.00283128167994207</v>
      </c>
      <c r="O124" s="141">
        <v>2754.18</v>
      </c>
      <c r="P124" s="141"/>
      <c r="Q124" s="142">
        <f t="shared" si="30"/>
        <v>15896.38</v>
      </c>
      <c r="R124" s="142">
        <f>IF(B124="","",IFERROR(IF(F124&lt;&gt;0,MAX(get_row)+1,LARGE(get_row,2)+1),1))</f>
        <v>67</v>
      </c>
      <c r="S124" s="134">
        <f ca="1" t="shared" si="36"/>
        <v>59.1299999999997</v>
      </c>
      <c r="T124" s="129">
        <f ca="1" t="shared" si="37"/>
        <v>12.87</v>
      </c>
      <c r="U124" s="156">
        <f ca="1" t="shared" si="38"/>
        <v>0.00471312627711508</v>
      </c>
      <c r="V124" s="157" t="str">
        <f ca="1" t="shared" si="39"/>
        <v>Over</v>
      </c>
    </row>
    <row r="125" s="129" customFormat="1" spans="1:22">
      <c r="A125" s="105">
        <v>43773</v>
      </c>
      <c r="B125" s="141">
        <f>VLOOKUP(C125,收益对照表汇总!A:B,2,0)</f>
        <v>600085</v>
      </c>
      <c r="C125" s="105" t="s">
        <v>36</v>
      </c>
      <c r="D125" s="141" t="s">
        <v>25</v>
      </c>
      <c r="E125" s="141">
        <v>100</v>
      </c>
      <c r="F125" s="132">
        <f>IF(C125="","",SUMIFS(E$1:E125,C$1:C125,C125,D$1:D125,"证券买入清算")-SUMIFS(E$1:E125,C$1:C125,C125,D$1:D125,"证券卖出清算"))</f>
        <v>100</v>
      </c>
      <c r="G125" s="143">
        <f t="shared" si="31"/>
        <v>26.84</v>
      </c>
      <c r="H125" s="142">
        <f t="shared" si="32"/>
        <v>2684</v>
      </c>
      <c r="I125" s="141">
        <v>5</v>
      </c>
      <c r="J125" s="141"/>
      <c r="K125" s="141">
        <v>0.05</v>
      </c>
      <c r="L125" s="142" t="str">
        <f t="shared" si="33"/>
        <v/>
      </c>
      <c r="M125" s="142">
        <f t="shared" si="34"/>
        <v>5.05</v>
      </c>
      <c r="N125" s="142">
        <f t="shared" si="35"/>
        <v>0.00188152011922504</v>
      </c>
      <c r="O125" s="141"/>
      <c r="P125" s="141">
        <v>2689.05</v>
      </c>
      <c r="Q125" s="142">
        <f t="shared" si="30"/>
        <v>13207.33</v>
      </c>
      <c r="R125" s="142">
        <f>IF(B125="","",IFERROR(IF(F125&lt;&gt;0,MAX(get_row)+1,LARGE(get_row,2)+1),1))</f>
        <v>125</v>
      </c>
      <c r="S125" s="134">
        <f ca="1" t="shared" si="36"/>
        <v>-2689.05</v>
      </c>
      <c r="T125" s="129">
        <f ca="1" t="shared" si="37"/>
        <v>5.05</v>
      </c>
      <c r="U125" s="156">
        <f ca="1" t="shared" si="38"/>
        <v>0.00187798664956025</v>
      </c>
      <c r="V125" s="157">
        <f ca="1" t="shared" si="39"/>
        <v>-26.8905</v>
      </c>
    </row>
    <row r="126" s="129" customFormat="1" spans="1:22">
      <c r="A126" s="105">
        <v>43805</v>
      </c>
      <c r="B126" s="141">
        <f>VLOOKUP(C126,收益对照表汇总!A:B,2,0)</f>
        <v>600085</v>
      </c>
      <c r="C126" s="105" t="s">
        <v>36</v>
      </c>
      <c r="D126" s="141" t="s">
        <v>44</v>
      </c>
      <c r="E126" s="141"/>
      <c r="F126" s="132">
        <f>IF(C126="","",SUMIFS(E$1:E126,C$1:C126,C126,D$1:D126,"证券买入清算")-SUMIFS(E$1:E126,C$1:C126,C126,D$1:D126,"证券卖出清算"))</f>
        <v>100</v>
      </c>
      <c r="G126" s="143">
        <f t="shared" si="31"/>
        <v>0</v>
      </c>
      <c r="H126" s="142">
        <f t="shared" si="32"/>
        <v>0</v>
      </c>
      <c r="I126" s="141"/>
      <c r="J126" s="141"/>
      <c r="K126" s="141"/>
      <c r="L126" s="142">
        <f t="shared" si="33"/>
        <v>-50</v>
      </c>
      <c r="M126" s="142">
        <f t="shared" si="34"/>
        <v>-50</v>
      </c>
      <c r="N126" s="142" t="str">
        <f t="shared" si="35"/>
        <v/>
      </c>
      <c r="O126" s="141">
        <v>50</v>
      </c>
      <c r="P126" s="141"/>
      <c r="Q126" s="142">
        <f t="shared" si="30"/>
        <v>13257.33</v>
      </c>
      <c r="R126" s="142">
        <f>IF(B126="","",IFERROR(IF(F126&lt;&gt;0,MAX(get_row)+1,LARGE(get_row,2)+1),1))</f>
        <v>125</v>
      </c>
      <c r="S126" s="134">
        <f ca="1" t="shared" si="36"/>
        <v>-2639.05</v>
      </c>
      <c r="T126" s="129">
        <f ca="1" t="shared" si="37"/>
        <v>5.05</v>
      </c>
      <c r="U126" s="156">
        <f ca="1" t="shared" si="38"/>
        <v>0.00187798664956025</v>
      </c>
      <c r="V126" s="157">
        <f ca="1" t="shared" si="39"/>
        <v>-26.3905</v>
      </c>
    </row>
    <row r="127" s="129" customFormat="1" spans="1:22">
      <c r="A127" s="105">
        <v>43822</v>
      </c>
      <c r="B127" s="105"/>
      <c r="C127" s="105"/>
      <c r="D127" s="105" t="s">
        <v>28</v>
      </c>
      <c r="E127" s="141"/>
      <c r="F127" s="132" t="str">
        <f>IF(C127="","",SUMIFS(E$1:E127,C$1:C127,C127,D$1:D127,"证券买入清算")-SUMIFS(E$1:E127,C$1:C127,C127,D$1:D127,"证券卖出清算"))</f>
        <v/>
      </c>
      <c r="G127" s="143" t="str">
        <f t="shared" si="31"/>
        <v/>
      </c>
      <c r="H127" s="142" t="str">
        <f t="shared" si="32"/>
        <v/>
      </c>
      <c r="I127" s="141"/>
      <c r="J127" s="141"/>
      <c r="K127" s="141"/>
      <c r="L127" s="142" t="str">
        <f t="shared" si="33"/>
        <v/>
      </c>
      <c r="M127" s="142" t="str">
        <f t="shared" si="34"/>
        <v/>
      </c>
      <c r="N127" s="142" t="str">
        <f t="shared" si="35"/>
        <v/>
      </c>
      <c r="O127" s="141">
        <v>12.05</v>
      </c>
      <c r="P127" s="141"/>
      <c r="Q127" s="142">
        <f t="shared" si="30"/>
        <v>13269.38</v>
      </c>
      <c r="R127" s="142" t="str">
        <f>IF(B127="","",IFERROR(IF(F127&lt;&gt;0,MAX(get_row)+1,LARGE(get_row,2)+1),1))</f>
        <v/>
      </c>
      <c r="S127" s="134" t="str">
        <f ca="1" t="shared" si="36"/>
        <v/>
      </c>
      <c r="T127" s="129" t="str">
        <f ca="1" t="shared" si="37"/>
        <v/>
      </c>
      <c r="U127" s="156" t="str">
        <f ca="1" t="shared" si="38"/>
        <v/>
      </c>
      <c r="V127" s="157" t="str">
        <f ca="1" t="shared" si="39"/>
        <v/>
      </c>
    </row>
    <row r="128" s="129" customFormat="1" spans="1:22">
      <c r="A128" s="105">
        <v>43824</v>
      </c>
      <c r="B128" s="141">
        <f>VLOOKUP(C128,收益对照表汇总!A:B,2,0)</f>
        <v>600085</v>
      </c>
      <c r="C128" s="105" t="s">
        <v>36</v>
      </c>
      <c r="D128" s="141" t="s">
        <v>26</v>
      </c>
      <c r="E128" s="141">
        <v>100</v>
      </c>
      <c r="F128" s="132">
        <f>IF(C128="","",SUMIFS(E$1:E128,C$1:C128,C128,D$1:D128,"证券买入清算")-SUMIFS(E$1:E128,C$1:C128,C128,D$1:D128,"证券卖出清算"))</f>
        <v>0</v>
      </c>
      <c r="G128" s="143">
        <f t="shared" si="31"/>
        <v>27.69</v>
      </c>
      <c r="H128" s="142">
        <f t="shared" si="32"/>
        <v>2769</v>
      </c>
      <c r="I128" s="141">
        <v>5</v>
      </c>
      <c r="J128" s="141">
        <v>2.77</v>
      </c>
      <c r="K128" s="141">
        <v>0.0600000000000005</v>
      </c>
      <c r="L128" s="142" t="str">
        <f t="shared" si="33"/>
        <v/>
      </c>
      <c r="M128" s="142">
        <f t="shared" si="34"/>
        <v>7.83</v>
      </c>
      <c r="N128" s="142">
        <f t="shared" si="35"/>
        <v>0.00282773564463705</v>
      </c>
      <c r="O128" s="141">
        <v>2761.17</v>
      </c>
      <c r="P128" s="141"/>
      <c r="Q128" s="142">
        <f t="shared" si="30"/>
        <v>16030.55</v>
      </c>
      <c r="R128" s="142">
        <f>IF(B128="","",IFERROR(IF(F128&lt;&gt;0,MAX(get_row)+1,LARGE(get_row,2)+1),1))</f>
        <v>125</v>
      </c>
      <c r="S128" s="134">
        <f ca="1" t="shared" si="36"/>
        <v>122.12</v>
      </c>
      <c r="T128" s="129">
        <f ca="1" t="shared" si="37"/>
        <v>12.88</v>
      </c>
      <c r="U128" s="156">
        <f ca="1" t="shared" si="38"/>
        <v>0.00471374105801754</v>
      </c>
      <c r="V128" s="157" t="str">
        <f ca="1" t="shared" si="39"/>
        <v>Over</v>
      </c>
    </row>
    <row r="129" s="129" customFormat="1" spans="1:22">
      <c r="A129" s="105">
        <v>43825</v>
      </c>
      <c r="B129" s="105"/>
      <c r="C129" s="105" t="s">
        <v>36</v>
      </c>
      <c r="D129" s="141" t="s">
        <v>11</v>
      </c>
      <c r="E129" s="141">
        <v>100</v>
      </c>
      <c r="F129" s="132">
        <f>IF(C129="","",SUMIFS(E$1:E129,C$1:C129,C129,D$1:D129,"证券买入清算")-SUMIFS(E$1:E129,C$1:C129,C129,D$1:D129,"证券卖出清算"))</f>
        <v>0</v>
      </c>
      <c r="G129" s="143">
        <f t="shared" si="31"/>
        <v>0</v>
      </c>
      <c r="H129" s="142">
        <f t="shared" si="32"/>
        <v>0</v>
      </c>
      <c r="I129" s="141"/>
      <c r="J129" s="141"/>
      <c r="K129" s="141"/>
      <c r="L129" s="142">
        <f t="shared" si="33"/>
        <v>5</v>
      </c>
      <c r="M129" s="142">
        <f t="shared" si="34"/>
        <v>5</v>
      </c>
      <c r="N129" s="142" t="str">
        <f t="shared" si="35"/>
        <v/>
      </c>
      <c r="O129" s="141"/>
      <c r="P129" s="141">
        <v>5</v>
      </c>
      <c r="Q129" s="142">
        <f t="shared" si="30"/>
        <v>16025.55</v>
      </c>
      <c r="R129" s="142" t="str">
        <f>IF(B129="","",IFERROR(IF(F129&lt;&gt;0,MAX(get_row)+1,LARGE(get_row,2)+1),1))</f>
        <v/>
      </c>
      <c r="S129" s="134" t="str">
        <f ca="1" t="shared" si="36"/>
        <v/>
      </c>
      <c r="T129" s="129" t="str">
        <f ca="1" t="shared" si="37"/>
        <v/>
      </c>
      <c r="U129" s="156" t="str">
        <f ca="1" t="shared" si="38"/>
        <v/>
      </c>
      <c r="V129" s="157" t="str">
        <f ca="1" t="shared" si="39"/>
        <v/>
      </c>
    </row>
    <row r="130" s="129" customFormat="1" spans="1:22">
      <c r="A130" s="105">
        <v>43851</v>
      </c>
      <c r="B130" s="141">
        <f>VLOOKUP(C130,收益对照表汇总!A:B,2,0)</f>
        <v>600115</v>
      </c>
      <c r="C130" s="105" t="s">
        <v>27</v>
      </c>
      <c r="D130" s="141" t="s">
        <v>25</v>
      </c>
      <c r="E130" s="141">
        <v>600</v>
      </c>
      <c r="F130" s="132">
        <f>IF(C130="","",SUMIFS(E$1:E130,C$1:C130,C130,D$1:D130,"证券买入清算")-SUMIFS(E$1:E130,C$1:C130,C130,D$1:D130,"证券卖出清算"))</f>
        <v>600</v>
      </c>
      <c r="G130" s="143">
        <f t="shared" si="31"/>
        <v>5.22</v>
      </c>
      <c r="H130" s="142">
        <f t="shared" si="32"/>
        <v>3132</v>
      </c>
      <c r="I130" s="141">
        <v>5</v>
      </c>
      <c r="J130" s="141"/>
      <c r="K130" s="141">
        <v>0.06</v>
      </c>
      <c r="L130" s="142" t="str">
        <f t="shared" si="33"/>
        <v/>
      </c>
      <c r="M130" s="142">
        <f t="shared" si="34"/>
        <v>5.06</v>
      </c>
      <c r="N130" s="142">
        <f t="shared" si="35"/>
        <v>0.00161558109833972</v>
      </c>
      <c r="O130" s="141"/>
      <c r="P130" s="141">
        <v>3137.06</v>
      </c>
      <c r="Q130" s="142">
        <f t="shared" si="30"/>
        <v>12888.49</v>
      </c>
      <c r="R130" s="142">
        <f>IF(B130="","",IFERROR(IF(F130&lt;&gt;0,MAX(get_row)+1,LARGE(get_row,2)+1),1))</f>
        <v>27</v>
      </c>
      <c r="S130" s="134">
        <f ca="1" t="shared" si="36"/>
        <v>-3137.06</v>
      </c>
      <c r="T130" s="129">
        <f ca="1" t="shared" si="37"/>
        <v>5.06</v>
      </c>
      <c r="U130" s="156">
        <f ca="1" t="shared" si="38"/>
        <v>0.00161297520608468</v>
      </c>
      <c r="V130" s="157">
        <f ca="1" t="shared" si="39"/>
        <v>-5.22843333333333</v>
      </c>
    </row>
    <row r="131" s="129" customFormat="1" spans="1:22">
      <c r="A131" s="105">
        <v>43852</v>
      </c>
      <c r="B131" s="165" t="str">
        <f>VLOOKUP(C131,收益对照表汇总!A:B,2,0)</f>
        <v>002661</v>
      </c>
      <c r="C131" s="105" t="s">
        <v>32</v>
      </c>
      <c r="D131" s="141" t="s">
        <v>25</v>
      </c>
      <c r="E131" s="141">
        <v>100</v>
      </c>
      <c r="F131" s="132">
        <f>IF(C131="","",SUMIFS(E$1:E131,C$1:C131,C131,D$1:D131,"证券买入清算")-SUMIFS(E$1:E131,C$1:C131,C131,D$1:D131,"证券卖出清算"))</f>
        <v>100</v>
      </c>
      <c r="G131" s="143">
        <f t="shared" si="31"/>
        <v>11.28</v>
      </c>
      <c r="H131" s="142">
        <f t="shared" si="32"/>
        <v>1128</v>
      </c>
      <c r="I131" s="141">
        <v>5</v>
      </c>
      <c r="J131" s="141"/>
      <c r="K131" s="141"/>
      <c r="L131" s="142" t="str">
        <f t="shared" si="33"/>
        <v/>
      </c>
      <c r="M131" s="142">
        <f t="shared" si="34"/>
        <v>5</v>
      </c>
      <c r="N131" s="142">
        <f t="shared" si="35"/>
        <v>0.00443262411347518</v>
      </c>
      <c r="O131" s="141"/>
      <c r="P131" s="141">
        <v>1133</v>
      </c>
      <c r="Q131" s="142">
        <f t="shared" ref="Q131:Q162" si="40">Q130+O131-P131</f>
        <v>11755.49</v>
      </c>
      <c r="R131" s="142">
        <f>IF(B131="","",IFERROR(IF(F131&lt;&gt;0,MAX(get_row)+1,LARGE(get_row,2)+1),1))</f>
        <v>124</v>
      </c>
      <c r="S131" s="134">
        <f ca="1" t="shared" si="36"/>
        <v>-1133</v>
      </c>
      <c r="T131" s="129">
        <f ca="1" t="shared" si="37"/>
        <v>5</v>
      </c>
      <c r="U131" s="156">
        <f ca="1" t="shared" si="38"/>
        <v>0.00441306266548985</v>
      </c>
      <c r="V131" s="157">
        <f ca="1" t="shared" si="39"/>
        <v>-11.33</v>
      </c>
    </row>
    <row r="132" s="129" customFormat="1" spans="1:22">
      <c r="A132" s="105">
        <v>43853</v>
      </c>
      <c r="B132" s="141">
        <f>VLOOKUP(C132,收益对照表汇总!A:B,2,0)</f>
        <v>600115</v>
      </c>
      <c r="C132" s="105" t="s">
        <v>27</v>
      </c>
      <c r="D132" s="141" t="s">
        <v>25</v>
      </c>
      <c r="E132" s="141">
        <v>600</v>
      </c>
      <c r="F132" s="132">
        <f>IF(C132="","",SUMIFS(E$1:E132,C$1:C132,C132,D$1:D132,"证券买入清算")-SUMIFS(E$1:E132,C$1:C132,C132,D$1:D132,"证券卖出清算"))</f>
        <v>1200</v>
      </c>
      <c r="G132" s="143">
        <f t="shared" si="31"/>
        <v>5.08</v>
      </c>
      <c r="H132" s="142">
        <f t="shared" si="32"/>
        <v>3048</v>
      </c>
      <c r="I132" s="141">
        <v>5</v>
      </c>
      <c r="J132" s="141"/>
      <c r="K132" s="141">
        <v>0.06</v>
      </c>
      <c r="L132" s="142" t="str">
        <f t="shared" si="33"/>
        <v/>
      </c>
      <c r="M132" s="142">
        <f t="shared" si="34"/>
        <v>5.06</v>
      </c>
      <c r="N132" s="142">
        <f t="shared" si="35"/>
        <v>0.00166010498687664</v>
      </c>
      <c r="O132" s="141"/>
      <c r="P132" s="141">
        <v>3053.06</v>
      </c>
      <c r="Q132" s="142">
        <f t="shared" si="40"/>
        <v>8702.43000000001</v>
      </c>
      <c r="R132" s="142">
        <f>IF(B132="","",IFERROR(IF(F132&lt;&gt;0,MAX(get_row)+1,LARGE(get_row,2)+1),1))</f>
        <v>27</v>
      </c>
      <c r="S132" s="134">
        <f ca="1" t="shared" si="36"/>
        <v>-6190.12</v>
      </c>
      <c r="T132" s="129">
        <f ca="1" t="shared" si="37"/>
        <v>10.12</v>
      </c>
      <c r="U132" s="156">
        <f ca="1" t="shared" si="38"/>
        <v>0.00163486329828824</v>
      </c>
      <c r="V132" s="157">
        <f ca="1" t="shared" si="39"/>
        <v>-5.15843333333333</v>
      </c>
    </row>
    <row r="133" s="129" customFormat="1" spans="1:22">
      <c r="A133" s="105">
        <v>43864</v>
      </c>
      <c r="B133" s="141">
        <f>VLOOKUP(C133,收益对照表汇总!A:B,2,0)</f>
        <v>600115</v>
      </c>
      <c r="C133" s="105" t="s">
        <v>27</v>
      </c>
      <c r="D133" s="141" t="s">
        <v>25</v>
      </c>
      <c r="E133" s="141">
        <v>400</v>
      </c>
      <c r="F133" s="132">
        <f>IF(C133="","",SUMIFS(E$1:E133,C$1:C133,C133,D$1:D133,"证券买入清算")-SUMIFS(E$1:E133,C$1:C133,C133,D$1:D133,"证券卖出清算"))</f>
        <v>1600</v>
      </c>
      <c r="G133" s="143">
        <f t="shared" si="31"/>
        <v>4.59</v>
      </c>
      <c r="H133" s="142">
        <f t="shared" si="32"/>
        <v>1836</v>
      </c>
      <c r="I133" s="141">
        <v>5</v>
      </c>
      <c r="J133" s="141"/>
      <c r="K133" s="141">
        <v>0.04</v>
      </c>
      <c r="L133" s="142" t="str">
        <f t="shared" si="33"/>
        <v/>
      </c>
      <c r="M133" s="142">
        <f t="shared" si="34"/>
        <v>5.04</v>
      </c>
      <c r="N133" s="142">
        <f t="shared" si="35"/>
        <v>0.00274509803921569</v>
      </c>
      <c r="O133" s="141"/>
      <c r="P133" s="141">
        <v>1841.04</v>
      </c>
      <c r="Q133" s="142">
        <f t="shared" si="40"/>
        <v>6861.39000000001</v>
      </c>
      <c r="R133" s="142">
        <f>IF(B133="","",IFERROR(IF(F133&lt;&gt;0,MAX(get_row)+1,LARGE(get_row,2)+1),1))</f>
        <v>27</v>
      </c>
      <c r="S133" s="134">
        <f ca="1" t="shared" si="36"/>
        <v>-8031.16</v>
      </c>
      <c r="T133" s="129">
        <f ca="1" t="shared" si="37"/>
        <v>15.16</v>
      </c>
      <c r="U133" s="156">
        <f ca="1" t="shared" si="38"/>
        <v>0.00188764761254912</v>
      </c>
      <c r="V133" s="157">
        <f ca="1" t="shared" si="39"/>
        <v>-5.019475</v>
      </c>
    </row>
    <row r="134" s="129" customFormat="1" spans="1:22">
      <c r="A134" s="105">
        <v>43872</v>
      </c>
      <c r="B134" s="165" t="str">
        <f>VLOOKUP(C134,收益对照表汇总!A:B,2,0)</f>
        <v>002661</v>
      </c>
      <c r="C134" s="105" t="s">
        <v>32</v>
      </c>
      <c r="D134" s="141" t="s">
        <v>26</v>
      </c>
      <c r="E134" s="141">
        <v>100</v>
      </c>
      <c r="F134" s="132">
        <f>IF(C134="","",SUMIFS(E$1:E134,C$1:C134,C134,D$1:D134,"证券买入清算")-SUMIFS(E$1:E134,C$1:C134,C134,D$1:D134,"证券卖出清算"))</f>
        <v>0</v>
      </c>
      <c r="G134" s="143">
        <f t="shared" si="31"/>
        <v>13.33</v>
      </c>
      <c r="H134" s="142">
        <f t="shared" si="32"/>
        <v>1333</v>
      </c>
      <c r="I134" s="141">
        <v>5</v>
      </c>
      <c r="J134" s="141">
        <v>1.33</v>
      </c>
      <c r="K134" s="141">
        <v>0</v>
      </c>
      <c r="L134" s="142" t="str">
        <f t="shared" si="33"/>
        <v/>
      </c>
      <c r="M134" s="142">
        <f t="shared" si="34"/>
        <v>6.33</v>
      </c>
      <c r="N134" s="142">
        <f t="shared" si="35"/>
        <v>0.00474868717179295</v>
      </c>
      <c r="O134" s="141">
        <v>1326.67</v>
      </c>
      <c r="P134" s="141"/>
      <c r="Q134" s="142">
        <f t="shared" si="40"/>
        <v>8188.06000000001</v>
      </c>
      <c r="R134" s="142">
        <f>IF(B134="","",IFERROR(IF(F134&lt;&gt;0,MAX(get_row)+1,LARGE(get_row,2)+1),1))</f>
        <v>124</v>
      </c>
      <c r="S134" s="134">
        <f ca="1" t="shared" si="36"/>
        <v>193.67</v>
      </c>
      <c r="T134" s="129">
        <f ca="1" t="shared" si="37"/>
        <v>11.33</v>
      </c>
      <c r="U134" s="156">
        <f ca="1" t="shared" si="38"/>
        <v>0.00918440746110594</v>
      </c>
      <c r="V134" s="157" t="str">
        <f ca="1" t="shared" si="39"/>
        <v>Over</v>
      </c>
    </row>
    <row r="135" s="129" customFormat="1" spans="1:22">
      <c r="A135" s="105">
        <v>43913</v>
      </c>
      <c r="B135" s="105"/>
      <c r="C135" s="105"/>
      <c r="D135" s="105" t="s">
        <v>28</v>
      </c>
      <c r="E135" s="141"/>
      <c r="F135" s="132" t="str">
        <f>IF(C135="","",SUMIFS(E$1:E135,C$1:C135,C135,D$1:D135,"证券买入清算")-SUMIFS(E$1:E135,C$1:C135,C135,D$1:D135,"证券卖出清算"))</f>
        <v/>
      </c>
      <c r="G135" s="143" t="str">
        <f t="shared" ref="G135:G166" si="41">IF(C135="","",IFERROR(IF(D135="证券买入清算",ROUND((P135-M135)/E135,3),IF(D135="证券卖出清算",ROUND((M135+O135)/E135,3),0)),0))</f>
        <v/>
      </c>
      <c r="H135" s="142" t="str">
        <f t="shared" ref="H135:H166" si="42">IF(C135="","",E135*G135)</f>
        <v/>
      </c>
      <c r="I135" s="141"/>
      <c r="J135" s="141"/>
      <c r="K135" s="141"/>
      <c r="L135" s="142" t="str">
        <f t="shared" ref="L135:L166" si="43">IF(C135="","",IF(D135="红股派息",-O135,IF(D135="个人红利所得税扣款",P135,"")))</f>
        <v/>
      </c>
      <c r="M135" s="142" t="str">
        <f t="shared" ref="M135:M166" si="44">IF(C135="","",SUM(I135:L135))</f>
        <v/>
      </c>
      <c r="N135" s="142" t="str">
        <f t="shared" ref="N135:N166" si="45">IFERROR(IF(B135="","",M135/H135),"")</f>
        <v/>
      </c>
      <c r="O135" s="141">
        <v>9.78</v>
      </c>
      <c r="P135" s="141"/>
      <c r="Q135" s="142">
        <f t="shared" si="40"/>
        <v>8197.84000000001</v>
      </c>
      <c r="R135" s="142" t="str">
        <f>IF(B135="","",IFERROR(IF(F135&lt;&gt;0,MAX(get_row)+1,LARGE(get_row,2)+1),1))</f>
        <v/>
      </c>
      <c r="S135" s="134" t="str">
        <f ca="1" t="shared" ref="S135:S166" si="46">IF(B135="","",SUMIFS(INDIRECT("O"&amp;R135&amp;":O"&amp;ROW()),INDIRECT("B"&amp;R135&amp;":B"&amp;ROW()),B135)-SUMIFS(INDIRECT("P"&amp;R135&amp;":P"&amp;ROW()),INDIRECT("B"&amp;R135&amp;":B"&amp;ROW()),B135))</f>
        <v/>
      </c>
      <c r="T135" s="129" t="str">
        <f ca="1" t="shared" ref="T135:T166" si="47">IF(B135="","",SUMIFS(INDIRECT("M"&amp;R135&amp;":M"&amp;ROW()),INDIRECT("B"&amp;R135&amp;":B"&amp;ROW()),B135,INDIRECT("M"&amp;R135&amp;":M"&amp;ROW()),"&gt;0"))</f>
        <v/>
      </c>
      <c r="U135" s="156" t="str">
        <f ca="1" t="shared" ref="U135:U166" si="48">IF(B135="","",IFERROR(SUMIFS(INDIRECT("M"&amp;R135&amp;":M"&amp;ROW()),INDIRECT("B"&amp;R135&amp;":B"&amp;ROW()),B135,INDIRECT("p"&amp;R135&amp;":p"&amp;ROW()),"&lt;&gt;",INDIRECT("M"&amp;R135&amp;":M"&amp;ROW()),"&gt;0")/SUMIFS(INDIRECT("p"&amp;R135&amp;":p"&amp;ROW()),INDIRECT("B"&amp;R135&amp;":B"&amp;ROW()),B135,INDIRECT("p"&amp;R135&amp;":p"&amp;ROW()),"&lt;&gt;",INDIRECT("M"&amp;R135&amp;":M"&amp;ROW()),"&gt;0"),0)+IFERROR(SUMIFS(INDIRECT("M"&amp;R135&amp;":M"&amp;ROW()),INDIRECT("B"&amp;R135&amp;":B"&amp;ROW()),B135,INDIRECT("o"&amp;R135&amp;":o"&amp;ROW()),"&lt;&gt;",INDIRECT("M"&amp;R135&amp;":M"&amp;ROW()),"&gt;0")/SUMIFS(INDIRECT("o"&amp;R135&amp;":o"&amp;ROW()),INDIRECT("B"&amp;R135&amp;":B"&amp;ROW()),B135,INDIRECT("o"&amp;R135&amp;":o"&amp;ROW()),"&lt;&gt;",INDIRECT("M"&amp;R135&amp;":M"&amp;ROW()),"&gt;0"),0))</f>
        <v/>
      </c>
      <c r="V135" s="157" t="str">
        <f ca="1" t="shared" ref="V135:V166" si="49">IF(B135="","",IFERROR(S135/F135,"Over"))</f>
        <v/>
      </c>
    </row>
    <row r="136" s="129" customFormat="1" spans="1:22">
      <c r="A136" s="105">
        <v>43931</v>
      </c>
      <c r="B136" s="141">
        <f>VLOOKUP(C136,收益对照表汇总!A:B,2,0)</f>
        <v>601288</v>
      </c>
      <c r="C136" s="105" t="s">
        <v>31</v>
      </c>
      <c r="D136" s="141" t="s">
        <v>25</v>
      </c>
      <c r="E136" s="141">
        <v>1000</v>
      </c>
      <c r="F136" s="132">
        <f>IF(C136="","",SUMIFS(E$1:E136,C$1:C136,C136,D$1:D136,"证券买入清算")-SUMIFS(E$1:E136,C$1:C136,C136,D$1:D136,"证券卖出清算"))</f>
        <v>1000</v>
      </c>
      <c r="G136" s="143">
        <f t="shared" si="41"/>
        <v>3.4</v>
      </c>
      <c r="H136" s="142">
        <f t="shared" si="42"/>
        <v>3400</v>
      </c>
      <c r="I136" s="141">
        <v>5</v>
      </c>
      <c r="J136" s="141"/>
      <c r="K136" s="141">
        <v>0.07</v>
      </c>
      <c r="L136" s="142" t="str">
        <f t="shared" si="43"/>
        <v/>
      </c>
      <c r="M136" s="142">
        <f t="shared" si="44"/>
        <v>5.07</v>
      </c>
      <c r="N136" s="142">
        <f t="shared" si="45"/>
        <v>0.00149117647058824</v>
      </c>
      <c r="O136" s="141"/>
      <c r="P136" s="141">
        <v>3405.07</v>
      </c>
      <c r="Q136" s="142">
        <f t="shared" si="40"/>
        <v>4792.77000000001</v>
      </c>
      <c r="R136" s="142">
        <f>IF(B136="","",IFERROR(IF(F136&lt;&gt;0,MAX(get_row)+1,LARGE(get_row,2)+1),1))</f>
        <v>118</v>
      </c>
      <c r="S136" s="134">
        <f ca="1" t="shared" si="46"/>
        <v>-3405.07</v>
      </c>
      <c r="T136" s="129">
        <f ca="1" t="shared" si="47"/>
        <v>5.07</v>
      </c>
      <c r="U136" s="156">
        <f ca="1" t="shared" si="48"/>
        <v>0.00148895617417557</v>
      </c>
      <c r="V136" s="157">
        <f ca="1" t="shared" si="49"/>
        <v>-3.40507</v>
      </c>
    </row>
    <row r="137" s="129" customFormat="1" spans="1:22">
      <c r="A137" s="105">
        <v>43966</v>
      </c>
      <c r="B137" s="141">
        <f>VLOOKUP(C137,收益对照表汇总!A:B,2,0)</f>
        <v>601288</v>
      </c>
      <c r="C137" s="105" t="s">
        <v>31</v>
      </c>
      <c r="D137" s="141" t="s">
        <v>25</v>
      </c>
      <c r="E137" s="141">
        <v>600</v>
      </c>
      <c r="F137" s="132">
        <f>IF(C137="","",SUMIFS(E$1:E137,C$1:C137,C137,D$1:D137,"证券买入清算")-SUMIFS(E$1:E137,C$1:C137,C137,D$1:D137,"证券卖出清算"))</f>
        <v>1600</v>
      </c>
      <c r="G137" s="143">
        <f t="shared" si="41"/>
        <v>3.39</v>
      </c>
      <c r="H137" s="142">
        <f t="shared" si="42"/>
        <v>2034</v>
      </c>
      <c r="I137" s="141">
        <v>5</v>
      </c>
      <c r="J137" s="141"/>
      <c r="K137" s="141">
        <v>0.04</v>
      </c>
      <c r="L137" s="142" t="str">
        <f t="shared" si="43"/>
        <v/>
      </c>
      <c r="M137" s="142">
        <f t="shared" si="44"/>
        <v>5.04</v>
      </c>
      <c r="N137" s="142">
        <f t="shared" si="45"/>
        <v>0.00247787610619469</v>
      </c>
      <c r="O137" s="141"/>
      <c r="P137" s="141">
        <v>2039.04</v>
      </c>
      <c r="Q137" s="142">
        <f t="shared" si="40"/>
        <v>2753.73000000001</v>
      </c>
      <c r="R137" s="142">
        <f>IF(B137="","",IFERROR(IF(F137&lt;&gt;0,MAX(get_row)+1,LARGE(get_row,2)+1),1))</f>
        <v>118</v>
      </c>
      <c r="S137" s="134">
        <f ca="1" t="shared" si="46"/>
        <v>-5444.11</v>
      </c>
      <c r="T137" s="129">
        <f ca="1" t="shared" si="47"/>
        <v>10.11</v>
      </c>
      <c r="U137" s="156">
        <f ca="1" t="shared" si="48"/>
        <v>0.00185705285161395</v>
      </c>
      <c r="V137" s="157">
        <f ca="1" t="shared" si="49"/>
        <v>-3.40256875</v>
      </c>
    </row>
    <row r="138" s="129" customFormat="1" spans="1:22">
      <c r="A138" s="105">
        <v>43987</v>
      </c>
      <c r="B138" s="105"/>
      <c r="C138" s="105"/>
      <c r="D138" s="105" t="s">
        <v>22</v>
      </c>
      <c r="E138" s="141"/>
      <c r="F138" s="132" t="str">
        <f>IF(C138="","",SUMIFS(E$1:E138,C$1:C138,C138,D$1:D138,"证券买入清算")-SUMIFS(E$1:E138,C$1:C138,C138,D$1:D138,"证券卖出清算"))</f>
        <v/>
      </c>
      <c r="G138" s="143" t="str">
        <f t="shared" si="41"/>
        <v/>
      </c>
      <c r="H138" s="142" t="str">
        <f t="shared" si="42"/>
        <v/>
      </c>
      <c r="I138" s="141"/>
      <c r="J138" s="141"/>
      <c r="K138" s="141"/>
      <c r="L138" s="142" t="str">
        <f t="shared" si="43"/>
        <v/>
      </c>
      <c r="M138" s="142" t="str">
        <f t="shared" si="44"/>
        <v/>
      </c>
      <c r="N138" s="142" t="str">
        <f t="shared" si="45"/>
        <v/>
      </c>
      <c r="O138" s="141">
        <v>6000</v>
      </c>
      <c r="P138" s="141"/>
      <c r="Q138" s="142">
        <f t="shared" si="40"/>
        <v>8753.73000000001</v>
      </c>
      <c r="R138" s="142" t="str">
        <f>IF(B138="","",IFERROR(IF(F138&lt;&gt;0,MAX(get_row)+1,LARGE(get_row,2)+1),1))</f>
        <v/>
      </c>
      <c r="S138" s="134" t="str">
        <f ca="1" t="shared" si="46"/>
        <v/>
      </c>
      <c r="T138" s="129" t="str">
        <f ca="1" t="shared" si="47"/>
        <v/>
      </c>
      <c r="U138" s="156" t="str">
        <f ca="1" t="shared" si="48"/>
        <v/>
      </c>
      <c r="V138" s="157" t="str">
        <f ca="1" t="shared" si="49"/>
        <v/>
      </c>
    </row>
    <row r="139" s="129" customFormat="1" spans="1:22">
      <c r="A139" s="105">
        <v>43987</v>
      </c>
      <c r="B139" s="141">
        <f>VLOOKUP(C139,收益对照表汇总!A:B,2,0)</f>
        <v>601288</v>
      </c>
      <c r="C139" s="105" t="s">
        <v>31</v>
      </c>
      <c r="D139" s="141" t="s">
        <v>25</v>
      </c>
      <c r="E139" s="141">
        <v>600</v>
      </c>
      <c r="F139" s="132">
        <f>IF(C139="","",SUMIFS(E$1:E139,C$1:C139,C139,D$1:D139,"证券买入清算")-SUMIFS(E$1:E139,C$1:C139,C139,D$1:D139,"证券卖出清算"))</f>
        <v>2200</v>
      </c>
      <c r="G139" s="143">
        <f t="shared" si="41"/>
        <v>3.41</v>
      </c>
      <c r="H139" s="142">
        <f t="shared" si="42"/>
        <v>2046</v>
      </c>
      <c r="I139" s="141">
        <v>5</v>
      </c>
      <c r="J139" s="141"/>
      <c r="K139" s="141">
        <v>0.03</v>
      </c>
      <c r="L139" s="142" t="str">
        <f t="shared" si="43"/>
        <v/>
      </c>
      <c r="M139" s="142">
        <f t="shared" si="44"/>
        <v>5.03</v>
      </c>
      <c r="N139" s="142">
        <f t="shared" si="45"/>
        <v>0.00245845552297165</v>
      </c>
      <c r="O139" s="141"/>
      <c r="P139" s="141">
        <v>2051.03</v>
      </c>
      <c r="Q139" s="142">
        <f t="shared" si="40"/>
        <v>6702.70000000001</v>
      </c>
      <c r="R139" s="142">
        <f>IF(B139="","",IFERROR(IF(F139&lt;&gt;0,MAX(get_row)+1,LARGE(get_row,2)+1),1))</f>
        <v>118</v>
      </c>
      <c r="S139" s="134">
        <f ca="1" t="shared" si="46"/>
        <v>-7495.14</v>
      </c>
      <c r="T139" s="129">
        <f ca="1" t="shared" si="47"/>
        <v>15.14</v>
      </c>
      <c r="U139" s="156">
        <f ca="1" t="shared" si="48"/>
        <v>0.00201997561086251</v>
      </c>
      <c r="V139" s="157">
        <f ca="1" t="shared" si="49"/>
        <v>-3.40688181818182</v>
      </c>
    </row>
    <row r="140" s="129" customFormat="1" spans="1:22">
      <c r="A140" s="105">
        <v>43991</v>
      </c>
      <c r="B140" s="141">
        <f>VLOOKUP(C140,收益对照表汇总!A:B,2,0)</f>
        <v>601288</v>
      </c>
      <c r="C140" s="105" t="s">
        <v>31</v>
      </c>
      <c r="D140" s="141" t="s">
        <v>25</v>
      </c>
      <c r="E140" s="141">
        <v>500</v>
      </c>
      <c r="F140" s="132">
        <f>IF(C140="","",SUMIFS(E$1:E140,C$1:C140,C140,D$1:D140,"证券买入清算")-SUMIFS(E$1:E140,C$1:C140,C140,D$1:D140,"证券卖出清算"))</f>
        <v>2700</v>
      </c>
      <c r="G140" s="143">
        <f t="shared" si="41"/>
        <v>3.41</v>
      </c>
      <c r="H140" s="142">
        <f t="shared" si="42"/>
        <v>1705</v>
      </c>
      <c r="I140" s="141">
        <v>5</v>
      </c>
      <c r="J140" s="141"/>
      <c r="K140" s="141">
        <v>0.03</v>
      </c>
      <c r="L140" s="142" t="str">
        <f t="shared" si="43"/>
        <v/>
      </c>
      <c r="M140" s="142">
        <f t="shared" si="44"/>
        <v>5.03</v>
      </c>
      <c r="N140" s="142">
        <f t="shared" si="45"/>
        <v>0.00295014662756598</v>
      </c>
      <c r="O140" s="141"/>
      <c r="P140" s="141">
        <v>1710.03</v>
      </c>
      <c r="Q140" s="142">
        <f t="shared" si="40"/>
        <v>4992.67000000001</v>
      </c>
      <c r="R140" s="142">
        <f>IF(B140="","",IFERROR(IF(F140&lt;&gt;0,MAX(get_row)+1,LARGE(get_row,2)+1),1))</f>
        <v>118</v>
      </c>
      <c r="S140" s="134">
        <f ca="1" t="shared" si="46"/>
        <v>-9205.17</v>
      </c>
      <c r="T140" s="129">
        <f ca="1" t="shared" si="47"/>
        <v>20.17</v>
      </c>
      <c r="U140" s="156">
        <f ca="1" t="shared" si="48"/>
        <v>0.0021911599677138</v>
      </c>
      <c r="V140" s="157">
        <f ca="1" t="shared" si="49"/>
        <v>-3.40932222222222</v>
      </c>
    </row>
    <row r="141" s="129" customFormat="1" spans="1:22">
      <c r="A141" s="105">
        <v>43993</v>
      </c>
      <c r="B141" s="141">
        <f>VLOOKUP(C141,收益对照表汇总!A:B,2,0)</f>
        <v>601288</v>
      </c>
      <c r="C141" s="105" t="s">
        <v>31</v>
      </c>
      <c r="D141" s="141" t="s">
        <v>25</v>
      </c>
      <c r="E141" s="141">
        <v>500</v>
      </c>
      <c r="F141" s="132">
        <f>IF(C141="","",SUMIFS(E$1:E141,C$1:C141,C141,D$1:D141,"证券买入清算")-SUMIFS(E$1:E141,C$1:C141,C141,D$1:D141,"证券卖出清算"))</f>
        <v>3200</v>
      </c>
      <c r="G141" s="143">
        <f t="shared" si="41"/>
        <v>3.39</v>
      </c>
      <c r="H141" s="142">
        <f t="shared" si="42"/>
        <v>1695</v>
      </c>
      <c r="I141" s="141">
        <v>5</v>
      </c>
      <c r="J141" s="141"/>
      <c r="K141" s="141">
        <v>0.03</v>
      </c>
      <c r="L141" s="142" t="str">
        <f t="shared" si="43"/>
        <v/>
      </c>
      <c r="M141" s="142">
        <f t="shared" si="44"/>
        <v>5.03</v>
      </c>
      <c r="N141" s="142">
        <f t="shared" si="45"/>
        <v>0.00296755162241888</v>
      </c>
      <c r="O141" s="141"/>
      <c r="P141" s="141">
        <v>1700.03</v>
      </c>
      <c r="Q141" s="142">
        <f t="shared" si="40"/>
        <v>3292.64000000001</v>
      </c>
      <c r="R141" s="142">
        <f>IF(B141="","",IFERROR(IF(F141&lt;&gt;0,MAX(get_row)+1,LARGE(get_row,2)+1),1))</f>
        <v>118</v>
      </c>
      <c r="S141" s="134">
        <f ca="1" t="shared" si="46"/>
        <v>-10905.2</v>
      </c>
      <c r="T141" s="129">
        <f ca="1" t="shared" si="47"/>
        <v>25.2</v>
      </c>
      <c r="U141" s="156">
        <f ca="1" t="shared" si="48"/>
        <v>0.00231082419396251</v>
      </c>
      <c r="V141" s="157">
        <f ca="1" t="shared" si="49"/>
        <v>-3.407875</v>
      </c>
    </row>
    <row r="142" s="129" customFormat="1" spans="1:22">
      <c r="A142" s="105">
        <v>43994</v>
      </c>
      <c r="B142" s="141">
        <f>VLOOKUP(C142,收益对照表汇总!A:B,2,0)</f>
        <v>601288</v>
      </c>
      <c r="C142" s="105" t="s">
        <v>31</v>
      </c>
      <c r="D142" s="141" t="s">
        <v>25</v>
      </c>
      <c r="E142" s="141">
        <v>500</v>
      </c>
      <c r="F142" s="132">
        <f>IF(C142="","",SUMIFS(E$1:E142,C$1:C142,C142,D$1:D142,"证券买入清算")-SUMIFS(E$1:E142,C$1:C142,C142,D$1:D142,"证券卖出清算"))</f>
        <v>3700</v>
      </c>
      <c r="G142" s="143">
        <f t="shared" si="41"/>
        <v>3.37</v>
      </c>
      <c r="H142" s="142">
        <f t="shared" si="42"/>
        <v>1685</v>
      </c>
      <c r="I142" s="141">
        <v>5</v>
      </c>
      <c r="J142" s="141"/>
      <c r="K142" s="141">
        <v>0.03</v>
      </c>
      <c r="L142" s="142" t="str">
        <f t="shared" si="43"/>
        <v/>
      </c>
      <c r="M142" s="142">
        <f t="shared" si="44"/>
        <v>5.03</v>
      </c>
      <c r="N142" s="142">
        <f t="shared" si="45"/>
        <v>0.00298516320474777</v>
      </c>
      <c r="O142" s="141"/>
      <c r="P142" s="141">
        <v>1690.03</v>
      </c>
      <c r="Q142" s="142">
        <f t="shared" si="40"/>
        <v>1602.61000000001</v>
      </c>
      <c r="R142" s="142">
        <f>IF(B142="","",IFERROR(IF(F142&lt;&gt;0,MAX(get_row)+1,LARGE(get_row,2)+1),1))</f>
        <v>118</v>
      </c>
      <c r="S142" s="134">
        <f ca="1" t="shared" si="46"/>
        <v>-12595.23</v>
      </c>
      <c r="T142" s="129">
        <f ca="1" t="shared" si="47"/>
        <v>30.23</v>
      </c>
      <c r="U142" s="156">
        <f ca="1" t="shared" si="48"/>
        <v>0.00240011496415707</v>
      </c>
      <c r="V142" s="157">
        <f ca="1" t="shared" si="49"/>
        <v>-3.40411621621622</v>
      </c>
    </row>
    <row r="143" s="129" customFormat="1" spans="1:22">
      <c r="A143" s="105">
        <v>43997</v>
      </c>
      <c r="B143" s="105"/>
      <c r="C143" s="105"/>
      <c r="D143" s="105" t="s">
        <v>22</v>
      </c>
      <c r="E143" s="141"/>
      <c r="F143" s="132" t="str">
        <f>IF(C143="","",SUMIFS(E$1:E143,C$1:C143,C143,D$1:D143,"证券买入清算")-SUMIFS(E$1:E143,C$1:C143,C143,D$1:D143,"证券卖出清算"))</f>
        <v/>
      </c>
      <c r="G143" s="143" t="str">
        <f t="shared" si="41"/>
        <v/>
      </c>
      <c r="H143" s="142" t="str">
        <f t="shared" si="42"/>
        <v/>
      </c>
      <c r="I143" s="141"/>
      <c r="J143" s="141"/>
      <c r="K143" s="141"/>
      <c r="L143" s="142" t="str">
        <f t="shared" si="43"/>
        <v/>
      </c>
      <c r="M143" s="142" t="str">
        <f t="shared" si="44"/>
        <v/>
      </c>
      <c r="N143" s="142" t="str">
        <f t="shared" si="45"/>
        <v/>
      </c>
      <c r="O143" s="141">
        <v>5000</v>
      </c>
      <c r="P143" s="141"/>
      <c r="Q143" s="142">
        <f t="shared" si="40"/>
        <v>6602.61000000001</v>
      </c>
      <c r="R143" s="142" t="str">
        <f>IF(B143="","",IFERROR(IF(F143&lt;&gt;0,MAX(get_row)+1,LARGE(get_row,2)+1),1))</f>
        <v/>
      </c>
      <c r="S143" s="134" t="str">
        <f ca="1" t="shared" si="46"/>
        <v/>
      </c>
      <c r="T143" s="129" t="str">
        <f ca="1" t="shared" si="47"/>
        <v/>
      </c>
      <c r="U143" s="156" t="str">
        <f ca="1" t="shared" si="48"/>
        <v/>
      </c>
      <c r="V143" s="157" t="str">
        <f ca="1" t="shared" si="49"/>
        <v/>
      </c>
    </row>
    <row r="144" s="129" customFormat="1" spans="1:22">
      <c r="A144" s="105">
        <v>43997</v>
      </c>
      <c r="B144" s="141">
        <f>VLOOKUP(C144,收益对照表汇总!A:B,2,0)</f>
        <v>601288</v>
      </c>
      <c r="C144" s="105" t="s">
        <v>31</v>
      </c>
      <c r="D144" s="141" t="s">
        <v>25</v>
      </c>
      <c r="E144" s="141">
        <v>500</v>
      </c>
      <c r="F144" s="132">
        <f>IF(C144="","",SUMIFS(E$1:E144,C$1:C144,C144,D$1:D144,"证券买入清算")-SUMIFS(E$1:E144,C$1:C144,C144,D$1:D144,"证券卖出清算"))</f>
        <v>4200</v>
      </c>
      <c r="G144" s="143">
        <f t="shared" si="41"/>
        <v>3.35</v>
      </c>
      <c r="H144" s="142">
        <f t="shared" si="42"/>
        <v>1675</v>
      </c>
      <c r="I144" s="141">
        <v>5</v>
      </c>
      <c r="J144" s="141"/>
      <c r="K144" s="141">
        <v>0.03</v>
      </c>
      <c r="L144" s="142" t="str">
        <f t="shared" si="43"/>
        <v/>
      </c>
      <c r="M144" s="142">
        <f t="shared" si="44"/>
        <v>5.03</v>
      </c>
      <c r="N144" s="142">
        <f t="shared" si="45"/>
        <v>0.00300298507462687</v>
      </c>
      <c r="O144" s="141"/>
      <c r="P144" s="141">
        <v>1680.03</v>
      </c>
      <c r="Q144" s="142">
        <f t="shared" si="40"/>
        <v>4922.58000000001</v>
      </c>
      <c r="R144" s="142">
        <f>IF(B144="","",IFERROR(IF(F144&lt;&gt;0,MAX(get_row)+1,LARGE(get_row,2)+1),1))</f>
        <v>118</v>
      </c>
      <c r="S144" s="134">
        <f ca="1" t="shared" si="46"/>
        <v>-14275.26</v>
      </c>
      <c r="T144" s="129">
        <f ca="1" t="shared" si="47"/>
        <v>35.26</v>
      </c>
      <c r="U144" s="156">
        <f ca="1" t="shared" si="48"/>
        <v>0.00247000755152621</v>
      </c>
      <c r="V144" s="157">
        <f ca="1" t="shared" si="49"/>
        <v>-3.39887142857143</v>
      </c>
    </row>
    <row r="145" s="129" customFormat="1" spans="1:22">
      <c r="A145" s="105">
        <v>44004</v>
      </c>
      <c r="B145" s="105"/>
      <c r="C145" s="105"/>
      <c r="D145" s="105" t="s">
        <v>28</v>
      </c>
      <c r="E145" s="141"/>
      <c r="F145" s="132" t="str">
        <f>IF(C145="","",SUMIFS(E$1:E145,C$1:C145,C145,D$1:D145,"证券买入清算")-SUMIFS(E$1:E145,C$1:C145,C145,D$1:D145,"证券卖出清算"))</f>
        <v/>
      </c>
      <c r="G145" s="143" t="str">
        <f t="shared" si="41"/>
        <v/>
      </c>
      <c r="H145" s="142" t="str">
        <f t="shared" si="42"/>
        <v/>
      </c>
      <c r="I145" s="141"/>
      <c r="J145" s="141"/>
      <c r="K145" s="141"/>
      <c r="L145" s="142" t="str">
        <f t="shared" si="43"/>
        <v/>
      </c>
      <c r="M145" s="142" t="str">
        <f t="shared" si="44"/>
        <v/>
      </c>
      <c r="N145" s="142" t="str">
        <f t="shared" si="45"/>
        <v/>
      </c>
      <c r="O145" s="141">
        <v>4.04</v>
      </c>
      <c r="P145" s="141"/>
      <c r="Q145" s="142">
        <f t="shared" si="40"/>
        <v>4926.62000000001</v>
      </c>
      <c r="R145" s="142" t="str">
        <f>IF(B145="","",IFERROR(IF(F145&lt;&gt;0,MAX(get_row)+1,LARGE(get_row,2)+1),1))</f>
        <v/>
      </c>
      <c r="S145" s="134" t="str">
        <f ca="1" t="shared" si="46"/>
        <v/>
      </c>
      <c r="T145" s="129" t="str">
        <f ca="1" t="shared" si="47"/>
        <v/>
      </c>
      <c r="U145" s="156" t="str">
        <f ca="1" t="shared" si="48"/>
        <v/>
      </c>
      <c r="V145" s="157" t="str">
        <f ca="1" t="shared" si="49"/>
        <v/>
      </c>
    </row>
    <row r="146" s="129" customFormat="1" spans="1:22">
      <c r="A146" s="105">
        <v>44004</v>
      </c>
      <c r="B146" s="141">
        <f>VLOOKUP(C146,收益对照表汇总!A:B,2,0)</f>
        <v>601288</v>
      </c>
      <c r="C146" s="105" t="s">
        <v>31</v>
      </c>
      <c r="D146" s="141" t="s">
        <v>25</v>
      </c>
      <c r="E146" s="141">
        <v>500</v>
      </c>
      <c r="F146" s="132">
        <f>IF(C146="","",SUMIFS(E$1:E146,C$1:C146,C146,D$1:D146,"证券买入清算")-SUMIFS(E$1:E146,C$1:C146,C146,D$1:D146,"证券卖出清算"))</f>
        <v>4700</v>
      </c>
      <c r="G146" s="143">
        <f t="shared" si="41"/>
        <v>3.35</v>
      </c>
      <c r="H146" s="142">
        <f t="shared" si="42"/>
        <v>1675</v>
      </c>
      <c r="I146" s="141">
        <v>5</v>
      </c>
      <c r="J146" s="141"/>
      <c r="K146" s="141">
        <v>0.03</v>
      </c>
      <c r="L146" s="142" t="str">
        <f t="shared" si="43"/>
        <v/>
      </c>
      <c r="M146" s="142">
        <f t="shared" si="44"/>
        <v>5.03</v>
      </c>
      <c r="N146" s="142">
        <f t="shared" si="45"/>
        <v>0.00300298507462687</v>
      </c>
      <c r="O146" s="141"/>
      <c r="P146" s="141">
        <v>1680.03</v>
      </c>
      <c r="Q146" s="142">
        <f t="shared" si="40"/>
        <v>3246.59000000001</v>
      </c>
      <c r="R146" s="142">
        <f>IF(B146="","",IFERROR(IF(F146&lt;&gt;0,MAX(get_row)+1,LARGE(get_row,2)+1),1))</f>
        <v>118</v>
      </c>
      <c r="S146" s="134">
        <f ca="1" t="shared" si="46"/>
        <v>-15955.29</v>
      </c>
      <c r="T146" s="129">
        <f ca="1" t="shared" si="47"/>
        <v>40.29</v>
      </c>
      <c r="U146" s="156">
        <f ca="1" t="shared" si="48"/>
        <v>0.00252518130350498</v>
      </c>
      <c r="V146" s="157">
        <f ca="1" t="shared" si="49"/>
        <v>-3.39474255319149</v>
      </c>
    </row>
    <row r="147" s="129" customFormat="1" spans="1:22">
      <c r="A147" s="105">
        <v>44377</v>
      </c>
      <c r="B147" s="105"/>
      <c r="C147" s="105"/>
      <c r="D147" s="105" t="s">
        <v>22</v>
      </c>
      <c r="E147" s="141"/>
      <c r="F147" s="132" t="str">
        <f>IF(C147="","",SUMIFS(E$1:E147,C$1:C147,C147,D$1:D147,"证券买入清算")-SUMIFS(E$1:E147,C$1:C147,C147,D$1:D147,"证券卖出清算"))</f>
        <v/>
      </c>
      <c r="G147" s="143" t="str">
        <f t="shared" si="41"/>
        <v/>
      </c>
      <c r="H147" s="142" t="str">
        <f t="shared" si="42"/>
        <v/>
      </c>
      <c r="I147" s="141"/>
      <c r="J147" s="141"/>
      <c r="K147" s="141"/>
      <c r="L147" s="142" t="str">
        <f t="shared" si="43"/>
        <v/>
      </c>
      <c r="M147" s="142" t="str">
        <f t="shared" si="44"/>
        <v/>
      </c>
      <c r="N147" s="142" t="str">
        <f t="shared" si="45"/>
        <v/>
      </c>
      <c r="O147" s="141">
        <v>1000</v>
      </c>
      <c r="P147" s="141"/>
      <c r="Q147" s="142">
        <f t="shared" si="40"/>
        <v>4246.59000000001</v>
      </c>
      <c r="R147" s="142" t="str">
        <f>IF(B147="","",IFERROR(IF(F147&lt;&gt;0,MAX(get_row)+1,LARGE(get_row,2)+1),1))</f>
        <v/>
      </c>
      <c r="S147" s="134" t="str">
        <f ca="1" t="shared" si="46"/>
        <v/>
      </c>
      <c r="T147" s="129" t="str">
        <f ca="1" t="shared" si="47"/>
        <v/>
      </c>
      <c r="U147" s="156" t="str">
        <f ca="1" t="shared" si="48"/>
        <v/>
      </c>
      <c r="V147" s="157" t="str">
        <f ca="1" t="shared" si="49"/>
        <v/>
      </c>
    </row>
    <row r="148" s="129" customFormat="1" spans="1:22">
      <c r="A148" s="105">
        <v>44012</v>
      </c>
      <c r="B148" s="141">
        <f>VLOOKUP(C148,收益对照表汇总!A:B,2,0)</f>
        <v>601288</v>
      </c>
      <c r="C148" s="105" t="s">
        <v>31</v>
      </c>
      <c r="D148" s="141" t="s">
        <v>25</v>
      </c>
      <c r="E148" s="141">
        <v>500</v>
      </c>
      <c r="F148" s="132">
        <f>IF(C148="","",SUMIFS(E$1:E148,C$1:C148,C148,D$1:D148,"证券买入清算")-SUMIFS(E$1:E148,C$1:C148,C148,D$1:D148,"证券卖出清算"))</f>
        <v>5200</v>
      </c>
      <c r="G148" s="143">
        <f t="shared" si="41"/>
        <v>3.37</v>
      </c>
      <c r="H148" s="142">
        <f t="shared" si="42"/>
        <v>1685</v>
      </c>
      <c r="I148" s="141">
        <v>5</v>
      </c>
      <c r="J148" s="141"/>
      <c r="K148" s="141">
        <v>0.03</v>
      </c>
      <c r="L148" s="142" t="str">
        <f t="shared" si="43"/>
        <v/>
      </c>
      <c r="M148" s="142">
        <f t="shared" si="44"/>
        <v>5.03</v>
      </c>
      <c r="N148" s="142">
        <f t="shared" si="45"/>
        <v>0.00298516320474777</v>
      </c>
      <c r="O148" s="141"/>
      <c r="P148" s="141">
        <v>1690.03</v>
      </c>
      <c r="Q148" s="142">
        <f t="shared" si="40"/>
        <v>2556.56000000001</v>
      </c>
      <c r="R148" s="142">
        <f>IF(B148="","",IFERROR(IF(F148&lt;&gt;0,MAX(get_row)+1,LARGE(get_row,2)+1),1))</f>
        <v>118</v>
      </c>
      <c r="S148" s="134">
        <f ca="1" t="shared" si="46"/>
        <v>-17645.32</v>
      </c>
      <c r="T148" s="129">
        <f ca="1" t="shared" si="47"/>
        <v>45.32</v>
      </c>
      <c r="U148" s="156">
        <f ca="1" t="shared" si="48"/>
        <v>0.00256838640500711</v>
      </c>
      <c r="V148" s="157">
        <f ca="1" t="shared" si="49"/>
        <v>-3.39333076923077</v>
      </c>
    </row>
    <row r="149" s="129" customFormat="1" spans="1:22">
      <c r="A149" s="105">
        <v>44018</v>
      </c>
      <c r="B149" s="141">
        <f>VLOOKUP(C149,收益对照表汇总!A:B,2,0)</f>
        <v>600115</v>
      </c>
      <c r="C149" s="105" t="s">
        <v>27</v>
      </c>
      <c r="D149" s="141" t="s">
        <v>26</v>
      </c>
      <c r="E149" s="141">
        <v>600</v>
      </c>
      <c r="F149" s="132">
        <f>IF(C149="","",SUMIFS(E$1:E149,C$1:C149,C149,D$1:D149,"证券买入清算")-SUMIFS(E$1:E149,C$1:C149,C149,D$1:D149,"证券卖出清算"))</f>
        <v>1000</v>
      </c>
      <c r="G149" s="143">
        <f t="shared" si="41"/>
        <v>4.5</v>
      </c>
      <c r="H149" s="142">
        <f t="shared" si="42"/>
        <v>2700</v>
      </c>
      <c r="I149" s="141">
        <v>5</v>
      </c>
      <c r="J149" s="141">
        <v>2.7</v>
      </c>
      <c r="K149" s="141">
        <v>0.0499999999999998</v>
      </c>
      <c r="L149" s="142" t="str">
        <f t="shared" si="43"/>
        <v/>
      </c>
      <c r="M149" s="142">
        <f t="shared" si="44"/>
        <v>7.75</v>
      </c>
      <c r="N149" s="142">
        <f t="shared" si="45"/>
        <v>0.00287037037037037</v>
      </c>
      <c r="O149" s="141">
        <v>2692.25</v>
      </c>
      <c r="P149" s="141"/>
      <c r="Q149" s="142">
        <f t="shared" si="40"/>
        <v>5248.81000000001</v>
      </c>
      <c r="R149" s="142">
        <f>IF(B149="","",IFERROR(IF(F149&lt;&gt;0,MAX(get_row)+1,LARGE(get_row,2)+1),1))</f>
        <v>27</v>
      </c>
      <c r="S149" s="134">
        <f ca="1" t="shared" si="46"/>
        <v>-5338.91</v>
      </c>
      <c r="T149" s="129">
        <f ca="1" t="shared" si="47"/>
        <v>22.91</v>
      </c>
      <c r="U149" s="156">
        <f ca="1" t="shared" si="48"/>
        <v>0.00476628072611584</v>
      </c>
      <c r="V149" s="157">
        <f ca="1" t="shared" si="49"/>
        <v>-5.33891</v>
      </c>
    </row>
    <row r="150" s="129" customFormat="1" spans="1:22">
      <c r="A150" s="105">
        <v>44018</v>
      </c>
      <c r="B150" s="141">
        <f>VLOOKUP(C150,收益对照表汇总!A:B,2,0)</f>
        <v>600115</v>
      </c>
      <c r="C150" s="105" t="s">
        <v>27</v>
      </c>
      <c r="D150" s="141" t="s">
        <v>26</v>
      </c>
      <c r="E150" s="141">
        <v>1000</v>
      </c>
      <c r="F150" s="132">
        <f>IF(C150="","",SUMIFS(E$1:E150,C$1:C150,C150,D$1:D150,"证券买入清算")-SUMIFS(E$1:E150,C$1:C150,C150,D$1:D150,"证券卖出清算"))</f>
        <v>0</v>
      </c>
      <c r="G150" s="143">
        <f t="shared" si="41"/>
        <v>4.62</v>
      </c>
      <c r="H150" s="142">
        <f t="shared" si="42"/>
        <v>4620</v>
      </c>
      <c r="I150" s="141">
        <v>5</v>
      </c>
      <c r="J150" s="141">
        <v>4.62</v>
      </c>
      <c r="K150" s="141">
        <v>0.0899999999999999</v>
      </c>
      <c r="L150" s="142" t="str">
        <f t="shared" si="43"/>
        <v/>
      </c>
      <c r="M150" s="142">
        <f t="shared" si="44"/>
        <v>9.71</v>
      </c>
      <c r="N150" s="142">
        <f t="shared" si="45"/>
        <v>0.0021017316017316</v>
      </c>
      <c r="O150" s="141">
        <v>4610.29</v>
      </c>
      <c r="P150" s="141"/>
      <c r="Q150" s="142">
        <f t="shared" si="40"/>
        <v>9859.10000000001</v>
      </c>
      <c r="R150" s="142">
        <f>IF(B150="","",IFERROR(IF(F150&lt;&gt;0,MAX(get_row)+1,LARGE(get_row,2)+1),1))</f>
        <v>27</v>
      </c>
      <c r="S150" s="134">
        <f ca="1" t="shared" si="46"/>
        <v>-728.62</v>
      </c>
      <c r="T150" s="129">
        <f ca="1" t="shared" si="47"/>
        <v>32.62</v>
      </c>
      <c r="U150" s="156">
        <f ca="1" t="shared" si="48"/>
        <v>0.00427859651525968</v>
      </c>
      <c r="V150" s="157" t="str">
        <f ca="1" t="shared" si="49"/>
        <v>Over</v>
      </c>
    </row>
    <row r="151" s="129" customFormat="1" spans="1:22">
      <c r="A151" s="105">
        <v>44021</v>
      </c>
      <c r="B151" s="141">
        <v>601288</v>
      </c>
      <c r="C151" s="105" t="s">
        <v>31</v>
      </c>
      <c r="D151" s="141" t="s">
        <v>44</v>
      </c>
      <c r="E151" s="141"/>
      <c r="F151" s="132">
        <f>IF(C151="","",SUMIFS(E$1:E151,C$1:C151,C151,D$1:D151,"证券买入清算")-SUMIFS(E$1:E151,C$1:C151,C151,D$1:D151,"证券卖出清算"))</f>
        <v>5200</v>
      </c>
      <c r="G151" s="143">
        <f t="shared" si="41"/>
        <v>0</v>
      </c>
      <c r="H151" s="142">
        <f t="shared" si="42"/>
        <v>0</v>
      </c>
      <c r="I151" s="141"/>
      <c r="J151" s="141"/>
      <c r="K151" s="141"/>
      <c r="L151" s="142">
        <f t="shared" si="43"/>
        <v>-945.88</v>
      </c>
      <c r="M151" s="142">
        <f t="shared" si="44"/>
        <v>-945.88</v>
      </c>
      <c r="N151" s="142" t="str">
        <f t="shared" si="45"/>
        <v/>
      </c>
      <c r="O151" s="158">
        <v>945.88</v>
      </c>
      <c r="P151" s="141"/>
      <c r="Q151" s="142">
        <f t="shared" si="40"/>
        <v>10804.98</v>
      </c>
      <c r="R151" s="142">
        <f>IF(B151="","",IFERROR(IF(F151&lt;&gt;0,MAX(get_row)+1,LARGE(get_row,2)+1),1))</f>
        <v>118</v>
      </c>
      <c r="S151" s="134">
        <f ca="1" t="shared" si="46"/>
        <v>-16699.44</v>
      </c>
      <c r="T151" s="129">
        <f ca="1" t="shared" si="47"/>
        <v>45.32</v>
      </c>
      <c r="U151" s="156">
        <f ca="1" t="shared" si="48"/>
        <v>0.00256838640500711</v>
      </c>
      <c r="V151" s="157">
        <f ca="1" t="shared" si="49"/>
        <v>-3.21143076923077</v>
      </c>
    </row>
    <row r="152" s="129" customFormat="1" spans="1:22">
      <c r="A152" s="105">
        <v>44025</v>
      </c>
      <c r="B152" s="141">
        <f>VLOOKUP(C152,收益对照表汇总!A:B,2,0)</f>
        <v>601288</v>
      </c>
      <c r="C152" s="105" t="s">
        <v>31</v>
      </c>
      <c r="D152" s="141" t="s">
        <v>25</v>
      </c>
      <c r="E152" s="141">
        <v>600</v>
      </c>
      <c r="F152" s="132">
        <f>IF(C152="","",SUMIFS(E$1:E152,C$1:C152,C152,D$1:D152,"证券买入清算")-SUMIFS(E$1:E152,C$1:C152,C152,D$1:D152,"证券卖出清算"))</f>
        <v>5800</v>
      </c>
      <c r="G152" s="143">
        <f t="shared" si="41"/>
        <v>3.34</v>
      </c>
      <c r="H152" s="142">
        <f t="shared" si="42"/>
        <v>2004</v>
      </c>
      <c r="I152" s="141">
        <v>5</v>
      </c>
      <c r="J152" s="141"/>
      <c r="K152" s="141">
        <v>0.04</v>
      </c>
      <c r="L152" s="142" t="str">
        <f t="shared" si="43"/>
        <v/>
      </c>
      <c r="M152" s="142">
        <f t="shared" si="44"/>
        <v>5.04</v>
      </c>
      <c r="N152" s="142">
        <f t="shared" si="45"/>
        <v>0.00251497005988024</v>
      </c>
      <c r="O152" s="141"/>
      <c r="P152" s="141">
        <v>2009.04</v>
      </c>
      <c r="Q152" s="142">
        <f t="shared" si="40"/>
        <v>8795.94000000001</v>
      </c>
      <c r="R152" s="142">
        <f>IF(B152="","",IFERROR(IF(F152&lt;&gt;0,MAX(get_row)+1,LARGE(get_row,2)+1),1))</f>
        <v>118</v>
      </c>
      <c r="S152" s="134">
        <f ca="1" t="shared" si="46"/>
        <v>-18708.48</v>
      </c>
      <c r="T152" s="129">
        <f ca="1" t="shared" si="47"/>
        <v>50.36</v>
      </c>
      <c r="U152" s="156">
        <f ca="1" t="shared" si="48"/>
        <v>0.00256228134622547</v>
      </c>
      <c r="V152" s="157">
        <f ca="1" t="shared" si="49"/>
        <v>-3.2256</v>
      </c>
    </row>
    <row r="153" s="129" customFormat="1" spans="1:22">
      <c r="A153" s="105">
        <v>44027</v>
      </c>
      <c r="B153" s="141">
        <f>VLOOKUP(C153,收益对照表汇总!A:B,2,0)</f>
        <v>601288</v>
      </c>
      <c r="C153" s="105" t="s">
        <v>31</v>
      </c>
      <c r="D153" s="141" t="s">
        <v>25</v>
      </c>
      <c r="E153" s="141">
        <v>700</v>
      </c>
      <c r="F153" s="132">
        <f>IF(C153="","",SUMIFS(E$1:E153,C$1:C153,C153,D$1:D153,"证券买入清算")-SUMIFS(E$1:E153,C$1:C153,C153,D$1:D153,"证券卖出清算"))</f>
        <v>6500</v>
      </c>
      <c r="G153" s="143">
        <f t="shared" si="41"/>
        <v>3.29</v>
      </c>
      <c r="H153" s="142">
        <f t="shared" si="42"/>
        <v>2303</v>
      </c>
      <c r="I153" s="141">
        <v>5</v>
      </c>
      <c r="J153" s="141"/>
      <c r="K153" s="141">
        <v>0.05</v>
      </c>
      <c r="L153" s="142" t="str">
        <f t="shared" si="43"/>
        <v/>
      </c>
      <c r="M153" s="142">
        <f t="shared" si="44"/>
        <v>5.05</v>
      </c>
      <c r="N153" s="142">
        <f t="shared" si="45"/>
        <v>0.00219279201042119</v>
      </c>
      <c r="O153" s="141"/>
      <c r="P153" s="141">
        <v>2308.05</v>
      </c>
      <c r="Q153" s="142">
        <f t="shared" si="40"/>
        <v>6487.89000000001</v>
      </c>
      <c r="R153" s="142">
        <f>IF(B153="","",IFERROR(IF(F153&lt;&gt;0,MAX(get_row)+1,LARGE(get_row,2)+1),1))</f>
        <v>118</v>
      </c>
      <c r="S153" s="134">
        <f ca="1" t="shared" si="46"/>
        <v>-21016.53</v>
      </c>
      <c r="T153" s="129">
        <f ca="1" t="shared" si="47"/>
        <v>55.41</v>
      </c>
      <c r="U153" s="156">
        <f ca="1" t="shared" si="48"/>
        <v>0.00252294716290243</v>
      </c>
      <c r="V153" s="157">
        <f ca="1" t="shared" si="49"/>
        <v>-3.23331230769231</v>
      </c>
    </row>
    <row r="154" s="129" customFormat="1" spans="1:22">
      <c r="A154" s="105">
        <v>44075</v>
      </c>
      <c r="B154" s="105"/>
      <c r="C154" s="105"/>
      <c r="D154" s="105" t="s">
        <v>22</v>
      </c>
      <c r="E154" s="141"/>
      <c r="F154" s="132" t="str">
        <f>IF(C154="","",SUMIFS(E$1:E154,C$1:C154,C154,D$1:D154,"证券买入清算")-SUMIFS(E$1:E154,C$1:C154,C154,D$1:D154,"证券卖出清算"))</f>
        <v/>
      </c>
      <c r="G154" s="143" t="str">
        <f t="shared" si="41"/>
        <v/>
      </c>
      <c r="H154" s="142" t="str">
        <f t="shared" si="42"/>
        <v/>
      </c>
      <c r="I154" s="141"/>
      <c r="J154" s="141"/>
      <c r="K154" s="141"/>
      <c r="L154" s="142" t="str">
        <f t="shared" si="43"/>
        <v/>
      </c>
      <c r="M154" s="142" t="str">
        <f t="shared" si="44"/>
        <v/>
      </c>
      <c r="N154" s="142" t="str">
        <f t="shared" si="45"/>
        <v/>
      </c>
      <c r="O154" s="141">
        <v>4000</v>
      </c>
      <c r="P154" s="141"/>
      <c r="Q154" s="142">
        <f t="shared" si="40"/>
        <v>10487.89</v>
      </c>
      <c r="R154" s="142" t="str">
        <f>IF(B154="","",IFERROR(IF(F154&lt;&gt;0,MAX(get_row)+1,LARGE(get_row,2)+1),1))</f>
        <v/>
      </c>
      <c r="S154" s="134" t="str">
        <f ca="1" t="shared" si="46"/>
        <v/>
      </c>
      <c r="T154" s="129" t="str">
        <f ca="1" t="shared" si="47"/>
        <v/>
      </c>
      <c r="U154" s="156" t="str">
        <f ca="1" t="shared" si="48"/>
        <v/>
      </c>
      <c r="V154" s="157" t="str">
        <f ca="1" t="shared" si="49"/>
        <v/>
      </c>
    </row>
    <row r="155" s="129" customFormat="1" spans="1:22">
      <c r="A155" s="105">
        <v>44075</v>
      </c>
      <c r="B155" s="141">
        <f>VLOOKUP(C155,收益对照表汇总!A:B,2,0)</f>
        <v>601288</v>
      </c>
      <c r="C155" s="105" t="s">
        <v>31</v>
      </c>
      <c r="D155" s="141" t="s">
        <v>25</v>
      </c>
      <c r="E155" s="141">
        <v>800</v>
      </c>
      <c r="F155" s="132">
        <f>IF(C155="","",SUMIFS(E$1:E155,C$1:C155,C155,D$1:D155,"证券买入清算")-SUMIFS(E$1:E155,C$1:C155,C155,D$1:D155,"证券卖出清算"))</f>
        <v>7300</v>
      </c>
      <c r="G155" s="143">
        <f t="shared" si="41"/>
        <v>3.2</v>
      </c>
      <c r="H155" s="142">
        <f t="shared" si="42"/>
        <v>2560</v>
      </c>
      <c r="I155" s="141">
        <v>5</v>
      </c>
      <c r="J155" s="141"/>
      <c r="K155" s="141">
        <v>0.05</v>
      </c>
      <c r="L155" s="142" t="str">
        <f t="shared" si="43"/>
        <v/>
      </c>
      <c r="M155" s="142">
        <f t="shared" si="44"/>
        <v>5.05</v>
      </c>
      <c r="N155" s="142">
        <f t="shared" si="45"/>
        <v>0.00197265625</v>
      </c>
      <c r="O155" s="141"/>
      <c r="P155" s="141">
        <v>2565.05</v>
      </c>
      <c r="Q155" s="142">
        <f t="shared" si="40"/>
        <v>7922.84000000001</v>
      </c>
      <c r="R155" s="142">
        <f>IF(B155="","",IFERROR(IF(F155&lt;&gt;0,MAX(get_row)+1,LARGE(get_row,2)+1),1))</f>
        <v>118</v>
      </c>
      <c r="S155" s="134">
        <f ca="1" t="shared" si="46"/>
        <v>-23581.58</v>
      </c>
      <c r="T155" s="129">
        <f ca="1" t="shared" si="47"/>
        <v>60.46</v>
      </c>
      <c r="U155" s="156">
        <f ca="1" t="shared" si="48"/>
        <v>0.00246499229842797</v>
      </c>
      <c r="V155" s="157">
        <f ca="1" t="shared" si="49"/>
        <v>-3.23035342465753</v>
      </c>
    </row>
    <row r="156" s="129" customFormat="1" spans="1:22">
      <c r="A156" s="105">
        <v>44077</v>
      </c>
      <c r="B156" s="141">
        <f>VLOOKUP(C156,收益对照表汇总!A:B,2,0)</f>
        <v>601288</v>
      </c>
      <c r="C156" s="105" t="s">
        <v>31</v>
      </c>
      <c r="D156" s="141" t="s">
        <v>25</v>
      </c>
      <c r="E156" s="141">
        <v>700</v>
      </c>
      <c r="F156" s="132">
        <f>IF(C156="","",SUMIFS(E$1:E156,C$1:C156,C156,D$1:D156,"证券买入清算")-SUMIFS(E$1:E156,C$1:C156,C156,D$1:D156,"证券卖出清算"))</f>
        <v>8000</v>
      </c>
      <c r="G156" s="143">
        <f t="shared" si="41"/>
        <v>3.17</v>
      </c>
      <c r="H156" s="142">
        <f t="shared" si="42"/>
        <v>2219</v>
      </c>
      <c r="I156" s="141">
        <v>5</v>
      </c>
      <c r="J156" s="141"/>
      <c r="K156" s="141">
        <v>0.04</v>
      </c>
      <c r="L156" s="142" t="str">
        <f t="shared" si="43"/>
        <v/>
      </c>
      <c r="M156" s="142">
        <f t="shared" si="44"/>
        <v>5.04</v>
      </c>
      <c r="N156" s="142">
        <f t="shared" si="45"/>
        <v>0.00227129337539432</v>
      </c>
      <c r="O156" s="141"/>
      <c r="P156" s="141">
        <v>2224.04</v>
      </c>
      <c r="Q156" s="142">
        <f t="shared" si="40"/>
        <v>5698.80000000001</v>
      </c>
      <c r="R156" s="142">
        <f>IF(B156="","",IFERROR(IF(F156&lt;&gt;0,MAX(get_row)+1,LARGE(get_row,2)+1),1))</f>
        <v>118</v>
      </c>
      <c r="S156" s="134">
        <f ca="1" t="shared" si="46"/>
        <v>-25805.62</v>
      </c>
      <c r="T156" s="129">
        <f ca="1" t="shared" si="47"/>
        <v>65.5</v>
      </c>
      <c r="U156" s="156">
        <f ca="1" t="shared" si="48"/>
        <v>0.00244846083397193</v>
      </c>
      <c r="V156" s="157">
        <f ca="1" t="shared" si="49"/>
        <v>-3.2257025</v>
      </c>
    </row>
    <row r="157" s="129" customFormat="1" spans="1:22">
      <c r="A157" s="105">
        <v>44095</v>
      </c>
      <c r="B157" s="105"/>
      <c r="C157" s="105"/>
      <c r="D157" s="105" t="s">
        <v>28</v>
      </c>
      <c r="E157" s="141"/>
      <c r="F157" s="132" t="str">
        <f>IF(C157="","",SUMIFS(E$1:E157,C$1:C157,C157,D$1:D157,"证券买入清算")-SUMIFS(E$1:E157,C$1:C157,C157,D$1:D157,"证券卖出清算"))</f>
        <v/>
      </c>
      <c r="G157" s="143" t="str">
        <f t="shared" si="41"/>
        <v/>
      </c>
      <c r="H157" s="142" t="str">
        <f t="shared" si="42"/>
        <v/>
      </c>
      <c r="I157" s="141"/>
      <c r="J157" s="141"/>
      <c r="K157" s="141"/>
      <c r="L157" s="142" t="str">
        <f t="shared" si="43"/>
        <v/>
      </c>
      <c r="M157" s="142" t="str">
        <f t="shared" si="44"/>
        <v/>
      </c>
      <c r="N157" s="142" t="str">
        <f t="shared" si="45"/>
        <v/>
      </c>
      <c r="O157" s="141">
        <v>4.72</v>
      </c>
      <c r="P157" s="141"/>
      <c r="Q157" s="142">
        <f t="shared" si="40"/>
        <v>5703.52000000001</v>
      </c>
      <c r="R157" s="142" t="str">
        <f>IF(B157="","",IFERROR(IF(F157&lt;&gt;0,MAX(get_row)+1,LARGE(get_row,2)+1),1))</f>
        <v/>
      </c>
      <c r="S157" s="134" t="str">
        <f ca="1" t="shared" si="46"/>
        <v/>
      </c>
      <c r="T157" s="129" t="str">
        <f ca="1" t="shared" si="47"/>
        <v/>
      </c>
      <c r="U157" s="156" t="str">
        <f ca="1" t="shared" si="48"/>
        <v/>
      </c>
      <c r="V157" s="157" t="str">
        <f ca="1" t="shared" si="49"/>
        <v/>
      </c>
    </row>
    <row r="158" s="129" customFormat="1" spans="1:22">
      <c r="A158" s="105">
        <v>44077</v>
      </c>
      <c r="B158" s="141">
        <f>VLOOKUP(C158,收益对照表汇总!A:B,2,0)</f>
        <v>601288</v>
      </c>
      <c r="C158" s="105" t="s">
        <v>31</v>
      </c>
      <c r="D158" s="141" t="s">
        <v>25</v>
      </c>
      <c r="E158" s="141">
        <v>700</v>
      </c>
      <c r="F158" s="132">
        <f>IF(C158="","",SUMIFS(E$1:E158,C$1:C158,C158,D$1:D158,"证券买入清算")-SUMIFS(E$1:E158,C$1:C158,C158,D$1:D158,"证券卖出清算"))</f>
        <v>8700</v>
      </c>
      <c r="G158" s="143">
        <f t="shared" si="41"/>
        <v>3.15</v>
      </c>
      <c r="H158" s="142">
        <f t="shared" si="42"/>
        <v>2205</v>
      </c>
      <c r="I158" s="141">
        <v>5</v>
      </c>
      <c r="J158" s="141"/>
      <c r="K158" s="141">
        <v>0.04</v>
      </c>
      <c r="L158" s="142" t="str">
        <f t="shared" si="43"/>
        <v/>
      </c>
      <c r="M158" s="142">
        <f t="shared" si="44"/>
        <v>5.04</v>
      </c>
      <c r="N158" s="142">
        <f t="shared" si="45"/>
        <v>0.00228571428571429</v>
      </c>
      <c r="O158" s="141"/>
      <c r="P158" s="141">
        <v>2210.04</v>
      </c>
      <c r="Q158" s="142">
        <f t="shared" si="40"/>
        <v>3493.48000000001</v>
      </c>
      <c r="R158" s="142">
        <f>IF(B158="","",IFERROR(IF(F158&lt;&gt;0,MAX(get_row)+1,LARGE(get_row,2)+1),1))</f>
        <v>118</v>
      </c>
      <c r="S158" s="134">
        <f ca="1" t="shared" si="46"/>
        <v>-28015.66</v>
      </c>
      <c r="T158" s="129">
        <f ca="1" t="shared" si="47"/>
        <v>70.54</v>
      </c>
      <c r="U158" s="156">
        <f ca="1" t="shared" si="48"/>
        <v>0.00243564396092197</v>
      </c>
      <c r="V158" s="157">
        <f ca="1" t="shared" si="49"/>
        <v>-3.2201908045977</v>
      </c>
    </row>
    <row r="159" s="129" customFormat="1" spans="1:22">
      <c r="A159" s="105">
        <v>44134</v>
      </c>
      <c r="B159" s="141">
        <f>VLOOKUP(C159,收益对照表汇总!A:B,2,0)</f>
        <v>601288</v>
      </c>
      <c r="C159" s="105" t="s">
        <v>31</v>
      </c>
      <c r="D159" s="141" t="s">
        <v>25</v>
      </c>
      <c r="E159" s="141">
        <v>700</v>
      </c>
      <c r="F159" s="132">
        <f>IF(C159="","",SUMIFS(E$1:E159,C$1:C159,C159,D$1:D159,"证券买入清算")-SUMIFS(E$1:E159,C$1:C159,C159,D$1:D159,"证券卖出清算"))</f>
        <v>9400</v>
      </c>
      <c r="G159" s="143">
        <f t="shared" si="41"/>
        <v>3.16</v>
      </c>
      <c r="H159" s="142">
        <f t="shared" si="42"/>
        <v>2212</v>
      </c>
      <c r="I159" s="141">
        <v>5</v>
      </c>
      <c r="J159" s="141"/>
      <c r="K159" s="141">
        <v>0.04</v>
      </c>
      <c r="L159" s="142" t="str">
        <f t="shared" si="43"/>
        <v/>
      </c>
      <c r="M159" s="142">
        <f t="shared" si="44"/>
        <v>5.04</v>
      </c>
      <c r="N159" s="142">
        <f t="shared" si="45"/>
        <v>0.00227848101265823</v>
      </c>
      <c r="O159" s="141"/>
      <c r="P159" s="141">
        <v>2217.04</v>
      </c>
      <c r="Q159" s="160">
        <f t="shared" si="40"/>
        <v>1276.44000000001</v>
      </c>
      <c r="R159" s="142">
        <f>IF(B159="","",IFERROR(IF(F159&lt;&gt;0,MAX(get_row)+1,LARGE(get_row,2)+1),1))</f>
        <v>118</v>
      </c>
      <c r="S159" s="134">
        <f ca="1" t="shared" si="46"/>
        <v>-30232.7</v>
      </c>
      <c r="T159" s="129">
        <f ca="1" t="shared" si="47"/>
        <v>75.58</v>
      </c>
      <c r="U159" s="156">
        <f ca="1" t="shared" si="48"/>
        <v>0.00242410013541348</v>
      </c>
      <c r="V159" s="157">
        <f ca="1" t="shared" si="49"/>
        <v>-3.21624468085106</v>
      </c>
    </row>
    <row r="160" s="129" customFormat="1" spans="1:22">
      <c r="A160" s="105">
        <v>44146</v>
      </c>
      <c r="B160" s="105"/>
      <c r="D160" s="105" t="s">
        <v>22</v>
      </c>
      <c r="E160" s="141"/>
      <c r="F160" s="132" t="str">
        <f>IF(C160="","",SUMIFS(E$1:E160,C$1:C160,C160,D$1:D160,"证券买入清算")-SUMIFS(E$1:E160,C$1:C160,C160,D$1:D160,"证券卖出清算"))</f>
        <v/>
      </c>
      <c r="G160" s="143" t="str">
        <f t="shared" si="41"/>
        <v/>
      </c>
      <c r="H160" s="142" t="str">
        <f t="shared" si="42"/>
        <v/>
      </c>
      <c r="I160" s="141"/>
      <c r="J160" s="141"/>
      <c r="K160" s="141"/>
      <c r="L160" s="142" t="str">
        <f t="shared" si="43"/>
        <v/>
      </c>
      <c r="M160" s="142" t="str">
        <f t="shared" si="44"/>
        <v/>
      </c>
      <c r="N160" s="142" t="str">
        <f t="shared" si="45"/>
        <v/>
      </c>
      <c r="O160" s="141">
        <v>3000</v>
      </c>
      <c r="P160" s="141"/>
      <c r="Q160" s="142">
        <f t="shared" si="40"/>
        <v>4276.44000000001</v>
      </c>
      <c r="R160" s="142" t="str">
        <f>IF(B160="","",IFERROR(IF(F160&lt;&gt;0,MAX(get_row)+1,LARGE(get_row,2)+1),1))</f>
        <v/>
      </c>
      <c r="S160" s="134" t="str">
        <f ca="1" t="shared" si="46"/>
        <v/>
      </c>
      <c r="T160" s="129" t="str">
        <f ca="1" t="shared" si="47"/>
        <v/>
      </c>
      <c r="U160" s="156" t="str">
        <f ca="1" t="shared" si="48"/>
        <v/>
      </c>
      <c r="V160" s="157" t="str">
        <f ca="1" t="shared" si="49"/>
        <v/>
      </c>
    </row>
    <row r="161" s="129" customFormat="1" spans="1:22">
      <c r="A161" s="105">
        <v>44162</v>
      </c>
      <c r="B161" s="105"/>
      <c r="D161" s="105" t="s">
        <v>22</v>
      </c>
      <c r="E161" s="141"/>
      <c r="F161" s="132" t="str">
        <f>IF(C161="","",SUMIFS(E$1:E161,C$1:C161,C161,D$1:D161,"证券买入清算")-SUMIFS(E$1:E161,C$1:C161,C161,D$1:D161,"证券卖出清算"))</f>
        <v/>
      </c>
      <c r="G161" s="143" t="str">
        <f t="shared" si="41"/>
        <v/>
      </c>
      <c r="H161" s="142" t="str">
        <f t="shared" si="42"/>
        <v/>
      </c>
      <c r="I161" s="141"/>
      <c r="J161" s="141"/>
      <c r="K161" s="141"/>
      <c r="L161" s="142" t="str">
        <f t="shared" si="43"/>
        <v/>
      </c>
      <c r="M161" s="142" t="str">
        <f t="shared" si="44"/>
        <v/>
      </c>
      <c r="N161" s="142" t="str">
        <f t="shared" si="45"/>
        <v/>
      </c>
      <c r="O161" s="141">
        <v>4000</v>
      </c>
      <c r="P161" s="141"/>
      <c r="Q161" s="142">
        <f t="shared" si="40"/>
        <v>8276.44000000001</v>
      </c>
      <c r="R161" s="142" t="str">
        <f>IF(B161="","",IFERROR(IF(F161&lt;&gt;0,MAX(get_row)+1,LARGE(get_row,2)+1),1))</f>
        <v/>
      </c>
      <c r="S161" s="134" t="str">
        <f ca="1" t="shared" si="46"/>
        <v/>
      </c>
      <c r="T161" s="129" t="str">
        <f ca="1" t="shared" si="47"/>
        <v/>
      </c>
      <c r="U161" s="156" t="str">
        <f ca="1" t="shared" si="48"/>
        <v/>
      </c>
      <c r="V161" s="157" t="str">
        <f ca="1" t="shared" si="49"/>
        <v/>
      </c>
    </row>
    <row r="162" s="129" customFormat="1" spans="1:22">
      <c r="A162" s="105">
        <v>44165</v>
      </c>
      <c r="B162" s="141">
        <f>VLOOKUP(C162,收益对照表汇总!A:B,2,0)</f>
        <v>601288</v>
      </c>
      <c r="C162" s="105" t="s">
        <v>31</v>
      </c>
      <c r="D162" s="141" t="s">
        <v>26</v>
      </c>
      <c r="E162" s="141">
        <v>4000</v>
      </c>
      <c r="F162" s="132">
        <f>IF(C162="","",SUMIFS(E$1:E162,C$1:C162,C162,D$1:D162,"证券买入清算")-SUMIFS(E$1:E162,C$1:C162,C162,D$1:D162,"证券卖出清算"))</f>
        <v>5400</v>
      </c>
      <c r="G162" s="143">
        <f t="shared" si="41"/>
        <v>3.39</v>
      </c>
      <c r="H162" s="142">
        <f t="shared" si="42"/>
        <v>13560</v>
      </c>
      <c r="I162" s="141">
        <v>5</v>
      </c>
      <c r="J162" s="141">
        <v>13.56</v>
      </c>
      <c r="K162" s="141">
        <v>0.269999999999996</v>
      </c>
      <c r="L162" s="142" t="str">
        <f t="shared" si="43"/>
        <v/>
      </c>
      <c r="M162" s="142">
        <f t="shared" si="44"/>
        <v>18.83</v>
      </c>
      <c r="N162" s="142">
        <f t="shared" si="45"/>
        <v>0.00138864306784661</v>
      </c>
      <c r="O162" s="141">
        <v>13541.17</v>
      </c>
      <c r="P162" s="141"/>
      <c r="Q162" s="142">
        <f t="shared" si="40"/>
        <v>21817.61</v>
      </c>
      <c r="R162" s="142">
        <f>IF(B162="","",IFERROR(IF(F162&lt;&gt;0,MAX(get_row)+1,LARGE(get_row,2)+1),1))</f>
        <v>118</v>
      </c>
      <c r="S162" s="134">
        <f ca="1" t="shared" si="46"/>
        <v>-16691.53</v>
      </c>
      <c r="T162" s="129">
        <f ca="1" t="shared" si="47"/>
        <v>94.41</v>
      </c>
      <c r="U162" s="156">
        <f ca="1" t="shared" si="48"/>
        <v>0.00381467421431508</v>
      </c>
      <c r="V162" s="157">
        <f ca="1" t="shared" si="49"/>
        <v>-3.09102407407408</v>
      </c>
    </row>
    <row r="163" s="129" customFormat="1" spans="1:22">
      <c r="A163" s="105">
        <v>44166</v>
      </c>
      <c r="B163" s="141"/>
      <c r="C163" s="105" t="s">
        <v>31</v>
      </c>
      <c r="D163" s="141" t="s">
        <v>11</v>
      </c>
      <c r="E163" s="158">
        <v>1000</v>
      </c>
      <c r="F163" s="132">
        <f>IF(C163="","",SUMIFS(E$1:E163,C$1:C163,C163,D$1:D163,"证券买入清算")-SUMIFS(E$1:E163,C$1:C163,C163,D$1:D163,"证券卖出清算"))</f>
        <v>5400</v>
      </c>
      <c r="G163" s="143">
        <f t="shared" si="41"/>
        <v>0</v>
      </c>
      <c r="H163" s="142">
        <f t="shared" si="42"/>
        <v>0</v>
      </c>
      <c r="I163" s="141"/>
      <c r="J163" s="141"/>
      <c r="K163" s="141"/>
      <c r="L163" s="142">
        <f t="shared" si="43"/>
        <v>18.19</v>
      </c>
      <c r="M163" s="142">
        <f t="shared" si="44"/>
        <v>18.19</v>
      </c>
      <c r="N163" s="142" t="str">
        <f t="shared" si="45"/>
        <v/>
      </c>
      <c r="O163" s="141"/>
      <c r="P163" s="141">
        <v>18.19</v>
      </c>
      <c r="Q163" s="142">
        <f t="shared" ref="Q163:Q194" si="50">Q162+O163-P163</f>
        <v>21799.42</v>
      </c>
      <c r="R163" s="142" t="str">
        <f>IF(B163="","",IFERROR(IF(F163&lt;&gt;0,MAX(get_row)+1,LARGE(get_row,2)+1),1))</f>
        <v/>
      </c>
      <c r="S163" s="134" t="str">
        <f ca="1" t="shared" si="46"/>
        <v/>
      </c>
      <c r="T163" s="129" t="str">
        <f ca="1" t="shared" si="47"/>
        <v/>
      </c>
      <c r="U163" s="156" t="str">
        <f ca="1" t="shared" si="48"/>
        <v/>
      </c>
      <c r="V163" s="157" t="str">
        <f ca="1" t="shared" si="49"/>
        <v/>
      </c>
    </row>
    <row r="164" s="129" customFormat="1" spans="1:22">
      <c r="A164" s="105">
        <v>44166</v>
      </c>
      <c r="B164" s="141"/>
      <c r="C164" s="105" t="s">
        <v>31</v>
      </c>
      <c r="D164" s="141" t="s">
        <v>11</v>
      </c>
      <c r="E164" s="158">
        <v>600</v>
      </c>
      <c r="F164" s="132">
        <f>IF(C164="","",SUMIFS(E$1:E164,C$1:C164,C164,D$1:D164,"证券买入清算")-SUMIFS(E$1:E164,C$1:C164,C164,D$1:D164,"证券卖出清算"))</f>
        <v>5400</v>
      </c>
      <c r="G164" s="143">
        <f t="shared" si="41"/>
        <v>0</v>
      </c>
      <c r="H164" s="142">
        <f t="shared" si="42"/>
        <v>0</v>
      </c>
      <c r="I164" s="141"/>
      <c r="J164" s="141"/>
      <c r="K164" s="141"/>
      <c r="L164" s="142">
        <f t="shared" si="43"/>
        <v>10.91</v>
      </c>
      <c r="M164" s="142">
        <f t="shared" si="44"/>
        <v>10.91</v>
      </c>
      <c r="N164" s="142" t="str">
        <f t="shared" si="45"/>
        <v/>
      </c>
      <c r="O164" s="141"/>
      <c r="P164" s="141">
        <v>10.91</v>
      </c>
      <c r="Q164" s="142">
        <f t="shared" si="50"/>
        <v>21788.51</v>
      </c>
      <c r="R164" s="142" t="str">
        <f>IF(B164="","",IFERROR(IF(F164&lt;&gt;0,MAX(get_row)+1,LARGE(get_row,2)+1),1))</f>
        <v/>
      </c>
      <c r="S164" s="134" t="str">
        <f ca="1" t="shared" si="46"/>
        <v/>
      </c>
      <c r="T164" s="129" t="str">
        <f ca="1" t="shared" si="47"/>
        <v/>
      </c>
      <c r="U164" s="156" t="str">
        <f ca="1" t="shared" si="48"/>
        <v/>
      </c>
      <c r="V164" s="157" t="str">
        <f ca="1" t="shared" si="49"/>
        <v/>
      </c>
    </row>
    <row r="165" s="129" customFormat="1" spans="1:22">
      <c r="A165" s="105">
        <v>44166</v>
      </c>
      <c r="B165" s="141"/>
      <c r="C165" s="105" t="s">
        <v>31</v>
      </c>
      <c r="D165" s="141" t="s">
        <v>11</v>
      </c>
      <c r="E165" s="158">
        <v>600</v>
      </c>
      <c r="F165" s="132">
        <f>IF(C165="","",SUMIFS(E$1:E165,C$1:C165,C165,D$1:D165,"证券买入清算")-SUMIFS(E$1:E165,C$1:C165,C165,D$1:D165,"证券卖出清算"))</f>
        <v>5400</v>
      </c>
      <c r="G165" s="143">
        <f t="shared" si="41"/>
        <v>0</v>
      </c>
      <c r="H165" s="142">
        <f t="shared" si="42"/>
        <v>0</v>
      </c>
      <c r="I165" s="141"/>
      <c r="J165" s="141"/>
      <c r="K165" s="141"/>
      <c r="L165" s="142">
        <f t="shared" si="43"/>
        <v>10.91</v>
      </c>
      <c r="M165" s="142">
        <f t="shared" si="44"/>
        <v>10.91</v>
      </c>
      <c r="N165" s="142" t="str">
        <f t="shared" si="45"/>
        <v/>
      </c>
      <c r="O165" s="141"/>
      <c r="P165" s="141">
        <v>10.91</v>
      </c>
      <c r="Q165" s="142">
        <f t="shared" si="50"/>
        <v>21777.6</v>
      </c>
      <c r="R165" s="142" t="str">
        <f>IF(B165="","",IFERROR(IF(F165&lt;&gt;0,MAX(get_row)+1,LARGE(get_row,2)+1),1))</f>
        <v/>
      </c>
      <c r="S165" s="134" t="str">
        <f ca="1" t="shared" si="46"/>
        <v/>
      </c>
      <c r="T165" s="129" t="str">
        <f ca="1" t="shared" si="47"/>
        <v/>
      </c>
      <c r="U165" s="156" t="str">
        <f ca="1" t="shared" si="48"/>
        <v/>
      </c>
      <c r="V165" s="157" t="str">
        <f ca="1" t="shared" si="49"/>
        <v/>
      </c>
    </row>
    <row r="166" s="129" customFormat="1" spans="1:22">
      <c r="A166" s="105">
        <v>44166</v>
      </c>
      <c r="B166" s="141"/>
      <c r="C166" s="105" t="s">
        <v>31</v>
      </c>
      <c r="D166" s="141" t="s">
        <v>11</v>
      </c>
      <c r="E166" s="158">
        <v>500</v>
      </c>
      <c r="F166" s="132">
        <f>IF(C166="","",SUMIFS(E$1:E166,C$1:C166,C166,D$1:D166,"证券买入清算")-SUMIFS(E$1:E166,C$1:C166,C166,D$1:D166,"证券卖出清算"))</f>
        <v>5400</v>
      </c>
      <c r="G166" s="143">
        <f t="shared" si="41"/>
        <v>0</v>
      </c>
      <c r="H166" s="142">
        <f t="shared" si="42"/>
        <v>0</v>
      </c>
      <c r="I166" s="141"/>
      <c r="J166" s="141"/>
      <c r="K166" s="141"/>
      <c r="L166" s="142">
        <f t="shared" si="43"/>
        <v>9.1</v>
      </c>
      <c r="M166" s="142">
        <f t="shared" si="44"/>
        <v>9.1</v>
      </c>
      <c r="N166" s="142" t="str">
        <f t="shared" si="45"/>
        <v/>
      </c>
      <c r="O166" s="141"/>
      <c r="P166" s="141">
        <v>9.1</v>
      </c>
      <c r="Q166" s="142">
        <f t="shared" si="50"/>
        <v>21768.5</v>
      </c>
      <c r="R166" s="142" t="str">
        <f>IF(B166="","",IFERROR(IF(F166&lt;&gt;0,MAX(get_row)+1,LARGE(get_row,2)+1),1))</f>
        <v/>
      </c>
      <c r="S166" s="134" t="str">
        <f ca="1" t="shared" si="46"/>
        <v/>
      </c>
      <c r="T166" s="129" t="str">
        <f ca="1" t="shared" si="47"/>
        <v/>
      </c>
      <c r="U166" s="156" t="str">
        <f ca="1" t="shared" si="48"/>
        <v/>
      </c>
      <c r="V166" s="157" t="str">
        <f ca="1" t="shared" si="49"/>
        <v/>
      </c>
    </row>
    <row r="167" s="129" customFormat="1" spans="1:22">
      <c r="A167" s="105">
        <v>44166</v>
      </c>
      <c r="B167" s="141"/>
      <c r="C167" s="105" t="s">
        <v>31</v>
      </c>
      <c r="D167" s="141" t="s">
        <v>11</v>
      </c>
      <c r="E167" s="158">
        <v>500</v>
      </c>
      <c r="F167" s="132">
        <f>IF(C167="","",SUMIFS(E$1:E167,C$1:C167,C167,D$1:D167,"证券买入清算")-SUMIFS(E$1:E167,C$1:C167,C167,D$1:D167,"证券卖出清算"))</f>
        <v>5400</v>
      </c>
      <c r="G167" s="143">
        <f t="shared" ref="G167:G196" si="51">IF(C167="","",IFERROR(IF(D167="证券买入清算",ROUND((P167-M167)/E167,3),IF(D167="证券卖出清算",ROUND((M167+O167)/E167,3),0)),0))</f>
        <v>0</v>
      </c>
      <c r="H167" s="142">
        <f t="shared" ref="H167:H195" si="52">IF(C167="","",E167*G167)</f>
        <v>0</v>
      </c>
      <c r="I167" s="141"/>
      <c r="J167" s="141"/>
      <c r="K167" s="141"/>
      <c r="L167" s="142">
        <f t="shared" ref="L167:L195" si="53">IF(C167="","",IF(D167="红股派息",-O167,IF(D167="个人红利所得税扣款",P167,"")))</f>
        <v>9.1</v>
      </c>
      <c r="M167" s="142">
        <f t="shared" ref="M167:M195" si="54">IF(C167="","",SUM(I167:L167))</f>
        <v>9.1</v>
      </c>
      <c r="N167" s="142" t="str">
        <f t="shared" ref="N167:N202" si="55">IFERROR(IF(B167="","",M167/H167),"")</f>
        <v/>
      </c>
      <c r="O167" s="141"/>
      <c r="P167" s="141">
        <v>9.1</v>
      </c>
      <c r="Q167" s="142">
        <f t="shared" si="50"/>
        <v>21759.4</v>
      </c>
      <c r="R167" s="142" t="str">
        <f>IF(B167="","",IFERROR(IF(F167&lt;&gt;0,MAX(get_row)+1,LARGE(get_row,2)+1),1))</f>
        <v/>
      </c>
      <c r="S167" s="134" t="str">
        <f ca="1" t="shared" ref="S167:S199" si="56">IF(B167="","",SUMIFS(INDIRECT("O"&amp;R167&amp;":O"&amp;ROW()),INDIRECT("B"&amp;R167&amp;":B"&amp;ROW()),B167)-SUMIFS(INDIRECT("P"&amp;R167&amp;":P"&amp;ROW()),INDIRECT("B"&amp;R167&amp;":B"&amp;ROW()),B167))</f>
        <v/>
      </c>
      <c r="T167" s="129" t="str">
        <f ca="1" t="shared" ref="T167:T199" si="57">IF(B167="","",SUMIFS(INDIRECT("M"&amp;R167&amp;":M"&amp;ROW()),INDIRECT("B"&amp;R167&amp;":B"&amp;ROW()),B167,INDIRECT("M"&amp;R167&amp;":M"&amp;ROW()),"&gt;0"))</f>
        <v/>
      </c>
      <c r="U167" s="156" t="str">
        <f ca="1" t="shared" ref="U167:U199" si="58">IF(B167="","",IFERROR(SUMIFS(INDIRECT("M"&amp;R167&amp;":M"&amp;ROW()),INDIRECT("B"&amp;R167&amp;":B"&amp;ROW()),B167,INDIRECT("p"&amp;R167&amp;":p"&amp;ROW()),"&lt;&gt;",INDIRECT("M"&amp;R167&amp;":M"&amp;ROW()),"&gt;0")/SUMIFS(INDIRECT("p"&amp;R167&amp;":p"&amp;ROW()),INDIRECT("B"&amp;R167&amp;":B"&amp;ROW()),B167,INDIRECT("p"&amp;R167&amp;":p"&amp;ROW()),"&lt;&gt;",INDIRECT("M"&amp;R167&amp;":M"&amp;ROW()),"&gt;0"),0)+IFERROR(SUMIFS(INDIRECT("M"&amp;R167&amp;":M"&amp;ROW()),INDIRECT("B"&amp;R167&amp;":B"&amp;ROW()),B167,INDIRECT("o"&amp;R167&amp;":o"&amp;ROW()),"&lt;&gt;",INDIRECT("M"&amp;R167&amp;":M"&amp;ROW()),"&gt;0")/SUMIFS(INDIRECT("o"&amp;R167&amp;":o"&amp;ROW()),INDIRECT("B"&amp;R167&amp;":B"&amp;ROW()),B167,INDIRECT("o"&amp;R167&amp;":o"&amp;ROW()),"&lt;&gt;",INDIRECT("M"&amp;R167&amp;":M"&amp;ROW()),"&gt;0"),0))</f>
        <v/>
      </c>
      <c r="V167" s="157" t="str">
        <f ca="1" t="shared" ref="V167:V199" si="59">IF(B167="","",IFERROR(S167/F167,"Over"))</f>
        <v/>
      </c>
    </row>
    <row r="168" s="129" customFormat="1" spans="1:22">
      <c r="A168" s="105">
        <v>44166</v>
      </c>
      <c r="B168" s="141"/>
      <c r="C168" s="105" t="s">
        <v>31</v>
      </c>
      <c r="D168" s="141" t="s">
        <v>11</v>
      </c>
      <c r="E168" s="158">
        <v>500</v>
      </c>
      <c r="F168" s="132">
        <f>IF(C168="","",SUMIFS(E$1:E168,C$1:C168,C168,D$1:D168,"证券买入清算")-SUMIFS(E$1:E168,C$1:C168,C168,D$1:D168,"证券卖出清算"))</f>
        <v>5400</v>
      </c>
      <c r="G168" s="143">
        <f t="shared" si="51"/>
        <v>0</v>
      </c>
      <c r="H168" s="142">
        <f t="shared" si="52"/>
        <v>0</v>
      </c>
      <c r="I168" s="141"/>
      <c r="J168" s="141"/>
      <c r="K168" s="141"/>
      <c r="L168" s="142">
        <f t="shared" si="53"/>
        <v>9.1</v>
      </c>
      <c r="M168" s="142">
        <f t="shared" si="54"/>
        <v>9.1</v>
      </c>
      <c r="N168" s="142" t="str">
        <f t="shared" si="55"/>
        <v/>
      </c>
      <c r="O168" s="141"/>
      <c r="P168" s="141">
        <v>9.1</v>
      </c>
      <c r="Q168" s="142">
        <f t="shared" si="50"/>
        <v>21750.3</v>
      </c>
      <c r="R168" s="142" t="str">
        <f>IF(B168="","",IFERROR(IF(F168&lt;&gt;0,MAX(get_row)+1,LARGE(get_row,2)+1),1))</f>
        <v/>
      </c>
      <c r="S168" s="134" t="str">
        <f ca="1" t="shared" si="56"/>
        <v/>
      </c>
      <c r="T168" s="129" t="str">
        <f ca="1" t="shared" si="57"/>
        <v/>
      </c>
      <c r="U168" s="156" t="str">
        <f ca="1" t="shared" si="58"/>
        <v/>
      </c>
      <c r="V168" s="157" t="str">
        <f ca="1" t="shared" si="59"/>
        <v/>
      </c>
    </row>
    <row r="169" s="129" customFormat="1" spans="1:22">
      <c r="A169" s="105">
        <v>44166</v>
      </c>
      <c r="B169" s="141"/>
      <c r="C169" s="105" t="s">
        <v>31</v>
      </c>
      <c r="D169" s="141" t="s">
        <v>11</v>
      </c>
      <c r="E169" s="158">
        <v>300</v>
      </c>
      <c r="F169" s="132">
        <f>IF(C169="","",SUMIFS(E$1:E169,C$1:C169,C169,D$1:D169,"证券买入清算")-SUMIFS(E$1:E169,C$1:C169,C169,D$1:D169,"证券卖出清算"))</f>
        <v>5400</v>
      </c>
      <c r="G169" s="143">
        <f t="shared" si="51"/>
        <v>0</v>
      </c>
      <c r="H169" s="142">
        <f t="shared" si="52"/>
        <v>0</v>
      </c>
      <c r="I169" s="141"/>
      <c r="J169" s="141"/>
      <c r="K169" s="141"/>
      <c r="L169" s="142">
        <f t="shared" si="53"/>
        <v>5.46</v>
      </c>
      <c r="M169" s="142">
        <f t="shared" si="54"/>
        <v>5.46</v>
      </c>
      <c r="N169" s="142" t="str">
        <f t="shared" si="55"/>
        <v/>
      </c>
      <c r="O169" s="141"/>
      <c r="P169" s="141">
        <v>5.46</v>
      </c>
      <c r="Q169" s="142">
        <f t="shared" si="50"/>
        <v>21744.84</v>
      </c>
      <c r="R169" s="142" t="str">
        <f>IF(B169="","",IFERROR(IF(F169&lt;&gt;0,MAX(get_row)+1,LARGE(get_row,2)+1),1))</f>
        <v/>
      </c>
      <c r="S169" s="134" t="str">
        <f ca="1" t="shared" si="56"/>
        <v/>
      </c>
      <c r="T169" s="129" t="str">
        <f ca="1" t="shared" si="57"/>
        <v/>
      </c>
      <c r="U169" s="156" t="str">
        <f ca="1" t="shared" si="58"/>
        <v/>
      </c>
      <c r="V169" s="157" t="str">
        <f ca="1" t="shared" si="59"/>
        <v/>
      </c>
    </row>
    <row r="170" s="129" customFormat="1" spans="1:22">
      <c r="A170" s="105">
        <v>44176</v>
      </c>
      <c r="B170" s="165" t="str">
        <f>VLOOKUP(C170,收益对照表汇总!A:B,2,0)</f>
        <v>600332</v>
      </c>
      <c r="C170" s="105" t="s">
        <v>39</v>
      </c>
      <c r="D170" s="141" t="s">
        <v>25</v>
      </c>
      <c r="E170" s="141">
        <v>100</v>
      </c>
      <c r="F170" s="132">
        <f>IF(C170="","",SUMIFS(E$1:E170,C$1:C170,C170,D$1:D170,"证券买入清算")-SUMIFS(E$1:E170,C$1:C170,C170,D$1:D170,"证券卖出清算"))</f>
        <v>100</v>
      </c>
      <c r="G170" s="143">
        <f t="shared" si="51"/>
        <v>30.04</v>
      </c>
      <c r="H170" s="142">
        <f t="shared" si="52"/>
        <v>3004</v>
      </c>
      <c r="I170" s="141">
        <v>5</v>
      </c>
      <c r="J170" s="141"/>
      <c r="K170" s="141">
        <v>0.06</v>
      </c>
      <c r="L170" s="142" t="str">
        <f t="shared" si="53"/>
        <v/>
      </c>
      <c r="M170" s="142">
        <f t="shared" si="54"/>
        <v>5.06</v>
      </c>
      <c r="N170" s="142">
        <f t="shared" si="55"/>
        <v>0.0016844207723036</v>
      </c>
      <c r="O170" s="141"/>
      <c r="P170" s="141">
        <v>3009.06</v>
      </c>
      <c r="Q170" s="160">
        <f t="shared" si="50"/>
        <v>18735.78</v>
      </c>
      <c r="R170" s="142">
        <f>IF(B170="","",IFERROR(IF(F170&lt;&gt;0,MAX(get_row)+1,LARGE(get_row,2)+1),1))</f>
        <v>121</v>
      </c>
      <c r="S170" s="134">
        <f ca="1" t="shared" si="56"/>
        <v>-3009.06</v>
      </c>
      <c r="T170" s="129">
        <f ca="1" t="shared" si="57"/>
        <v>5.06</v>
      </c>
      <c r="U170" s="156">
        <f ca="1" t="shared" si="58"/>
        <v>0.00168158827009099</v>
      </c>
      <c r="V170" s="157">
        <f ca="1" t="shared" si="59"/>
        <v>-30.0906</v>
      </c>
    </row>
    <row r="171" s="129" customFormat="1" spans="1:22">
      <c r="A171" s="105">
        <v>44180</v>
      </c>
      <c r="B171" s="141">
        <f>VLOOKUP(C171,收益对照表汇总!A:B,2,0)</f>
        <v>601288</v>
      </c>
      <c r="C171" s="105" t="s">
        <v>31</v>
      </c>
      <c r="D171" s="141" t="s">
        <v>25</v>
      </c>
      <c r="E171" s="141">
        <v>800</v>
      </c>
      <c r="F171" s="132">
        <f>IF(C171="","",SUMIFS(E$1:E171,C$1:C171,C171,D$1:D171,"证券买入清算")-SUMIFS(E$1:E171,C$1:C171,C171,D$1:D171,"证券卖出清算"))</f>
        <v>6200</v>
      </c>
      <c r="G171" s="143">
        <f t="shared" si="51"/>
        <v>3.19</v>
      </c>
      <c r="H171" s="142">
        <f t="shared" si="52"/>
        <v>2552</v>
      </c>
      <c r="I171" s="141">
        <v>5</v>
      </c>
      <c r="J171" s="141"/>
      <c r="K171" s="141">
        <v>0.05</v>
      </c>
      <c r="L171" s="142" t="str">
        <f t="shared" si="53"/>
        <v/>
      </c>
      <c r="M171" s="142">
        <f t="shared" si="54"/>
        <v>5.05</v>
      </c>
      <c r="N171" s="142">
        <f t="shared" si="55"/>
        <v>0.00197884012539185</v>
      </c>
      <c r="O171" s="141"/>
      <c r="P171" s="141">
        <v>2557.05</v>
      </c>
      <c r="Q171" s="142">
        <f t="shared" si="50"/>
        <v>16178.73</v>
      </c>
      <c r="R171" s="142">
        <f>IF(B171="","",IFERROR(IF(F171&lt;&gt;0,MAX(get_row)+1,LARGE(get_row,2)+1),1))</f>
        <v>118</v>
      </c>
      <c r="S171" s="134">
        <f ca="1" t="shared" si="56"/>
        <v>-19248.58</v>
      </c>
      <c r="T171" s="129">
        <f ca="1" t="shared" si="57"/>
        <v>99.46</v>
      </c>
      <c r="U171" s="156">
        <f ca="1" t="shared" si="58"/>
        <v>0.00378062874810446</v>
      </c>
      <c r="V171" s="157">
        <f ca="1" t="shared" si="59"/>
        <v>-3.10460967741936</v>
      </c>
    </row>
    <row r="172" s="129" customFormat="1" spans="1:22">
      <c r="A172" s="105">
        <v>44186</v>
      </c>
      <c r="B172" s="105"/>
      <c r="D172" s="105" t="s">
        <v>28</v>
      </c>
      <c r="E172" s="141"/>
      <c r="F172" s="132" t="str">
        <f>IF(C172="","",SUMIFS(E$1:E172,C$1:C172,C172,D$1:D172,"证券买入清算")-SUMIFS(E$1:E172,C$1:C172,C172,D$1:D172,"证券卖出清算"))</f>
        <v/>
      </c>
      <c r="G172" s="143" t="str">
        <f t="shared" si="51"/>
        <v/>
      </c>
      <c r="H172" s="142" t="str">
        <f t="shared" si="52"/>
        <v/>
      </c>
      <c r="I172" s="141"/>
      <c r="J172" s="141"/>
      <c r="K172" s="141"/>
      <c r="L172" s="142" t="str">
        <f t="shared" si="53"/>
        <v/>
      </c>
      <c r="M172" s="142" t="str">
        <f t="shared" si="54"/>
        <v/>
      </c>
      <c r="N172" s="142" t="str">
        <f t="shared" si="55"/>
        <v/>
      </c>
      <c r="O172" s="141">
        <v>5.84</v>
      </c>
      <c r="P172" s="141"/>
      <c r="Q172" s="142">
        <f t="shared" si="50"/>
        <v>16184.57</v>
      </c>
      <c r="R172" s="142" t="str">
        <f>IF(B172="","",IFERROR(IF(F172&lt;&gt;0,MAX(get_row)+1,LARGE(get_row,2)+1),1))</f>
        <v/>
      </c>
      <c r="S172" s="134" t="str">
        <f ca="1" t="shared" si="56"/>
        <v/>
      </c>
      <c r="T172" s="129" t="str">
        <f ca="1" t="shared" si="57"/>
        <v/>
      </c>
      <c r="U172" s="156" t="str">
        <f ca="1" t="shared" si="58"/>
        <v/>
      </c>
      <c r="V172" s="157" t="str">
        <f ca="1" t="shared" si="59"/>
        <v/>
      </c>
    </row>
    <row r="173" s="129" customFormat="1" spans="1:22">
      <c r="A173" s="105">
        <v>44187</v>
      </c>
      <c r="B173" s="141">
        <f>VLOOKUP(C173,收益对照表汇总!A:B,2,0)</f>
        <v>601288</v>
      </c>
      <c r="C173" s="105" t="s">
        <v>31</v>
      </c>
      <c r="D173" s="141" t="s">
        <v>25</v>
      </c>
      <c r="E173" s="141">
        <v>800</v>
      </c>
      <c r="F173" s="132">
        <f>IF(C173="","",SUMIFS(E$1:E173,C$1:C173,C173,D$1:D173,"证券买入清算")-SUMIFS(E$1:E173,C$1:C173,C173,D$1:D173,"证券卖出清算"))</f>
        <v>7000</v>
      </c>
      <c r="G173" s="143">
        <f t="shared" si="51"/>
        <v>3.16</v>
      </c>
      <c r="H173" s="142">
        <f t="shared" si="52"/>
        <v>2528</v>
      </c>
      <c r="I173" s="141">
        <v>5</v>
      </c>
      <c r="J173" s="141"/>
      <c r="K173" s="141">
        <v>0.05</v>
      </c>
      <c r="L173" s="142" t="str">
        <f t="shared" si="53"/>
        <v/>
      </c>
      <c r="M173" s="142">
        <f t="shared" si="54"/>
        <v>5.05</v>
      </c>
      <c r="N173" s="142">
        <f t="shared" si="55"/>
        <v>0.00199762658227848</v>
      </c>
      <c r="O173" s="141"/>
      <c r="P173" s="141">
        <v>2533.05</v>
      </c>
      <c r="Q173" s="142">
        <f t="shared" si="50"/>
        <v>13651.52</v>
      </c>
      <c r="R173" s="142">
        <f>IF(B173="","",IFERROR(IF(F173&lt;&gt;0,MAX(get_row)+1,LARGE(get_row,2)+1),1))</f>
        <v>118</v>
      </c>
      <c r="S173" s="134">
        <f ca="1" t="shared" si="56"/>
        <v>-21781.63</v>
      </c>
      <c r="T173" s="129">
        <f ca="1" t="shared" si="57"/>
        <v>104.51</v>
      </c>
      <c r="U173" s="156">
        <f ca="1" t="shared" si="58"/>
        <v>0.0037529429326895</v>
      </c>
      <c r="V173" s="157">
        <f ca="1" t="shared" si="59"/>
        <v>-3.11166142857143</v>
      </c>
    </row>
    <row r="174" s="129" customFormat="1" spans="1:22">
      <c r="A174" s="105">
        <v>44188</v>
      </c>
      <c r="B174" s="141">
        <f>VLOOKUP(C174,收益对照表汇总!A:B,2,0)</f>
        <v>601288</v>
      </c>
      <c r="C174" s="105" t="s">
        <v>31</v>
      </c>
      <c r="D174" s="141" t="s">
        <v>25</v>
      </c>
      <c r="E174" s="141">
        <v>800</v>
      </c>
      <c r="F174" s="132">
        <f>IF(C174="","",SUMIFS(E$1:E174,C$1:C174,C174,D$1:D174,"证券买入清算")-SUMIFS(E$1:E174,C$1:C174,C174,D$1:D174,"证券卖出清算"))</f>
        <v>7800</v>
      </c>
      <c r="G174" s="143">
        <f t="shared" si="51"/>
        <v>3.14</v>
      </c>
      <c r="H174" s="142">
        <f t="shared" si="52"/>
        <v>2512</v>
      </c>
      <c r="I174" s="141">
        <v>5</v>
      </c>
      <c r="J174" s="141"/>
      <c r="K174" s="141">
        <v>0.05</v>
      </c>
      <c r="L174" s="142" t="str">
        <f t="shared" si="53"/>
        <v/>
      </c>
      <c r="M174" s="142">
        <f t="shared" si="54"/>
        <v>5.05</v>
      </c>
      <c r="N174" s="142">
        <f t="shared" si="55"/>
        <v>0.00201035031847134</v>
      </c>
      <c r="O174" s="141"/>
      <c r="P174" s="141">
        <v>2517.05</v>
      </c>
      <c r="Q174" s="142">
        <f t="shared" si="50"/>
        <v>11134.47</v>
      </c>
      <c r="R174" s="142">
        <f>IF(B174="","",IFERROR(IF(F174&lt;&gt;0,MAX(get_row)+1,LARGE(get_row,2)+1),1))</f>
        <v>118</v>
      </c>
      <c r="S174" s="134">
        <f ca="1" t="shared" si="56"/>
        <v>-24298.68</v>
      </c>
      <c r="T174" s="129">
        <f ca="1" t="shared" si="57"/>
        <v>109.56</v>
      </c>
      <c r="U174" s="156">
        <f ca="1" t="shared" si="58"/>
        <v>0.00372983648288368</v>
      </c>
      <c r="V174" s="157">
        <f ca="1" t="shared" si="59"/>
        <v>-3.11521538461539</v>
      </c>
    </row>
    <row r="175" s="129" customFormat="1" spans="1:22">
      <c r="A175" s="105">
        <v>44195</v>
      </c>
      <c r="B175" s="141">
        <f>VLOOKUP(C175,收益对照表汇总!A:B,2,0)</f>
        <v>601288</v>
      </c>
      <c r="C175" s="105" t="s">
        <v>31</v>
      </c>
      <c r="D175" s="141" t="s">
        <v>25</v>
      </c>
      <c r="E175" s="141">
        <v>800</v>
      </c>
      <c r="F175" s="132">
        <f>IF(C175="","",SUMIFS(E$1:E175,C$1:C175,C175,D$1:D175,"证券买入清算")-SUMIFS(E$1:E175,C$1:C175,C175,D$1:D175,"证券卖出清算"))</f>
        <v>8600</v>
      </c>
      <c r="G175" s="143">
        <f t="shared" si="51"/>
        <v>3.12</v>
      </c>
      <c r="H175" s="142">
        <f t="shared" si="52"/>
        <v>2496</v>
      </c>
      <c r="I175" s="141">
        <v>5</v>
      </c>
      <c r="J175" s="141"/>
      <c r="K175" s="141">
        <v>0.05</v>
      </c>
      <c r="L175" s="142" t="str">
        <f t="shared" si="53"/>
        <v/>
      </c>
      <c r="M175" s="142">
        <f t="shared" si="54"/>
        <v>5.05</v>
      </c>
      <c r="N175" s="142">
        <f t="shared" si="55"/>
        <v>0.00202323717948718</v>
      </c>
      <c r="O175" s="141"/>
      <c r="P175" s="141">
        <v>2501.05</v>
      </c>
      <c r="Q175" s="142">
        <f t="shared" si="50"/>
        <v>8633.42000000002</v>
      </c>
      <c r="R175" s="142">
        <f>IF(B175="","",IFERROR(IF(F175&lt;&gt;0,MAX(get_row)+1,LARGE(get_row,2)+1),1))</f>
        <v>118</v>
      </c>
      <c r="S175" s="134">
        <f ca="1" t="shared" si="56"/>
        <v>-26799.73</v>
      </c>
      <c r="T175" s="129">
        <f ca="1" t="shared" si="57"/>
        <v>114.61</v>
      </c>
      <c r="U175" s="156">
        <f ca="1" t="shared" si="58"/>
        <v>0.00371044499157631</v>
      </c>
      <c r="V175" s="157">
        <f ca="1" t="shared" si="59"/>
        <v>-3.11624767441861</v>
      </c>
    </row>
    <row r="176" s="129" customFormat="1" spans="1:22">
      <c r="A176" s="105">
        <v>44245</v>
      </c>
      <c r="B176" s="141">
        <f>VLOOKUP(C176,收益对照表汇总!A:B,2,0)</f>
        <v>601288</v>
      </c>
      <c r="C176" s="105" t="s">
        <v>31</v>
      </c>
      <c r="D176" s="141" t="s">
        <v>26</v>
      </c>
      <c r="E176" s="141">
        <v>4300</v>
      </c>
      <c r="F176" s="132">
        <f>IF(C176="","",SUMIFS(E$1:E176,C$1:C176,C176,D$1:D176,"证券买入清算")-SUMIFS(E$1:E176,C$1:C176,C176,D$1:D176,"证券卖出清算"))</f>
        <v>4300</v>
      </c>
      <c r="G176" s="143">
        <f t="shared" si="51"/>
        <v>3.24</v>
      </c>
      <c r="H176" s="142">
        <f t="shared" si="52"/>
        <v>13932</v>
      </c>
      <c r="I176" s="141">
        <v>5</v>
      </c>
      <c r="J176" s="141">
        <v>13.93</v>
      </c>
      <c r="K176" s="141">
        <v>0.280000000000001</v>
      </c>
      <c r="L176" s="142" t="str">
        <f t="shared" si="53"/>
        <v/>
      </c>
      <c r="M176" s="142">
        <f t="shared" si="54"/>
        <v>19.21</v>
      </c>
      <c r="N176" s="142">
        <f t="shared" si="55"/>
        <v>0.00137884008039047</v>
      </c>
      <c r="O176" s="141">
        <v>13912.79</v>
      </c>
      <c r="P176" s="141"/>
      <c r="Q176" s="142">
        <f t="shared" si="50"/>
        <v>22546.21</v>
      </c>
      <c r="R176" s="142">
        <f>IF(B176="","",IFERROR(IF(F176&lt;&gt;0,MAX(get_row)+1,LARGE(get_row,2)+1),1))</f>
        <v>118</v>
      </c>
      <c r="S176" s="134">
        <f ca="1" t="shared" si="56"/>
        <v>-12886.94</v>
      </c>
      <c r="T176" s="129">
        <f ca="1" t="shared" si="57"/>
        <v>133.82</v>
      </c>
      <c r="U176" s="156">
        <f ca="1" t="shared" si="58"/>
        <v>0.00370546337365302</v>
      </c>
      <c r="V176" s="157">
        <f ca="1" t="shared" si="59"/>
        <v>-2.99696279069768</v>
      </c>
    </row>
    <row r="177" s="97" customFormat="1" spans="1:22">
      <c r="A177" s="97">
        <v>44246</v>
      </c>
      <c r="C177" s="105" t="s">
        <v>31</v>
      </c>
      <c r="D177" s="141" t="s">
        <v>11</v>
      </c>
      <c r="E177" s="159">
        <v>200</v>
      </c>
      <c r="F177" s="132">
        <f>IF(C177="","",SUMIFS(E$1:E177,C$1:C177,C177,D$1:D177,"证券买入清算")-SUMIFS(E$1:E177,C$1:C177,C177,D$1:D177,"证券卖出清算"))</f>
        <v>4300</v>
      </c>
      <c r="G177" s="143">
        <f t="shared" si="51"/>
        <v>0</v>
      </c>
      <c r="H177" s="142">
        <f t="shared" si="52"/>
        <v>0</v>
      </c>
      <c r="I177" s="141"/>
      <c r="J177" s="141"/>
      <c r="K177" s="141"/>
      <c r="L177" s="142">
        <f t="shared" si="53"/>
        <v>3.64</v>
      </c>
      <c r="M177" s="142">
        <f t="shared" si="54"/>
        <v>3.64</v>
      </c>
      <c r="N177" s="142" t="str">
        <f t="shared" si="55"/>
        <v/>
      </c>
      <c r="P177" s="63">
        <v>3.64</v>
      </c>
      <c r="Q177" s="142">
        <f t="shared" si="50"/>
        <v>22542.57</v>
      </c>
      <c r="R177" s="142" t="str">
        <f>IF(B177="","",IFERROR(IF(F177&lt;&gt;0,MAX(get_row)+1,LARGE(get_row,2)+1),1))</f>
        <v/>
      </c>
      <c r="S177" s="134" t="str">
        <f ca="1" t="shared" si="56"/>
        <v/>
      </c>
      <c r="T177" s="129" t="str">
        <f ca="1" t="shared" si="57"/>
        <v/>
      </c>
      <c r="U177" s="156" t="str">
        <f ca="1" t="shared" si="58"/>
        <v/>
      </c>
      <c r="V177" s="157" t="str">
        <f ca="1" t="shared" si="59"/>
        <v/>
      </c>
    </row>
    <row r="178" s="129" customFormat="1" spans="1:22">
      <c r="A178" s="105">
        <v>44246</v>
      </c>
      <c r="B178" s="105"/>
      <c r="C178" s="105" t="s">
        <v>31</v>
      </c>
      <c r="D178" s="141" t="s">
        <v>11</v>
      </c>
      <c r="E178" s="158">
        <v>500</v>
      </c>
      <c r="F178" s="132">
        <f>IF(C178="","",SUMIFS(E$1:E178,C$1:C178,C178,D$1:D178,"证券买入清算")-SUMIFS(E$1:E178,C$1:C178,C178,D$1:D178,"证券卖出清算"))</f>
        <v>4300</v>
      </c>
      <c r="G178" s="143">
        <f t="shared" si="51"/>
        <v>0</v>
      </c>
      <c r="H178" s="142">
        <f t="shared" si="52"/>
        <v>0</v>
      </c>
      <c r="I178" s="141"/>
      <c r="J178" s="141"/>
      <c r="K178" s="141"/>
      <c r="L178" s="142">
        <f t="shared" si="53"/>
        <v>9.1</v>
      </c>
      <c r="M178" s="142">
        <f t="shared" si="54"/>
        <v>9.1</v>
      </c>
      <c r="N178" s="142" t="str">
        <f t="shared" si="55"/>
        <v/>
      </c>
      <c r="O178" s="141"/>
      <c r="P178" s="141">
        <v>9.1</v>
      </c>
      <c r="Q178" s="142">
        <f t="shared" si="50"/>
        <v>22533.47</v>
      </c>
      <c r="R178" s="142" t="str">
        <f>IF(B178="","",IFERROR(IF(F178&lt;&gt;0,MAX(get_row)+1,LARGE(get_row,2)+1),1))</f>
        <v/>
      </c>
      <c r="S178" s="134" t="str">
        <f ca="1" t="shared" si="56"/>
        <v/>
      </c>
      <c r="T178" s="129" t="str">
        <f ca="1" t="shared" si="57"/>
        <v/>
      </c>
      <c r="U178" s="156" t="str">
        <f ca="1" t="shared" si="58"/>
        <v/>
      </c>
      <c r="V178" s="157" t="str">
        <f ca="1" t="shared" si="59"/>
        <v/>
      </c>
    </row>
    <row r="179" s="97" customFormat="1" spans="1:22">
      <c r="A179" s="97">
        <v>44246</v>
      </c>
      <c r="C179" s="105" t="s">
        <v>31</v>
      </c>
      <c r="D179" s="141" t="s">
        <v>11</v>
      </c>
      <c r="E179" s="159">
        <v>500</v>
      </c>
      <c r="F179" s="132">
        <f>IF(C179="","",SUMIFS(E$1:E179,C$1:C179,C179,D$1:D179,"证券买入清算")-SUMIFS(E$1:E179,C$1:C179,C179,D$1:D179,"证券卖出清算"))</f>
        <v>4300</v>
      </c>
      <c r="G179" s="143">
        <f t="shared" si="51"/>
        <v>0</v>
      </c>
      <c r="H179" s="142">
        <f t="shared" si="52"/>
        <v>0</v>
      </c>
      <c r="I179" s="141"/>
      <c r="J179" s="141"/>
      <c r="K179" s="141"/>
      <c r="L179" s="142">
        <f t="shared" si="53"/>
        <v>9.1</v>
      </c>
      <c r="M179" s="142">
        <f t="shared" si="54"/>
        <v>9.1</v>
      </c>
      <c r="N179" s="142" t="str">
        <f t="shared" si="55"/>
        <v/>
      </c>
      <c r="P179" s="63">
        <v>9.1</v>
      </c>
      <c r="Q179" s="142">
        <f t="shared" si="50"/>
        <v>22524.37</v>
      </c>
      <c r="R179" s="142" t="str">
        <f>IF(B179="","",IFERROR(IF(F179&lt;&gt;0,MAX(get_row)+1,LARGE(get_row,2)+1),1))</f>
        <v/>
      </c>
      <c r="S179" s="134" t="str">
        <f ca="1" t="shared" si="56"/>
        <v/>
      </c>
      <c r="T179" s="129" t="str">
        <f ca="1" t="shared" si="57"/>
        <v/>
      </c>
      <c r="U179" s="156" t="str">
        <f ca="1" t="shared" si="58"/>
        <v/>
      </c>
      <c r="V179" s="157" t="str">
        <f ca="1" t="shared" si="59"/>
        <v/>
      </c>
    </row>
    <row r="180" s="97" customFormat="1" spans="1:22">
      <c r="A180" s="97">
        <v>44259</v>
      </c>
      <c r="B180" s="141">
        <f>VLOOKUP(C180,收益对照表汇总!A:B,2,0)</f>
        <v>601288</v>
      </c>
      <c r="C180" s="105" t="s">
        <v>31</v>
      </c>
      <c r="D180" s="141" t="s">
        <v>26</v>
      </c>
      <c r="E180" s="141">
        <v>2000</v>
      </c>
      <c r="F180" s="132">
        <f>IF(C180="","",SUMIFS(E$1:E180,C$1:C180,C180,D$1:D180,"证券买入清算")-SUMIFS(E$1:E180,C$1:C180,C180,D$1:D180,"证券卖出清算"))</f>
        <v>2300</v>
      </c>
      <c r="G180" s="143">
        <f t="shared" si="51"/>
        <v>3.31</v>
      </c>
      <c r="H180" s="142">
        <f t="shared" si="52"/>
        <v>6620</v>
      </c>
      <c r="I180" s="63">
        <v>5</v>
      </c>
      <c r="J180" s="63">
        <v>6.62</v>
      </c>
      <c r="K180" s="63">
        <v>0.13</v>
      </c>
      <c r="L180" s="142" t="str">
        <f t="shared" si="53"/>
        <v/>
      </c>
      <c r="M180" s="142">
        <f t="shared" si="54"/>
        <v>11.75</v>
      </c>
      <c r="N180" s="142">
        <f t="shared" si="55"/>
        <v>0.00177492447129909</v>
      </c>
      <c r="O180" s="63">
        <v>6608.25</v>
      </c>
      <c r="P180" s="63"/>
      <c r="Q180" s="142">
        <f t="shared" si="50"/>
        <v>29132.62</v>
      </c>
      <c r="R180" s="142">
        <f>IF(B180="","",IFERROR(IF(F180&lt;&gt;0,MAX(get_row)+1,LARGE(get_row,2)+1),1))</f>
        <v>118</v>
      </c>
      <c r="S180" s="134">
        <f ca="1" t="shared" si="56"/>
        <v>-6278.69000000002</v>
      </c>
      <c r="T180" s="129">
        <f ca="1" t="shared" si="57"/>
        <v>145.57</v>
      </c>
      <c r="U180" s="156">
        <f ca="1" t="shared" si="58"/>
        <v>0.00378160812819889</v>
      </c>
      <c r="V180" s="157">
        <f ca="1" t="shared" si="59"/>
        <v>-2.72986521739131</v>
      </c>
    </row>
    <row r="181" spans="1:22">
      <c r="A181" s="97">
        <v>44264</v>
      </c>
      <c r="B181" s="141">
        <f>VLOOKUP(C181,收益对照表汇总!A:B,2,0)</f>
        <v>601288</v>
      </c>
      <c r="C181" s="105" t="s">
        <v>31</v>
      </c>
      <c r="D181" s="141" t="s">
        <v>26</v>
      </c>
      <c r="E181" s="141">
        <v>2300</v>
      </c>
      <c r="F181" s="132">
        <f>IF(C181="","",SUMIFS(E$1:E181,C$1:C181,C181,D$1:D181,"证券买入清算")-SUMIFS(E$1:E181,C$1:C181,C181,D$1:D181,"证券卖出清算"))</f>
        <v>0</v>
      </c>
      <c r="G181" s="143">
        <f t="shared" si="51"/>
        <v>3.39</v>
      </c>
      <c r="H181" s="142">
        <f t="shared" si="52"/>
        <v>7797</v>
      </c>
      <c r="I181" s="63">
        <v>5</v>
      </c>
      <c r="J181" s="63">
        <v>7.8</v>
      </c>
      <c r="K181" s="63">
        <v>0.16</v>
      </c>
      <c r="L181" s="142" t="str">
        <f t="shared" si="53"/>
        <v/>
      </c>
      <c r="M181" s="142">
        <f t="shared" si="54"/>
        <v>12.96</v>
      </c>
      <c r="N181" s="142">
        <f t="shared" si="55"/>
        <v>0.00166217776067718</v>
      </c>
      <c r="O181" s="63">
        <v>7784.04</v>
      </c>
      <c r="Q181" s="142">
        <f t="shared" si="50"/>
        <v>36916.66</v>
      </c>
      <c r="R181" s="142">
        <f>IF(B181="","",IFERROR(IF(F181&lt;&gt;0,MAX(get_row)+1,LARGE(get_row,2)+1),1))</f>
        <v>118</v>
      </c>
      <c r="S181" s="134">
        <f ca="1" t="shared" si="56"/>
        <v>1505.34999999998</v>
      </c>
      <c r="T181" s="129">
        <f ca="1" t="shared" si="57"/>
        <v>158.53</v>
      </c>
      <c r="U181" s="156">
        <f ca="1" t="shared" si="58"/>
        <v>0.00381940790822389</v>
      </c>
      <c r="V181" s="157" t="str">
        <f ca="1" t="shared" si="59"/>
        <v>Over</v>
      </c>
    </row>
    <row r="182" spans="1:22">
      <c r="A182" s="97">
        <v>44277</v>
      </c>
      <c r="D182" s="141" t="s">
        <v>28</v>
      </c>
      <c r="F182" s="132" t="str">
        <f>IF(C182="","",SUMIFS(E$1:E182,C$1:C182,C182,D$1:D182,"证券买入清算")-SUMIFS(E$1:E182,C$1:C182,C182,D$1:D182,"证券卖出清算"))</f>
        <v/>
      </c>
      <c r="G182" s="143" t="str">
        <f t="shared" si="51"/>
        <v/>
      </c>
      <c r="H182" s="142" t="str">
        <f t="shared" si="52"/>
        <v/>
      </c>
      <c r="L182" s="142" t="str">
        <f t="shared" si="53"/>
        <v/>
      </c>
      <c r="M182" s="142" t="str">
        <f t="shared" si="54"/>
        <v/>
      </c>
      <c r="N182" s="142" t="str">
        <f t="shared" si="55"/>
        <v/>
      </c>
      <c r="O182" s="63">
        <v>12.16</v>
      </c>
      <c r="Q182" s="142">
        <f t="shared" si="50"/>
        <v>36928.82</v>
      </c>
      <c r="R182" s="142" t="str">
        <f>IF(B182="","",IFERROR(IF(F182&lt;&gt;0,MAX(get_row)+1,LARGE(get_row,2)+1),1))</f>
        <v/>
      </c>
      <c r="S182" s="134" t="str">
        <f ca="1" t="shared" si="56"/>
        <v/>
      </c>
      <c r="T182" s="129" t="str">
        <f ca="1" t="shared" si="57"/>
        <v/>
      </c>
      <c r="U182" s="156" t="str">
        <f ca="1" t="shared" si="58"/>
        <v/>
      </c>
      <c r="V182" s="157" t="str">
        <f ca="1" t="shared" si="59"/>
        <v/>
      </c>
    </row>
    <row r="183" spans="1:22">
      <c r="A183" s="97">
        <v>44314</v>
      </c>
      <c r="B183" s="141">
        <f>VLOOKUP(C183,收益对照表汇总!A:B,2,0)</f>
        <v>601288</v>
      </c>
      <c r="C183" s="105" t="s">
        <v>31</v>
      </c>
      <c r="D183" s="141" t="s">
        <v>25</v>
      </c>
      <c r="E183" s="63">
        <v>1500</v>
      </c>
      <c r="F183" s="132">
        <f>IF(C183="","",SUMIFS(E$1:E183,C$1:C183,C183,D$1:D183,"证券买入清算")-SUMIFS(E$1:E183,C$1:C183,C183,D$1:D183,"证券卖出清算"))</f>
        <v>1500</v>
      </c>
      <c r="G183" s="143">
        <f t="shared" si="51"/>
        <v>3.22</v>
      </c>
      <c r="H183" s="142">
        <f t="shared" si="52"/>
        <v>4830</v>
      </c>
      <c r="I183" s="141">
        <v>5</v>
      </c>
      <c r="J183" s="105"/>
      <c r="K183" s="141">
        <v>0.1</v>
      </c>
      <c r="L183" s="142" t="str">
        <f t="shared" si="53"/>
        <v/>
      </c>
      <c r="M183" s="142">
        <f t="shared" si="54"/>
        <v>5.1</v>
      </c>
      <c r="N183" s="142">
        <f t="shared" si="55"/>
        <v>0.00105590062111801</v>
      </c>
      <c r="P183" s="63">
        <v>4835.1</v>
      </c>
      <c r="Q183" s="142">
        <f t="shared" si="50"/>
        <v>32093.72</v>
      </c>
      <c r="R183" s="142">
        <f>IF(B183="","",IFERROR(IF(F183&lt;&gt;0,MAX(get_row)+1,LARGE(get_row,2)+1),1))</f>
        <v>182</v>
      </c>
      <c r="S183" s="134">
        <f ca="1" t="shared" si="56"/>
        <v>-4835.1</v>
      </c>
      <c r="T183" s="129">
        <f ca="1" t="shared" si="57"/>
        <v>5.1</v>
      </c>
      <c r="U183" s="156">
        <f ca="1" t="shared" si="58"/>
        <v>0.00105478687100577</v>
      </c>
      <c r="V183" s="157">
        <f ca="1" t="shared" si="59"/>
        <v>-3.2234</v>
      </c>
    </row>
    <row r="184" spans="1:22">
      <c r="A184" s="97">
        <v>44316</v>
      </c>
      <c r="D184" s="141" t="s">
        <v>22</v>
      </c>
      <c r="F184" s="132" t="str">
        <f>IF(C184="","",SUMIFS(E$1:E184,C$1:C184,C184,D$1:D184,"证券买入清算")-SUMIFS(E$1:E184,C$1:C184,C184,D$1:D184,"证券卖出清算"))</f>
        <v/>
      </c>
      <c r="G184" s="143" t="str">
        <f t="shared" si="51"/>
        <v/>
      </c>
      <c r="H184" s="142" t="str">
        <f t="shared" si="52"/>
        <v/>
      </c>
      <c r="L184" s="142" t="str">
        <f t="shared" si="53"/>
        <v/>
      </c>
      <c r="M184" s="142" t="str">
        <f t="shared" si="54"/>
        <v/>
      </c>
      <c r="N184" s="142" t="str">
        <f t="shared" si="55"/>
        <v/>
      </c>
      <c r="O184" s="63">
        <v>2000</v>
      </c>
      <c r="Q184" s="142">
        <f t="shared" si="50"/>
        <v>34093.72</v>
      </c>
      <c r="R184" s="142" t="str">
        <f>IF(B184="","",IFERROR(IF(F184&lt;&gt;0,MAX(get_row)+1,LARGE(get_row,2)+1),1))</f>
        <v/>
      </c>
      <c r="S184" s="134" t="str">
        <f ca="1" t="shared" si="56"/>
        <v/>
      </c>
      <c r="T184" s="129" t="str">
        <f ca="1" t="shared" si="57"/>
        <v/>
      </c>
      <c r="U184" s="156" t="str">
        <f ca="1" t="shared" si="58"/>
        <v/>
      </c>
      <c r="V184" s="157" t="str">
        <f ca="1" t="shared" si="59"/>
        <v/>
      </c>
    </row>
    <row r="185" spans="1:22">
      <c r="A185" s="97">
        <v>44316</v>
      </c>
      <c r="B185" s="141">
        <f>VLOOKUP(C185,收益对照表汇总!A:B,2,0)</f>
        <v>601288</v>
      </c>
      <c r="C185" s="105" t="s">
        <v>31</v>
      </c>
      <c r="D185" s="141" t="s">
        <v>25</v>
      </c>
      <c r="E185" s="63">
        <v>1100</v>
      </c>
      <c r="F185" s="132">
        <f>IF(C185="","",SUMIFS(E$1:E185,C$1:C185,C185,D$1:D185,"证券买入清算")-SUMIFS(E$1:E185,C$1:C185,C185,D$1:D185,"证券卖出清算"))</f>
        <v>2600</v>
      </c>
      <c r="G185" s="143">
        <f t="shared" si="51"/>
        <v>3.19</v>
      </c>
      <c r="H185" s="142">
        <f t="shared" si="52"/>
        <v>3509</v>
      </c>
      <c r="I185" s="63">
        <v>5</v>
      </c>
      <c r="K185" s="63">
        <v>0.07</v>
      </c>
      <c r="L185" s="142" t="str">
        <f t="shared" si="53"/>
        <v/>
      </c>
      <c r="M185" s="142">
        <f t="shared" si="54"/>
        <v>5.07</v>
      </c>
      <c r="N185" s="142">
        <f t="shared" si="55"/>
        <v>0.00144485608435452</v>
      </c>
      <c r="P185" s="63">
        <v>3514.07</v>
      </c>
      <c r="Q185" s="142">
        <f t="shared" si="50"/>
        <v>30579.65</v>
      </c>
      <c r="R185" s="142">
        <f>IF(B185="","",IFERROR(IF(F185&lt;&gt;0,MAX(get_row)+1,LARGE(get_row,2)+1),1))</f>
        <v>182</v>
      </c>
      <c r="S185" s="134">
        <f ca="1" t="shared" si="56"/>
        <v>-8349.17</v>
      </c>
      <c r="T185" s="129">
        <f ca="1" t="shared" si="57"/>
        <v>10.17</v>
      </c>
      <c r="U185" s="156">
        <f ca="1" t="shared" si="58"/>
        <v>0.00121808515097908</v>
      </c>
      <c r="V185" s="157">
        <f ca="1" t="shared" si="59"/>
        <v>-3.21121923076923</v>
      </c>
    </row>
    <row r="186" spans="1:22">
      <c r="A186" s="97">
        <v>44333</v>
      </c>
      <c r="B186" s="141">
        <f>VLOOKUP(C186,收益对照表汇总!A:B,2,0)</f>
        <v>601288</v>
      </c>
      <c r="C186" s="105" t="s">
        <v>31</v>
      </c>
      <c r="D186" s="141" t="s">
        <v>25</v>
      </c>
      <c r="E186" s="63">
        <v>1100</v>
      </c>
      <c r="F186" s="132">
        <f>IF(C186="","",SUMIFS(E$1:E186,C$1:C186,C186,D$1:D186,"证券买入清算")-SUMIFS(E$1:E186,C$1:C186,C186,D$1:D186,"证券卖出清算"))</f>
        <v>3700</v>
      </c>
      <c r="G186" s="143">
        <f t="shared" si="51"/>
        <v>3.27</v>
      </c>
      <c r="H186" s="142">
        <f t="shared" si="52"/>
        <v>3597</v>
      </c>
      <c r="I186" s="63">
        <v>5</v>
      </c>
      <c r="K186" s="63">
        <v>0.07</v>
      </c>
      <c r="L186" s="142" t="str">
        <f t="shared" si="53"/>
        <v/>
      </c>
      <c r="M186" s="142">
        <f t="shared" si="54"/>
        <v>5.07</v>
      </c>
      <c r="N186" s="142">
        <f t="shared" si="55"/>
        <v>0.00140950792326939</v>
      </c>
      <c r="P186" s="63">
        <v>3602.07</v>
      </c>
      <c r="Q186" s="142">
        <f t="shared" si="50"/>
        <v>26977.58</v>
      </c>
      <c r="R186" s="142">
        <f>IF(B186="","",IFERROR(IF(F186&lt;&gt;0,MAX(get_row)+1,LARGE(get_row,2)+1),1))</f>
        <v>182</v>
      </c>
      <c r="S186" s="134">
        <f ca="1" t="shared" si="56"/>
        <v>-11951.24</v>
      </c>
      <c r="T186" s="129">
        <f ca="1" t="shared" si="57"/>
        <v>15.24</v>
      </c>
      <c r="U186" s="156">
        <f ca="1" t="shared" si="58"/>
        <v>0.00127518148744398</v>
      </c>
      <c r="V186" s="157">
        <f ca="1" t="shared" si="59"/>
        <v>-3.23006486486486</v>
      </c>
    </row>
    <row r="187" spans="1:22">
      <c r="A187" s="97">
        <v>44334</v>
      </c>
      <c r="D187" s="141" t="s">
        <v>22</v>
      </c>
      <c r="F187" s="132" t="str">
        <f>IF(C187="","",SUMIFS(E$1:E187,C$1:C187,C187,D$1:D187,"证券买入清算")-SUMIFS(E$1:E187,C$1:C187,C187,D$1:D187,"证券卖出清算"))</f>
        <v/>
      </c>
      <c r="G187" s="143" t="str">
        <f t="shared" si="51"/>
        <v/>
      </c>
      <c r="H187" s="142" t="str">
        <f t="shared" si="52"/>
        <v/>
      </c>
      <c r="L187" s="142" t="str">
        <f t="shared" si="53"/>
        <v/>
      </c>
      <c r="M187" s="142" t="str">
        <f t="shared" si="54"/>
        <v/>
      </c>
      <c r="N187" s="142" t="str">
        <f t="shared" si="55"/>
        <v/>
      </c>
      <c r="O187" s="63">
        <v>4000</v>
      </c>
      <c r="Q187" s="142">
        <f t="shared" si="50"/>
        <v>30977.58</v>
      </c>
      <c r="R187" s="142" t="str">
        <f>IF(B187="","",IFERROR(IF(F187&lt;&gt;0,MAX(get_row)+1,LARGE(get_row,2)+1),1))</f>
        <v/>
      </c>
      <c r="S187" s="134" t="str">
        <f ca="1" t="shared" si="56"/>
        <v/>
      </c>
      <c r="T187" s="129" t="str">
        <f ca="1" t="shared" si="57"/>
        <v/>
      </c>
      <c r="U187" s="156" t="str">
        <f ca="1" t="shared" si="58"/>
        <v/>
      </c>
      <c r="V187" s="157" t="str">
        <f ca="1" t="shared" si="59"/>
        <v/>
      </c>
    </row>
    <row r="188" spans="1:22">
      <c r="A188" s="97">
        <v>44335</v>
      </c>
      <c r="D188" s="141" t="s">
        <v>22</v>
      </c>
      <c r="F188" s="132" t="str">
        <f>IF(C188="","",SUMIFS(E$1:E188,C$1:C188,C188,D$1:D188,"证券买入清算")-SUMIFS(E$1:E188,C$1:C188,C188,D$1:D188,"证券卖出清算"))</f>
        <v/>
      </c>
      <c r="G188" s="143" t="str">
        <f t="shared" si="51"/>
        <v/>
      </c>
      <c r="H188" s="142" t="str">
        <f t="shared" si="52"/>
        <v/>
      </c>
      <c r="L188" s="142" t="str">
        <f t="shared" si="53"/>
        <v/>
      </c>
      <c r="M188" s="142" t="str">
        <f t="shared" si="54"/>
        <v/>
      </c>
      <c r="N188" s="142" t="str">
        <f t="shared" si="55"/>
        <v/>
      </c>
      <c r="O188" s="63">
        <v>4000</v>
      </c>
      <c r="Q188" s="142">
        <f t="shared" si="50"/>
        <v>34977.58</v>
      </c>
      <c r="R188" s="142" t="str">
        <f>IF(B188="","",IFERROR(IF(F188&lt;&gt;0,MAX(get_row)+1,LARGE(get_row,2)+1),1))</f>
        <v/>
      </c>
      <c r="S188" s="134" t="str">
        <f ca="1" t="shared" si="56"/>
        <v/>
      </c>
      <c r="T188" s="129" t="str">
        <f ca="1" t="shared" si="57"/>
        <v/>
      </c>
      <c r="U188" s="156" t="str">
        <f ca="1" t="shared" si="58"/>
        <v/>
      </c>
      <c r="V188" s="157" t="str">
        <f ca="1" t="shared" si="59"/>
        <v/>
      </c>
    </row>
    <row r="189" spans="1:22">
      <c r="A189" s="97">
        <v>44335</v>
      </c>
      <c r="B189" s="141">
        <f>VLOOKUP(C189,收益对照表汇总!A:B,2,0)</f>
        <v>601288</v>
      </c>
      <c r="C189" s="105" t="s">
        <v>31</v>
      </c>
      <c r="D189" s="141" t="s">
        <v>25</v>
      </c>
      <c r="E189" s="63">
        <v>1000</v>
      </c>
      <c r="F189" s="132">
        <f>IF(C189="","",SUMIFS(E$1:E189,C$1:C189,C189,D$1:D189,"证券买入清算")-SUMIFS(E$1:E189,C$1:C189,C189,D$1:D189,"证券卖出清算"))</f>
        <v>4700</v>
      </c>
      <c r="G189" s="143">
        <f t="shared" si="51"/>
        <v>3.23</v>
      </c>
      <c r="H189" s="142">
        <f t="shared" si="52"/>
        <v>3230</v>
      </c>
      <c r="I189" s="63">
        <v>5</v>
      </c>
      <c r="K189" s="63">
        <v>0.06</v>
      </c>
      <c r="L189" s="142" t="str">
        <f t="shared" si="53"/>
        <v/>
      </c>
      <c r="M189" s="142">
        <f t="shared" si="54"/>
        <v>5.06</v>
      </c>
      <c r="N189" s="142">
        <f t="shared" si="55"/>
        <v>0.00156656346749226</v>
      </c>
      <c r="P189" s="63">
        <v>3235.06</v>
      </c>
      <c r="Q189" s="142">
        <f t="shared" si="50"/>
        <v>31742.52</v>
      </c>
      <c r="R189" s="142">
        <f>IF(B189="","",IFERROR(IF(F189&lt;&gt;0,MAX(get_row)+1,LARGE(get_row,2)+1),1))</f>
        <v>182</v>
      </c>
      <c r="S189" s="134">
        <f ca="1" t="shared" si="56"/>
        <v>-15186.3</v>
      </c>
      <c r="T189" s="129">
        <f ca="1" t="shared" si="57"/>
        <v>20.3</v>
      </c>
      <c r="U189" s="156">
        <f ca="1" t="shared" si="58"/>
        <v>0.00133673113266563</v>
      </c>
      <c r="V189" s="157">
        <f ca="1" t="shared" si="59"/>
        <v>-3.23112765957447</v>
      </c>
    </row>
    <row r="190" spans="1:22">
      <c r="A190" s="97">
        <v>44337</v>
      </c>
      <c r="B190" s="165" t="str">
        <f>VLOOKUP(C190,收益对照表汇总!A:B,2,0)</f>
        <v>600332</v>
      </c>
      <c r="C190" s="105" t="s">
        <v>39</v>
      </c>
      <c r="D190" s="141" t="s">
        <v>26</v>
      </c>
      <c r="E190" s="63">
        <v>100</v>
      </c>
      <c r="F190" s="132">
        <f>IF(C190="","",SUMIFS(E$1:E190,C$1:C190,C190,D$1:D190,"证券买入清算")-SUMIFS(E$1:E190,C$1:C190,C190,D$1:D190,"证券卖出清算"))</f>
        <v>0</v>
      </c>
      <c r="G190" s="143">
        <f t="shared" si="51"/>
        <v>31.68</v>
      </c>
      <c r="H190" s="142">
        <f t="shared" si="52"/>
        <v>3168</v>
      </c>
      <c r="I190" s="63">
        <v>5</v>
      </c>
      <c r="J190" s="63">
        <v>3.17</v>
      </c>
      <c r="K190" s="63">
        <v>0.06</v>
      </c>
      <c r="L190" s="142" t="str">
        <f t="shared" si="53"/>
        <v/>
      </c>
      <c r="M190" s="142">
        <f t="shared" si="54"/>
        <v>8.23</v>
      </c>
      <c r="N190" s="142">
        <f t="shared" si="55"/>
        <v>0.00259785353535354</v>
      </c>
      <c r="O190" s="63">
        <v>3159.77</v>
      </c>
      <c r="Q190" s="142">
        <f t="shared" si="50"/>
        <v>34902.29</v>
      </c>
      <c r="R190" s="142">
        <f>IF(B190="","",IFERROR(IF(F190&lt;&gt;0,MAX(get_row)+1,LARGE(get_row,2)+1),1))</f>
        <v>121</v>
      </c>
      <c r="S190" s="134">
        <f ca="1" t="shared" si="56"/>
        <v>150.71</v>
      </c>
      <c r="T190" s="129">
        <f ca="1" t="shared" si="57"/>
        <v>13.29</v>
      </c>
      <c r="U190" s="156">
        <f ca="1" t="shared" si="58"/>
        <v>0.00428620822660681</v>
      </c>
      <c r="V190" s="157" t="str">
        <f ca="1" t="shared" si="59"/>
        <v>Over</v>
      </c>
    </row>
    <row r="191" spans="1:22">
      <c r="A191" s="97">
        <v>44363</v>
      </c>
      <c r="B191" s="141">
        <v>601288</v>
      </c>
      <c r="C191" s="105" t="s">
        <v>31</v>
      </c>
      <c r="D191" s="141" t="s">
        <v>44</v>
      </c>
      <c r="F191" s="132">
        <f>IF(C191="","",SUMIFS(E$1:E191,C$1:C191,C191,D$1:D191,"证券买入清算")-SUMIFS(E$1:E191,C$1:C191,C191,D$1:D191,"证券卖出清算"))</f>
        <v>4700</v>
      </c>
      <c r="G191" s="143">
        <f t="shared" si="51"/>
        <v>0</v>
      </c>
      <c r="H191" s="142">
        <f t="shared" si="52"/>
        <v>0</v>
      </c>
      <c r="L191" s="142">
        <f t="shared" si="53"/>
        <v>-869.97</v>
      </c>
      <c r="M191" s="142">
        <f t="shared" si="54"/>
        <v>-869.97</v>
      </c>
      <c r="N191" s="142" t="str">
        <f t="shared" si="55"/>
        <v/>
      </c>
      <c r="O191" s="63">
        <v>869.97</v>
      </c>
      <c r="Q191" s="142">
        <f t="shared" si="50"/>
        <v>35772.26</v>
      </c>
      <c r="R191" s="142">
        <f>IF(B191="","",IFERROR(IF(F191&lt;&gt;0,MAX(get_row)+1,LARGE(get_row,2)+1),1))</f>
        <v>182</v>
      </c>
      <c r="S191" s="134">
        <f ca="1" t="shared" si="56"/>
        <v>-14316.33</v>
      </c>
      <c r="T191" s="129">
        <f ca="1" t="shared" si="57"/>
        <v>20.3</v>
      </c>
      <c r="U191" s="156">
        <f ca="1" t="shared" si="58"/>
        <v>0.00133673113266563</v>
      </c>
      <c r="V191" s="157">
        <f ca="1" t="shared" si="59"/>
        <v>-3.04602765957447</v>
      </c>
    </row>
    <row r="192" spans="1:22">
      <c r="A192" s="97">
        <v>44365</v>
      </c>
      <c r="B192" s="141">
        <f>VLOOKUP(C192,收益对照表汇总!A:B,2,0)</f>
        <v>601288</v>
      </c>
      <c r="C192" s="105" t="s">
        <v>31</v>
      </c>
      <c r="D192" s="141" t="s">
        <v>25</v>
      </c>
      <c r="E192" s="63">
        <v>1500</v>
      </c>
      <c r="F192" s="132">
        <f>IF(C192="","",SUMIFS(E$1:E192,C$1:C192,C192,D$1:D192,"证券买入清算")-SUMIFS(E$1:E192,C$1:C192,C192,D$1:D192,"证券卖出清算"))</f>
        <v>6200</v>
      </c>
      <c r="G192" s="143">
        <f t="shared" si="51"/>
        <v>3.05</v>
      </c>
      <c r="H192" s="142">
        <f t="shared" si="52"/>
        <v>4575</v>
      </c>
      <c r="I192" s="63">
        <v>5</v>
      </c>
      <c r="K192" s="63">
        <v>0.09</v>
      </c>
      <c r="L192" s="142" t="str">
        <f t="shared" si="53"/>
        <v/>
      </c>
      <c r="M192" s="142">
        <f t="shared" si="54"/>
        <v>5.09</v>
      </c>
      <c r="N192" s="142">
        <f t="shared" si="55"/>
        <v>0.00111256830601093</v>
      </c>
      <c r="P192" s="63">
        <v>4580.09</v>
      </c>
      <c r="Q192" s="142">
        <f t="shared" si="50"/>
        <v>31192.17</v>
      </c>
      <c r="R192" s="142">
        <f>IF(B192="","",IFERROR(IF(F192&lt;&gt;0,MAX(get_row)+1,LARGE(get_row,2)+1),1))</f>
        <v>182</v>
      </c>
      <c r="S192" s="134">
        <f ca="1" t="shared" si="56"/>
        <v>-18896.42</v>
      </c>
      <c r="T192" s="129">
        <f ca="1" t="shared" si="57"/>
        <v>25.39</v>
      </c>
      <c r="U192" s="156">
        <f ca="1" t="shared" si="58"/>
        <v>0.00128450364482336</v>
      </c>
      <c r="V192" s="157">
        <f ca="1" t="shared" si="59"/>
        <v>-3.04780967741935</v>
      </c>
    </row>
    <row r="193" spans="1:22">
      <c r="A193" s="97">
        <v>44368</v>
      </c>
      <c r="D193" s="141" t="s">
        <v>28</v>
      </c>
      <c r="F193" s="132" t="str">
        <f>IF(C193="","",SUMIFS(E$1:E193,C$1:C193,C193,D$1:D193,"证券买入清算")-SUMIFS(E$1:E193,C$1:C193,C193,D$1:D193,"证券卖出清算"))</f>
        <v/>
      </c>
      <c r="G193" s="143" t="str">
        <f t="shared" si="51"/>
        <v/>
      </c>
      <c r="H193" s="142" t="str">
        <f t="shared" si="52"/>
        <v/>
      </c>
      <c r="L193" s="142" t="str">
        <f t="shared" si="53"/>
        <v/>
      </c>
      <c r="M193" s="142" t="str">
        <f t="shared" si="54"/>
        <v/>
      </c>
      <c r="N193" s="142" t="str">
        <f t="shared" si="55"/>
        <v/>
      </c>
      <c r="O193" s="63">
        <v>26.51</v>
      </c>
      <c r="Q193" s="142">
        <f t="shared" si="50"/>
        <v>31218.68</v>
      </c>
      <c r="R193" s="142" t="str">
        <f>IF(B193="","",IFERROR(IF(F193&lt;&gt;0,MAX(get_row)+1,LARGE(get_row,2)+1),1))</f>
        <v/>
      </c>
      <c r="S193" s="134" t="str">
        <f ca="1" t="shared" si="56"/>
        <v/>
      </c>
      <c r="T193" s="129" t="str">
        <f ca="1" t="shared" si="57"/>
        <v/>
      </c>
      <c r="U193" s="156" t="str">
        <f ca="1" t="shared" si="58"/>
        <v/>
      </c>
      <c r="V193" s="157" t="str">
        <f ca="1" t="shared" si="59"/>
        <v/>
      </c>
    </row>
    <row r="194" spans="1:22">
      <c r="A194" s="97">
        <v>44368</v>
      </c>
      <c r="B194" s="141">
        <f>VLOOKUP(C194,收益对照表汇总!A:B,2,0)</f>
        <v>601288</v>
      </c>
      <c r="C194" s="105" t="s">
        <v>31</v>
      </c>
      <c r="D194" s="141" t="s">
        <v>25</v>
      </c>
      <c r="E194" s="63">
        <v>1800</v>
      </c>
      <c r="F194" s="132">
        <f>IF(C194="","",SUMIFS(E$1:E194,C$1:C194,C194,D$1:D194,"证券买入清算")-SUMIFS(E$1:E194,C$1:C194,C194,D$1:D194,"证券卖出清算"))</f>
        <v>8000</v>
      </c>
      <c r="G194" s="143">
        <f t="shared" si="51"/>
        <v>3.03</v>
      </c>
      <c r="H194" s="142">
        <f t="shared" si="52"/>
        <v>5454</v>
      </c>
      <c r="I194" s="63">
        <v>5</v>
      </c>
      <c r="K194" s="63">
        <v>0.11</v>
      </c>
      <c r="L194" s="142" t="str">
        <f t="shared" si="53"/>
        <v/>
      </c>
      <c r="M194" s="142">
        <f t="shared" si="54"/>
        <v>5.11</v>
      </c>
      <c r="N194" s="142">
        <f t="shared" si="55"/>
        <v>0.000936927026035937</v>
      </c>
      <c r="P194" s="63">
        <v>5459.11</v>
      </c>
      <c r="Q194" s="142">
        <f t="shared" si="50"/>
        <v>25759.57</v>
      </c>
      <c r="R194" s="142">
        <f>IF(B194="","",IFERROR(IF(F194&lt;&gt;0,MAX(get_row)+1,LARGE(get_row,2)+1),1))</f>
        <v>182</v>
      </c>
      <c r="S194" s="134">
        <f ca="1" t="shared" si="56"/>
        <v>-24355.53</v>
      </c>
      <c r="T194" s="129">
        <f ca="1" t="shared" si="57"/>
        <v>30.5</v>
      </c>
      <c r="U194" s="156">
        <f ca="1" t="shared" si="58"/>
        <v>0.00120909397236923</v>
      </c>
      <c r="V194" s="157">
        <f ca="1" t="shared" si="59"/>
        <v>-3.04444125</v>
      </c>
    </row>
    <row r="195" spans="1:22">
      <c r="A195" s="97">
        <v>44377</v>
      </c>
      <c r="B195" s="141">
        <f>VLOOKUP(C195,收益对照表汇总!A:B,2,0)</f>
        <v>601288</v>
      </c>
      <c r="C195" s="105" t="s">
        <v>31</v>
      </c>
      <c r="D195" s="141" t="s">
        <v>25</v>
      </c>
      <c r="E195" s="63">
        <v>2000</v>
      </c>
      <c r="F195" s="132">
        <f>IF(C195="","",SUMIFS(E$1:E195,C$1:C195,C195,D$1:D195,"证券买入清算")-SUMIFS(E$1:E195,C$1:C195,C195,D$1:D195,"证券卖出清算"))</f>
        <v>10000</v>
      </c>
      <c r="G195" s="143">
        <f t="shared" si="51"/>
        <v>3.03</v>
      </c>
      <c r="H195" s="142">
        <f t="shared" si="52"/>
        <v>6060</v>
      </c>
      <c r="I195" s="63">
        <v>5</v>
      </c>
      <c r="K195" s="63">
        <v>0.12</v>
      </c>
      <c r="L195" s="142" t="str">
        <f t="shared" si="53"/>
        <v/>
      </c>
      <c r="M195" s="142">
        <f t="shared" si="54"/>
        <v>5.12</v>
      </c>
      <c r="N195" s="142">
        <f t="shared" si="55"/>
        <v>0.000844884488448845</v>
      </c>
      <c r="P195" s="63">
        <v>6065.12</v>
      </c>
      <c r="Q195" s="142">
        <f>IF(D195="","",Q194+O195-P195)</f>
        <v>19694.45</v>
      </c>
      <c r="R195" s="142">
        <f>IF(B195="","",IFERROR(IF(F195&lt;&gt;0,MAX(get_row)+1,LARGE(get_row,2)+1),1))</f>
        <v>182</v>
      </c>
      <c r="S195" s="134">
        <f ca="1" t="shared" si="56"/>
        <v>-30420.65</v>
      </c>
      <c r="T195" s="129">
        <f ca="1" t="shared" si="57"/>
        <v>35.62</v>
      </c>
      <c r="U195" s="156">
        <f ca="1" t="shared" si="58"/>
        <v>0.0011383603137298</v>
      </c>
      <c r="V195" s="157">
        <f ca="1" t="shared" si="59"/>
        <v>-3.042065</v>
      </c>
    </row>
    <row r="196" spans="1:22">
      <c r="A196" s="97">
        <v>44393</v>
      </c>
      <c r="B196" s="141">
        <f>VLOOKUP(C196,收益对照表汇总!A:B,2,0)</f>
        <v>601288</v>
      </c>
      <c r="C196" s="105" t="s">
        <v>31</v>
      </c>
      <c r="D196" s="141" t="s">
        <v>25</v>
      </c>
      <c r="E196" s="63">
        <v>2000</v>
      </c>
      <c r="F196" s="132">
        <f>IF(C196="","",SUMIFS(E$1:E196,C$1:C196,C196,D$1:D196,"证券买入清算")-SUMIFS(E$1:E196,C$1:C196,C196,D$1:D196,"证券卖出清算"))</f>
        <v>12000</v>
      </c>
      <c r="G196" s="143">
        <f t="shared" si="51"/>
        <v>2.99</v>
      </c>
      <c r="H196" s="142">
        <f t="shared" ref="H196:H208" si="60">IF(C196="","",E196*G196)</f>
        <v>5980</v>
      </c>
      <c r="I196" s="63">
        <v>5</v>
      </c>
      <c r="K196" s="63">
        <v>0.12</v>
      </c>
      <c r="L196" s="142" t="str">
        <f t="shared" ref="L196:L209" si="61">IF(C196="","",IF(D196="红股派息",-O196,IF(D196="个人红利所得税扣款",P196,"")))</f>
        <v/>
      </c>
      <c r="M196" s="142">
        <f t="shared" ref="M196:M209" si="62">IF(C196="","",SUM(I196:L196))</f>
        <v>5.12</v>
      </c>
      <c r="N196" s="142">
        <f t="shared" si="55"/>
        <v>0.0008561872909699</v>
      </c>
      <c r="P196" s="63">
        <v>5985.12</v>
      </c>
      <c r="Q196" s="142">
        <f t="shared" ref="Q196:Q209" si="63">IF(D196="","",Q195+O196-P196)</f>
        <v>13709.33</v>
      </c>
      <c r="R196" s="142">
        <f>IF(B196="","",IFERROR(IF(F196&lt;&gt;0,MAX(get_row)+1,LARGE(get_row,2)+1),1))</f>
        <v>182</v>
      </c>
      <c r="S196" s="134">
        <f ca="1" t="shared" si="56"/>
        <v>-36405.77</v>
      </c>
      <c r="T196" s="129">
        <f ca="1" t="shared" si="57"/>
        <v>40.74</v>
      </c>
      <c r="U196" s="156">
        <f ca="1" t="shared" si="58"/>
        <v>0.00109293604902277</v>
      </c>
      <c r="V196" s="157">
        <f ca="1" t="shared" si="59"/>
        <v>-3.03381416666667</v>
      </c>
    </row>
    <row r="197" spans="1:22">
      <c r="A197" s="97">
        <v>44404</v>
      </c>
      <c r="B197" s="141">
        <f>VLOOKUP(C197,收益对照表汇总!A:B,2,0)</f>
        <v>601288</v>
      </c>
      <c r="C197" s="105" t="s">
        <v>31</v>
      </c>
      <c r="D197" s="141" t="s">
        <v>25</v>
      </c>
      <c r="E197" s="63">
        <v>1500</v>
      </c>
      <c r="F197" s="132">
        <f>IF(C197="","",SUMIFS(E$1:E197,C$1:C197,C197,D$1:D197,"证券买入清算")-SUMIFS(E$1:E197,C$1:C197,C197,D$1:D197,"证券卖出清算"))</f>
        <v>13500</v>
      </c>
      <c r="G197" s="143">
        <f t="shared" ref="G197:G208" si="64">IF(C197="","",IFERROR(IF(D197="证券买入清算",ROUND((P197-M197)/E197,3),IF(D197="证券卖出清算",ROUND((M197+O197)/E197,3),0)),0))</f>
        <v>2.97</v>
      </c>
      <c r="H197" s="142">
        <f t="shared" si="60"/>
        <v>4455</v>
      </c>
      <c r="I197" s="63">
        <v>5</v>
      </c>
      <c r="K197" s="63">
        <v>0.09</v>
      </c>
      <c r="L197" s="142" t="str">
        <f t="shared" si="61"/>
        <v/>
      </c>
      <c r="M197" s="142">
        <f t="shared" si="62"/>
        <v>5.09</v>
      </c>
      <c r="N197" s="142">
        <f t="shared" si="55"/>
        <v>0.00114253647586981</v>
      </c>
      <c r="P197" s="63">
        <v>4460.09</v>
      </c>
      <c r="Q197" s="142">
        <f t="shared" si="63"/>
        <v>9249.24</v>
      </c>
      <c r="R197" s="142">
        <f>IF(B197="","",IFERROR(IF(F197&lt;&gt;0,MAX(get_row)+1,LARGE(get_row,2)+1),1))</f>
        <v>182</v>
      </c>
      <c r="S197" s="134">
        <f ca="1" t="shared" si="56"/>
        <v>-40865.86</v>
      </c>
      <c r="T197" s="129">
        <f ca="1" t="shared" si="57"/>
        <v>45.83</v>
      </c>
      <c r="U197" s="156">
        <f ca="1" t="shared" si="58"/>
        <v>0.00109809724641872</v>
      </c>
      <c r="V197" s="157">
        <f ca="1" t="shared" si="59"/>
        <v>-3.02710074074074</v>
      </c>
    </row>
    <row r="198" spans="1:22">
      <c r="A198" s="97">
        <v>44406</v>
      </c>
      <c r="B198" s="141">
        <f>VLOOKUP(C198,收益对照表汇总!A:B,2,0)</f>
        <v>601288</v>
      </c>
      <c r="C198" s="105" t="s">
        <v>31</v>
      </c>
      <c r="D198" s="141" t="s">
        <v>25</v>
      </c>
      <c r="E198" s="63">
        <v>1000</v>
      </c>
      <c r="F198" s="132">
        <f>IF(C198="","",SUMIFS(E$1:E198,C$1:C198,C198,D$1:D198,"证券买入清算")-SUMIFS(E$1:E198,C$1:C198,C198,D$1:D198,"证券卖出清算"))</f>
        <v>14500</v>
      </c>
      <c r="G198" s="143">
        <f t="shared" si="64"/>
        <v>2.95</v>
      </c>
      <c r="H198" s="142">
        <f t="shared" si="60"/>
        <v>2950</v>
      </c>
      <c r="I198" s="63">
        <v>5</v>
      </c>
      <c r="K198" s="63">
        <v>0.06</v>
      </c>
      <c r="L198" s="142" t="str">
        <f t="shared" si="61"/>
        <v/>
      </c>
      <c r="M198" s="142">
        <f t="shared" si="62"/>
        <v>5.06</v>
      </c>
      <c r="N198" s="142">
        <f t="shared" si="55"/>
        <v>0.00171525423728814</v>
      </c>
      <c r="P198" s="63">
        <v>2955.06</v>
      </c>
      <c r="Q198" s="142">
        <f t="shared" si="63"/>
        <v>6294.18</v>
      </c>
      <c r="R198" s="142">
        <f>IF(B198="","",IFERROR(IF(F198&lt;&gt;0,MAX(get_row)+1,LARGE(get_row,2)+1),1))</f>
        <v>182</v>
      </c>
      <c r="S198" s="134">
        <f ca="1" t="shared" si="56"/>
        <v>-43820.92</v>
      </c>
      <c r="T198" s="129">
        <f ca="1" t="shared" si="57"/>
        <v>50.89</v>
      </c>
      <c r="U198" s="156">
        <f ca="1" t="shared" si="58"/>
        <v>0.00113871082003513</v>
      </c>
      <c r="V198" s="157">
        <f ca="1" t="shared" si="59"/>
        <v>-3.0221324137931</v>
      </c>
    </row>
    <row r="199" spans="1:22">
      <c r="A199" s="97">
        <v>44407</v>
      </c>
      <c r="B199" s="141">
        <f>VLOOKUP(C199,收益对照表汇总!A:B,2,0)</f>
        <v>601288</v>
      </c>
      <c r="C199" s="105" t="s">
        <v>31</v>
      </c>
      <c r="D199" s="141" t="s">
        <v>25</v>
      </c>
      <c r="E199" s="63">
        <v>1000</v>
      </c>
      <c r="F199" s="132">
        <f>IF(C199="","",SUMIFS(E$1:E199,C$1:C199,C199,D$1:D199,"证券买入清算")-SUMIFS(E$1:E199,C$1:C199,C199,D$1:D199,"证券卖出清算"))</f>
        <v>15500</v>
      </c>
      <c r="G199" s="143">
        <f t="shared" si="64"/>
        <v>2.92</v>
      </c>
      <c r="H199" s="142">
        <f t="shared" si="60"/>
        <v>2920</v>
      </c>
      <c r="I199" s="63">
        <v>5</v>
      </c>
      <c r="K199" s="63">
        <v>0.06</v>
      </c>
      <c r="L199" s="142" t="str">
        <f t="shared" si="61"/>
        <v/>
      </c>
      <c r="M199" s="142">
        <f t="shared" si="62"/>
        <v>5.06</v>
      </c>
      <c r="N199" s="142">
        <f t="shared" si="55"/>
        <v>0.00173287671232877</v>
      </c>
      <c r="P199" s="63">
        <v>2925.06</v>
      </c>
      <c r="Q199" s="142">
        <f t="shared" si="63"/>
        <v>3369.12</v>
      </c>
      <c r="R199" s="142">
        <f>IF(B199="","",IFERROR(IF(F199&lt;&gt;0,MAX(get_row)+1,LARGE(get_row,2)+1),1))</f>
        <v>182</v>
      </c>
      <c r="S199" s="134">
        <f ca="1" t="shared" si="56"/>
        <v>-46745.98</v>
      </c>
      <c r="T199" s="129">
        <f ca="1" t="shared" si="57"/>
        <v>55.95</v>
      </c>
      <c r="U199" s="156">
        <f ca="1" t="shared" si="58"/>
        <v>0.00117502643546963</v>
      </c>
      <c r="V199" s="157">
        <f ca="1" t="shared" si="59"/>
        <v>-3.01586967741935</v>
      </c>
    </row>
    <row r="200" spans="1:22">
      <c r="A200" s="97">
        <v>44421</v>
      </c>
      <c r="D200" s="141" t="s">
        <v>22</v>
      </c>
      <c r="F200" s="132" t="str">
        <f>IF(C200="","",SUMIFS(E$1:E200,C$1:C200,C200,D$1:D200,"证券买入清算")-SUMIFS(E$1:E200,C$1:C200,C200,D$1:D200,"证券卖出清算"))</f>
        <v/>
      </c>
      <c r="G200" s="143" t="str">
        <f t="shared" si="64"/>
        <v/>
      </c>
      <c r="H200" s="142" t="str">
        <f t="shared" si="60"/>
        <v/>
      </c>
      <c r="L200" s="63" t="str">
        <f t="shared" si="61"/>
        <v/>
      </c>
      <c r="M200" s="142" t="str">
        <f t="shared" si="62"/>
        <v/>
      </c>
      <c r="N200" s="142" t="str">
        <f t="shared" si="55"/>
        <v/>
      </c>
      <c r="O200" s="63">
        <v>4000</v>
      </c>
      <c r="Q200" s="142">
        <f t="shared" si="63"/>
        <v>7369.12</v>
      </c>
      <c r="R200" s="142" t="str">
        <f>IF(B200="","",IFERROR(IF(F200&lt;&gt;0,MAX(get_row)+1,LARGE(get_row,2)+1),1))</f>
        <v/>
      </c>
      <c r="S200" s="134" t="str">
        <f ca="1" t="shared" ref="S200:S207" si="65">IF(B200="","",SUMIFS(INDIRECT("O"&amp;R200&amp;":O"&amp;ROW()),INDIRECT("B"&amp;R200&amp;":B"&amp;ROW()),B200)-SUMIFS(INDIRECT("P"&amp;R200&amp;":P"&amp;ROW()),INDIRECT("B"&amp;R200&amp;":B"&amp;ROW()),B200))</f>
        <v/>
      </c>
      <c r="T200" s="129" t="str">
        <f ca="1" t="shared" ref="T200:T207" si="66">IF(B200="","",SUMIFS(INDIRECT("M"&amp;R200&amp;":M"&amp;ROW()),INDIRECT("B"&amp;R200&amp;":B"&amp;ROW()),B200,INDIRECT("M"&amp;R200&amp;":M"&amp;ROW()),"&gt;0"))</f>
        <v/>
      </c>
      <c r="U200" s="156" t="str">
        <f ca="1" t="shared" ref="U200:U207" si="67">IF(B200="","",IFERROR(SUMIFS(INDIRECT("M"&amp;R200&amp;":M"&amp;ROW()),INDIRECT("B"&amp;R200&amp;":B"&amp;ROW()),B200,INDIRECT("p"&amp;R200&amp;":p"&amp;ROW()),"&lt;&gt;",INDIRECT("M"&amp;R200&amp;":M"&amp;ROW()),"&gt;0")/SUMIFS(INDIRECT("p"&amp;R200&amp;":p"&amp;ROW()),INDIRECT("B"&amp;R200&amp;":B"&amp;ROW()),B200,INDIRECT("p"&amp;R200&amp;":p"&amp;ROW()),"&lt;&gt;",INDIRECT("M"&amp;R200&amp;":M"&amp;ROW()),"&gt;0"),0)+IFERROR(SUMIFS(INDIRECT("M"&amp;R200&amp;":M"&amp;ROW()),INDIRECT("B"&amp;R200&amp;":B"&amp;ROW()),B200,INDIRECT("o"&amp;R200&amp;":o"&amp;ROW()),"&lt;&gt;",INDIRECT("M"&amp;R200&amp;":M"&amp;ROW()),"&gt;0")/SUMIFS(INDIRECT("o"&amp;R200&amp;":o"&amp;ROW()),INDIRECT("B"&amp;R200&amp;":B"&amp;ROW()),B200,INDIRECT("o"&amp;R200&amp;":o"&amp;ROW()),"&lt;&gt;",INDIRECT("M"&amp;R200&amp;":M"&amp;ROW()),"&gt;0"),0))</f>
        <v/>
      </c>
      <c r="V200" s="157" t="str">
        <f ca="1" t="shared" ref="V200:V207" si="68">IF(B200="","",IFERROR(S200/F200,"Over"))</f>
        <v/>
      </c>
    </row>
    <row r="201" spans="1:22">
      <c r="A201" s="97">
        <v>44421</v>
      </c>
      <c r="B201" s="165" t="str">
        <f>VLOOKUP(C201,收益对照表汇总!A:B,2,0)</f>
        <v>600332</v>
      </c>
      <c r="C201" s="105" t="s">
        <v>39</v>
      </c>
      <c r="D201" s="141" t="s">
        <v>25</v>
      </c>
      <c r="E201" s="63">
        <v>100</v>
      </c>
      <c r="F201" s="132">
        <f>IF(C201="","",SUMIFS(E$1:E201,C$1:C201,C201,D$1:D201,"证券买入清算")-SUMIFS(E$1:E201,C$1:C201,C201,D$1:D201,"证券卖出清算"))</f>
        <v>100</v>
      </c>
      <c r="G201" s="143">
        <f t="shared" si="64"/>
        <v>30.38</v>
      </c>
      <c r="H201" s="142">
        <f t="shared" si="60"/>
        <v>3038</v>
      </c>
      <c r="I201" s="63">
        <v>5</v>
      </c>
      <c r="K201" s="63">
        <v>0.06</v>
      </c>
      <c r="L201" s="63" t="str">
        <f t="shared" si="61"/>
        <v/>
      </c>
      <c r="M201" s="142">
        <f t="shared" si="62"/>
        <v>5.06</v>
      </c>
      <c r="N201" s="142">
        <f t="shared" si="55"/>
        <v>0.00166556945358789</v>
      </c>
      <c r="P201" s="63">
        <v>3043.06</v>
      </c>
      <c r="Q201" s="142">
        <f t="shared" si="63"/>
        <v>4326.06</v>
      </c>
      <c r="R201" s="142">
        <f>IF(B201="","",IFERROR(IF(F201&lt;&gt;0,MAX(get_row)+1,LARGE(get_row,2)+1),1))</f>
        <v>191</v>
      </c>
      <c r="S201" s="134">
        <f ca="1" t="shared" si="65"/>
        <v>-3043.06</v>
      </c>
      <c r="T201" s="129">
        <f ca="1" t="shared" si="66"/>
        <v>5.06</v>
      </c>
      <c r="U201" s="156">
        <f ca="1" t="shared" si="67"/>
        <v>0.00166279994479241</v>
      </c>
      <c r="V201" s="157">
        <f ca="1" t="shared" si="68"/>
        <v>-30.4306</v>
      </c>
    </row>
    <row r="202" spans="1:22">
      <c r="A202" s="97">
        <v>44424</v>
      </c>
      <c r="B202" s="165" t="str">
        <f>VLOOKUP(C202,收益对照表汇总!A:B,2,0)</f>
        <v>600332</v>
      </c>
      <c r="C202" s="105" t="s">
        <v>39</v>
      </c>
      <c r="D202" s="141" t="s">
        <v>26</v>
      </c>
      <c r="E202" s="63">
        <v>100</v>
      </c>
      <c r="F202" s="132">
        <f>IF(C202="","",SUMIFS(E$1:E202,C$1:C202,C202,D$1:D202,"证券买入清算")-SUMIFS(E$1:E202,C$1:C202,C202,D$1:D202,"证券卖出清算"))</f>
        <v>0</v>
      </c>
      <c r="G202" s="143">
        <f t="shared" si="64"/>
        <v>30.9</v>
      </c>
      <c r="H202" s="142">
        <f t="shared" si="60"/>
        <v>3090</v>
      </c>
      <c r="I202" s="63">
        <v>5</v>
      </c>
      <c r="J202" s="63">
        <v>3.09</v>
      </c>
      <c r="K202" s="63">
        <v>0.06</v>
      </c>
      <c r="L202" s="63" t="str">
        <f t="shared" si="61"/>
        <v/>
      </c>
      <c r="M202" s="142">
        <f t="shared" si="62"/>
        <v>8.15</v>
      </c>
      <c r="N202" s="142">
        <f t="shared" si="55"/>
        <v>0.00263754045307443</v>
      </c>
      <c r="O202" s="63">
        <v>3081.85</v>
      </c>
      <c r="Q202" s="142">
        <f t="shared" si="63"/>
        <v>7407.91</v>
      </c>
      <c r="R202" s="142">
        <f>IF(B202="","",IFERROR(IF(F202&lt;&gt;0,MAX(get_row)+1,LARGE(get_row,2)+1),1))</f>
        <v>191</v>
      </c>
      <c r="S202" s="134">
        <f ca="1" t="shared" si="65"/>
        <v>38.79</v>
      </c>
      <c r="T202" s="129">
        <f ca="1" t="shared" si="66"/>
        <v>13.21</v>
      </c>
      <c r="U202" s="156">
        <f ca="1" t="shared" si="67"/>
        <v>0.00430731541439671</v>
      </c>
      <c r="V202" s="157" t="str">
        <f ca="1" t="shared" si="68"/>
        <v>Over</v>
      </c>
    </row>
    <row r="203" spans="1:22">
      <c r="A203" s="97">
        <v>44424</v>
      </c>
      <c r="B203" s="165" t="str">
        <f>VLOOKUP(C203,收益对照表汇总!A:B,2,0)</f>
        <v>002661</v>
      </c>
      <c r="C203" s="63" t="s">
        <v>32</v>
      </c>
      <c r="D203" s="141" t="s">
        <v>25</v>
      </c>
      <c r="E203" s="63">
        <v>100</v>
      </c>
      <c r="F203" s="132">
        <f>IF(C203="","",SUMIFS(E$1:E203,C$1:C203,C203,D$1:D203,"证券买入清算")-SUMIFS(E$1:E203,C$1:C203,C203,D$1:D203,"证券卖出清算"))</f>
        <v>100</v>
      </c>
      <c r="G203" s="143">
        <f t="shared" ref="G203:G220" si="69">IF(C203="","",IFERROR(IF(D203="证券买入清算",ROUND((P203-M203)/E203,3),IF(D203="证券卖出清算",ROUND((M203+O203)/E203,3),0)),0))</f>
        <v>11.3</v>
      </c>
      <c r="H203" s="142">
        <f t="shared" ref="H203:H220" si="70">IF(C203="","",E203*G203)</f>
        <v>1130</v>
      </c>
      <c r="I203" s="63">
        <v>5</v>
      </c>
      <c r="L203" s="63" t="str">
        <f t="shared" si="61"/>
        <v/>
      </c>
      <c r="M203" s="142">
        <f t="shared" ref="M203:M220" si="71">IF(C203="","",SUM(I203:L203))</f>
        <v>5</v>
      </c>
      <c r="N203" s="142">
        <f t="shared" ref="N203:N220" si="72">IFERROR(IF(B203="","",M203/H203),"")</f>
        <v>0.00442477876106195</v>
      </c>
      <c r="P203" s="63">
        <v>1135</v>
      </c>
      <c r="Q203" s="142">
        <f t="shared" ref="Q203:Q220" si="73">IF(D203="","",Q202+O203-P203)</f>
        <v>6272.91</v>
      </c>
      <c r="R203" s="142">
        <f>IF(B203="","",IFERROR(IF(F203&lt;&gt;0,MAX(get_row)+1,LARGE(get_row,2)+1),1))</f>
        <v>135</v>
      </c>
      <c r="S203" s="134">
        <f ca="1" t="shared" si="65"/>
        <v>-1135</v>
      </c>
      <c r="T203" s="129">
        <f ca="1" t="shared" si="66"/>
        <v>5</v>
      </c>
      <c r="U203" s="156">
        <f ca="1" t="shared" si="67"/>
        <v>0.00440528634361234</v>
      </c>
      <c r="V203" s="157">
        <f ca="1" t="shared" si="68"/>
        <v>-11.35</v>
      </c>
    </row>
    <row r="204" spans="1:22">
      <c r="A204" s="97">
        <v>44426</v>
      </c>
      <c r="B204" s="165" t="str">
        <f>VLOOKUP(C204,收益对照表汇总!A:B,2,0)</f>
        <v>600332</v>
      </c>
      <c r="C204" s="105" t="s">
        <v>39</v>
      </c>
      <c r="D204" s="141" t="s">
        <v>25</v>
      </c>
      <c r="E204" s="63">
        <v>100</v>
      </c>
      <c r="F204" s="132">
        <f>IF(C204="","",SUMIFS(E$1:E204,C$1:C204,C204,D$1:D204,"证券买入清算")-SUMIFS(E$1:E204,C$1:C204,C204,D$1:D204,"证券卖出清算"))</f>
        <v>100</v>
      </c>
      <c r="G204" s="143">
        <f t="shared" si="69"/>
        <v>30.44</v>
      </c>
      <c r="H204" s="142">
        <f t="shared" si="70"/>
        <v>3044</v>
      </c>
      <c r="I204" s="63">
        <v>5</v>
      </c>
      <c r="K204" s="63">
        <v>0.06</v>
      </c>
      <c r="L204" s="63" t="str">
        <f t="shared" si="61"/>
        <v/>
      </c>
      <c r="M204" s="142">
        <f t="shared" si="71"/>
        <v>5.06</v>
      </c>
      <c r="N204" s="142">
        <f t="shared" si="72"/>
        <v>0.0016622864651774</v>
      </c>
      <c r="P204" s="63">
        <v>3049.06</v>
      </c>
      <c r="Q204" s="142">
        <f t="shared" si="73"/>
        <v>3223.85</v>
      </c>
      <c r="R204" s="142">
        <f>IF(B204="","",IFERROR(IF(F204&lt;&gt;0,MAX(get_row)+1,LARGE(get_row,2)+1),1))</f>
        <v>203</v>
      </c>
      <c r="S204" s="134">
        <f ca="1" t="shared" si="65"/>
        <v>-3049.06</v>
      </c>
      <c r="T204" s="129">
        <f ca="1" t="shared" si="66"/>
        <v>5.06</v>
      </c>
      <c r="U204" s="156">
        <f ca="1" t="shared" si="67"/>
        <v>0.0016595278544863</v>
      </c>
      <c r="V204" s="157">
        <f ca="1" t="shared" si="68"/>
        <v>-30.4906</v>
      </c>
    </row>
    <row r="205" spans="1:22">
      <c r="A205" s="97">
        <v>44432</v>
      </c>
      <c r="D205" s="141" t="s">
        <v>22</v>
      </c>
      <c r="F205" s="132" t="str">
        <f>IF(C205="","",SUMIFS(E$1:E205,C$1:C205,C205,D$1:D205,"证券买入清算")-SUMIFS(E$1:E205,C$1:C205,C205,D$1:D205,"证券卖出清算"))</f>
        <v/>
      </c>
      <c r="G205" s="143" t="str">
        <f t="shared" si="69"/>
        <v/>
      </c>
      <c r="H205" s="142" t="str">
        <f t="shared" si="70"/>
        <v/>
      </c>
      <c r="L205" s="63" t="str">
        <f t="shared" si="61"/>
        <v/>
      </c>
      <c r="M205" s="142" t="str">
        <f t="shared" si="71"/>
        <v/>
      </c>
      <c r="N205" s="142" t="str">
        <f t="shared" si="72"/>
        <v/>
      </c>
      <c r="O205" s="63">
        <v>5000</v>
      </c>
      <c r="Q205" s="142">
        <f t="shared" si="73"/>
        <v>8223.85</v>
      </c>
      <c r="R205" s="142" t="str">
        <f>IF(B205="","",IFERROR(IF(F205&lt;&gt;0,MAX(get_row)+1,LARGE(get_row,2)+1),1))</f>
        <v/>
      </c>
      <c r="S205" s="134" t="str">
        <f ca="1" t="shared" si="65"/>
        <v/>
      </c>
      <c r="T205" s="129" t="str">
        <f ca="1" t="shared" si="66"/>
        <v/>
      </c>
      <c r="U205" s="156" t="str">
        <f ca="1" t="shared" si="67"/>
        <v/>
      </c>
      <c r="V205" s="157" t="str">
        <f ca="1" t="shared" si="68"/>
        <v/>
      </c>
    </row>
    <row r="206" spans="1:22">
      <c r="A206" s="97">
        <v>44433</v>
      </c>
      <c r="B206" s="141">
        <f>VLOOKUP(C206,收益对照表汇总!A:B,2,0)</f>
        <v>601288</v>
      </c>
      <c r="C206" s="105" t="s">
        <v>31</v>
      </c>
      <c r="D206" s="141" t="s">
        <v>25</v>
      </c>
      <c r="E206" s="63">
        <v>1000</v>
      </c>
      <c r="F206" s="132">
        <f>IF(C206="","",SUMIFS(E$1:E206,C$1:C206,C206,D$1:D206,"证券买入清算")-SUMIFS(E$1:E206,C$1:C206,C206,D$1:D206,"证券卖出清算"))</f>
        <v>16500</v>
      </c>
      <c r="G206" s="143">
        <f t="shared" si="69"/>
        <v>2.93</v>
      </c>
      <c r="H206" s="142">
        <f t="shared" si="70"/>
        <v>2930</v>
      </c>
      <c r="I206" s="63">
        <v>5</v>
      </c>
      <c r="K206" s="63">
        <v>0.06</v>
      </c>
      <c r="L206" s="63" t="str">
        <f t="shared" si="61"/>
        <v/>
      </c>
      <c r="M206" s="142">
        <f t="shared" si="71"/>
        <v>5.06</v>
      </c>
      <c r="N206" s="142">
        <f t="shared" si="72"/>
        <v>0.00172696245733788</v>
      </c>
      <c r="P206" s="63">
        <v>2935.06</v>
      </c>
      <c r="Q206" s="142">
        <f t="shared" si="73"/>
        <v>5288.79</v>
      </c>
      <c r="R206" s="142">
        <f>IF(B206="","",IFERROR(IF(F206&lt;&gt;0,MAX(get_row)+1,LARGE(get_row,2)+1),1))</f>
        <v>182</v>
      </c>
      <c r="S206" s="134">
        <f ca="1" t="shared" si="65"/>
        <v>-49681.04</v>
      </c>
      <c r="T206" s="129">
        <f ca="1" t="shared" si="66"/>
        <v>61.01</v>
      </c>
      <c r="U206" s="156">
        <f ca="1" t="shared" si="67"/>
        <v>0.00120689972366526</v>
      </c>
      <c r="V206" s="157">
        <f ca="1" t="shared" si="68"/>
        <v>-3.01097212121212</v>
      </c>
    </row>
    <row r="207" spans="1:22">
      <c r="A207" s="97">
        <v>44435</v>
      </c>
      <c r="B207" s="141">
        <f>VLOOKUP(C207,收益对照表汇总!A:B,2,0)</f>
        <v>601288</v>
      </c>
      <c r="C207" s="105" t="s">
        <v>31</v>
      </c>
      <c r="D207" s="141" t="s">
        <v>25</v>
      </c>
      <c r="E207" s="63">
        <v>1000</v>
      </c>
      <c r="F207" s="132">
        <f>IF(C207="","",SUMIFS(E$1:E207,C$1:C207,C207,D$1:D207,"证券买入清算")-SUMIFS(E$1:E207,C$1:C207,C207,D$1:D207,"证券卖出清算"))</f>
        <v>17500</v>
      </c>
      <c r="G207" s="143">
        <f t="shared" si="69"/>
        <v>2.92</v>
      </c>
      <c r="H207" s="142">
        <f t="shared" si="70"/>
        <v>2920</v>
      </c>
      <c r="I207" s="63">
        <v>5</v>
      </c>
      <c r="K207" s="63">
        <v>0.06</v>
      </c>
      <c r="L207" s="63" t="str">
        <f t="shared" si="61"/>
        <v/>
      </c>
      <c r="M207" s="142">
        <f t="shared" si="71"/>
        <v>5.06</v>
      </c>
      <c r="N207" s="142">
        <f t="shared" si="72"/>
        <v>0.00173287671232877</v>
      </c>
      <c r="P207" s="63">
        <v>2925.06</v>
      </c>
      <c r="Q207" s="142">
        <f t="shared" si="73"/>
        <v>2363.73</v>
      </c>
      <c r="R207" s="142">
        <f>IF(B207="","",IFERROR(IF(F207&lt;&gt;0,MAX(get_row)+1,LARGE(get_row,2)+1),1))</f>
        <v>182</v>
      </c>
      <c r="S207" s="134">
        <f ca="1" t="shared" si="65"/>
        <v>-52606.1</v>
      </c>
      <c r="T207" s="129">
        <f ca="1" t="shared" si="66"/>
        <v>66.07</v>
      </c>
      <c r="U207" s="156">
        <f ca="1" t="shared" si="67"/>
        <v>0.0012355059001157</v>
      </c>
      <c r="V207" s="157">
        <f ca="1" t="shared" si="68"/>
        <v>-3.00606285714286</v>
      </c>
    </row>
    <row r="208" spans="1:22">
      <c r="A208" s="97">
        <v>44439</v>
      </c>
      <c r="B208" s="63" t="str">
        <f>IFERROR(VLOOKUP(C208,收益对照表汇总!A:B,2,0),"")</f>
        <v/>
      </c>
      <c r="D208" s="141" t="s">
        <v>22</v>
      </c>
      <c r="F208" s="132" t="str">
        <f>IF(C208="","",SUMIFS(E$1:E208,C$1:C208,C208,D$1:D208,"证券买入清算")-SUMIFS(E$1:E208,C$1:C208,C208,D$1:D208,"证券卖出清算"))</f>
        <v/>
      </c>
      <c r="G208" s="143" t="str">
        <f t="shared" si="69"/>
        <v/>
      </c>
      <c r="H208" s="142" t="str">
        <f t="shared" si="70"/>
        <v/>
      </c>
      <c r="L208" s="63" t="str">
        <f t="shared" si="61"/>
        <v/>
      </c>
      <c r="M208" s="142" t="str">
        <f t="shared" si="71"/>
        <v/>
      </c>
      <c r="N208" s="142" t="str">
        <f t="shared" si="72"/>
        <v/>
      </c>
      <c r="O208" s="63">
        <v>516</v>
      </c>
      <c r="Q208" s="142">
        <f t="shared" si="73"/>
        <v>2879.73</v>
      </c>
      <c r="R208" s="142" t="str">
        <f>IF(B208="","",IFERROR(IF(F208&lt;&gt;0,MAX(get_row)+1,LARGE(get_row,2)+1),1))</f>
        <v/>
      </c>
      <c r="S208" s="134" t="str">
        <f ca="1" t="shared" ref="S208:S217" si="74">IF(B208="","",SUMIFS(INDIRECT("O"&amp;R208&amp;":O"&amp;ROW()),INDIRECT("B"&amp;R208&amp;":B"&amp;ROW()),B208)-SUMIFS(INDIRECT("P"&amp;R208&amp;":P"&amp;ROW()),INDIRECT("B"&amp;R208&amp;":B"&amp;ROW()),B208))</f>
        <v/>
      </c>
      <c r="T208" s="129" t="str">
        <f ca="1" t="shared" ref="T208:T217" si="75">IF(B208="","",SUMIFS(INDIRECT("M"&amp;R208&amp;":M"&amp;ROW()),INDIRECT("B"&amp;R208&amp;":B"&amp;ROW()),B208,INDIRECT("M"&amp;R208&amp;":M"&amp;ROW()),"&gt;0"))</f>
        <v/>
      </c>
      <c r="U208" s="156" t="str">
        <f ca="1" t="shared" ref="U208:U217" si="76">IF(B208="","",IFERROR(SUMIFS(INDIRECT("M"&amp;R208&amp;":M"&amp;ROW()),INDIRECT("B"&amp;R208&amp;":B"&amp;ROW()),B208,INDIRECT("p"&amp;R208&amp;":p"&amp;ROW()),"&lt;&gt;",INDIRECT("M"&amp;R208&amp;":M"&amp;ROW()),"&gt;0")/SUMIFS(INDIRECT("p"&amp;R208&amp;":p"&amp;ROW()),INDIRECT("B"&amp;R208&amp;":B"&amp;ROW()),B208,INDIRECT("p"&amp;R208&amp;":p"&amp;ROW()),"&lt;&gt;",INDIRECT("M"&amp;R208&amp;":M"&amp;ROW()),"&gt;0"),0)+IFERROR(SUMIFS(INDIRECT("M"&amp;R208&amp;":M"&amp;ROW()),INDIRECT("B"&amp;R208&amp;":B"&amp;ROW()),B208,INDIRECT("o"&amp;R208&amp;":o"&amp;ROW()),"&lt;&gt;",INDIRECT("M"&amp;R208&amp;":M"&amp;ROW()),"&gt;0")/SUMIFS(INDIRECT("o"&amp;R208&amp;":o"&amp;ROW()),INDIRECT("B"&amp;R208&amp;":B"&amp;ROW()),B208,INDIRECT("o"&amp;R208&amp;":o"&amp;ROW()),"&lt;&gt;",INDIRECT("M"&amp;R208&amp;":M"&amp;ROW()),"&gt;0"),0))</f>
        <v/>
      </c>
      <c r="V208" s="157" t="str">
        <f ca="1" t="shared" ref="V208:V217" si="77">IF(B208="","",IFERROR(S208/F208,"Over"))</f>
        <v/>
      </c>
    </row>
    <row r="209" spans="1:22">
      <c r="A209" s="97">
        <v>44452</v>
      </c>
      <c r="B209" s="63">
        <f>IFERROR(VLOOKUP(C209,收益对照表汇总!A:B,2,0),"")</f>
        <v>601288</v>
      </c>
      <c r="C209" s="105" t="s">
        <v>31</v>
      </c>
      <c r="D209" s="141" t="s">
        <v>26</v>
      </c>
      <c r="E209" s="63">
        <v>4000</v>
      </c>
      <c r="F209" s="132">
        <f>IF(C209="","",SUMIFS(E$1:E209,C$1:C209,C209,D$1:D209,"证券买入清算")-SUMIFS(E$1:E209,C$1:C209,C209,D$1:D209,"证券卖出清算"))</f>
        <v>13500</v>
      </c>
      <c r="G209" s="133">
        <f t="shared" si="69"/>
        <v>3.04</v>
      </c>
      <c r="H209" s="132">
        <f t="shared" si="70"/>
        <v>12160</v>
      </c>
      <c r="I209" s="63">
        <v>5</v>
      </c>
      <c r="J209" s="63">
        <v>12.16</v>
      </c>
      <c r="K209" s="63">
        <v>0.24</v>
      </c>
      <c r="L209" s="63" t="str">
        <f t="shared" si="61"/>
        <v/>
      </c>
      <c r="M209" s="142">
        <f t="shared" si="71"/>
        <v>17.4</v>
      </c>
      <c r="N209" s="142">
        <f t="shared" si="72"/>
        <v>0.00143092105263158</v>
      </c>
      <c r="O209" s="63">
        <v>12142.6</v>
      </c>
      <c r="Q209" s="142">
        <f t="shared" si="73"/>
        <v>15022.33</v>
      </c>
      <c r="R209" s="142">
        <f>IF(B209="","",IFERROR(IF(F209&lt;&gt;0,MAX(get_row)+1,LARGE(get_row,2)+1),1))</f>
        <v>182</v>
      </c>
      <c r="S209" s="134">
        <f ca="1" t="shared" si="74"/>
        <v>-40463.5</v>
      </c>
      <c r="T209" s="129">
        <f ca="1" t="shared" si="75"/>
        <v>83.47</v>
      </c>
      <c r="U209" s="156">
        <f ca="1" t="shared" si="76"/>
        <v>0.00266847742186557</v>
      </c>
      <c r="V209" s="157">
        <f ca="1" t="shared" si="77"/>
        <v>-2.9972962962963</v>
      </c>
    </row>
    <row r="210" spans="1:22">
      <c r="A210" s="97">
        <v>44453</v>
      </c>
      <c r="B210" s="63">
        <f>IFERROR(VLOOKUP(C210,收益对照表汇总!A:B,2,0),"")</f>
        <v>601288</v>
      </c>
      <c r="C210" s="105" t="s">
        <v>31</v>
      </c>
      <c r="D210" s="141" t="s">
        <v>11</v>
      </c>
      <c r="E210" s="63">
        <v>1500</v>
      </c>
      <c r="F210" s="132">
        <f>IF(C210="","",SUMIFS(E$1:E210,C$1:C210,C210,D$1:D210,"证券买入清算")-SUMIFS(E$1:E210,C$1:C210,C210,D$1:D210,"证券卖出清算"))</f>
        <v>13500</v>
      </c>
      <c r="G210" s="133">
        <f t="shared" si="69"/>
        <v>0</v>
      </c>
      <c r="H210" s="132">
        <f t="shared" si="70"/>
        <v>0</v>
      </c>
      <c r="L210" s="63">
        <v>27.77</v>
      </c>
      <c r="M210" s="132">
        <f t="shared" si="71"/>
        <v>27.77</v>
      </c>
      <c r="N210" s="142" t="str">
        <f t="shared" si="72"/>
        <v/>
      </c>
      <c r="P210" s="63">
        <v>27.77</v>
      </c>
      <c r="Q210" s="132">
        <f t="shared" si="73"/>
        <v>14994.56</v>
      </c>
      <c r="R210" s="142">
        <f>IF(B210="","",IFERROR(IF(F210&lt;&gt;0,MAX(get_row)+1,LARGE(get_row,2)+1),1))</f>
        <v>182</v>
      </c>
      <c r="S210" s="134">
        <f ca="1" t="shared" si="74"/>
        <v>-40491.27</v>
      </c>
      <c r="T210" s="129">
        <f ca="1" t="shared" si="75"/>
        <v>111.24</v>
      </c>
      <c r="U210" s="156">
        <f ca="1" t="shared" si="76"/>
        <v>0.00318686432645324</v>
      </c>
      <c r="V210" s="157">
        <f ca="1" t="shared" si="77"/>
        <v>-2.99935333333333</v>
      </c>
    </row>
    <row r="211" spans="1:22">
      <c r="A211" s="97">
        <v>44453</v>
      </c>
      <c r="B211" s="63">
        <f>IFERROR(VLOOKUP(C211,收益对照表汇总!A:B,2,0),"")</f>
        <v>601288</v>
      </c>
      <c r="C211" s="105" t="s">
        <v>31</v>
      </c>
      <c r="D211" s="141" t="s">
        <v>11</v>
      </c>
      <c r="E211" s="63">
        <v>1100</v>
      </c>
      <c r="F211" s="132">
        <f>IF(C211="","",SUMIFS(E$1:E211,C$1:C211,C211,D$1:D211,"证券买入清算")-SUMIFS(E$1:E211,C$1:C211,C211,D$1:D211,"证券卖出清算"))</f>
        <v>13500</v>
      </c>
      <c r="G211" s="133">
        <f t="shared" si="69"/>
        <v>0</v>
      </c>
      <c r="H211" s="132">
        <f t="shared" si="70"/>
        <v>0</v>
      </c>
      <c r="L211" s="63">
        <v>20.36</v>
      </c>
      <c r="M211" s="132">
        <f t="shared" si="71"/>
        <v>20.36</v>
      </c>
      <c r="N211" s="142" t="str">
        <f t="shared" si="72"/>
        <v/>
      </c>
      <c r="P211" s="63">
        <v>20.36</v>
      </c>
      <c r="Q211" s="132">
        <f t="shared" si="73"/>
        <v>14974.2</v>
      </c>
      <c r="R211" s="142">
        <f>IF(B211="","",IFERROR(IF(F211&lt;&gt;0,MAX(get_row)+1,LARGE(get_row,2)+1),1))</f>
        <v>182</v>
      </c>
      <c r="S211" s="134">
        <f ca="1" t="shared" si="74"/>
        <v>-40511.63</v>
      </c>
      <c r="T211" s="129">
        <f ca="1" t="shared" si="75"/>
        <v>131.6</v>
      </c>
      <c r="U211" s="156">
        <f ca="1" t="shared" si="76"/>
        <v>0.00356658584947453</v>
      </c>
      <c r="V211" s="157">
        <f ca="1" t="shared" si="77"/>
        <v>-3.00086148148148</v>
      </c>
    </row>
    <row r="212" spans="1:22">
      <c r="A212" s="97">
        <v>44453</v>
      </c>
      <c r="B212" s="63">
        <f>IFERROR(VLOOKUP(C212,收益对照表汇总!A:B,2,0),"")</f>
        <v>601288</v>
      </c>
      <c r="C212" s="105" t="s">
        <v>31</v>
      </c>
      <c r="D212" s="141" t="s">
        <v>11</v>
      </c>
      <c r="E212" s="63">
        <v>1100</v>
      </c>
      <c r="F212" s="132">
        <f>IF(C212="","",SUMIFS(E$1:E212,C$1:C212,C212,D$1:D212,"证券买入清算")-SUMIFS(E$1:E212,C$1:C212,C212,D$1:D212,"证券卖出清算"))</f>
        <v>13500</v>
      </c>
      <c r="G212" s="133">
        <f t="shared" si="69"/>
        <v>0</v>
      </c>
      <c r="H212" s="132">
        <f t="shared" si="70"/>
        <v>0</v>
      </c>
      <c r="L212" s="63">
        <v>20.36</v>
      </c>
      <c r="M212" s="132">
        <f t="shared" si="71"/>
        <v>20.36</v>
      </c>
      <c r="N212" s="142" t="str">
        <f t="shared" si="72"/>
        <v/>
      </c>
      <c r="P212" s="63">
        <v>20.36</v>
      </c>
      <c r="Q212" s="132">
        <f t="shared" si="73"/>
        <v>14953.84</v>
      </c>
      <c r="R212" s="142">
        <f>IF(B212="","",IFERROR(IF(F212&lt;&gt;0,MAX(get_row)+1,LARGE(get_row,2)+1),1))</f>
        <v>182</v>
      </c>
      <c r="S212" s="134">
        <f ca="1" t="shared" si="74"/>
        <v>-40531.99</v>
      </c>
      <c r="T212" s="129">
        <f ca="1" t="shared" si="75"/>
        <v>151.96</v>
      </c>
      <c r="U212" s="156">
        <f ca="1" t="shared" si="76"/>
        <v>0.00394601859880121</v>
      </c>
      <c r="V212" s="157">
        <f ca="1" t="shared" si="77"/>
        <v>-3.00236962962963</v>
      </c>
    </row>
    <row r="213" spans="1:22">
      <c r="A213" s="97">
        <v>44453</v>
      </c>
      <c r="B213" s="63">
        <f>IFERROR(VLOOKUP(C213,收益对照表汇总!A:B,2,0),"")</f>
        <v>601288</v>
      </c>
      <c r="C213" s="105" t="s">
        <v>31</v>
      </c>
      <c r="D213" s="141" t="s">
        <v>11</v>
      </c>
      <c r="E213" s="63">
        <v>300</v>
      </c>
      <c r="F213" s="132">
        <f>IF(C213="","",SUMIFS(E$1:E213,C$1:C213,C213,D$1:D213,"证券买入清算")-SUMIFS(E$1:E213,C$1:C213,C213,D$1:D213,"证券卖出清算"))</f>
        <v>13500</v>
      </c>
      <c r="G213" s="133">
        <f t="shared" si="69"/>
        <v>0</v>
      </c>
      <c r="H213" s="132">
        <f t="shared" si="70"/>
        <v>0</v>
      </c>
      <c r="L213" s="63">
        <v>5.55</v>
      </c>
      <c r="M213" s="132">
        <f t="shared" si="71"/>
        <v>5.55</v>
      </c>
      <c r="N213" s="142" t="str">
        <f t="shared" si="72"/>
        <v/>
      </c>
      <c r="P213" s="63">
        <v>5.55</v>
      </c>
      <c r="Q213" s="132">
        <f t="shared" si="73"/>
        <v>14948.29</v>
      </c>
      <c r="R213" s="142">
        <f>IF(B213="","",IFERROR(IF(F213&lt;&gt;0,MAX(get_row)+1,LARGE(get_row,2)+1),1))</f>
        <v>182</v>
      </c>
      <c r="S213" s="134">
        <f ca="1" t="shared" si="74"/>
        <v>-40537.54</v>
      </c>
      <c r="T213" s="129">
        <f ca="1" t="shared" si="75"/>
        <v>157.51</v>
      </c>
      <c r="U213" s="156">
        <f ca="1" t="shared" si="76"/>
        <v>0.00404939938716415</v>
      </c>
      <c r="V213" s="157">
        <f ca="1" t="shared" si="77"/>
        <v>-3.00278074074074</v>
      </c>
    </row>
    <row r="214" spans="1:22">
      <c r="A214" s="97">
        <v>44461</v>
      </c>
      <c r="B214" s="63" t="str">
        <f>IFERROR(VLOOKUP(C214,收益对照表汇总!A:B,2,0),"")</f>
        <v/>
      </c>
      <c r="D214" s="141" t="s">
        <v>28</v>
      </c>
      <c r="F214" s="132" t="str">
        <f>IF(C214="","",SUMIFS(E$1:E214,C$1:C214,C214,D$1:D214,"证券买入清算")-SUMIFS(E$1:E214,C$1:C214,C214,D$1:D214,"证券卖出清算"))</f>
        <v/>
      </c>
      <c r="G214" s="133" t="str">
        <f t="shared" si="69"/>
        <v/>
      </c>
      <c r="H214" s="132" t="str">
        <f t="shared" si="70"/>
        <v/>
      </c>
      <c r="L214" s="63"/>
      <c r="M214" s="132" t="str">
        <f t="shared" si="71"/>
        <v/>
      </c>
      <c r="N214" s="142" t="str">
        <f t="shared" si="72"/>
        <v/>
      </c>
      <c r="O214" s="63">
        <v>8.92</v>
      </c>
      <c r="Q214" s="132">
        <f t="shared" si="73"/>
        <v>14957.21</v>
      </c>
      <c r="R214" s="142" t="str">
        <f>IF(B214="","",IFERROR(IF(F214&lt;&gt;0,MAX(get_row)+1,LARGE(get_row,2)+1),1))</f>
        <v/>
      </c>
      <c r="S214" s="134" t="str">
        <f ca="1" t="shared" si="74"/>
        <v/>
      </c>
      <c r="T214" s="129" t="str">
        <f ca="1" t="shared" si="75"/>
        <v/>
      </c>
      <c r="U214" s="156" t="str">
        <f ca="1" t="shared" si="76"/>
        <v/>
      </c>
      <c r="V214" s="157" t="str">
        <f ca="1" t="shared" si="77"/>
        <v/>
      </c>
    </row>
    <row r="215" spans="1:22">
      <c r="A215" s="97">
        <v>44462</v>
      </c>
      <c r="B215" s="63">
        <f>IFERROR(VLOOKUP(C215,收益对照表汇总!A:B,2,0),"")</f>
        <v>601288</v>
      </c>
      <c r="C215" s="105" t="s">
        <v>31</v>
      </c>
      <c r="D215" s="141" t="s">
        <v>25</v>
      </c>
      <c r="E215" s="63">
        <v>1700</v>
      </c>
      <c r="F215" s="132">
        <f>IF(C215="","",SUMIFS(E$1:E215,C$1:C215,C215,D$1:D215,"证券买入清算")-SUMIFS(E$1:E215,C$1:C215,C215,D$1:D215,"证券卖出清算"))</f>
        <v>15200</v>
      </c>
      <c r="G215" s="133">
        <f t="shared" si="69"/>
        <v>2.96</v>
      </c>
      <c r="H215" s="132">
        <f t="shared" si="70"/>
        <v>5032</v>
      </c>
      <c r="I215" s="63">
        <v>5</v>
      </c>
      <c r="K215" s="63">
        <v>0.1</v>
      </c>
      <c r="L215" s="63"/>
      <c r="M215" s="132">
        <f t="shared" si="71"/>
        <v>5.1</v>
      </c>
      <c r="N215" s="142">
        <f t="shared" si="72"/>
        <v>0.00101351351351351</v>
      </c>
      <c r="P215" s="63">
        <v>5037.1</v>
      </c>
      <c r="Q215" s="132">
        <f t="shared" si="73"/>
        <v>9920.11</v>
      </c>
      <c r="R215" s="142">
        <f>IF(B215="","",IFERROR(IF(F215&lt;&gt;0,MAX(get_row)+1,LARGE(get_row,2)+1),1))</f>
        <v>182</v>
      </c>
      <c r="S215" s="134">
        <f ca="1" t="shared" si="74"/>
        <v>-45574.64</v>
      </c>
      <c r="T215" s="129">
        <f ca="1" t="shared" si="75"/>
        <v>162.61</v>
      </c>
      <c r="U215" s="156">
        <f ca="1" t="shared" si="76"/>
        <v>0.00391149883172077</v>
      </c>
      <c r="V215" s="157">
        <f ca="1" t="shared" si="77"/>
        <v>-2.99833157894737</v>
      </c>
    </row>
    <row r="216" spans="1:22">
      <c r="A216" s="97">
        <v>44463</v>
      </c>
      <c r="B216" s="63" t="str">
        <f>IFERROR(VLOOKUP(C216,收益对照表汇总!A:B,2,0),"")</f>
        <v/>
      </c>
      <c r="D216" s="141" t="s">
        <v>22</v>
      </c>
      <c r="F216" s="132" t="str">
        <f>IF(C216="","",SUMIFS(E$1:E216,C$1:C216,C216,D$1:D216,"证券买入清算")-SUMIFS(E$1:E216,C$1:C216,C216,D$1:D216,"证券卖出清算"))</f>
        <v/>
      </c>
      <c r="G216" s="133" t="str">
        <f t="shared" si="69"/>
        <v/>
      </c>
      <c r="H216" s="132" t="str">
        <f t="shared" si="70"/>
        <v/>
      </c>
      <c r="L216" s="63"/>
      <c r="M216" s="132" t="str">
        <f t="shared" si="71"/>
        <v/>
      </c>
      <c r="N216" s="142" t="str">
        <f t="shared" si="72"/>
        <v/>
      </c>
      <c r="O216" s="63">
        <v>2500</v>
      </c>
      <c r="Q216" s="132">
        <f t="shared" si="73"/>
        <v>12420.11</v>
      </c>
      <c r="R216" s="142" t="str">
        <f>IF(B216="","",IFERROR(IF(F216&lt;&gt;0,MAX(get_row)+1,LARGE(get_row,2)+1),1))</f>
        <v/>
      </c>
      <c r="S216" s="134" t="str">
        <f ca="1" t="shared" si="74"/>
        <v/>
      </c>
      <c r="T216" s="129" t="str">
        <f ca="1" t="shared" si="75"/>
        <v/>
      </c>
      <c r="U216" s="156" t="str">
        <f ca="1" t="shared" si="76"/>
        <v/>
      </c>
      <c r="V216" s="157" t="str">
        <f ca="1" t="shared" si="77"/>
        <v/>
      </c>
    </row>
    <row r="217" spans="1:22">
      <c r="A217" s="97">
        <v>44468</v>
      </c>
      <c r="B217" s="63">
        <v>131801</v>
      </c>
      <c r="C217" s="63" t="s">
        <v>45</v>
      </c>
      <c r="D217" s="63" t="s">
        <v>46</v>
      </c>
      <c r="E217" s="63">
        <v>10</v>
      </c>
      <c r="F217" s="132">
        <f t="array" ref="F217">IF(C217="","",SUM(SUMIFS(E$1:E217,C$1:C217,C217,D$1:D217,{"证券买入清算","回购融券清算"})-SUMIFS(E$1:E217,C$1:C217,C217,D$1:D217,{"证券卖出清算","融券购回清算"})))</f>
        <v>10</v>
      </c>
      <c r="G217" s="133">
        <f>IF(C217="","",IFERROR(IF(OR(D217="证券买入清算",D217="回购融券清算"),ROUND((P217-M217)/E217,3),IF(OR(D217="证券卖出清算",D217="融券购回清算"),ROUND((M217+O217)/E217,3),0)),0))</f>
        <v>100</v>
      </c>
      <c r="H217" s="132">
        <f t="shared" si="70"/>
        <v>1000</v>
      </c>
      <c r="I217" s="63">
        <v>0.05</v>
      </c>
      <c r="L217" s="63"/>
      <c r="M217" s="132">
        <f t="shared" si="71"/>
        <v>0.05</v>
      </c>
      <c r="N217" s="142">
        <f t="shared" si="72"/>
        <v>5e-5</v>
      </c>
      <c r="P217" s="63">
        <v>1000.05</v>
      </c>
      <c r="Q217" s="132">
        <f t="shared" si="73"/>
        <v>11420.06</v>
      </c>
      <c r="R217" s="142">
        <f>IF(B217="","",IFERROR(IF(F217&lt;&gt;0,MAX(get_row)+1,LARGE(get_row,2)+1),1))</f>
        <v>1</v>
      </c>
      <c r="S217" s="134">
        <f ca="1" t="shared" si="74"/>
        <v>-1000.05</v>
      </c>
      <c r="T217" s="129">
        <f ca="1" t="shared" si="75"/>
        <v>0.05</v>
      </c>
      <c r="U217" s="156">
        <f ca="1" t="shared" si="76"/>
        <v>4.99975001249938e-5</v>
      </c>
      <c r="V217" s="157">
        <f ca="1" t="shared" si="77"/>
        <v>-100.005</v>
      </c>
    </row>
    <row r="218" spans="1:22">
      <c r="A218" s="97">
        <v>44426</v>
      </c>
      <c r="B218" s="63">
        <v>131801</v>
      </c>
      <c r="C218" s="63" t="s">
        <v>45</v>
      </c>
      <c r="D218" s="63" t="s">
        <v>47</v>
      </c>
      <c r="E218" s="63">
        <v>10</v>
      </c>
      <c r="F218" s="132">
        <f t="array" ref="F218">IF(C218="","",SUM(SUMIFS(E$1:E218,C$1:C218,C218,D$1:D218,{"证券买入清算","回购融券清算"})-SUMIFS(E$1:E218,C$1:C218,C218,D$1:D218,{"证券卖出清算","融券购回清算"})))</f>
        <v>0</v>
      </c>
      <c r="G218" s="133">
        <f>IF(C218="","",IFERROR(IF(OR(D218="证券买入清算",D218="回购融券清算"),ROUND((P218-M218)/E218,3),IF(OR(D218="证券卖出清算",D218="融券购回清算"),ROUND((M218+O218)/E218,3),0)),0))</f>
        <v>100.124</v>
      </c>
      <c r="H218" s="132">
        <f t="shared" ref="H218:H228" si="78">IF(C218="","",E218*G218)</f>
        <v>1001.24</v>
      </c>
      <c r="L218" s="63"/>
      <c r="M218" s="132">
        <f t="shared" ref="M218:M228" si="79">IF(C218="","",SUM(I218:L218))</f>
        <v>0</v>
      </c>
      <c r="N218" s="142">
        <f t="shared" ref="N218:N228" si="80">IFERROR(IF(B218="","",M218/H218),"")</f>
        <v>0</v>
      </c>
      <c r="O218" s="63">
        <v>1001.24</v>
      </c>
      <c r="Q218" s="132">
        <f t="shared" ref="Q218:Q228" si="81">IF(D218="","",Q217+O218-P218)</f>
        <v>12421.3</v>
      </c>
      <c r="R218" s="142">
        <f>IF(B218="","",IFERROR(IF(F218&lt;&gt;0,MAX(get_row)+1,LARGE(get_row,2)+1),1))</f>
        <v>1</v>
      </c>
      <c r="S218" s="134">
        <f ca="1" t="shared" ref="S218:S227" si="82">IF(B218="","",SUMIFS(INDIRECT("O"&amp;R218&amp;":O"&amp;ROW()),INDIRECT("B"&amp;R218&amp;":B"&amp;ROW()),B218)-SUMIFS(INDIRECT("P"&amp;R218&amp;":P"&amp;ROW()),INDIRECT("B"&amp;R218&amp;":B"&amp;ROW()),B218))</f>
        <v>1.19000000000005</v>
      </c>
      <c r="T218" s="129">
        <f ca="1" t="shared" ref="T218:T227" si="83">IF(B218="","",SUMIFS(INDIRECT("M"&amp;R218&amp;":M"&amp;ROW()),INDIRECT("B"&amp;R218&amp;":B"&amp;ROW()),B218,INDIRECT("M"&amp;R218&amp;":M"&amp;ROW()),"&gt;0"))</f>
        <v>0.05</v>
      </c>
      <c r="U218" s="156">
        <f ca="1" t="shared" ref="U218:U227" si="84">IF(B218="","",IFERROR(SUMIFS(INDIRECT("M"&amp;R218&amp;":M"&amp;ROW()),INDIRECT("B"&amp;R218&amp;":B"&amp;ROW()),B218,INDIRECT("p"&amp;R218&amp;":p"&amp;ROW()),"&lt;&gt;",INDIRECT("M"&amp;R218&amp;":M"&amp;ROW()),"&gt;0")/SUMIFS(INDIRECT("p"&amp;R218&amp;":p"&amp;ROW()),INDIRECT("B"&amp;R218&amp;":B"&amp;ROW()),B218,INDIRECT("p"&amp;R218&amp;":p"&amp;ROW()),"&lt;&gt;",INDIRECT("M"&amp;R218&amp;":M"&amp;ROW()),"&gt;0"),0)+IFERROR(SUMIFS(INDIRECT("M"&amp;R218&amp;":M"&amp;ROW()),INDIRECT("B"&amp;R218&amp;":B"&amp;ROW()),B218,INDIRECT("o"&amp;R218&amp;":o"&amp;ROW()),"&lt;&gt;",INDIRECT("M"&amp;R218&amp;":M"&amp;ROW()),"&gt;0")/SUMIFS(INDIRECT("o"&amp;R218&amp;":o"&amp;ROW()),INDIRECT("B"&amp;R218&amp;":B"&amp;ROW()),B218,INDIRECT("o"&amp;R218&amp;":o"&amp;ROW()),"&lt;&gt;",INDIRECT("M"&amp;R218&amp;":M"&amp;ROW()),"&gt;0"),0))</f>
        <v>4.99975001249938e-5</v>
      </c>
      <c r="V218" s="157" t="str">
        <f ca="1" t="shared" ref="V218:V227" si="85">IF(B218="","",IFERROR(S218/F218,"Over"))</f>
        <v>Over</v>
      </c>
    </row>
    <row r="219" spans="1:22">
      <c r="A219" s="97">
        <v>44487</v>
      </c>
      <c r="B219" s="165" t="str">
        <f>VLOOKUP(C219,收益对照表汇总!A:B,2,0)</f>
        <v>600332</v>
      </c>
      <c r="C219" s="105" t="s">
        <v>39</v>
      </c>
      <c r="D219" s="141" t="s">
        <v>25</v>
      </c>
      <c r="E219" s="63">
        <v>100</v>
      </c>
      <c r="F219" s="132">
        <f t="array" ref="F219">IF(C219="","",SUM(SUMIFS(E$1:E219,C$1:C219,C219,D$1:D219,{"证券买入清算","回购融券清算"})-SUMIFS(E$1:E219,C$1:C219,C219,D$1:D219,{"证券卖出清算","融券购回清算"})))</f>
        <v>200</v>
      </c>
      <c r="G219" s="133">
        <f t="shared" ref="G218:G228" si="86">IF(C219="","",IFERROR(IF(D219="证券买入清算",ROUND((P219-M219)/E219,3),IF(D219="证券卖出清算",ROUND((M219+O219)/E219,3),0)),0))</f>
        <v>29.9</v>
      </c>
      <c r="H219" s="132">
        <f t="shared" si="78"/>
        <v>2990</v>
      </c>
      <c r="I219" s="63">
        <v>5</v>
      </c>
      <c r="K219" s="63">
        <v>0.06</v>
      </c>
      <c r="L219" s="63"/>
      <c r="M219" s="132">
        <f t="shared" si="79"/>
        <v>5.06</v>
      </c>
      <c r="N219" s="142">
        <f t="shared" si="80"/>
        <v>0.00169230769230769</v>
      </c>
      <c r="P219" s="63">
        <v>2995.06</v>
      </c>
      <c r="Q219" s="132">
        <f t="shared" si="81"/>
        <v>9426.24</v>
      </c>
      <c r="R219" s="142">
        <f>IF(B219="","",IFERROR(IF(F219&lt;&gt;0,MAX(get_row)+1,LARGE(get_row,2)+1),1))</f>
        <v>203</v>
      </c>
      <c r="S219" s="134">
        <f ca="1" t="shared" si="82"/>
        <v>-6044.12</v>
      </c>
      <c r="T219" s="129">
        <f ca="1" t="shared" si="83"/>
        <v>10.12</v>
      </c>
      <c r="U219" s="156">
        <f ca="1" t="shared" si="84"/>
        <v>0.00167435457932668</v>
      </c>
      <c r="V219" s="157">
        <f ca="1" t="shared" si="85"/>
        <v>-30.2206</v>
      </c>
    </row>
    <row r="220" spans="2:22">
      <c r="B220" s="63" t="str">
        <f>IFERROR(VLOOKUP(C220,收益对照表汇总!A:B,2,0),"")</f>
        <v/>
      </c>
      <c r="F220" s="132" t="str">
        <f t="array" ref="F220">IF(C220="","",SUM(SUMIFS(E$1:E220,C$1:C220,C220,D$1:D220,{"证券买入清算","回购融券清算"})-SUMIFS(E$1:E220,C$1:C220,C220,D$1:D220,{"证券卖出清算","融券购回清算"})))</f>
        <v/>
      </c>
      <c r="G220" s="133" t="str">
        <f t="shared" si="86"/>
        <v/>
      </c>
      <c r="H220" s="132" t="str">
        <f t="shared" si="78"/>
        <v/>
      </c>
      <c r="L220" s="63"/>
      <c r="M220" s="132" t="str">
        <f t="shared" si="79"/>
        <v/>
      </c>
      <c r="N220" s="142" t="str">
        <f t="shared" si="80"/>
        <v/>
      </c>
      <c r="Q220" s="132" t="str">
        <f t="shared" si="81"/>
        <v/>
      </c>
      <c r="R220" s="142" t="str">
        <f>IF(B220="","",IFERROR(IF(F220&lt;&gt;0,MAX(get_row)+1,LARGE(get_row,2)+1),1))</f>
        <v/>
      </c>
      <c r="S220" s="134" t="str">
        <f ca="1" t="shared" si="82"/>
        <v/>
      </c>
      <c r="T220" s="129" t="str">
        <f ca="1" t="shared" si="83"/>
        <v/>
      </c>
      <c r="U220" s="156" t="str">
        <f ca="1" t="shared" si="84"/>
        <v/>
      </c>
      <c r="V220" s="157" t="str">
        <f ca="1" t="shared" si="85"/>
        <v/>
      </c>
    </row>
    <row r="221" spans="2:22">
      <c r="B221" s="63" t="str">
        <f>IFERROR(VLOOKUP(C221,收益对照表汇总!A:B,2,0),"")</f>
        <v/>
      </c>
      <c r="F221" s="132" t="str">
        <f t="array" ref="F221">IF(C221="","",SUM(SUMIFS(E$1:E221,C$1:C221,C221,D$1:D221,{"证券买入清算","回购融券清算"})-SUMIFS(E$1:E221,C$1:C221,C221,D$1:D221,{"证券卖出清算","融券购回清算"})))</f>
        <v/>
      </c>
      <c r="G221" s="133" t="str">
        <f t="shared" si="86"/>
        <v/>
      </c>
      <c r="H221" s="132" t="str">
        <f t="shared" si="78"/>
        <v/>
      </c>
      <c r="L221" s="63"/>
      <c r="M221" s="132" t="str">
        <f t="shared" si="79"/>
        <v/>
      </c>
      <c r="N221" s="142" t="str">
        <f t="shared" si="80"/>
        <v/>
      </c>
      <c r="Q221" s="132" t="str">
        <f t="shared" si="81"/>
        <v/>
      </c>
      <c r="R221" s="142" t="str">
        <f>IF(B221="","",IFERROR(IF(F221&lt;&gt;0,MAX(get_row)+1,LARGE(get_row,2)+1),1))</f>
        <v/>
      </c>
      <c r="S221" s="134" t="str">
        <f ca="1" t="shared" si="82"/>
        <v/>
      </c>
      <c r="T221" s="129" t="str">
        <f ca="1" t="shared" si="83"/>
        <v/>
      </c>
      <c r="U221" s="156" t="str">
        <f ca="1" t="shared" si="84"/>
        <v/>
      </c>
      <c r="V221" s="157" t="str">
        <f ca="1" t="shared" si="85"/>
        <v/>
      </c>
    </row>
    <row r="222" spans="2:22">
      <c r="B222" s="63" t="str">
        <f>IFERROR(VLOOKUP(C222,收益对照表汇总!A:B,2,0),"")</f>
        <v/>
      </c>
      <c r="F222" s="132" t="str">
        <f t="array" ref="F222">IF(C222="","",SUM(SUMIFS(E$1:E222,C$1:C222,C222,D$1:D222,{"证券买入清算","回购融券清算"})-SUMIFS(E$1:E222,C$1:C222,C222,D$1:D222,{"证券卖出清算","融券购回清算"})))</f>
        <v/>
      </c>
      <c r="G222" s="133" t="str">
        <f t="shared" si="86"/>
        <v/>
      </c>
      <c r="H222" s="132" t="str">
        <f t="shared" si="78"/>
        <v/>
      </c>
      <c r="L222" s="63"/>
      <c r="M222" s="132" t="str">
        <f t="shared" si="79"/>
        <v/>
      </c>
      <c r="N222" s="142" t="str">
        <f t="shared" si="80"/>
        <v/>
      </c>
      <c r="Q222" s="132" t="str">
        <f t="shared" si="81"/>
        <v/>
      </c>
      <c r="R222" s="142" t="str">
        <f>IF(B222="","",IFERROR(IF(F222&lt;&gt;0,MAX(get_row)+1,LARGE(get_row,2)+1),1))</f>
        <v/>
      </c>
      <c r="S222" s="134" t="str">
        <f ca="1" t="shared" si="82"/>
        <v/>
      </c>
      <c r="T222" s="129" t="str">
        <f ca="1" t="shared" si="83"/>
        <v/>
      </c>
      <c r="U222" s="156" t="str">
        <f ca="1" t="shared" si="84"/>
        <v/>
      </c>
      <c r="V222" s="157" t="str">
        <f ca="1" t="shared" si="85"/>
        <v/>
      </c>
    </row>
    <row r="223" spans="2:22">
      <c r="B223" s="63" t="str">
        <f>IFERROR(VLOOKUP(C223,收益对照表汇总!A:B,2,0),"")</f>
        <v/>
      </c>
      <c r="F223" s="132" t="str">
        <f t="array" ref="F223">IF(C223="","",SUM(SUMIFS(E$1:E223,C$1:C223,C223,D$1:D223,{"证券买入清算","回购融券清算"})-SUMIFS(E$1:E223,C$1:C223,C223,D$1:D223,{"证券卖出清算","融券购回清算"})))</f>
        <v/>
      </c>
      <c r="G223" s="133" t="str">
        <f t="shared" si="86"/>
        <v/>
      </c>
      <c r="H223" s="132" t="str">
        <f t="shared" si="78"/>
        <v/>
      </c>
      <c r="L223" s="63"/>
      <c r="M223" s="132" t="str">
        <f t="shared" si="79"/>
        <v/>
      </c>
      <c r="N223" s="142" t="str">
        <f t="shared" si="80"/>
        <v/>
      </c>
      <c r="Q223" s="132" t="str">
        <f t="shared" si="81"/>
        <v/>
      </c>
      <c r="R223" s="142" t="str">
        <f>IF(B223="","",IFERROR(IF(F223&lt;&gt;0,MAX(get_row)+1,LARGE(get_row,2)+1),1))</f>
        <v/>
      </c>
      <c r="S223" s="134" t="str">
        <f ca="1" t="shared" si="82"/>
        <v/>
      </c>
      <c r="T223" s="129" t="str">
        <f ca="1" t="shared" si="83"/>
        <v/>
      </c>
      <c r="U223" s="156" t="str">
        <f ca="1" t="shared" si="84"/>
        <v/>
      </c>
      <c r="V223" s="157" t="str">
        <f ca="1" t="shared" si="85"/>
        <v/>
      </c>
    </row>
    <row r="224" spans="2:22">
      <c r="B224" s="63" t="str">
        <f>IFERROR(VLOOKUP(C224,收益对照表汇总!A:B,2,0),"")</f>
        <v/>
      </c>
      <c r="F224" s="132" t="str">
        <f t="array" ref="F224">IF(C224="","",SUM(SUMIFS(E$1:E224,C$1:C224,C224,D$1:D224,{"证券买入清算","回购融券清算"})-SUMIFS(E$1:E224,C$1:C224,C224,D$1:D224,{"证券卖出清算","融券购回清算"})))</f>
        <v/>
      </c>
      <c r="G224" s="133" t="str">
        <f t="shared" si="86"/>
        <v/>
      </c>
      <c r="H224" s="132" t="str">
        <f t="shared" si="78"/>
        <v/>
      </c>
      <c r="L224" s="63"/>
      <c r="M224" s="132" t="str">
        <f t="shared" si="79"/>
        <v/>
      </c>
      <c r="N224" s="142" t="str">
        <f t="shared" si="80"/>
        <v/>
      </c>
      <c r="Q224" s="132" t="str">
        <f t="shared" si="81"/>
        <v/>
      </c>
      <c r="R224" s="142" t="str">
        <f>IF(B224="","",IFERROR(IF(F224&lt;&gt;0,MAX(get_row)+1,LARGE(get_row,2)+1),1))</f>
        <v/>
      </c>
      <c r="S224" s="134" t="str">
        <f ca="1" t="shared" si="82"/>
        <v/>
      </c>
      <c r="T224" s="129" t="str">
        <f ca="1" t="shared" si="83"/>
        <v/>
      </c>
      <c r="U224" s="156" t="str">
        <f ca="1" t="shared" si="84"/>
        <v/>
      </c>
      <c r="V224" s="157" t="str">
        <f ca="1" t="shared" si="85"/>
        <v/>
      </c>
    </row>
    <row r="225" spans="2:22">
      <c r="B225" s="63" t="str">
        <f>IFERROR(VLOOKUP(C225,收益对照表汇总!A:B,2,0),"")</f>
        <v/>
      </c>
      <c r="F225" s="132" t="str">
        <f t="array" ref="F225">IF(C225="","",SUM(SUMIFS(E$1:E225,C$1:C225,C225,D$1:D225,{"证券买入清算","回购融券清算"})-SUMIFS(E$1:E225,C$1:C225,C225,D$1:D225,{"证券卖出清算","融券购回清算"})))</f>
        <v/>
      </c>
      <c r="G225" s="133" t="str">
        <f t="shared" si="86"/>
        <v/>
      </c>
      <c r="H225" s="132" t="str">
        <f t="shared" si="78"/>
        <v/>
      </c>
      <c r="L225" s="63"/>
      <c r="M225" s="132" t="str">
        <f t="shared" si="79"/>
        <v/>
      </c>
      <c r="N225" s="142" t="str">
        <f t="shared" si="80"/>
        <v/>
      </c>
      <c r="Q225" s="132" t="str">
        <f t="shared" si="81"/>
        <v/>
      </c>
      <c r="R225" s="142" t="str">
        <f>IF(B225="","",IFERROR(IF(F225&lt;&gt;0,MAX(get_row)+1,LARGE(get_row,2)+1),1))</f>
        <v/>
      </c>
      <c r="S225" s="134" t="str">
        <f ca="1" t="shared" si="82"/>
        <v/>
      </c>
      <c r="T225" s="129" t="str">
        <f ca="1" t="shared" si="83"/>
        <v/>
      </c>
      <c r="U225" s="156" t="str">
        <f ca="1" t="shared" si="84"/>
        <v/>
      </c>
      <c r="V225" s="157" t="str">
        <f ca="1" t="shared" si="85"/>
        <v/>
      </c>
    </row>
    <row r="226" spans="2:22">
      <c r="B226" s="63" t="str">
        <f>IFERROR(VLOOKUP(C226,收益对照表汇总!A:B,2,0),"")</f>
        <v/>
      </c>
      <c r="F226" s="132" t="str">
        <f t="array" ref="F226">IF(C226="","",SUM(SUMIFS(E$1:E226,C$1:C226,C226,D$1:D226,{"证券买入清算","回购融券清算"})-SUMIFS(E$1:E226,C$1:C226,C226,D$1:D226,{"证券卖出清算","融券购回清算"})))</f>
        <v/>
      </c>
      <c r="G226" s="133" t="str">
        <f t="shared" si="86"/>
        <v/>
      </c>
      <c r="H226" s="132" t="str">
        <f t="shared" si="78"/>
        <v/>
      </c>
      <c r="L226" s="63"/>
      <c r="M226" s="132" t="str">
        <f t="shared" si="79"/>
        <v/>
      </c>
      <c r="N226" s="142" t="str">
        <f t="shared" si="80"/>
        <v/>
      </c>
      <c r="Q226" s="132" t="str">
        <f t="shared" si="81"/>
        <v/>
      </c>
      <c r="R226" s="142" t="str">
        <f>IF(B226="","",IFERROR(IF(F226&lt;&gt;0,MAX(get_row)+1,LARGE(get_row,2)+1),1))</f>
        <v/>
      </c>
      <c r="S226" s="134" t="str">
        <f ca="1" t="shared" si="82"/>
        <v/>
      </c>
      <c r="T226" s="129" t="str">
        <f ca="1" t="shared" si="83"/>
        <v/>
      </c>
      <c r="U226" s="156" t="str">
        <f ca="1" t="shared" si="84"/>
        <v/>
      </c>
      <c r="V226" s="157" t="str">
        <f ca="1" t="shared" si="85"/>
        <v/>
      </c>
    </row>
    <row r="227" spans="2:22">
      <c r="B227" s="63" t="str">
        <f>IFERROR(VLOOKUP(C227,收益对照表汇总!A:B,2,0),"")</f>
        <v/>
      </c>
      <c r="F227" s="132" t="str">
        <f t="array" ref="F227">IF(C227="","",SUM(SUMIFS(E$1:E227,C$1:C227,C227,D$1:D227,{"证券买入清算","回购融券清算"})-SUMIFS(E$1:E227,C$1:C227,C227,D$1:D227,{"证券卖出清算","融券购回清算"})))</f>
        <v/>
      </c>
      <c r="G227" s="133" t="str">
        <f t="shared" si="86"/>
        <v/>
      </c>
      <c r="H227" s="132" t="str">
        <f t="shared" si="78"/>
        <v/>
      </c>
      <c r="L227" s="63"/>
      <c r="M227" s="132" t="str">
        <f t="shared" si="79"/>
        <v/>
      </c>
      <c r="N227" s="142" t="str">
        <f t="shared" si="80"/>
        <v/>
      </c>
      <c r="Q227" s="132" t="str">
        <f t="shared" si="81"/>
        <v/>
      </c>
      <c r="R227" s="142" t="str">
        <f>IF(B227="","",IFERROR(IF(F227&lt;&gt;0,MAX(get_row)+1,LARGE(get_row,2)+1),1))</f>
        <v/>
      </c>
      <c r="S227" s="134" t="str">
        <f ca="1" t="shared" si="82"/>
        <v/>
      </c>
      <c r="T227" s="129" t="str">
        <f ca="1" t="shared" si="83"/>
        <v/>
      </c>
      <c r="U227" s="156" t="str">
        <f ca="1" t="shared" si="84"/>
        <v/>
      </c>
      <c r="V227" s="157" t="str">
        <f ca="1" t="shared" si="85"/>
        <v/>
      </c>
    </row>
    <row r="228" s="131" customFormat="1" spans="1:21">
      <c r="A228" s="161"/>
      <c r="B228" s="131" t="str">
        <f>IFERROR(VLOOKUP(C228,收益对照表汇总!A:B,2,0),"")</f>
        <v/>
      </c>
      <c r="F228" s="160" t="str">
        <f>IF(C228="","",SUMIFS(E$1:E228,C$1:C228,C228,D$1:D228,"证券买入清算")-SUMIFS(E$1:E228,C$1:C228,C228,D$1:D228,"证券卖出清算"))</f>
        <v/>
      </c>
      <c r="G228" s="162" t="str">
        <f t="shared" si="86"/>
        <v/>
      </c>
      <c r="H228" s="160" t="str">
        <f t="shared" si="78"/>
        <v/>
      </c>
      <c r="L228" s="160"/>
      <c r="M228" s="160" t="str">
        <f t="shared" si="79"/>
        <v/>
      </c>
      <c r="N228" s="160" t="str">
        <f t="shared" si="80"/>
        <v/>
      </c>
      <c r="Q228" s="160" t="str">
        <f t="shared" si="81"/>
        <v/>
      </c>
      <c r="R228" s="160"/>
      <c r="S228" s="163"/>
      <c r="U228" s="164"/>
    </row>
    <row r="229" spans="18:18">
      <c r="R229" s="142" t="str">
        <f>IF(B229="","",IFERROR(IF(F229&lt;&gt;0,MAX(get_row)+1,LARGE(get_row,2)+1),1))</f>
        <v/>
      </c>
    </row>
    <row r="230" spans="18:18">
      <c r="R230" s="142" t="str">
        <f>IF(B230="","",IFERROR(IF(F230&lt;&gt;0,MAX(get_row)+1,LARGE(get_row,2)+1),1))</f>
        <v/>
      </c>
    </row>
    <row r="231" spans="18:18">
      <c r="R231" s="142" t="str">
        <f>IF(B231="","",IFERROR(IF(F231&lt;&gt;0,MAX(get_row)+1,LARGE(get_row,2)+1),1))</f>
        <v/>
      </c>
    </row>
    <row r="232" spans="18:18">
      <c r="R232" s="142" t="str">
        <f>IF(B232="","",IFERROR(IF(F232&lt;&gt;0,MAX(get_row)+1,LARGE(get_row,2)+1),1))</f>
        <v/>
      </c>
    </row>
    <row r="233" spans="18:18">
      <c r="R233" s="142" t="str">
        <f>IF(B233="","",IFERROR(IF(F233&lt;&gt;0,MAX(get_row)+1,LARGE(get_row,2)+1),1))</f>
        <v/>
      </c>
    </row>
    <row r="234" spans="18:18">
      <c r="R234" s="142" t="str">
        <f>IF(B234="","",IFERROR(IF(F234&lt;&gt;0,MAX(get_row)+1,LARGE(get_row,2)+1),1))</f>
        <v/>
      </c>
    </row>
  </sheetData>
  <autoFilter ref="A1:V234">
    <extLst/>
  </autoFilter>
  <conditionalFormatting sqref="A$1:V$1048576">
    <cfRule type="expression" dxfId="0" priority="1">
      <formula>$V1="Over"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-0.249977111117893"/>
  </sheetPr>
  <dimension ref="A1:Z39"/>
  <sheetViews>
    <sheetView workbookViewId="0">
      <pane xSplit="4" ySplit="2" topLeftCell="O9" activePane="bottomRight" state="frozen"/>
      <selection/>
      <selection pane="topRight"/>
      <selection pane="bottomLeft"/>
      <selection pane="bottomRight" activeCell="Y25" sqref="Y25"/>
    </sheetView>
  </sheetViews>
  <sheetFormatPr defaultColWidth="9" defaultRowHeight="14.25"/>
  <cols>
    <col min="1" max="1" width="8.875" style="97" customWidth="1"/>
    <col min="2" max="2" width="8.125" style="36" customWidth="1"/>
    <col min="3" max="3" width="13" style="36" customWidth="1"/>
    <col min="4" max="4" width="12.25" style="36" customWidth="1"/>
    <col min="5" max="6" width="6.375" style="36" customWidth="1"/>
    <col min="7" max="7" width="6.75" style="36" customWidth="1"/>
    <col min="8" max="10" width="7.5" style="36" customWidth="1"/>
    <col min="11" max="11" width="11.125" style="98" customWidth="1"/>
    <col min="12" max="12" width="9.625" style="36" customWidth="1"/>
    <col min="13" max="13" width="8.25" style="36" customWidth="1"/>
    <col min="14" max="16" width="7.75" style="36" customWidth="1"/>
    <col min="17" max="17" width="9.875" style="36" customWidth="1"/>
    <col min="18" max="18" width="5.75" style="36" customWidth="1"/>
    <col min="19" max="19" width="7.625" style="36" customWidth="1"/>
    <col min="20" max="20" width="9.125" style="36" customWidth="1"/>
    <col min="21" max="21" width="11.375" style="36" customWidth="1"/>
    <col min="22" max="22" width="10.125" style="99" customWidth="1"/>
    <col min="23" max="23" width="6.75" style="36" customWidth="1"/>
    <col min="24" max="24" width="10.375" style="36"/>
    <col min="25" max="25" width="9.375" style="99"/>
    <col min="26" max="26" width="8.75" style="17" customWidth="1"/>
    <col min="27" max="16384" width="9" style="17"/>
  </cols>
  <sheetData>
    <row r="1" spans="1:25">
      <c r="A1" s="100" t="s">
        <v>48</v>
      </c>
      <c r="B1" s="100" t="s">
        <v>1</v>
      </c>
      <c r="C1" s="100" t="s">
        <v>49</v>
      </c>
      <c r="D1" s="100" t="s">
        <v>50</v>
      </c>
      <c r="E1" s="101" t="s">
        <v>51</v>
      </c>
      <c r="F1" s="101"/>
      <c r="G1" s="101"/>
      <c r="H1" s="102" t="s">
        <v>52</v>
      </c>
      <c r="I1" s="102"/>
      <c r="J1" s="102"/>
      <c r="K1" s="115"/>
      <c r="L1" s="116" t="s">
        <v>11</v>
      </c>
      <c r="M1" s="101" t="s">
        <v>53</v>
      </c>
      <c r="N1" s="101"/>
      <c r="O1" s="101"/>
      <c r="P1" s="101"/>
      <c r="Q1" s="101"/>
      <c r="R1" s="116" t="s">
        <v>44</v>
      </c>
      <c r="S1" s="118" t="s">
        <v>12</v>
      </c>
      <c r="T1" s="118" t="s">
        <v>54</v>
      </c>
      <c r="U1" s="119" t="s">
        <v>55</v>
      </c>
      <c r="V1" s="120" t="s">
        <v>56</v>
      </c>
      <c r="W1" s="121" t="s">
        <v>57</v>
      </c>
      <c r="X1" s="122" t="s">
        <v>58</v>
      </c>
      <c r="Y1" s="122" t="s">
        <v>59</v>
      </c>
    </row>
    <row r="2" spans="1:25">
      <c r="A2" s="100"/>
      <c r="B2" s="100"/>
      <c r="C2" s="100"/>
      <c r="D2" s="100"/>
      <c r="E2" s="103" t="s">
        <v>52</v>
      </c>
      <c r="F2" s="103" t="s">
        <v>53</v>
      </c>
      <c r="G2" s="103" t="s">
        <v>60</v>
      </c>
      <c r="H2" s="104" t="s">
        <v>52</v>
      </c>
      <c r="I2" s="104" t="s">
        <v>8</v>
      </c>
      <c r="J2" s="104" t="s">
        <v>10</v>
      </c>
      <c r="K2" s="117" t="s">
        <v>61</v>
      </c>
      <c r="L2" s="116"/>
      <c r="M2" s="103" t="s">
        <v>53</v>
      </c>
      <c r="N2" s="103" t="s">
        <v>8</v>
      </c>
      <c r="O2" s="103" t="s">
        <v>9</v>
      </c>
      <c r="P2" s="103" t="s">
        <v>10</v>
      </c>
      <c r="Q2" s="123" t="s">
        <v>61</v>
      </c>
      <c r="R2" s="116"/>
      <c r="S2" s="118"/>
      <c r="T2" s="118"/>
      <c r="U2" s="119"/>
      <c r="V2" s="120"/>
      <c r="W2" s="121"/>
      <c r="X2" s="124"/>
      <c r="Y2" s="124"/>
    </row>
    <row r="3" spans="1:25">
      <c r="A3" s="105" t="s">
        <v>24</v>
      </c>
      <c r="B3" s="36">
        <v>601988</v>
      </c>
      <c r="C3" s="106" t="s">
        <v>62</v>
      </c>
      <c r="D3" s="106" t="s">
        <v>63</v>
      </c>
      <c r="E3" s="36">
        <f>SUMIFS(交易对账单!E:E,交易对账单!$D:$D,"证券买入清算",交易对账单!$C:$C,$A3,交易对账单!$A:$A,$C3,交易对账单!$A:$A,$D3)</f>
        <v>100</v>
      </c>
      <c r="F3" s="36">
        <f>SUMIFS(交易对账单!E:E,交易对账单!$D:$D,"证券卖出清算",交易对账单!$C:$C,$A3,交易对账单!$A:$A,$C3,交易对账单!$A:$A,$D3)</f>
        <v>100</v>
      </c>
      <c r="G3" s="36">
        <f t="shared" ref="G3:G10" si="0">E3-F3</f>
        <v>0</v>
      </c>
      <c r="H3" s="36">
        <f>SUMIFS(交易对账单!H:H,交易对账单!$D:$D,"证券买入清算",交易对账单!$C:$C,$A3,交易对账单!$A:$A,$C3,交易对账单!$A:$A,$D3)</f>
        <v>346</v>
      </c>
      <c r="I3" s="36">
        <f>SUMIFS(交易对账单!I:I,交易对账单!$D:$D,"证券买入清算",交易对账单!$C:$C,$A3,交易对账单!$A:$A,$C3,交易对账单!$A:$A,$D3)</f>
        <v>5</v>
      </c>
      <c r="J3" s="36">
        <f>SUMIFS(交易对账单!K:K,交易对账单!$D:$D,"证券买入清算",交易对账单!$C:$C,$A3,交易对账单!$A:$A,$C3,交易对账单!$A:$A,$D3)</f>
        <v>0.01</v>
      </c>
      <c r="K3" s="62">
        <f t="shared" ref="K3:K10" si="1">ROUND(SUM(I3:J3)/H3,5)</f>
        <v>0.01448</v>
      </c>
      <c r="L3" s="36">
        <f>SUMIFS(交易对账单!L:L,交易对账单!C:C,$A3,交易对账单!D:D,L$1,交易对账单!$A:$A,$C3,交易对账单!$A:$A,$D3)</f>
        <v>0</v>
      </c>
      <c r="M3" s="36">
        <f>SUMIFS(交易对账单!H:H,交易对账单!$D:$D,"证券卖出清算",交易对账单!$C:$C,$A3,交易对账单!$A:$A,$C3,交易对账单!$A:$A,$D3)</f>
        <v>356</v>
      </c>
      <c r="N3" s="36">
        <f>SUMIFS(交易对账单!I:I,交易对账单!$D:$D,"证券卖出清算",交易对账单!$C:$C,$A3,交易对账单!$A:$A,$C3,交易对账单!$A:$A,$D3)</f>
        <v>5</v>
      </c>
      <c r="O3" s="36">
        <f>SUMIFS(交易对账单!J:J,交易对账单!$D:$D,"证券卖出清算",交易对账单!$C:$C,$A3,交易对账单!$A:$A,$C3,交易对账单!$A:$A,$D3)</f>
        <v>0.36</v>
      </c>
      <c r="P3" s="36">
        <f>SUMIFS(交易对账单!K:K,交易对账单!$D:$D,"证券卖出清算",交易对账单!$C:$C,$A3,交易对账单!$A:$A,$C3,交易对账单!$A:$A,$D3)</f>
        <v>0.00999999999999979</v>
      </c>
      <c r="Q3" s="62">
        <f t="shared" ref="Q3:Q10" si="2">IFERROR(ROUND(SUM(N3:P3)/M3,5),0)</f>
        <v>0.01508</v>
      </c>
      <c r="R3" s="36">
        <f>SUMIFS(交易对账单!L:L,交易对账单!C:C,$A3,交易对账单!D:D,R$1,交易对账单!$A:$A,$C3,交易对账单!$A:$A,$D3)</f>
        <v>0</v>
      </c>
      <c r="S3" s="36">
        <f t="shared" ref="S3:S10" si="3">SUM(I3:J3,N3:P3)</f>
        <v>10.38</v>
      </c>
      <c r="T3" s="36">
        <f t="shared" ref="T3:T10" si="4">K3+Q3</f>
        <v>0.02956</v>
      </c>
      <c r="U3" s="36">
        <f>ROUND(M3-SUM(N3:P3)-SUM(H3:J3)-R3,2)</f>
        <v>-0.38</v>
      </c>
      <c r="V3" s="125" t="str">
        <f t="shared" ref="V3:V10" si="5">IF(G3&gt;0,ROUND(U3/G3,3),"")</f>
        <v/>
      </c>
      <c r="X3" s="36">
        <f t="shared" ref="X3:X10" si="6">IF(G3=0,U3,ROUND(G3*W3+U3,2))</f>
        <v>-0.38</v>
      </c>
      <c r="Y3" s="86">
        <f>IF(E3=F3,X3/SUM(H3,R3),X3/SUM(H3,R3,-M3))</f>
        <v>-0.00109826589595376</v>
      </c>
    </row>
    <row r="4" spans="1:25">
      <c r="A4" s="107" t="s">
        <v>27</v>
      </c>
      <c r="B4" s="36">
        <v>600115</v>
      </c>
      <c r="C4" s="106" t="s">
        <v>62</v>
      </c>
      <c r="D4" s="106" t="s">
        <v>63</v>
      </c>
      <c r="E4" s="36">
        <f>SUMIFS(交易对账单!E:E,交易对账单!$D:$D,"证券买入清算",交易对账单!$C:$C,$A4,交易对账单!$A:$A,$C4,交易对账单!$A:$A,$D4)</f>
        <v>2300</v>
      </c>
      <c r="F4" s="36">
        <f>SUMIFS(交易对账单!E:E,交易对账单!$D:$D,"证券卖出清算",交易对账单!$C:$C,$A4,交易对账单!$A:$A,$C4,交易对账单!$A:$A,$D4)</f>
        <v>2300</v>
      </c>
      <c r="G4" s="36">
        <f t="shared" si="0"/>
        <v>0</v>
      </c>
      <c r="H4" s="36">
        <f>SUMIFS(交易对账单!H:H,交易对账单!$D:$D,"证券买入清算",交易对账单!$C:$C,$A4,交易对账单!$A:$A,$C4,交易对账单!$A:$A,$D4)</f>
        <v>11788</v>
      </c>
      <c r="I4" s="36">
        <f>SUMIFS(交易对账单!I:I,交易对账单!$D:$D,"证券买入清算",交易对账单!$C:$C,$A4,交易对账单!$A:$A,$C4,交易对账单!$A:$A,$D4)</f>
        <v>35</v>
      </c>
      <c r="J4" s="36">
        <f>SUMIFS(交易对账单!K:K,交易对账单!$D:$D,"证券买入清算",交易对账单!$C:$C,$A4,交易对账单!$A:$A,$C4,交易对账单!$A:$A,$D4)</f>
        <v>0.23</v>
      </c>
      <c r="K4" s="62">
        <f t="shared" si="1"/>
        <v>0.00299</v>
      </c>
      <c r="L4" s="36">
        <f>SUMIFS(交易对账单!L:L,交易对账单!C:C,$A4,交易对账单!D:D,L$1,交易对账单!$A:$A,$C4,交易对账单!$A:$A,$D4)</f>
        <v>0</v>
      </c>
      <c r="M4" s="36">
        <f>SUMIFS(交易对账单!H:H,交易对账单!$D:$D,"证券卖出清算",交易对账单!$C:$C,$A4,交易对账单!$A:$A,$C4,交易对账单!$A:$A,$D4)</f>
        <v>11019</v>
      </c>
      <c r="N4" s="36">
        <f>SUMIFS(交易对账单!I:I,交易对账单!$D:$D,"证券卖出清算",交易对账单!$C:$C,$A4,交易对账单!$A:$A,$C4,交易对账单!$A:$A,$D4)</f>
        <v>30</v>
      </c>
      <c r="O4" s="36">
        <f>SUMIFS(交易对账单!J:J,交易对账单!$D:$D,"证券卖出清算",交易对账单!$C:$C,$A4,交易对账单!$A:$A,$C4,交易对账单!$A:$A,$D4)</f>
        <v>11.02</v>
      </c>
      <c r="P4" s="36">
        <f>SUMIFS(交易对账单!K:K,交易对账单!$D:$D,"证券卖出清算",交易对账单!$C:$C,$A4,交易对账单!$A:$A,$C4,交易对账单!$A:$A,$D4)</f>
        <v>0.209999999999999</v>
      </c>
      <c r="Q4" s="62">
        <f t="shared" si="2"/>
        <v>0.00374</v>
      </c>
      <c r="R4" s="36">
        <f>SUMIFS(交易对账单!L:L,交易对账单!C:C,$A4,交易对账单!D:D,R$1,交易对账单!$A:$A,$C4,交易对账单!$A:$A,$D4)</f>
        <v>0</v>
      </c>
      <c r="S4" s="36">
        <f t="shared" si="3"/>
        <v>76.46</v>
      </c>
      <c r="T4" s="36">
        <f t="shared" si="4"/>
        <v>0.00673</v>
      </c>
      <c r="U4" s="36">
        <f t="shared" ref="U4:U23" si="7">ROUND(M4-SUM(N4:P4)-SUM(H4:J4)-R4,2)</f>
        <v>-845.46</v>
      </c>
      <c r="V4" s="125" t="str">
        <f t="shared" si="5"/>
        <v/>
      </c>
      <c r="X4" s="126">
        <f t="shared" si="6"/>
        <v>-845.46</v>
      </c>
      <c r="Y4" s="86">
        <f t="shared" ref="Y4:Y23" si="8">IF(E4=F4,X4/SUM(H4,R4),X4/SUM(H4,R4,-M4))</f>
        <v>-0.0717220902612827</v>
      </c>
    </row>
    <row r="5" spans="1:25">
      <c r="A5" s="107" t="s">
        <v>29</v>
      </c>
      <c r="B5" s="36">
        <v>601633</v>
      </c>
      <c r="C5" s="106" t="s">
        <v>62</v>
      </c>
      <c r="D5" s="106" t="s">
        <v>63</v>
      </c>
      <c r="E5" s="36">
        <f>SUMIFS(交易对账单!E:E,交易对账单!$D:$D,"证券买入清算",交易对账单!$C:$C,$A5,交易对账单!$A:$A,$C5,交易对账单!$A:$A,$D5)</f>
        <v>400</v>
      </c>
      <c r="F5" s="36">
        <f>SUMIFS(交易对账单!E:E,交易对账单!$D:$D,"证券卖出清算",交易对账单!$C:$C,$A5,交易对账单!$A:$A,$C5,交易对账单!$A:$A,$D5)</f>
        <v>400</v>
      </c>
      <c r="G5" s="36">
        <f t="shared" si="0"/>
        <v>0</v>
      </c>
      <c r="H5" s="36">
        <f>SUMIFS(交易对账单!H:H,交易对账单!$D:$D,"证券买入清算",交易对账单!$C:$C,$A5,交易对账单!$A:$A,$C5,交易对账单!$A:$A,$D5)</f>
        <v>3098</v>
      </c>
      <c r="I5" s="36">
        <f>SUMIFS(交易对账单!I:I,交易对账单!$D:$D,"证券买入清算",交易对账单!$C:$C,$A5,交易对账单!$A:$A,$C5,交易对账单!$A:$A,$D5)</f>
        <v>10</v>
      </c>
      <c r="J5" s="36">
        <f>SUMIFS(交易对账单!K:K,交易对账单!$D:$D,"证券买入清算",交易对账单!$C:$C,$A5,交易对账单!$A:$A,$C5,交易对账单!$A:$A,$D5)</f>
        <v>0.07</v>
      </c>
      <c r="K5" s="62">
        <f t="shared" si="1"/>
        <v>0.00325</v>
      </c>
      <c r="L5" s="36">
        <f>SUMIFS(交易对账单!L:L,交易对账单!C:C,$A5,交易对账单!D:D,L$1,交易对账单!$A:$A,$C5,交易对账单!$A:$A,$D5)</f>
        <v>0</v>
      </c>
      <c r="M5" s="36">
        <f>SUMIFS(交易对账单!H:H,交易对账单!$D:$D,"证券卖出清算",交易对账单!$C:$C,$A5,交易对账单!$A:$A,$C5,交易对账单!$A:$A,$D5)</f>
        <v>2800</v>
      </c>
      <c r="N5" s="36">
        <f>SUMIFS(交易对账单!I:I,交易对账单!$D:$D,"证券卖出清算",交易对账单!$C:$C,$A5,交易对账单!$A:$A,$C5,交易对账单!$A:$A,$D5)</f>
        <v>10</v>
      </c>
      <c r="O5" s="36">
        <f>SUMIFS(交易对账单!J:J,交易对账单!$D:$D,"证券卖出清算",交易对账单!$C:$C,$A5,交易对账单!$A:$A,$C5,交易对账单!$A:$A,$D5)</f>
        <v>2.8</v>
      </c>
      <c r="P5" s="36">
        <f>SUMIFS(交易对账单!K:K,交易对账单!$D:$D,"证券卖出清算",交易对账单!$C:$C,$A5,交易对账单!$A:$A,$C5,交易对账单!$A:$A,$D5)</f>
        <v>0.049999999999999</v>
      </c>
      <c r="Q5" s="62">
        <f t="shared" si="2"/>
        <v>0.00459</v>
      </c>
      <c r="R5" s="36">
        <f>SUMIFS(交易对账单!L:L,交易对账单!C:C,$A5,交易对账单!D:D,R$1,交易对账单!$A:$A,$C5,交易对账单!$A:$A,$D5)</f>
        <v>0</v>
      </c>
      <c r="S5" s="36">
        <f t="shared" si="3"/>
        <v>22.92</v>
      </c>
      <c r="T5" s="36">
        <f t="shared" si="4"/>
        <v>0.00784</v>
      </c>
      <c r="U5" s="36">
        <f t="shared" si="7"/>
        <v>-320.92</v>
      </c>
      <c r="V5" s="125" t="str">
        <f t="shared" si="5"/>
        <v/>
      </c>
      <c r="X5" s="126">
        <f t="shared" si="6"/>
        <v>-320.92</v>
      </c>
      <c r="Y5" s="86">
        <f t="shared" si="8"/>
        <v>-0.103589412524209</v>
      </c>
    </row>
    <row r="6" spans="1:25">
      <c r="A6" s="105" t="s">
        <v>30</v>
      </c>
      <c r="B6" s="36">
        <v>601238</v>
      </c>
      <c r="C6" s="106" t="s">
        <v>62</v>
      </c>
      <c r="D6" s="106" t="s">
        <v>63</v>
      </c>
      <c r="E6" s="36">
        <f>SUMIFS(交易对账单!E:E,交易对账单!$D:$D,"证券买入清算",交易对账单!$C:$C,$A6,交易对账单!$A:$A,$C6,交易对账单!$A:$A,$D6)</f>
        <v>100</v>
      </c>
      <c r="F6" s="36">
        <f>SUMIFS(交易对账单!E:E,交易对账单!$D:$D,"证券卖出清算",交易对账单!$C:$C,$A6,交易对账单!$A:$A,$C6,交易对账单!$A:$A,$D6)</f>
        <v>100</v>
      </c>
      <c r="G6" s="36">
        <f t="shared" si="0"/>
        <v>0</v>
      </c>
      <c r="H6" s="36">
        <f>SUMIFS(交易对账单!H:H,交易对账单!$D:$D,"证券买入清算",交易对账单!$C:$C,$A6,交易对账单!$A:$A,$C6,交易对账单!$A:$A,$D6)</f>
        <v>1040</v>
      </c>
      <c r="I6" s="36">
        <f>SUMIFS(交易对账单!I:I,交易对账单!$D:$D,"证券买入清算",交易对账单!$C:$C,$A6,交易对账单!$A:$A,$C6,交易对账单!$A:$A,$D6)</f>
        <v>5</v>
      </c>
      <c r="J6" s="36">
        <f>SUMIFS(交易对账单!K:K,交易对账单!$D:$D,"证券买入清算",交易对账单!$C:$C,$A6,交易对账单!$A:$A,$C6,交易对账单!$A:$A,$D6)</f>
        <v>0.02</v>
      </c>
      <c r="K6" s="62">
        <f t="shared" si="1"/>
        <v>0.00483</v>
      </c>
      <c r="L6" s="36">
        <f>SUMIFS(交易对账单!L:L,交易对账单!C:C,$A6,交易对账单!D:D,L$1,交易对账单!$A:$A,$C6,交易对账单!$A:$A,$D6)</f>
        <v>0</v>
      </c>
      <c r="M6" s="36">
        <f>SUMIFS(交易对账单!H:H,交易对账单!$D:$D,"证券卖出清算",交易对账单!$C:$C,$A6,交易对账单!$A:$A,$C6,交易对账单!$A:$A,$D6)</f>
        <v>1059</v>
      </c>
      <c r="N6" s="36">
        <f>SUMIFS(交易对账单!I:I,交易对账单!$D:$D,"证券卖出清算",交易对账单!$C:$C,$A6,交易对账单!$A:$A,$C6,交易对账单!$A:$A,$D6)</f>
        <v>5</v>
      </c>
      <c r="O6" s="36">
        <f>SUMIFS(交易对账单!J:J,交易对账单!$D:$D,"证券卖出清算",交易对账单!$C:$C,$A6,交易对账单!$A:$A,$C6,交易对账单!$A:$A,$D6)</f>
        <v>1.06</v>
      </c>
      <c r="P6" s="36">
        <f>SUMIFS(交易对账单!K:K,交易对账单!$D:$D,"证券卖出清算",交易对账单!$C:$C,$A6,交易对账单!$A:$A,$C6,交易对账单!$A:$A,$D6)</f>
        <v>0.0199999999999996</v>
      </c>
      <c r="Q6" s="62">
        <f t="shared" si="2"/>
        <v>0.00574</v>
      </c>
      <c r="R6" s="36">
        <f>SUMIFS(交易对账单!L:L,交易对账单!C:C,$A6,交易对账单!D:D,R$1,交易对账单!$A:$A,$C6,交易对账单!$A:$A,$D6)</f>
        <v>0</v>
      </c>
      <c r="S6" s="36">
        <f t="shared" si="3"/>
        <v>11.1</v>
      </c>
      <c r="T6" s="36">
        <f t="shared" si="4"/>
        <v>0.01057</v>
      </c>
      <c r="U6" s="36">
        <f t="shared" si="7"/>
        <v>7.9</v>
      </c>
      <c r="V6" s="125" t="str">
        <f t="shared" si="5"/>
        <v/>
      </c>
      <c r="X6" s="36">
        <f t="shared" si="6"/>
        <v>7.9</v>
      </c>
      <c r="Y6" s="86">
        <f t="shared" si="8"/>
        <v>0.00759615384615385</v>
      </c>
    </row>
    <row r="7" spans="1:25">
      <c r="A7" s="105" t="s">
        <v>31</v>
      </c>
      <c r="B7" s="36">
        <v>601288</v>
      </c>
      <c r="C7" s="106" t="s">
        <v>62</v>
      </c>
      <c r="D7" s="106" t="s">
        <v>64</v>
      </c>
      <c r="E7" s="36">
        <f>SUMIFS(交易对账单!E:E,交易对账单!$D:$D,"证券买入清算",交易对账单!$C:$C,$A7,交易对账单!$A:$A,$C7,交易对账单!$A:$A,$D7)</f>
        <v>13500</v>
      </c>
      <c r="F7" s="36">
        <f>SUMIFS(交易对账单!E:E,交易对账单!$D:$D,"证券卖出清算",交易对账单!$C:$C,$A7,交易对账单!$A:$A,$C7,交易对账单!$A:$A,$D7)</f>
        <v>13500</v>
      </c>
      <c r="G7" s="36">
        <f t="shared" si="0"/>
        <v>0</v>
      </c>
      <c r="H7" s="36">
        <f>SUMIFS(交易对账单!H:H,交易对账单!$D:$D,"证券买入清算",交易对账单!$C:$C,$A7,交易对账单!$A:$A,$C7,交易对账单!$A:$A,$D7)</f>
        <v>44362</v>
      </c>
      <c r="I7" s="36">
        <f>SUMIFS(交易对账单!I:I,交易对账单!$D:$D,"证券买入清算",交易对账单!$C:$C,$A7,交易对账单!$A:$A,$C7,交易对账单!$A:$A,$D7)</f>
        <v>105</v>
      </c>
      <c r="J7" s="36">
        <f>SUMIFS(交易对账单!K:K,交易对账单!$D:$D,"证券买入清算",交易对账单!$C:$C,$A7,交易对账单!$A:$A,$C7,交易对账单!$A:$A,$D7)</f>
        <v>0.84</v>
      </c>
      <c r="K7" s="62">
        <f t="shared" si="1"/>
        <v>0.00239</v>
      </c>
      <c r="L7" s="36">
        <f>SUMIFS(交易对账单!L:L,交易对账单!C:C,$A7,交易对账单!D:D,L$1,交易对账单!$A:$A,$C7,交易对账单!$A:$A,$D7)</f>
        <v>94.61</v>
      </c>
      <c r="M7" s="36">
        <f>SUMIFS(交易对账单!H:H,交易对账单!$D:$D,"证券卖出清算",交易对账单!$C:$C,$A7,交易对账单!$A:$A,$C7,交易对账单!$A:$A,$D7)</f>
        <v>45088</v>
      </c>
      <c r="N7" s="36">
        <f>SUMIFS(交易对账单!I:I,交易对账单!$D:$D,"证券卖出清算",交易对账单!$C:$C,$A7,交易对账单!$A:$A,$C7,交易对账单!$A:$A,$D7)</f>
        <v>30</v>
      </c>
      <c r="O7" s="36">
        <f>SUMIFS(交易对账单!J:J,交易对账单!$D:$D,"证券卖出清算",交易对账单!$C:$C,$A7,交易对账单!$A:$A,$C7,交易对账单!$A:$A,$D7)</f>
        <v>45.09</v>
      </c>
      <c r="P7" s="36">
        <f>SUMIFS(交易对账单!K:K,交易对账单!$D:$D,"证券卖出清算",交易对账单!$C:$C,$A7,交易对账单!$A:$A,$C7,交易对账单!$A:$A,$D7)</f>
        <v>0.909999999999997</v>
      </c>
      <c r="Q7" s="62">
        <f t="shared" si="2"/>
        <v>0.00169</v>
      </c>
      <c r="R7" s="36">
        <f>SUMIFS(交易对账单!L:L,交易对账单!C:C,$A7,交易对账单!D:D,R$1,交易对账单!$A:$A,$C7,交易对账单!$A:$A,$D7)</f>
        <v>-945.88</v>
      </c>
      <c r="S7" s="36">
        <f t="shared" si="3"/>
        <v>181.84</v>
      </c>
      <c r="T7" s="36">
        <f t="shared" si="4"/>
        <v>0.00408</v>
      </c>
      <c r="U7" s="36">
        <f t="shared" si="7"/>
        <v>1490.04</v>
      </c>
      <c r="V7" s="125" t="str">
        <f t="shared" si="5"/>
        <v/>
      </c>
      <c r="X7" s="36">
        <f t="shared" si="6"/>
        <v>1490.04</v>
      </c>
      <c r="Y7" s="86">
        <f t="shared" si="8"/>
        <v>0.0343199714760324</v>
      </c>
    </row>
    <row r="8" spans="1:26">
      <c r="A8" s="35" t="s">
        <v>31</v>
      </c>
      <c r="B8" s="36">
        <v>601288</v>
      </c>
      <c r="C8" s="106" t="s">
        <v>65</v>
      </c>
      <c r="D8" s="106" t="s">
        <v>66</v>
      </c>
      <c r="E8" s="36">
        <f>SUMIFS(交易对账单!E:E,交易对账单!$D:$D,"证券买入清算",交易对账单!$C:$C,$A8,交易对账单!$A:$A,$C8,交易对账单!$A:$A,$D8)</f>
        <v>19200</v>
      </c>
      <c r="F8" s="36">
        <f>SUMIFS(交易对账单!E:E,交易对账单!$D:$D,"证券卖出清算",交易对账单!$C:$C,$A8,交易对账单!$A:$A,$C8,交易对账单!$A:$A,$D8)</f>
        <v>4000</v>
      </c>
      <c r="G8" s="36">
        <f t="shared" si="0"/>
        <v>15200</v>
      </c>
      <c r="H8" s="36">
        <f>SUMIFS(交易对账单!H:H,交易对账单!$D:$D,"证券买入清算",交易对账单!$C:$C,$A8,交易对账单!$A:$A,$C8,交易对账单!$A:$A,$D8)</f>
        <v>58442</v>
      </c>
      <c r="I8" s="36">
        <f>SUMIFS(交易对账单!I:I,交易对账单!$D:$D,"证券买入清算",交易对账单!$C:$C,$A8,交易对账单!$A:$A,$C8,交易对账单!$A:$A,$D8)</f>
        <v>70</v>
      </c>
      <c r="J8" s="36">
        <f>SUMIFS(交易对账单!K:K,交易对账单!$D:$D,"证券买入清算",交易对账单!$C:$C,$A8,交易对账单!$A:$A,$C8,交易对账单!$A:$A,$D8)</f>
        <v>1.17</v>
      </c>
      <c r="K8" s="62">
        <f t="shared" si="1"/>
        <v>0.00122</v>
      </c>
      <c r="L8" s="36">
        <f>SUMIFS(交易对账单!L:L,交易对账单!C:C,$A8,交易对账单!D:D,L$1,交易对账单!$A:$A,$C8,交易对账单!$A:$A,$D8)</f>
        <v>74.04</v>
      </c>
      <c r="M8" s="36">
        <f>SUMIFS(交易对账单!H:H,交易对账单!$D:$D,"证券卖出清算",交易对账单!$C:$C,$A8,交易对账单!$A:$A,$C8,交易对账单!$A:$A,$D8)</f>
        <v>12160</v>
      </c>
      <c r="N8" s="36">
        <f>SUMIFS(交易对账单!I:I,交易对账单!$D:$D,"证券卖出清算",交易对账单!$C:$C,$A8,交易对账单!$A:$A,$C8,交易对账单!$A:$A,$D8)</f>
        <v>5</v>
      </c>
      <c r="O8" s="36">
        <f>SUMIFS(交易对账单!J:J,交易对账单!$D:$D,"证券卖出清算",交易对账单!$C:$C,$A8,交易对账单!$A:$A,$C8,交易对账单!$A:$A,$D8)</f>
        <v>12.16</v>
      </c>
      <c r="P8" s="36">
        <f>SUMIFS(交易对账单!K:K,交易对账单!$D:$D,"证券卖出清算",交易对账单!$C:$C,$A8,交易对账单!$A:$A,$C8,交易对账单!$A:$A,$D8)</f>
        <v>0.24</v>
      </c>
      <c r="Q8" s="62">
        <f t="shared" si="2"/>
        <v>0.00143</v>
      </c>
      <c r="R8" s="36">
        <f>SUMIFS(交易对账单!L:L,交易对账单!C:C,$A8,交易对账单!D:D,R$1,交易对账单!$A:$A,$C8,交易对账单!$A:$A,$D8)</f>
        <v>-869.97</v>
      </c>
      <c r="S8" s="36">
        <f t="shared" si="3"/>
        <v>88.57</v>
      </c>
      <c r="T8" s="36">
        <f t="shared" si="4"/>
        <v>0.00265</v>
      </c>
      <c r="U8" s="36">
        <f t="shared" si="7"/>
        <v>-45500.6</v>
      </c>
      <c r="V8" s="125">
        <f t="shared" si="5"/>
        <v>-2.993</v>
      </c>
      <c r="W8" s="36">
        <v>2.96</v>
      </c>
      <c r="X8" s="36">
        <f t="shared" si="6"/>
        <v>-508.6</v>
      </c>
      <c r="Y8" s="86">
        <f t="shared" si="8"/>
        <v>-0.0111996755044864</v>
      </c>
      <c r="Z8" s="86"/>
    </row>
    <row r="9" spans="1:26">
      <c r="A9" s="105" t="s">
        <v>32</v>
      </c>
      <c r="B9" s="166" t="s">
        <v>67</v>
      </c>
      <c r="C9" s="106" t="s">
        <v>62</v>
      </c>
      <c r="D9" s="106" t="s">
        <v>68</v>
      </c>
      <c r="E9" s="36">
        <f>SUMIFS(交易对账单!E:E,交易对账单!$D:$D,"证券买入清算",交易对账单!$C:$C,$A9,交易对账单!$A:$A,$C9,交易对账单!$A:$A,$D9)</f>
        <v>500</v>
      </c>
      <c r="F9" s="36">
        <f>SUMIFS(交易对账单!E:E,交易对账单!$D:$D,"证券卖出清算",交易对账单!$C:$C,$A9,交易对账单!$A:$A,$C9,交易对账单!$A:$A,$D9)</f>
        <v>500</v>
      </c>
      <c r="G9" s="36">
        <f t="shared" si="0"/>
        <v>0</v>
      </c>
      <c r="H9" s="36">
        <f>SUMIFS(交易对账单!H:H,交易对账单!$D:$D,"证券买入清算",交易对账单!$C:$C,$A9,交易对账单!$A:$A,$C9,交易对账单!$A:$A,$D9)</f>
        <v>5997</v>
      </c>
      <c r="I9" s="36">
        <f>SUMIFS(交易对账单!I:I,交易对账单!$D:$D,"证券买入清算",交易对账单!$C:$C,$A9,交易对账单!$A:$A,$C9,交易对账单!$A:$A,$D9)</f>
        <v>25</v>
      </c>
      <c r="J9" s="36">
        <f>SUMIFS(交易对账单!K:K,交易对账单!$D:$D,"证券买入清算",交易对账单!$C:$C,$A9,交易对账单!$A:$A,$C9,交易对账单!$A:$A,$D9)</f>
        <v>0</v>
      </c>
      <c r="K9" s="62">
        <f t="shared" si="1"/>
        <v>0.00417</v>
      </c>
      <c r="L9" s="36">
        <f>SUMIFS(交易对账单!L:L,交易对账单!C:C,$A9,交易对账单!D:D,L$1,交易对账单!$A:$A,$C9,交易对账单!$A:$A,$D9)</f>
        <v>0</v>
      </c>
      <c r="M9" s="36">
        <f>SUMIFS(交易对账单!H:H,交易对账单!$D:$D,"证券卖出清算",交易对账单!$C:$C,$A9,交易对账单!$A:$A,$C9,交易对账单!$A:$A,$D9)</f>
        <v>6329</v>
      </c>
      <c r="N9" s="36">
        <f>SUMIFS(交易对账单!I:I,交易对账单!$D:$D,"证券卖出清算",交易对账单!$C:$C,$A9,交易对账单!$A:$A,$C9,交易对账单!$A:$A,$D9)</f>
        <v>25</v>
      </c>
      <c r="O9" s="36">
        <f>SUMIFS(交易对账单!J:J,交易对账单!$D:$D,"证券卖出清算",交易对账单!$C:$C,$A9,交易对账单!$A:$A,$C9,交易对账单!$A:$A,$D9)</f>
        <v>6.32</v>
      </c>
      <c r="P9" s="36">
        <f>SUMIFS(交易对账单!K:K,交易对账单!$D:$D,"证券卖出清算",交易对账单!$C:$C,$A9,交易对账单!$A:$A,$C9,交易对账单!$A:$A,$D9)</f>
        <v>0</v>
      </c>
      <c r="Q9" s="62">
        <f t="shared" si="2"/>
        <v>0.00495</v>
      </c>
      <c r="R9" s="36">
        <f>SUMIFS(交易对账单!L:L,交易对账单!C:C,$A9,交易对账单!D:D,R$1,交易对账单!$A:$A,$C9,交易对账单!$A:$A,$D9)</f>
        <v>0</v>
      </c>
      <c r="S9" s="36">
        <f t="shared" si="3"/>
        <v>56.32</v>
      </c>
      <c r="T9" s="36">
        <f t="shared" si="4"/>
        <v>0.00912</v>
      </c>
      <c r="U9" s="36">
        <f t="shared" si="7"/>
        <v>275.68</v>
      </c>
      <c r="V9" s="125" t="str">
        <f t="shared" si="5"/>
        <v/>
      </c>
      <c r="X9" s="36">
        <f t="shared" si="6"/>
        <v>275.68</v>
      </c>
      <c r="Y9" s="86">
        <f t="shared" si="8"/>
        <v>0.0459696514924129</v>
      </c>
      <c r="Z9" s="86"/>
    </row>
    <row r="10" spans="1:26">
      <c r="A10" s="105" t="s">
        <v>32</v>
      </c>
      <c r="B10" s="166" t="s">
        <v>67</v>
      </c>
      <c r="C10" s="106" t="s">
        <v>69</v>
      </c>
      <c r="D10" s="106" t="s">
        <v>66</v>
      </c>
      <c r="E10" s="36">
        <f>SUMIFS(交易对账单!E:E,交易对账单!$D:$D,"证券买入清算",交易对账单!$C:$C,$A10,交易对账单!$A:$A,$C10,交易对账单!$A:$A,$D10)</f>
        <v>100</v>
      </c>
      <c r="F10" s="36">
        <f>SUMIFS(交易对账单!E:E,交易对账单!$D:$D,"证券卖出清算",交易对账单!$C:$C,$A10,交易对账单!$A:$A,$C10,交易对账单!$A:$A,$D10)</f>
        <v>0</v>
      </c>
      <c r="G10" s="36">
        <f t="shared" si="0"/>
        <v>100</v>
      </c>
      <c r="H10" s="36">
        <f>SUMIFS(交易对账单!H:H,交易对账单!$D:$D,"证券买入清算",交易对账单!$C:$C,$A10,交易对账单!$A:$A,$C10,交易对账单!$A:$A,$D10)</f>
        <v>1130</v>
      </c>
      <c r="I10" s="36">
        <f>SUMIFS(交易对账单!I:I,交易对账单!$D:$D,"证券买入清算",交易对账单!$C:$C,$A10,交易对账单!$A:$A,$C10,交易对账单!$A:$A,$D10)</f>
        <v>5</v>
      </c>
      <c r="J10" s="36">
        <f>SUMIFS(交易对账单!K:K,交易对账单!$D:$D,"证券买入清算",交易对账单!$C:$C,$A10,交易对账单!$A:$A,$C10,交易对账单!$A:$A,$D10)</f>
        <v>0</v>
      </c>
      <c r="K10" s="62">
        <f t="shared" si="1"/>
        <v>0.00442</v>
      </c>
      <c r="L10" s="36">
        <f>SUMIFS(交易对账单!L:L,交易对账单!C:C,$A10,交易对账单!D:D,L$1,交易对账单!$A:$A,$C10,交易对账单!$A:$A,$D10)</f>
        <v>0</v>
      </c>
      <c r="M10" s="36">
        <f>SUMIFS(交易对账单!H:H,交易对账单!$D:$D,"证券卖出清算",交易对账单!$C:$C,$A10,交易对账单!$A:$A,$C10,交易对账单!$A:$A,$D10)</f>
        <v>0</v>
      </c>
      <c r="N10" s="36">
        <f>SUMIFS(交易对账单!I:I,交易对账单!$D:$D,"证券卖出清算",交易对账单!$C:$C,$A10,交易对账单!$A:$A,$C10,交易对账单!$A:$A,$D10)</f>
        <v>0</v>
      </c>
      <c r="O10" s="36">
        <f>SUMIFS(交易对账单!J:J,交易对账单!$D:$D,"证券卖出清算",交易对账单!$C:$C,$A10,交易对账单!$A:$A,$C10,交易对账单!$A:$A,$D10)</f>
        <v>0</v>
      </c>
      <c r="P10" s="36">
        <f>SUMIFS(交易对账单!K:K,交易对账单!$D:$D,"证券卖出清算",交易对账单!$C:$C,$A10,交易对账单!$A:$A,$C10,交易对账单!$A:$A,$D10)</f>
        <v>0</v>
      </c>
      <c r="Q10" s="62">
        <f t="shared" si="2"/>
        <v>0</v>
      </c>
      <c r="R10" s="36">
        <f>SUMIFS(交易对账单!L:L,交易对账单!C:C,$A10,交易对账单!D:D,R$1,交易对账单!$A:$A,$C10,交易对账单!$A:$A,$D10)</f>
        <v>0</v>
      </c>
      <c r="S10" s="36">
        <f t="shared" si="3"/>
        <v>5</v>
      </c>
      <c r="T10" s="36">
        <f t="shared" si="4"/>
        <v>0.00442</v>
      </c>
      <c r="U10" s="36">
        <f t="shared" si="7"/>
        <v>-1135</v>
      </c>
      <c r="V10" s="125">
        <f t="shared" si="5"/>
        <v>-11.35</v>
      </c>
      <c r="W10" s="36">
        <v>11.31</v>
      </c>
      <c r="X10" s="36">
        <f t="shared" si="6"/>
        <v>-4</v>
      </c>
      <c r="Y10" s="86">
        <f t="shared" si="8"/>
        <v>-0.00353982300884956</v>
      </c>
      <c r="Z10" s="86"/>
    </row>
    <row r="11" spans="1:26">
      <c r="A11" s="105" t="s">
        <v>33</v>
      </c>
      <c r="B11" s="166" t="s">
        <v>70</v>
      </c>
      <c r="C11" s="106" t="s">
        <v>62</v>
      </c>
      <c r="D11" s="106" t="s">
        <v>63</v>
      </c>
      <c r="E11" s="36">
        <f>SUMIFS(交易对账单!E:E,交易对账单!$D:$D,"证券买入清算",交易对账单!$C:$C,$A11,交易对账单!$A:$A,$C11,交易对账单!$A:$A,$D11)</f>
        <v>200</v>
      </c>
      <c r="F11" s="36">
        <f>SUMIFS(交易对账单!E:E,交易对账单!$D:$D,"证券卖出清算",交易对账单!$C:$C,$A11,交易对账单!$A:$A,$C11,交易对账单!$A:$A,$D11)</f>
        <v>200</v>
      </c>
      <c r="G11" s="36">
        <f t="shared" ref="G11:G23" si="9">E11-F11</f>
        <v>0</v>
      </c>
      <c r="H11" s="36">
        <f>SUMIFS(交易对账单!H:H,交易对账单!$D:$D,"证券买入清算",交易对账单!$C:$C,$A11,交易对账单!$A:$A,$C11,交易对账单!$A:$A,$D11)</f>
        <v>7336</v>
      </c>
      <c r="I11" s="36">
        <f>SUMIFS(交易对账单!I:I,交易对账单!$D:$D,"证券买入清算",交易对账单!$C:$C,$A11,交易对账单!$A:$A,$C11,交易对账单!$A:$A,$D11)</f>
        <v>10</v>
      </c>
      <c r="J11" s="36">
        <f>SUMIFS(交易对账单!K:K,交易对账单!$D:$D,"证券买入清算",交易对账单!$C:$C,$A11,交易对账单!$A:$A,$C11,交易对账单!$A:$A,$D11)</f>
        <v>0</v>
      </c>
      <c r="K11" s="62">
        <f t="shared" ref="K11:K23" si="10">ROUND(SUM(I11:J11)/H11,5)</f>
        <v>0.00136</v>
      </c>
      <c r="L11" s="36">
        <f>SUMIFS(交易对账单!L:L,交易对账单!C:C,$A11,交易对账单!D:D,L$1,交易对账单!$A:$A,$C11,交易对账单!$A:$A,$D11)</f>
        <v>0</v>
      </c>
      <c r="M11" s="36">
        <f>SUMIFS(交易对账单!H:H,交易对账单!$D:$D,"证券卖出清算",交易对账单!$C:$C,$A11,交易对账单!$A:$A,$C11,交易对账单!$A:$A,$D11)</f>
        <v>7365</v>
      </c>
      <c r="N11" s="36">
        <f>SUMIFS(交易对账单!I:I,交易对账单!$D:$D,"证券卖出清算",交易对账单!$C:$C,$A11,交易对账单!$A:$A,$C11,交易对账单!$A:$A,$D11)</f>
        <v>10</v>
      </c>
      <c r="O11" s="36">
        <f>SUMIFS(交易对账单!J:J,交易对账单!$D:$D,"证券卖出清算",交易对账单!$C:$C,$A11,交易对账单!$A:$A,$C11,交易对账单!$A:$A,$D11)</f>
        <v>7.36</v>
      </c>
      <c r="P11" s="36">
        <f>SUMIFS(交易对账单!K:K,交易对账单!$D:$D,"证券卖出清算",交易对账单!$C:$C,$A11,交易对账单!$A:$A,$C11,交易对账单!$A:$A,$D11)</f>
        <v>0</v>
      </c>
      <c r="Q11" s="62">
        <f t="shared" ref="Q11:Q23" si="11">IFERROR(ROUND(SUM(N11:P11)/M11,5),0)</f>
        <v>0.00236</v>
      </c>
      <c r="R11" s="36">
        <f>SUMIFS(交易对账单!L:L,交易对账单!C:C,$A11,交易对账单!D:D,R$1,交易对账单!$A:$A,$C11,交易对账单!$A:$A,$D11)</f>
        <v>0</v>
      </c>
      <c r="S11" s="36">
        <f t="shared" ref="S11:S23" si="12">SUM(I11:J11,N11:P11)</f>
        <v>27.36</v>
      </c>
      <c r="T11" s="36">
        <f t="shared" ref="T11:T23" si="13">K11+Q11</f>
        <v>0.00372</v>
      </c>
      <c r="U11" s="36">
        <f t="shared" si="7"/>
        <v>1.64</v>
      </c>
      <c r="V11" s="125" t="str">
        <f t="shared" ref="V11:V23" si="14">IF(G11&gt;0,ROUND(U11/G11,3),"")</f>
        <v/>
      </c>
      <c r="X11" s="36">
        <f t="shared" ref="X11:X23" si="15">IF(G11=0,U11,ROUND(G11*W11+U11,2))</f>
        <v>1.64</v>
      </c>
      <c r="Y11" s="86">
        <f t="shared" si="8"/>
        <v>0.000223555070883315</v>
      </c>
      <c r="Z11" s="86"/>
    </row>
    <row r="12" spans="1:26">
      <c r="A12" s="105" t="s">
        <v>34</v>
      </c>
      <c r="B12" s="166" t="s">
        <v>71</v>
      </c>
      <c r="C12" s="106" t="s">
        <v>62</v>
      </c>
      <c r="D12" s="106" t="s">
        <v>63</v>
      </c>
      <c r="E12" s="36">
        <f>SUMIFS(交易对账单!E:E,交易对账单!$D:$D,"证券买入清算",交易对账单!$C:$C,$A12,交易对账单!$A:$A,$C12,交易对账单!$A:$A,$D12)</f>
        <v>100</v>
      </c>
      <c r="F12" s="36">
        <f>SUMIFS(交易对账单!E:E,交易对账单!$D:$D,"证券卖出清算",交易对账单!$C:$C,$A12,交易对账单!$A:$A,$C12,交易对账单!$A:$A,$D12)</f>
        <v>100</v>
      </c>
      <c r="G12" s="36">
        <f t="shared" si="9"/>
        <v>0</v>
      </c>
      <c r="H12" s="36">
        <f>SUMIFS(交易对账单!H:H,交易对账单!$D:$D,"证券买入清算",交易对账单!$C:$C,$A12,交易对账单!$A:$A,$C12,交易对账单!$A:$A,$D12)</f>
        <v>3617</v>
      </c>
      <c r="I12" s="36">
        <f>SUMIFS(交易对账单!I:I,交易对账单!$D:$D,"证券买入清算",交易对账单!$C:$C,$A12,交易对账单!$A:$A,$C12,交易对账单!$A:$A,$D12)</f>
        <v>5</v>
      </c>
      <c r="J12" s="36">
        <f>SUMIFS(交易对账单!K:K,交易对账单!$D:$D,"证券买入清算",交易对账单!$C:$C,$A12,交易对账单!$A:$A,$C12,交易对账单!$A:$A,$D12)</f>
        <v>0</v>
      </c>
      <c r="K12" s="62">
        <f t="shared" si="10"/>
        <v>0.00138</v>
      </c>
      <c r="L12" s="36">
        <f>SUMIFS(交易对账单!L:L,交易对账单!C:C,$A12,交易对账单!D:D,L$1,交易对账单!$A:$A,$C12,交易对账单!$A:$A,$D12)</f>
        <v>0</v>
      </c>
      <c r="M12" s="36">
        <f>SUMIFS(交易对账单!H:H,交易对账单!$D:$D,"证券卖出清算",交易对账单!$C:$C,$A12,交易对账单!$A:$A,$C12,交易对账单!$A:$A,$D12)</f>
        <v>3649</v>
      </c>
      <c r="N12" s="36">
        <f>SUMIFS(交易对账单!I:I,交易对账单!$D:$D,"证券卖出清算",交易对账单!$C:$C,$A12,交易对账单!$A:$A,$C12,交易对账单!$A:$A,$D12)</f>
        <v>5</v>
      </c>
      <c r="O12" s="36">
        <f>SUMIFS(交易对账单!J:J,交易对账单!$D:$D,"证券卖出清算",交易对账单!$C:$C,$A12,交易对账单!$A:$A,$C12,交易对账单!$A:$A,$D12)</f>
        <v>3.65</v>
      </c>
      <c r="P12" s="36">
        <f>SUMIFS(交易对账单!K:K,交易对账单!$D:$D,"证券卖出清算",交易对账单!$C:$C,$A12,交易对账单!$A:$A,$C12,交易对账单!$A:$A,$D12)</f>
        <v>0</v>
      </c>
      <c r="Q12" s="62">
        <f t="shared" si="11"/>
        <v>0.00237</v>
      </c>
      <c r="R12" s="36">
        <f>SUMIFS(交易对账单!L:L,交易对账单!C:C,$A12,交易对账单!D:D,R$1,交易对账单!$A:$A,$C12,交易对账单!$A:$A,$D12)</f>
        <v>0</v>
      </c>
      <c r="S12" s="36">
        <f t="shared" si="12"/>
        <v>13.65</v>
      </c>
      <c r="T12" s="36">
        <f t="shared" si="13"/>
        <v>0.00375</v>
      </c>
      <c r="U12" s="36">
        <f t="shared" si="7"/>
        <v>18.35</v>
      </c>
      <c r="V12" s="125" t="str">
        <f t="shared" si="14"/>
        <v/>
      </c>
      <c r="X12" s="36">
        <f t="shared" si="15"/>
        <v>18.35</v>
      </c>
      <c r="Y12" s="86">
        <f t="shared" si="8"/>
        <v>0.00507326513685375</v>
      </c>
      <c r="Z12" s="86"/>
    </row>
    <row r="13" spans="1:26">
      <c r="A13" s="105" t="s">
        <v>35</v>
      </c>
      <c r="B13" s="166" t="s">
        <v>72</v>
      </c>
      <c r="C13" s="106" t="s">
        <v>62</v>
      </c>
      <c r="D13" s="106" t="s">
        <v>63</v>
      </c>
      <c r="E13" s="36">
        <f>SUMIFS(交易对账单!E:E,交易对账单!$D:$D,"证券买入清算",交易对账单!$C:$C,$A13,交易对账单!$A:$A,$C13,交易对账单!$A:$A,$D13)</f>
        <v>1200</v>
      </c>
      <c r="F13" s="36">
        <f>SUMIFS(交易对账单!E:E,交易对账单!$D:$D,"证券卖出清算",交易对账单!$C:$C,$A13,交易对账单!$A:$A,$C13,交易对账单!$A:$A,$D13)</f>
        <v>1200</v>
      </c>
      <c r="G13" s="36">
        <f t="shared" si="9"/>
        <v>0</v>
      </c>
      <c r="H13" s="36">
        <f>SUMIFS(交易对账单!H:H,交易对账单!$D:$D,"证券买入清算",交易对账单!$C:$C,$A13,交易对账单!$A:$A,$C13,交易对账单!$A:$A,$D13)</f>
        <v>23666</v>
      </c>
      <c r="I13" s="36">
        <f>SUMIFS(交易对账单!I:I,交易对账单!$D:$D,"证券买入清算",交易对账单!$C:$C,$A13,交易对账单!$A:$A,$C13,交易对账单!$A:$A,$D13)</f>
        <v>60</v>
      </c>
      <c r="J13" s="36">
        <f>SUMIFS(交易对账单!K:K,交易对账单!$D:$D,"证券买入清算",交易对账单!$C:$C,$A13,交易对账单!$A:$A,$C13,交易对账单!$A:$A,$D13)</f>
        <v>0</v>
      </c>
      <c r="K13" s="62">
        <f t="shared" si="10"/>
        <v>0.00254</v>
      </c>
      <c r="L13" s="36">
        <f>SUMIFS(交易对账单!L:L,交易对账单!C:C,$A13,交易对账单!D:D,L$1,交易对账单!$A:$A,$C13,交易对账单!$A:$A,$D13)</f>
        <v>0</v>
      </c>
      <c r="M13" s="36">
        <f>SUMIFS(交易对账单!H:H,交易对账单!$D:$D,"证券卖出清算",交易对账单!$C:$C,$A13,交易对账单!$A:$A,$C13,交易对账单!$A:$A,$D13)</f>
        <v>23870</v>
      </c>
      <c r="N13" s="36">
        <f>SUMIFS(交易对账单!I:I,交易对账单!$D:$D,"证券卖出清算",交易对账单!$C:$C,$A13,交易对账单!$A:$A,$C13,交易对账单!$A:$A,$D13)</f>
        <v>50</v>
      </c>
      <c r="O13" s="36">
        <f>SUMIFS(交易对账单!J:J,交易对账单!$D:$D,"证券卖出清算",交易对账单!$C:$C,$A13,交易对账单!$A:$A,$C13,交易对账单!$A:$A,$D13)</f>
        <v>23.89</v>
      </c>
      <c r="P13" s="36">
        <f>SUMIFS(交易对账单!K:K,交易对账单!$D:$D,"证券卖出清算",交易对账单!$C:$C,$A13,交易对账单!$A:$A,$C13,交易对账单!$A:$A,$D13)</f>
        <v>0</v>
      </c>
      <c r="Q13" s="62">
        <f t="shared" si="11"/>
        <v>0.0031</v>
      </c>
      <c r="R13" s="36">
        <f>SUMIFS(交易对账单!L:L,交易对账单!C:C,$A13,交易对账单!D:D,R$1,交易对账单!$A:$A,$C13,交易对账单!$A:$A,$D13)</f>
        <v>0</v>
      </c>
      <c r="S13" s="36">
        <f t="shared" si="12"/>
        <v>133.89</v>
      </c>
      <c r="T13" s="36">
        <f t="shared" si="13"/>
        <v>0.00564</v>
      </c>
      <c r="U13" s="36">
        <f t="shared" si="7"/>
        <v>70.11</v>
      </c>
      <c r="V13" s="125" t="str">
        <f t="shared" si="14"/>
        <v/>
      </c>
      <c r="X13" s="36">
        <f t="shared" si="15"/>
        <v>70.11</v>
      </c>
      <c r="Y13" s="86">
        <f t="shared" si="8"/>
        <v>0.00296247781627651</v>
      </c>
      <c r="Z13" s="86"/>
    </row>
    <row r="14" spans="1:26">
      <c r="A14" s="105" t="s">
        <v>36</v>
      </c>
      <c r="B14" s="36">
        <v>600085</v>
      </c>
      <c r="C14" s="106" t="s">
        <v>62</v>
      </c>
      <c r="D14" s="106" t="s">
        <v>63</v>
      </c>
      <c r="E14" s="36">
        <f>SUMIFS(交易对账单!E:E,交易对账单!$D:$D,"证券买入清算",交易对账单!$C:$C,$A14,交易对账单!$A:$A,$C14,交易对账单!$A:$A,$D14)</f>
        <v>300</v>
      </c>
      <c r="F14" s="36">
        <f>SUMIFS(交易对账单!E:E,交易对账单!$D:$D,"证券卖出清算",交易对账单!$C:$C,$A14,交易对账单!$A:$A,$C14,交易对账单!$A:$A,$D14)</f>
        <v>300</v>
      </c>
      <c r="G14" s="36">
        <f t="shared" si="9"/>
        <v>0</v>
      </c>
      <c r="H14" s="36">
        <f>SUMIFS(交易对账单!H:H,交易对账单!$D:$D,"证券买入清算",交易对账单!$C:$C,$A14,交易对账单!$A:$A,$C14,交易对账单!$A:$A,$D14)</f>
        <v>8407</v>
      </c>
      <c r="I14" s="36">
        <f>SUMIFS(交易对账单!I:I,交易对账单!$D:$D,"证券买入清算",交易对账单!$C:$C,$A14,交易对账单!$A:$A,$C14,交易对账单!$A:$A,$D14)</f>
        <v>15</v>
      </c>
      <c r="J14" s="36">
        <f>SUMIFS(交易对账单!K:K,交易对账单!$D:$D,"证券买入清算",交易对账单!$C:$C,$A14,交易对账单!$A:$A,$C14,交易对账单!$A:$A,$D14)</f>
        <v>0.16</v>
      </c>
      <c r="K14" s="62">
        <f t="shared" si="10"/>
        <v>0.0018</v>
      </c>
      <c r="L14" s="36">
        <f>SUMIFS(交易对账单!L:L,交易对账单!C:C,$A14,交易对账单!D:D,L$1,交易对账单!$A:$A,$C14,交易对账单!$A:$A,$D14)</f>
        <v>5</v>
      </c>
      <c r="M14" s="36">
        <f>SUMIFS(交易对账单!H:H,交易对账单!$D:$D,"证券卖出清算",交易对账单!$C:$C,$A14,交易对账单!$A:$A,$C14,交易对账单!$A:$A,$D14)</f>
        <v>8578</v>
      </c>
      <c r="N14" s="36">
        <f>SUMIFS(交易对账单!I:I,交易对账单!$D:$D,"证券卖出清算",交易对账单!$C:$C,$A14,交易对账单!$A:$A,$C14,交易对账单!$A:$A,$D14)</f>
        <v>15</v>
      </c>
      <c r="O14" s="36">
        <f>SUMIFS(交易对账单!J:J,交易对账单!$D:$D,"证券卖出清算",交易对账单!$C:$C,$A14,交易对账单!$A:$A,$C14,交易对账单!$A:$A,$D14)</f>
        <v>8.58</v>
      </c>
      <c r="P14" s="36">
        <f>SUMIFS(交易对账单!K:K,交易对账单!$D:$D,"证券卖出清算",交易对账单!$C:$C,$A14,交易对账单!$A:$A,$C14,交易对账单!$A:$A,$D14)</f>
        <v>0.18</v>
      </c>
      <c r="Q14" s="62">
        <f t="shared" si="11"/>
        <v>0.00277</v>
      </c>
      <c r="R14" s="36">
        <f>SUMIFS(交易对账单!L:L,交易对账单!C:C,$A14,交易对账单!D:D,R$1,交易对账单!$A:$A,$C14,交易对账单!$A:$A,$D14)</f>
        <v>-50</v>
      </c>
      <c r="S14" s="36">
        <f t="shared" si="12"/>
        <v>38.92</v>
      </c>
      <c r="T14" s="36">
        <f t="shared" si="13"/>
        <v>0.00457</v>
      </c>
      <c r="U14" s="36">
        <f t="shared" si="7"/>
        <v>182.08</v>
      </c>
      <c r="V14" s="125" t="str">
        <f t="shared" si="14"/>
        <v/>
      </c>
      <c r="X14" s="36">
        <f t="shared" si="15"/>
        <v>182.08</v>
      </c>
      <c r="Y14" s="86">
        <f t="shared" si="8"/>
        <v>0.0217877228670576</v>
      </c>
      <c r="Z14" s="86"/>
    </row>
    <row r="15" spans="1:26">
      <c r="A15" s="105" t="s">
        <v>37</v>
      </c>
      <c r="B15" s="36">
        <v>603043</v>
      </c>
      <c r="C15" s="106" t="s">
        <v>62</v>
      </c>
      <c r="D15" s="106" t="s">
        <v>63</v>
      </c>
      <c r="E15" s="36">
        <f>SUMIFS(交易对账单!E:E,交易对账单!$D:$D,"证券买入清算",交易对账单!$C:$C,$A15,交易对账单!$A:$A,$C15,交易对账单!$A:$A,$D15)</f>
        <v>400</v>
      </c>
      <c r="F15" s="36">
        <f>SUMIFS(交易对账单!E:E,交易对账单!$D:$D,"证券卖出清算",交易对账单!$C:$C,$A15,交易对账单!$A:$A,$C15,交易对账单!$A:$A,$D15)</f>
        <v>400</v>
      </c>
      <c r="G15" s="36">
        <f t="shared" si="9"/>
        <v>0</v>
      </c>
      <c r="H15" s="36">
        <f>SUMIFS(交易对账单!H:H,交易对账单!$D:$D,"证券买入清算",交易对账单!$C:$C,$A15,交易对账单!$A:$A,$C15,交易对账单!$A:$A,$D15)</f>
        <v>11477</v>
      </c>
      <c r="I15" s="36">
        <f>SUMIFS(交易对账单!I:I,交易对账单!$D:$D,"证券买入清算",交易对账单!$C:$C,$A15,交易对账单!$A:$A,$C15,交易对账单!$A:$A,$D15)</f>
        <v>20</v>
      </c>
      <c r="J15" s="36">
        <f>SUMIFS(交易对账单!K:K,交易对账单!$D:$D,"证券买入清算",交易对账单!$C:$C,$A15,交易对账单!$A:$A,$C15,交易对账单!$A:$A,$D15)</f>
        <v>0.24</v>
      </c>
      <c r="K15" s="62">
        <f t="shared" si="10"/>
        <v>0.00176</v>
      </c>
      <c r="L15" s="36">
        <f>SUMIFS(交易对账单!L:L,交易对账单!C:C,$A15,交易对账单!D:D,L$1,交易对账单!$A:$A,$C15,交易对账单!$A:$A,$D15)</f>
        <v>0</v>
      </c>
      <c r="M15" s="36">
        <f>SUMIFS(交易对账单!H:H,交易对账单!$D:$D,"证券卖出清算",交易对账单!$C:$C,$A15,交易对账单!$A:$A,$C15,交易对账单!$A:$A,$D15)</f>
        <v>11647</v>
      </c>
      <c r="N15" s="36">
        <f>SUMIFS(交易对账单!I:I,交易对账单!$D:$D,"证券卖出清算",交易对账单!$C:$C,$A15,交易对账单!$A:$A,$C15,交易对账单!$A:$A,$D15)</f>
        <v>20</v>
      </c>
      <c r="O15" s="36">
        <f>SUMIFS(交易对账单!J:J,交易对账单!$D:$D,"证券卖出清算",交易对账单!$C:$C,$A15,交易对账单!$A:$A,$C15,交易对账单!$A:$A,$D15)</f>
        <v>11.65</v>
      </c>
      <c r="P15" s="36">
        <f>SUMIFS(交易对账单!K:K,交易对账单!$D:$D,"证券卖出清算",交易对账单!$C:$C,$A15,交易对账单!$A:$A,$C15,交易对账单!$A:$A,$D15)</f>
        <v>0.24</v>
      </c>
      <c r="Q15" s="62">
        <f t="shared" si="11"/>
        <v>0.00274</v>
      </c>
      <c r="R15" s="36">
        <f>SUMIFS(交易对账单!L:L,交易对账单!C:C,$A15,交易对账单!D:D,R$1,交易对账单!$A:$A,$C15,交易对账单!$A:$A,$D15)</f>
        <v>0</v>
      </c>
      <c r="S15" s="36">
        <f t="shared" si="12"/>
        <v>52.13</v>
      </c>
      <c r="T15" s="36">
        <f t="shared" si="13"/>
        <v>0.0045</v>
      </c>
      <c r="U15" s="36">
        <f t="shared" si="7"/>
        <v>117.87</v>
      </c>
      <c r="V15" s="125" t="str">
        <f t="shared" si="14"/>
        <v/>
      </c>
      <c r="X15" s="36">
        <f t="shared" si="15"/>
        <v>117.87</v>
      </c>
      <c r="Y15" s="86">
        <f t="shared" si="8"/>
        <v>0.0102701054282478</v>
      </c>
      <c r="Z15" s="86"/>
    </row>
    <row r="16" spans="1:26">
      <c r="A16" s="105" t="s">
        <v>38</v>
      </c>
      <c r="B16" s="36">
        <v>600588</v>
      </c>
      <c r="C16" s="106" t="s">
        <v>62</v>
      </c>
      <c r="D16" s="106" t="s">
        <v>63</v>
      </c>
      <c r="E16" s="36">
        <f>SUMIFS(交易对账单!E:E,交易对账单!$D:$D,"证券买入清算",交易对账单!$C:$C,$A16,交易对账单!$A:$A,$C16,交易对账单!$A:$A,$D16)</f>
        <v>100</v>
      </c>
      <c r="F16" s="36">
        <f>SUMIFS(交易对账单!E:E,交易对账单!$D:$D,"证券卖出清算",交易对账单!$C:$C,$A16,交易对账单!$A:$A,$C16,交易对账单!$A:$A,$D16)</f>
        <v>100</v>
      </c>
      <c r="G16" s="36">
        <f t="shared" si="9"/>
        <v>0</v>
      </c>
      <c r="H16" s="36">
        <f>SUMIFS(交易对账单!H:H,交易对账单!$D:$D,"证券买入清算",交易对账单!$C:$C,$A16,交易对账单!$A:$A,$C16,交易对账单!$A:$A,$D16)</f>
        <v>3256</v>
      </c>
      <c r="I16" s="36">
        <f>SUMIFS(交易对账单!I:I,交易对账单!$D:$D,"证券买入清算",交易对账单!$C:$C,$A16,交易对账单!$A:$A,$C16,交易对账单!$A:$A,$D16)</f>
        <v>5</v>
      </c>
      <c r="J16" s="36">
        <f>SUMIFS(交易对账单!K:K,交易对账单!$D:$D,"证券买入清算",交易对账单!$C:$C,$A16,交易对账单!$A:$A,$C16,交易对账单!$A:$A,$D16)</f>
        <v>0.07</v>
      </c>
      <c r="K16" s="62">
        <f t="shared" si="10"/>
        <v>0.00156</v>
      </c>
      <c r="L16" s="36">
        <f>SUMIFS(交易对账单!L:L,交易对账单!C:C,$A16,交易对账单!D:D,L$1,交易对账单!$A:$A,$C16,交易对账单!$A:$A,$D16)</f>
        <v>0</v>
      </c>
      <c r="M16" s="36">
        <f>SUMIFS(交易对账单!H:H,交易对账单!$D:$D,"证券卖出清算",交易对账单!$C:$C,$A16,交易对账单!$A:$A,$C16,交易对账单!$A:$A,$D16)</f>
        <v>3268</v>
      </c>
      <c r="N16" s="36">
        <f>SUMIFS(交易对账单!I:I,交易对账单!$D:$D,"证券卖出清算",交易对账单!$C:$C,$A16,交易对账单!$A:$A,$C16,交易对账单!$A:$A,$D16)</f>
        <v>5</v>
      </c>
      <c r="O16" s="36">
        <f>SUMIFS(交易对账单!J:J,交易对账单!$D:$D,"证券卖出清算",交易对账单!$C:$C,$A16,交易对账单!$A:$A,$C16,交易对账单!$A:$A,$D16)</f>
        <v>3.27</v>
      </c>
      <c r="P16" s="36">
        <f>SUMIFS(交易对账单!K:K,交易对账单!$D:$D,"证券卖出清算",交易对账单!$C:$C,$A16,交易对账单!$A:$A,$C16,交易对账单!$A:$A,$D16)</f>
        <v>0.0700000000000003</v>
      </c>
      <c r="Q16" s="62">
        <f t="shared" si="11"/>
        <v>0.00255</v>
      </c>
      <c r="R16" s="36">
        <f>SUMIFS(交易对账单!L:L,交易对账单!C:C,$A16,交易对账单!D:D,R$1,交易对账单!$A:$A,$C16,交易对账单!$A:$A,$D16)</f>
        <v>0</v>
      </c>
      <c r="S16" s="36">
        <f t="shared" si="12"/>
        <v>13.41</v>
      </c>
      <c r="T16" s="36">
        <f t="shared" si="13"/>
        <v>0.00411</v>
      </c>
      <c r="U16" s="36">
        <f t="shared" si="7"/>
        <v>-1.41</v>
      </c>
      <c r="V16" s="125" t="str">
        <f t="shared" si="14"/>
        <v/>
      </c>
      <c r="X16" s="36">
        <f t="shared" si="15"/>
        <v>-1.41</v>
      </c>
      <c r="Y16" s="86">
        <f t="shared" si="8"/>
        <v>-0.000433046683046683</v>
      </c>
      <c r="Z16" s="86"/>
    </row>
    <row r="17" spans="1:26">
      <c r="A17" s="105" t="s">
        <v>39</v>
      </c>
      <c r="B17" s="166" t="s">
        <v>73</v>
      </c>
      <c r="C17" s="106" t="s">
        <v>62</v>
      </c>
      <c r="D17" s="106" t="s">
        <v>74</v>
      </c>
      <c r="E17" s="36">
        <f>SUMIFS(交易对账单!E:E,交易对账单!$D:$D,"证券买入清算",交易对账单!$C:$C,$A17,交易对账单!$A:$A,$C17,交易对账单!$A:$A,$D17)</f>
        <v>400</v>
      </c>
      <c r="F17" s="36">
        <f>SUMIFS(交易对账单!E:E,交易对账单!$D:$D,"证券卖出清算",交易对账单!$C:$C,$A17,交易对账单!$A:$A,$C17,交易对账单!$A:$A,$D17)</f>
        <v>400</v>
      </c>
      <c r="G17" s="36">
        <f t="shared" si="9"/>
        <v>0</v>
      </c>
      <c r="H17" s="36">
        <f>SUMIFS(交易对账单!H:H,交易对账单!$D:$D,"证券买入清算",交易对账单!$C:$C,$A17,交易对账单!$A:$A,$C17,交易对账单!$A:$A,$D17)</f>
        <v>13548</v>
      </c>
      <c r="I17" s="36">
        <f>SUMIFS(交易对账单!I:I,交易对账单!$D:$D,"证券买入清算",交易对账单!$C:$C,$A17,交易对账单!$A:$A,$C17,交易对账单!$A:$A,$D17)</f>
        <v>20</v>
      </c>
      <c r="J17" s="36">
        <f>SUMIFS(交易对账单!K:K,交易对账单!$D:$D,"证券买入清算",交易对账单!$C:$C,$A17,交易对账单!$A:$A,$C17,交易对账单!$A:$A,$D17)</f>
        <v>0.27</v>
      </c>
      <c r="K17" s="62">
        <f t="shared" si="10"/>
        <v>0.0015</v>
      </c>
      <c r="L17" s="36">
        <f>SUMIFS(交易对账单!L:L,交易对账单!C:C,$A17,交易对账单!D:D,L$1,交易对账单!$A:$A,$C17,交易对账单!$A:$A,$D17)</f>
        <v>0</v>
      </c>
      <c r="M17" s="36">
        <f>SUMIFS(交易对账单!H:H,交易对账单!$D:$D,"证券卖出清算",交易对账单!$C:$C,$A17,交易对账单!$A:$A,$C17,交易对账单!$A:$A,$D17)</f>
        <v>14153</v>
      </c>
      <c r="N17" s="36">
        <f>SUMIFS(交易对账单!I:I,交易对账单!$D:$D,"证券卖出清算",交易对账单!$C:$C,$A17,交易对账单!$A:$A,$C17,交易对账单!$A:$A,$D17)</f>
        <v>20</v>
      </c>
      <c r="O17" s="36">
        <f>SUMIFS(交易对账单!J:J,交易对账单!$D:$D,"证券卖出清算",交易对账单!$C:$C,$A17,交易对账单!$A:$A,$C17,交易对账单!$A:$A,$D17)</f>
        <v>14.15</v>
      </c>
      <c r="P17" s="36">
        <f>SUMIFS(交易对账单!K:K,交易对账单!$D:$D,"证券卖出清算",交易对账单!$C:$C,$A17,交易对账单!$A:$A,$C17,交易对账单!$A:$A,$D17)</f>
        <v>0.28</v>
      </c>
      <c r="Q17" s="62">
        <f t="shared" si="11"/>
        <v>0.00243</v>
      </c>
      <c r="R17" s="36">
        <f>SUMIFS(交易对账单!L:L,交易对账单!C:C,$A17,交易对账单!D:D,R$1,交易对账单!$A:$A,$C17,交易对账单!$A:$A,$D17)</f>
        <v>0</v>
      </c>
      <c r="S17" s="36">
        <f t="shared" si="12"/>
        <v>54.7</v>
      </c>
      <c r="T17" s="36">
        <f t="shared" si="13"/>
        <v>0.00393</v>
      </c>
      <c r="U17" s="36">
        <f t="shared" si="7"/>
        <v>550.3</v>
      </c>
      <c r="V17" s="125" t="str">
        <f t="shared" si="14"/>
        <v/>
      </c>
      <c r="X17" s="36">
        <f t="shared" si="15"/>
        <v>550.3</v>
      </c>
      <c r="Y17" s="86">
        <f t="shared" si="8"/>
        <v>0.0406185414821376</v>
      </c>
      <c r="Z17" s="86"/>
    </row>
    <row r="18" spans="1:26">
      <c r="A18" s="105" t="s">
        <v>39</v>
      </c>
      <c r="B18" s="166" t="s">
        <v>73</v>
      </c>
      <c r="C18" s="106" t="s">
        <v>75</v>
      </c>
      <c r="D18" s="106" t="s">
        <v>66</v>
      </c>
      <c r="E18" s="36">
        <f>SUMIFS(交易对账单!E:E,交易对账单!$D:$D,"证券买入清算",交易对账单!$C:$C,$A18,交易对账单!$A:$A,$C18,交易对账单!$A:$A,$D18)</f>
        <v>200</v>
      </c>
      <c r="F18" s="36">
        <f>SUMIFS(交易对账单!E:E,交易对账单!$D:$D,"证券卖出清算",交易对账单!$C:$C,$A18,交易对账单!$A:$A,$C18,交易对账单!$A:$A,$D18)</f>
        <v>0</v>
      </c>
      <c r="G18" s="36">
        <f t="shared" si="9"/>
        <v>200</v>
      </c>
      <c r="H18" s="36">
        <f>SUMIFS(交易对账单!H:H,交易对账单!$D:$D,"证券买入清算",交易对账单!$C:$C,$A18,交易对账单!$A:$A,$C18,交易对账单!$A:$A,$D18)</f>
        <v>6034</v>
      </c>
      <c r="I18" s="36">
        <f>SUMIFS(交易对账单!I:I,交易对账单!$D:$D,"证券买入清算",交易对账单!$C:$C,$A18,交易对账单!$A:$A,$C18,交易对账单!$A:$A,$D18)</f>
        <v>10</v>
      </c>
      <c r="J18" s="36">
        <f>SUMIFS(交易对账单!K:K,交易对账单!$D:$D,"证券买入清算",交易对账单!$C:$C,$A18,交易对账单!$A:$A,$C18,交易对账单!$A:$A,$D18)</f>
        <v>0.12</v>
      </c>
      <c r="K18" s="62">
        <f t="shared" si="10"/>
        <v>0.00168</v>
      </c>
      <c r="L18" s="36">
        <f>SUMIFS(交易对账单!L:L,交易对账单!C:C,$A18,交易对账单!D:D,L$1,交易对账单!$A:$A,$C18,交易对账单!$A:$A,$D18)</f>
        <v>0</v>
      </c>
      <c r="M18" s="36">
        <f>SUMIFS(交易对账单!H:H,交易对账单!$D:$D,"证券卖出清算",交易对账单!$C:$C,$A18,交易对账单!$A:$A,$C18,交易对账单!$A:$A,$D18)</f>
        <v>0</v>
      </c>
      <c r="N18" s="36">
        <f>SUMIFS(交易对账单!I:I,交易对账单!$D:$D,"证券卖出清算",交易对账单!$C:$C,$A18,交易对账单!$A:$A,$C18,交易对账单!$A:$A,$D18)</f>
        <v>0</v>
      </c>
      <c r="O18" s="36">
        <f>SUMIFS(交易对账单!J:J,交易对账单!$D:$D,"证券卖出清算",交易对账单!$C:$C,$A18,交易对账单!$A:$A,$C18,交易对账单!$A:$A,$D18)</f>
        <v>0</v>
      </c>
      <c r="P18" s="36">
        <f>SUMIFS(交易对账单!K:K,交易对账单!$D:$D,"证券卖出清算",交易对账单!$C:$C,$A18,交易对账单!$A:$A,$C18,交易对账单!$A:$A,$D18)</f>
        <v>0</v>
      </c>
      <c r="Q18" s="62">
        <f t="shared" si="11"/>
        <v>0</v>
      </c>
      <c r="R18" s="36">
        <f>SUMIFS(交易对账单!L:L,交易对账单!C:C,$A18,交易对账单!D:D,R$1,交易对账单!$A:$A,$C18,交易对账单!$A:$A,$D18)</f>
        <v>0</v>
      </c>
      <c r="S18" s="36">
        <f t="shared" si="12"/>
        <v>10.12</v>
      </c>
      <c r="T18" s="36">
        <f t="shared" si="13"/>
        <v>0.00168</v>
      </c>
      <c r="U18" s="36">
        <f t="shared" si="7"/>
        <v>-6044.12</v>
      </c>
      <c r="V18" s="125">
        <f t="shared" si="14"/>
        <v>-30.221</v>
      </c>
      <c r="W18" s="36">
        <v>29.95</v>
      </c>
      <c r="X18" s="36">
        <f t="shared" si="15"/>
        <v>-54.12</v>
      </c>
      <c r="Y18" s="86">
        <f t="shared" si="8"/>
        <v>-0.00896917467683129</v>
      </c>
      <c r="Z18" s="86"/>
    </row>
    <row r="19" spans="1:26">
      <c r="A19" s="105" t="s">
        <v>40</v>
      </c>
      <c r="B19" s="166" t="s">
        <v>76</v>
      </c>
      <c r="C19" s="106" t="s">
        <v>62</v>
      </c>
      <c r="D19" s="106" t="s">
        <v>63</v>
      </c>
      <c r="E19" s="36">
        <f>SUMIFS(交易对账单!E:E,交易对账单!$D:$D,"证券买入清算",交易对账单!$C:$C,$A19,交易对账单!$A:$A,$C19,交易对账单!$A:$A,$D19)</f>
        <v>300</v>
      </c>
      <c r="F19" s="36">
        <f>SUMIFS(交易对账单!E:E,交易对账单!$D:$D,"证券卖出清算",交易对账单!$C:$C,$A19,交易对账单!$A:$A,$C19,交易对账单!$A:$A,$D19)</f>
        <v>300</v>
      </c>
      <c r="G19" s="36">
        <f t="shared" si="9"/>
        <v>0</v>
      </c>
      <c r="H19" s="36">
        <f>SUMIFS(交易对账单!H:H,交易对账单!$D:$D,"证券买入清算",交易对账单!$C:$C,$A19,交易对账单!$A:$A,$C19,交易对账单!$A:$A,$D19)</f>
        <v>9187</v>
      </c>
      <c r="I19" s="36">
        <f>SUMIFS(交易对账单!I:I,交易对账单!$D:$D,"证券买入清算",交易对账单!$C:$C,$A19,交易对账单!$A:$A,$C19,交易对账单!$A:$A,$D19)</f>
        <v>15</v>
      </c>
      <c r="J19" s="36">
        <f>SUMIFS(交易对账单!K:K,交易对账单!$D:$D,"证券买入清算",交易对账单!$C:$C,$A19,交易对账单!$A:$A,$C19,交易对账单!$A:$A,$D19)</f>
        <v>0</v>
      </c>
      <c r="K19" s="62">
        <f t="shared" si="10"/>
        <v>0.00163</v>
      </c>
      <c r="L19" s="36">
        <f>SUMIFS(交易对账单!L:L,交易对账单!C:C,$A19,交易对账单!D:D,L$1,交易对账单!$A:$A,$C19,交易对账单!$A:$A,$D19)</f>
        <v>0</v>
      </c>
      <c r="M19" s="36">
        <f>SUMIFS(交易对账单!H:H,交易对账单!$D:$D,"证券卖出清算",交易对账单!$C:$C,$A19,交易对账单!$A:$A,$C19,交易对账单!$A:$A,$D19)</f>
        <v>9231</v>
      </c>
      <c r="N19" s="36">
        <f>SUMIFS(交易对账单!I:I,交易对账单!$D:$D,"证券卖出清算",交易对账单!$C:$C,$A19,交易对账单!$A:$A,$C19,交易对账单!$A:$A,$D19)</f>
        <v>15</v>
      </c>
      <c r="O19" s="36">
        <f>SUMIFS(交易对账单!J:J,交易对账单!$D:$D,"证券卖出清算",交易对账单!$C:$C,$A19,交易对账单!$A:$A,$C19,交易对账单!$A:$A,$D19)</f>
        <v>9.24</v>
      </c>
      <c r="P19" s="36">
        <f>SUMIFS(交易对账单!K:K,交易对账单!$D:$D,"证券卖出清算",交易对账单!$C:$C,$A19,交易对账单!$A:$A,$C19,交易对账单!$A:$A,$D19)</f>
        <v>0</v>
      </c>
      <c r="Q19" s="62">
        <f t="shared" si="11"/>
        <v>0.00263</v>
      </c>
      <c r="R19" s="36">
        <f>SUMIFS(交易对账单!L:L,交易对账单!C:C,$A19,交易对账单!D:D,R$1,交易对账单!$A:$A,$C19,交易对账单!$A:$A,$D19)</f>
        <v>0</v>
      </c>
      <c r="S19" s="36">
        <f t="shared" si="12"/>
        <v>39.24</v>
      </c>
      <c r="T19" s="36">
        <f t="shared" si="13"/>
        <v>0.00426</v>
      </c>
      <c r="U19" s="36">
        <f t="shared" si="7"/>
        <v>4.76</v>
      </c>
      <c r="V19" s="125" t="str">
        <f t="shared" si="14"/>
        <v/>
      </c>
      <c r="X19" s="36">
        <f t="shared" si="15"/>
        <v>4.76</v>
      </c>
      <c r="Y19" s="86">
        <f t="shared" si="8"/>
        <v>0.000518123435288995</v>
      </c>
      <c r="Z19" s="86"/>
    </row>
    <row r="20" spans="1:26">
      <c r="A20" s="105" t="s">
        <v>41</v>
      </c>
      <c r="B20" s="166" t="s">
        <v>77</v>
      </c>
      <c r="C20" s="106" t="s">
        <v>62</v>
      </c>
      <c r="D20" s="106" t="s">
        <v>63</v>
      </c>
      <c r="E20" s="36">
        <f>SUMIFS(交易对账单!E:E,交易对账单!$D:$D,"证券买入清算",交易对账单!$C:$C,$A20,交易对账单!$A:$A,$C20,交易对账单!$A:$A,$D20)</f>
        <v>100</v>
      </c>
      <c r="F20" s="36">
        <f>SUMIFS(交易对账单!E:E,交易对账单!$D:$D,"证券卖出清算",交易对账单!$C:$C,$A20,交易对账单!$A:$A,$C20,交易对账单!$A:$A,$D20)</f>
        <v>100</v>
      </c>
      <c r="G20" s="36">
        <f t="shared" si="9"/>
        <v>0</v>
      </c>
      <c r="H20" s="36">
        <f>SUMIFS(交易对账单!H:H,交易对账单!$D:$D,"证券买入清算",交易对账单!$C:$C,$A20,交易对账单!$A:$A,$C20,交易对账单!$A:$A,$D20)</f>
        <v>4520</v>
      </c>
      <c r="I20" s="36">
        <f>SUMIFS(交易对账单!I:I,交易对账单!$D:$D,"证券买入清算",交易对账单!$C:$C,$A20,交易对账单!$A:$A,$C20,交易对账单!$A:$A,$D20)</f>
        <v>5</v>
      </c>
      <c r="J20" s="36">
        <f>SUMIFS(交易对账单!K:K,交易对账单!$D:$D,"证券买入清算",交易对账单!$C:$C,$A20,交易对账单!$A:$A,$C20,交易对账单!$A:$A,$D20)</f>
        <v>0.09</v>
      </c>
      <c r="K20" s="62">
        <f t="shared" si="10"/>
        <v>0.00113</v>
      </c>
      <c r="L20" s="36">
        <f>SUMIFS(交易对账单!L:L,交易对账单!C:C,$A20,交易对账单!D:D,L$1,交易对账单!$A:$A,$C20,交易对账单!$A:$A,$D20)</f>
        <v>0</v>
      </c>
      <c r="M20" s="36">
        <f>SUMIFS(交易对账单!H:H,交易对账单!$D:$D,"证券卖出清算",交易对账单!$C:$C,$A20,交易对账单!$A:$A,$C20,交易对账单!$A:$A,$D20)</f>
        <v>4549</v>
      </c>
      <c r="N20" s="36">
        <f>SUMIFS(交易对账单!I:I,交易对账单!$D:$D,"证券卖出清算",交易对账单!$C:$C,$A20,交易对账单!$A:$A,$C20,交易对账单!$A:$A,$D20)</f>
        <v>5</v>
      </c>
      <c r="O20" s="36">
        <f>SUMIFS(交易对账单!J:J,交易对账单!$D:$D,"证券卖出清算",交易对账单!$C:$C,$A20,交易对账单!$A:$A,$C20,交易对账单!$A:$A,$D20)</f>
        <v>4.55</v>
      </c>
      <c r="P20" s="36">
        <f>SUMIFS(交易对账单!K:K,交易对账单!$D:$D,"证券卖出清算",交易对账单!$C:$C,$A20,交易对账单!$A:$A,$C20,交易对账单!$A:$A,$D20)</f>
        <v>0.0899999999999999</v>
      </c>
      <c r="Q20" s="62">
        <f t="shared" si="11"/>
        <v>0.00212</v>
      </c>
      <c r="R20" s="36">
        <f>SUMIFS(交易对账单!L:L,交易对账单!C:C,$A20,交易对账单!D:D,R$1,交易对账单!$A:$A,$C20,交易对账单!$A:$A,$D20)</f>
        <v>0</v>
      </c>
      <c r="S20" s="36">
        <f t="shared" si="12"/>
        <v>14.73</v>
      </c>
      <c r="T20" s="36">
        <f t="shared" si="13"/>
        <v>0.00325</v>
      </c>
      <c r="U20" s="36">
        <f t="shared" si="7"/>
        <v>14.27</v>
      </c>
      <c r="V20" s="125" t="str">
        <f t="shared" si="14"/>
        <v/>
      </c>
      <c r="X20" s="36">
        <f t="shared" si="15"/>
        <v>14.27</v>
      </c>
      <c r="Y20" s="86">
        <f t="shared" si="8"/>
        <v>0.0031570796460177</v>
      </c>
      <c r="Z20" s="86"/>
    </row>
    <row r="21" spans="1:26">
      <c r="A21" s="107" t="s">
        <v>42</v>
      </c>
      <c r="B21" s="166" t="s">
        <v>78</v>
      </c>
      <c r="C21" s="106" t="s">
        <v>62</v>
      </c>
      <c r="D21" s="106" t="s">
        <v>63</v>
      </c>
      <c r="E21" s="36">
        <f>SUMIFS(交易对账单!E:E,交易对账单!$D:$D,"证券买入清算",交易对账单!$C:$C,$A21,交易对账单!$A:$A,$C21,交易对账单!$A:$A,$D21)</f>
        <v>100</v>
      </c>
      <c r="F21" s="36">
        <f>SUMIFS(交易对账单!E:E,交易对账单!$D:$D,"证券卖出清算",交易对账单!$C:$C,$A21,交易对账单!$A:$A,$C21,交易对账单!$A:$A,$D21)</f>
        <v>100</v>
      </c>
      <c r="G21" s="36">
        <f t="shared" si="9"/>
        <v>0</v>
      </c>
      <c r="H21" s="36">
        <f>SUMIFS(交易对账单!H:H,交易对账单!$D:$D,"证券买入清算",交易对账单!$C:$C,$A21,交易对账单!$A:$A,$C21,交易对账单!$A:$A,$D21)</f>
        <v>3938</v>
      </c>
      <c r="I21" s="36">
        <f>SUMIFS(交易对账单!I:I,交易对账单!$D:$D,"证券买入清算",交易对账单!$C:$C,$A21,交易对账单!$A:$A,$C21,交易对账单!$A:$A,$D21)</f>
        <v>5</v>
      </c>
      <c r="J21" s="36">
        <f>SUMIFS(交易对账单!K:K,交易对账单!$D:$D,"证券买入清算",交易对账单!$C:$C,$A21,交易对账单!$A:$A,$C21,交易对账单!$A:$A,$D21)</f>
        <v>0</v>
      </c>
      <c r="K21" s="62">
        <f t="shared" si="10"/>
        <v>0.00127</v>
      </c>
      <c r="L21" s="36">
        <f>SUMIFS(交易对账单!L:L,交易对账单!C:C,$A21,交易对账单!D:D,L$1,交易对账单!$A:$A,$C21,交易对账单!$A:$A,$D21)</f>
        <v>0</v>
      </c>
      <c r="M21" s="36">
        <f>SUMIFS(交易对账单!H:H,交易对账单!$D:$D,"证券卖出清算",交易对账单!$C:$C,$A21,交易对账单!$A:$A,$C21,交易对账单!$A:$A,$D21)</f>
        <v>3300</v>
      </c>
      <c r="N21" s="36">
        <f>SUMIFS(交易对账单!I:I,交易对账单!$D:$D,"证券卖出清算",交易对账单!$C:$C,$A21,交易对账单!$A:$A,$C21,交易对账单!$A:$A,$D21)</f>
        <v>5</v>
      </c>
      <c r="O21" s="36">
        <f>SUMIFS(交易对账单!J:J,交易对账单!$D:$D,"证券卖出清算",交易对账单!$C:$C,$A21,交易对账单!$A:$A,$C21,交易对账单!$A:$A,$D21)</f>
        <v>3.3</v>
      </c>
      <c r="P21" s="36">
        <f>SUMIFS(交易对账单!K:K,交易对账单!$D:$D,"证券卖出清算",交易对账单!$C:$C,$A21,交易对账单!$A:$A,$C21,交易对账单!$A:$A,$D21)</f>
        <v>0</v>
      </c>
      <c r="Q21" s="62">
        <f t="shared" si="11"/>
        <v>0.00252</v>
      </c>
      <c r="R21" s="36">
        <f>SUMIFS(交易对账单!L:L,交易对账单!C:C,$A21,交易对账单!D:D,R$1,交易对账单!$A:$A,$C21,交易对账单!$A:$A,$D21)</f>
        <v>0</v>
      </c>
      <c r="S21" s="36">
        <f t="shared" si="12"/>
        <v>13.3</v>
      </c>
      <c r="T21" s="36">
        <f t="shared" si="13"/>
        <v>0.00379</v>
      </c>
      <c r="U21" s="36">
        <f t="shared" si="7"/>
        <v>-651.3</v>
      </c>
      <c r="V21" s="125" t="str">
        <f t="shared" si="14"/>
        <v/>
      </c>
      <c r="X21" s="126">
        <f t="shared" si="15"/>
        <v>-651.3</v>
      </c>
      <c r="Y21" s="86">
        <f t="shared" si="8"/>
        <v>-0.165388522092433</v>
      </c>
      <c r="Z21" s="86"/>
    </row>
    <row r="22" spans="1:26">
      <c r="A22" s="105" t="s">
        <v>43</v>
      </c>
      <c r="B22" s="166" t="s">
        <v>79</v>
      </c>
      <c r="C22" s="106" t="s">
        <v>62</v>
      </c>
      <c r="D22" s="106" t="s">
        <v>63</v>
      </c>
      <c r="E22" s="36">
        <f>SUMIFS(交易对账单!E:E,交易对账单!$D:$D,"证券买入清算",交易对账单!$C:$C,$A22,交易对账单!$A:$A,$C22,交易对账单!$A:$A,$D22)</f>
        <v>200</v>
      </c>
      <c r="F22" s="36">
        <f>SUMIFS(交易对账单!E:E,交易对账单!$D:$D,"证券卖出清算",交易对账单!$C:$C,$A22,交易对账单!$A:$A,$C22,交易对账单!$A:$A,$D22)</f>
        <v>200</v>
      </c>
      <c r="G22" s="36">
        <f t="shared" si="9"/>
        <v>0</v>
      </c>
      <c r="H22" s="36">
        <f>SUMIFS(交易对账单!H:H,交易对账单!$D:$D,"证券买入清算",交易对账单!$C:$C,$A22,交易对账单!$A:$A,$C22,交易对账单!$A:$A,$D22)</f>
        <v>4867</v>
      </c>
      <c r="I22" s="36">
        <f>SUMIFS(交易对账单!I:I,交易对账单!$D:$D,"证券买入清算",交易对账单!$C:$C,$A22,交易对账单!$A:$A,$C22,交易对账单!$A:$A,$D22)</f>
        <v>10</v>
      </c>
      <c r="J22" s="36">
        <f>SUMIFS(交易对账单!K:K,交易对账单!$D:$D,"证券买入清算",交易对账单!$C:$C,$A22,交易对账单!$A:$A,$C22,交易对账单!$A:$A,$D22)</f>
        <v>0</v>
      </c>
      <c r="K22" s="62">
        <f t="shared" si="10"/>
        <v>0.00205</v>
      </c>
      <c r="L22" s="36">
        <f>SUMIFS(交易对账单!L:L,交易对账单!C:C,$A22,交易对账单!D:D,L$1,交易对账单!$A:$A,$C22,交易对账单!$A:$A,$D22)</f>
        <v>0</v>
      </c>
      <c r="M22" s="36">
        <f>SUMIFS(交易对账单!H:H,交易对账单!$D:$D,"证券卖出清算",交易对账单!$C:$C,$A22,交易对账单!$A:$A,$C22,交易对账单!$A:$A,$D22)</f>
        <v>4901</v>
      </c>
      <c r="N22" s="36">
        <f>SUMIFS(交易对账单!I:I,交易对账单!$D:$D,"证券卖出清算",交易对账单!$C:$C,$A22,交易对账单!$A:$A,$C22,交易对账单!$A:$A,$D22)</f>
        <v>10</v>
      </c>
      <c r="O22" s="36">
        <f>SUMIFS(交易对账单!J:J,交易对账单!$D:$D,"证券卖出清算",交易对账单!$C:$C,$A22,交易对账单!$A:$A,$C22,交易对账单!$A:$A,$D22)</f>
        <v>4.91</v>
      </c>
      <c r="P22" s="36">
        <f>SUMIFS(交易对账单!K:K,交易对账单!$D:$D,"证券卖出清算",交易对账单!$C:$C,$A22,交易对账单!$A:$A,$C22,交易对账单!$A:$A,$D22)</f>
        <v>0</v>
      </c>
      <c r="Q22" s="62">
        <f t="shared" si="11"/>
        <v>0.00304</v>
      </c>
      <c r="R22" s="36">
        <f>SUMIFS(交易对账单!L:L,交易对账单!C:C,$A22,交易对账单!D:D,R$1,交易对账单!$A:$A,$C22,交易对账单!$A:$A,$D22)</f>
        <v>0</v>
      </c>
      <c r="S22" s="36">
        <f t="shared" si="12"/>
        <v>24.91</v>
      </c>
      <c r="T22" s="36">
        <f t="shared" si="13"/>
        <v>0.00509</v>
      </c>
      <c r="U22" s="36">
        <f t="shared" si="7"/>
        <v>9.09</v>
      </c>
      <c r="V22" s="125" t="str">
        <f t="shared" si="14"/>
        <v/>
      </c>
      <c r="X22" s="36">
        <f t="shared" si="15"/>
        <v>9.09</v>
      </c>
      <c r="Y22" s="86">
        <f t="shared" si="8"/>
        <v>0.00186768029587015</v>
      </c>
      <c r="Z22" s="86"/>
    </row>
    <row r="23" spans="1:22">
      <c r="A23" s="17"/>
      <c r="V23" s="125"/>
    </row>
    <row r="24" spans="1:22">
      <c r="A24" s="17"/>
      <c r="V24" s="125"/>
    </row>
    <row r="25" spans="1:22">
      <c r="A25" s="17"/>
      <c r="V25" s="125"/>
    </row>
    <row r="26" spans="1:22">
      <c r="A26" s="17"/>
      <c r="V26" s="125"/>
    </row>
    <row r="27" spans="1:22">
      <c r="A27" s="17"/>
      <c r="V27" s="125"/>
    </row>
    <row r="28" spans="1:26">
      <c r="A28" s="108" t="s">
        <v>80</v>
      </c>
      <c r="B28" s="109"/>
      <c r="C28" s="109"/>
      <c r="D28" s="109"/>
      <c r="E28" s="108"/>
      <c r="F28" s="110"/>
      <c r="G28" s="108"/>
      <c r="H28" s="110"/>
      <c r="I28" s="108"/>
      <c r="J28" s="110" t="s">
        <v>81</v>
      </c>
      <c r="K28" s="108">
        <f>U28-L28</f>
        <v>-51930.75</v>
      </c>
      <c r="L28" s="108">
        <f>SUM(L3:L27)</f>
        <v>173.65</v>
      </c>
      <c r="M28" s="108"/>
      <c r="N28" s="108"/>
      <c r="O28" s="108"/>
      <c r="P28" s="108"/>
      <c r="Q28" s="108"/>
      <c r="R28" s="108"/>
      <c r="S28" s="108"/>
      <c r="T28" s="108"/>
      <c r="U28" s="108">
        <f>SUM(U3:U27)</f>
        <v>-51757.1</v>
      </c>
      <c r="V28" s="108"/>
      <c r="W28" s="108"/>
      <c r="X28" s="108">
        <f>SUM(X3:X27)</f>
        <v>355.9</v>
      </c>
      <c r="Y28" s="108">
        <f>X28+Z28</f>
        <v>355.9</v>
      </c>
      <c r="Z28" s="127"/>
    </row>
    <row r="32" spans="1:25">
      <c r="A32" s="111" t="s">
        <v>82</v>
      </c>
      <c r="B32" s="111" t="s">
        <v>83</v>
      </c>
      <c r="C32" s="111" t="s">
        <v>49</v>
      </c>
      <c r="D32" s="111" t="s">
        <v>50</v>
      </c>
      <c r="E32" s="101" t="s">
        <v>51</v>
      </c>
      <c r="F32" s="101"/>
      <c r="G32" s="101"/>
      <c r="H32" s="102" t="s">
        <v>52</v>
      </c>
      <c r="I32" s="102"/>
      <c r="J32" s="102"/>
      <c r="K32" s="115"/>
      <c r="L32" s="116" t="s">
        <v>11</v>
      </c>
      <c r="M32" s="101" t="s">
        <v>53</v>
      </c>
      <c r="N32" s="101"/>
      <c r="O32" s="101"/>
      <c r="P32" s="101"/>
      <c r="Q32" s="101"/>
      <c r="R32" s="116" t="s">
        <v>44</v>
      </c>
      <c r="S32" s="118" t="s">
        <v>12</v>
      </c>
      <c r="T32" s="118" t="s">
        <v>54</v>
      </c>
      <c r="U32" s="119" t="s">
        <v>55</v>
      </c>
      <c r="V32" s="120" t="s">
        <v>56</v>
      </c>
      <c r="W32" s="121" t="s">
        <v>57</v>
      </c>
      <c r="X32" s="122" t="s">
        <v>58</v>
      </c>
      <c r="Y32" s="122" t="s">
        <v>59</v>
      </c>
    </row>
    <row r="33" spans="1:25">
      <c r="A33" s="111"/>
      <c r="B33" s="111"/>
      <c r="C33" s="111"/>
      <c r="D33" s="111"/>
      <c r="E33" s="103" t="s">
        <v>52</v>
      </c>
      <c r="F33" s="103" t="s">
        <v>53</v>
      </c>
      <c r="G33" s="103" t="s">
        <v>60</v>
      </c>
      <c r="H33" s="104" t="s">
        <v>52</v>
      </c>
      <c r="I33" s="104" t="s">
        <v>8</v>
      </c>
      <c r="J33" s="104" t="s">
        <v>10</v>
      </c>
      <c r="K33" s="117" t="s">
        <v>61</v>
      </c>
      <c r="L33" s="116"/>
      <c r="M33" s="103" t="s">
        <v>53</v>
      </c>
      <c r="N33" s="103" t="s">
        <v>8</v>
      </c>
      <c r="O33" s="103" t="s">
        <v>9</v>
      </c>
      <c r="P33" s="103" t="s">
        <v>10</v>
      </c>
      <c r="Q33" s="123" t="s">
        <v>61</v>
      </c>
      <c r="R33" s="116"/>
      <c r="S33" s="118"/>
      <c r="T33" s="118"/>
      <c r="U33" s="119"/>
      <c r="V33" s="120"/>
      <c r="W33" s="121"/>
      <c r="X33" s="124"/>
      <c r="Y33" s="124"/>
    </row>
    <row r="34" spans="1:25">
      <c r="A34" s="36" t="s">
        <v>45</v>
      </c>
      <c r="B34" s="36">
        <v>131801</v>
      </c>
      <c r="C34" s="106" t="s">
        <v>75</v>
      </c>
      <c r="D34" s="106" t="s">
        <v>66</v>
      </c>
      <c r="E34" s="36">
        <f t="array" ref="E34">SUM(SUMIFS(交易对账单!E:E,交易对账单!$D:$D,{"证券买入清算","回购融券清算"},交易对账单!$C:$C,$A34,交易对账单!$A:$A,$C34,交易对账单!$A:$A,$D34))</f>
        <v>10</v>
      </c>
      <c r="F34" s="36">
        <f t="array" ref="F34">SUM(SUMIFS(交易对账单!E:E,交易对账单!$D:$D,{"证券卖出清算","融券购回清算"},交易对账单!$C:$C,$A34,交易对账单!$A:$A,$C34,交易对账单!$A:$A,$D34))</f>
        <v>10</v>
      </c>
      <c r="G34" s="36">
        <f>E34-F34</f>
        <v>0</v>
      </c>
      <c r="H34" s="36">
        <f t="array" ref="H34">SUM(SUMIFS(交易对账单!H:H,交易对账单!$D:$D,{"证券买入清算","回购融券清算"},交易对账单!$C:$C,$A34,交易对账单!$A:$A,$C34,交易对账单!$A:$A,$D34))</f>
        <v>1000</v>
      </c>
      <c r="I34" s="36">
        <f t="array" ref="I34">SUM(SUMIFS(交易对账单!I:I,交易对账单!$D:$D,{"证券买入清算","回购融券清算"},交易对账单!$C:$C,$A34,交易对账单!$A:$A,$C34,交易对账单!$A:$A,$D34))</f>
        <v>0.05</v>
      </c>
      <c r="J34" s="36">
        <f t="array" ref="J34">SUM(SUMIFS(交易对账单!K:K,交易对账单!$D:$D,{"证券买入清算","回购融券清算"},交易对账单!$C:$C,$A34,交易对账单!$A:$A,$C34,交易对账单!$A:$A,$D34))</f>
        <v>0</v>
      </c>
      <c r="K34" s="62">
        <f>ROUND(SUM(I34:J34)/H34,5)</f>
        <v>5e-5</v>
      </c>
      <c r="L34" s="36">
        <f>SUMIFS(交易对账单!L:L,交易对账单!C:C,$A34,交易对账单!D:D,L$1,交易对账单!$A:$A,$C34,交易对账单!$A:$A,$D34)</f>
        <v>0</v>
      </c>
      <c r="M34" s="36">
        <f t="array" ref="M34">SUM(SUMIFS(交易对账单!H:H,交易对账单!$D:$D,{"证券卖出清算","融券购回清算"},交易对账单!$C:$C,$A34,交易对账单!$A:$A,$C34,交易对账单!$A:$A,$D34))</f>
        <v>1001.24</v>
      </c>
      <c r="N34" s="36">
        <f t="array" ref="N34">SUM(SUMIFS(交易对账单!I:I,交易对账单!$D:$D,{"证券卖出清算","融券购回清算"},交易对账单!$C:$C,$A34,交易对账单!$A:$A,$C34,交易对账单!$A:$A,$D34))</f>
        <v>0</v>
      </c>
      <c r="O34" s="36">
        <f t="array" ref="O34">SUM(SUMIFS(交易对账单!J:J,交易对账单!$D:$D,{"证券卖出清算","融券购回清算"},交易对账单!$C:$C,$A34,交易对账单!$A:$A,$C34,交易对账单!$A:$A,$D34))</f>
        <v>0</v>
      </c>
      <c r="P34" s="36">
        <f t="array" ref="P34">SUM(SUMIFS(交易对账单!K:K,交易对账单!$D:$D,{"证券卖出清算","融券购回清算"},交易对账单!$C:$C,$A34,交易对账单!$A:$A,$C34,交易对账单!$A:$A,$D34))</f>
        <v>0</v>
      </c>
      <c r="Q34" s="62">
        <f>IFERROR(ROUND(SUM(N34:P34)/M34,5),0)</f>
        <v>0</v>
      </c>
      <c r="R34" s="36">
        <f>SUMIFS(交易对账单!L:L,交易对账单!C:C,$A34,交易对账单!D:D,R$1,交易对账单!$A:$A,$C34,交易对账单!$A:$A,$D34)</f>
        <v>0</v>
      </c>
      <c r="S34" s="36">
        <f>SUM(I34:J34,N34:P34)</f>
        <v>0.05</v>
      </c>
      <c r="T34" s="36">
        <f>K34+Q34</f>
        <v>5e-5</v>
      </c>
      <c r="U34" s="36">
        <f>ROUND(M34-SUM(N34:P34)-SUM(H34:J34)-R34,2)</f>
        <v>1.19</v>
      </c>
      <c r="V34" s="125" t="str">
        <f>IF(G34&gt;0,ROUND(U34/G34,3),"")</f>
        <v/>
      </c>
      <c r="X34" s="36">
        <f>IF(G34=0,U34,ROUND(G34*W34+U34,2))</f>
        <v>1.19</v>
      </c>
      <c r="Y34" s="86">
        <f>IF(E34=F34,X34/SUM(H34,R34),X34/SUM(H34,R34,-M34))</f>
        <v>0.00119</v>
      </c>
    </row>
    <row r="39" spans="1:25">
      <c r="A39" s="112" t="s">
        <v>80</v>
      </c>
      <c r="B39" s="113"/>
      <c r="C39" s="113"/>
      <c r="D39" s="113"/>
      <c r="E39" s="112"/>
      <c r="F39" s="114"/>
      <c r="G39" s="112"/>
      <c r="H39" s="114"/>
      <c r="I39" s="112"/>
      <c r="J39" s="114" t="s">
        <v>81</v>
      </c>
      <c r="K39" s="112">
        <f>U39-L39</f>
        <v>1.19</v>
      </c>
      <c r="L39" s="112">
        <f>SUM(L34:L38)</f>
        <v>0</v>
      </c>
      <c r="M39" s="112"/>
      <c r="N39" s="112"/>
      <c r="O39" s="112"/>
      <c r="P39" s="112"/>
      <c r="Q39" s="112"/>
      <c r="R39" s="112"/>
      <c r="S39" s="112"/>
      <c r="T39" s="112"/>
      <c r="U39" s="112">
        <f>SUM(U34:U38)</f>
        <v>1.19</v>
      </c>
      <c r="V39" s="112"/>
      <c r="W39" s="112"/>
      <c r="X39" s="112">
        <f>SUM(X34:X38)</f>
        <v>1.19</v>
      </c>
      <c r="Y39" s="112"/>
    </row>
  </sheetData>
  <autoFilter ref="A1:Y29">
    <extLst/>
  </autoFilter>
  <mergeCells count="32">
    <mergeCell ref="E1:G1"/>
    <mergeCell ref="H1:K1"/>
    <mergeCell ref="M1:Q1"/>
    <mergeCell ref="E32:G32"/>
    <mergeCell ref="H32:K32"/>
    <mergeCell ref="M32:Q32"/>
    <mergeCell ref="A1:A2"/>
    <mergeCell ref="A32:A33"/>
    <mergeCell ref="B1:B2"/>
    <mergeCell ref="B32:B33"/>
    <mergeCell ref="C1:C2"/>
    <mergeCell ref="C32:C33"/>
    <mergeCell ref="D1:D2"/>
    <mergeCell ref="D32:D33"/>
    <mergeCell ref="L1:L2"/>
    <mergeCell ref="L32:L33"/>
    <mergeCell ref="R1:R2"/>
    <mergeCell ref="R32:R33"/>
    <mergeCell ref="S1:S2"/>
    <mergeCell ref="S32:S33"/>
    <mergeCell ref="T1:T2"/>
    <mergeCell ref="T32:T33"/>
    <mergeCell ref="U1:U2"/>
    <mergeCell ref="U32:U33"/>
    <mergeCell ref="V1:V2"/>
    <mergeCell ref="V32:V33"/>
    <mergeCell ref="W1:W2"/>
    <mergeCell ref="W32:W33"/>
    <mergeCell ref="X1:X2"/>
    <mergeCell ref="X32:X33"/>
    <mergeCell ref="Y1:Y2"/>
    <mergeCell ref="Y32:Y33"/>
  </mergeCells>
  <conditionalFormatting sqref="U28">
    <cfRule type="expression" dxfId="1" priority="16">
      <formula>$G28&gt;0</formula>
    </cfRule>
  </conditionalFormatting>
  <conditionalFormatting sqref="X28">
    <cfRule type="expression" dxfId="1" priority="17">
      <formula>$G28&gt;0</formula>
    </cfRule>
  </conditionalFormatting>
  <conditionalFormatting sqref="Y28">
    <cfRule type="expression" dxfId="1" priority="15">
      <formula>$G28&gt;0</formula>
    </cfRule>
  </conditionalFormatting>
  <conditionalFormatting sqref="C34:X34">
    <cfRule type="expression" dxfId="1" priority="6">
      <formula>$G34&gt;0</formula>
    </cfRule>
  </conditionalFormatting>
  <conditionalFormatting sqref="Y34">
    <cfRule type="expression" dxfId="1" priority="5">
      <formula>$G34&gt;0</formula>
    </cfRule>
  </conditionalFormatting>
  <conditionalFormatting sqref="A39:Z39">
    <cfRule type="expression" dxfId="1" priority="4">
      <formula>$G39&gt;0</formula>
    </cfRule>
  </conditionalFormatting>
  <conditionalFormatting sqref="U39">
    <cfRule type="expression" dxfId="1" priority="2">
      <formula>$G39&gt;0</formula>
    </cfRule>
  </conditionalFormatting>
  <conditionalFormatting sqref="X39">
    <cfRule type="expression" dxfId="1" priority="3">
      <formula>$G39&gt;0</formula>
    </cfRule>
  </conditionalFormatting>
  <conditionalFormatting sqref="Y39">
    <cfRule type="expression" dxfId="1" priority="1">
      <formula>$G39&gt;0</formula>
    </cfRule>
  </conditionalFormatting>
  <conditionalFormatting sqref="Y3:Y22">
    <cfRule type="expression" dxfId="1" priority="12">
      <formula>$G3&gt;0</formula>
    </cfRule>
  </conditionalFormatting>
  <conditionalFormatting sqref="Z8:Z22">
    <cfRule type="expression" dxfId="1" priority="10">
      <formula>$G8&gt;0</formula>
    </cfRule>
  </conditionalFormatting>
  <conditionalFormatting sqref="A3:X3 A4:T8 V4:X8 Z3:Z7 A10:T22 V10:X22 U4:U22 A23:Z27 A28:Y28">
    <cfRule type="expression" dxfId="1" priority="18">
      <formula>$G3&gt;0</formula>
    </cfRule>
  </conditionalFormatting>
  <conditionalFormatting sqref="A9:T9 V9:X9">
    <cfRule type="expression" dxfId="1" priority="13">
      <formula>$G9&gt;0</formula>
    </cfRule>
  </conditionalFormatting>
  <conditionalFormatting sqref="A34:B34 Z34">
    <cfRule type="expression" dxfId="1" priority="7">
      <formula>$G34&gt;0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00B050"/>
  </sheetPr>
  <dimension ref="A1:AA2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3.5"/>
  <cols>
    <col min="1" max="1" width="9.625" customWidth="1"/>
    <col min="2" max="2" width="8.125" customWidth="1"/>
    <col min="3" max="3" width="6.75" customWidth="1"/>
    <col min="4" max="4" width="5.625" hidden="1" customWidth="1"/>
    <col min="5" max="5" width="6.625" hidden="1" customWidth="1"/>
    <col min="6" max="6" width="5.625" customWidth="1"/>
    <col min="8" max="8" width="7.125" customWidth="1"/>
    <col min="9" max="9" width="7.75" customWidth="1"/>
    <col min="10" max="10" width="9.25" style="1" customWidth="1"/>
    <col min="11" max="11" width="9.25" style="1" hidden="1" customWidth="1"/>
    <col min="12" max="12" width="7.25" hidden="1" customWidth="1"/>
    <col min="13" max="13" width="7" customWidth="1"/>
    <col min="14" max="14" width="9.25"/>
    <col min="15" max="17" width="7.75" customWidth="1"/>
    <col min="18" max="18" width="9.25" customWidth="1"/>
    <col min="19" max="19" width="9.25" hidden="1" customWidth="1"/>
    <col min="20" max="20" width="6.25" hidden="1" customWidth="1"/>
    <col min="21" max="21" width="9.625" customWidth="1"/>
    <col min="22" max="22" width="9.375" customWidth="1"/>
    <col min="23" max="23" width="7.25" customWidth="1"/>
    <col min="24" max="24" width="8.125" customWidth="1"/>
    <col min="26" max="26" width="7.625" customWidth="1"/>
    <col min="27" max="27" width="7.75" customWidth="1"/>
    <col min="28" max="28" width="12.625"/>
  </cols>
  <sheetData>
    <row r="1" s="15" customFormat="1" ht="14.25" spans="1:27">
      <c r="A1" s="22"/>
      <c r="B1" s="23"/>
      <c r="C1" s="24" t="s">
        <v>51</v>
      </c>
      <c r="D1" s="24"/>
      <c r="E1" s="24"/>
      <c r="F1" s="25" t="s">
        <v>52</v>
      </c>
      <c r="G1" s="26"/>
      <c r="H1" s="26"/>
      <c r="I1" s="26"/>
      <c r="J1" s="26"/>
      <c r="K1" s="51"/>
      <c r="L1" s="52" t="s">
        <v>11</v>
      </c>
      <c r="M1" s="53" t="s">
        <v>53</v>
      </c>
      <c r="N1" s="54"/>
      <c r="O1" s="54"/>
      <c r="P1" s="54"/>
      <c r="Q1" s="54"/>
      <c r="R1" s="54"/>
      <c r="S1" s="76"/>
      <c r="T1" s="52" t="s">
        <v>44</v>
      </c>
      <c r="U1" s="77" t="s">
        <v>84</v>
      </c>
      <c r="V1" s="77" t="s">
        <v>85</v>
      </c>
      <c r="W1" s="78" t="s">
        <v>86</v>
      </c>
      <c r="X1" s="78" t="s">
        <v>12</v>
      </c>
      <c r="Y1" s="94" t="s">
        <v>55</v>
      </c>
      <c r="Z1" s="95" t="s">
        <v>87</v>
      </c>
      <c r="AA1" s="95" t="s">
        <v>88</v>
      </c>
    </row>
    <row r="2" s="15" customFormat="1" ht="14.25" spans="1:27">
      <c r="A2" s="22"/>
      <c r="B2" s="23"/>
      <c r="C2" s="27" t="s">
        <v>52</v>
      </c>
      <c r="D2" s="27" t="s">
        <v>53</v>
      </c>
      <c r="E2" s="27" t="s">
        <v>60</v>
      </c>
      <c r="F2" s="28" t="s">
        <v>89</v>
      </c>
      <c r="G2" s="28" t="s">
        <v>90</v>
      </c>
      <c r="H2" s="28" t="s">
        <v>8</v>
      </c>
      <c r="I2" s="28" t="s">
        <v>10</v>
      </c>
      <c r="J2" s="55" t="s">
        <v>61</v>
      </c>
      <c r="K2" s="56" t="s">
        <v>91</v>
      </c>
      <c r="L2" s="52"/>
      <c r="M2" s="27" t="s">
        <v>89</v>
      </c>
      <c r="N2" s="27" t="s">
        <v>90</v>
      </c>
      <c r="O2" s="27" t="s">
        <v>8</v>
      </c>
      <c r="P2" s="27" t="s">
        <v>9</v>
      </c>
      <c r="Q2" s="27" t="s">
        <v>10</v>
      </c>
      <c r="R2" s="79" t="s">
        <v>61</v>
      </c>
      <c r="S2" s="80" t="s">
        <v>91</v>
      </c>
      <c r="T2" s="52"/>
      <c r="U2" s="77"/>
      <c r="V2" s="77"/>
      <c r="W2" s="81"/>
      <c r="X2" s="81"/>
      <c r="Y2" s="94"/>
      <c r="Z2" s="95"/>
      <c r="AA2" s="95"/>
    </row>
    <row r="3" s="16" customFormat="1" ht="24" customHeight="1" spans="1:27">
      <c r="A3" s="29" t="s">
        <v>92</v>
      </c>
      <c r="B3" s="30"/>
      <c r="C3" s="31"/>
      <c r="D3" s="31"/>
      <c r="E3" s="31"/>
      <c r="F3" s="31"/>
      <c r="G3" s="31"/>
      <c r="H3" s="31"/>
      <c r="I3" s="31"/>
      <c r="J3" s="57"/>
      <c r="K3" s="58"/>
      <c r="L3" s="59"/>
      <c r="M3" s="31"/>
      <c r="N3" s="31"/>
      <c r="O3" s="31"/>
      <c r="P3" s="31"/>
      <c r="Q3" s="31"/>
      <c r="R3" s="82"/>
      <c r="S3" s="83"/>
      <c r="T3" s="59"/>
      <c r="U3" s="84"/>
      <c r="V3" s="84"/>
      <c r="W3" s="59"/>
      <c r="X3" s="59"/>
      <c r="Y3" s="83"/>
      <c r="Z3" s="84"/>
      <c r="AA3" s="84"/>
    </row>
    <row r="4" s="17" customFormat="1" ht="14.25" spans="1:27">
      <c r="A4" s="32" t="s">
        <v>31</v>
      </c>
      <c r="B4" s="33">
        <v>601288</v>
      </c>
      <c r="C4" s="33">
        <v>6050</v>
      </c>
      <c r="D4" s="33">
        <f>SUMIFS(交易对账单!E:E,交易对账单!$D:$D,"证券卖出清算",交易对账单!$C:$C,$A4,交易对账单!$A:$A,#REF!,交易对账单!$A:$A,#REF!)</f>
        <v>0</v>
      </c>
      <c r="E4" s="33">
        <f>C4-D4</f>
        <v>6050</v>
      </c>
      <c r="F4" s="34">
        <v>3.3</v>
      </c>
      <c r="G4" s="33">
        <f>IFERROR(IF(F4=0,"",C4*F4),0)</f>
        <v>19965</v>
      </c>
      <c r="H4" s="33">
        <f>IFERROR(IF(G4&gt;20000,ROUND(G4*0.00025,2),5),0)</f>
        <v>5</v>
      </c>
      <c r="I4" s="33">
        <f>IFERROR(ROUND(IF(LEFT(B4,2)="60",G4*0.00002,0),2),0)</f>
        <v>0.4</v>
      </c>
      <c r="J4" s="60">
        <f t="shared" ref="J4:J8" si="0">IFERROR(ROUND(SUM(H4:I4)/G4,5),0)</f>
        <v>0.00027</v>
      </c>
      <c r="K4" s="61">
        <f t="shared" ref="K4:K8" si="1">SUM(G4:I4)</f>
        <v>19970.4</v>
      </c>
      <c r="L4" s="33"/>
      <c r="M4" s="34">
        <v>3.32</v>
      </c>
      <c r="N4" s="33">
        <f>IFERROR(IF(M4=0,"",C4*M4),0)</f>
        <v>20086</v>
      </c>
      <c r="O4" s="33">
        <f>IFERROR(IF(N4&gt;20000,ROUND(N4*0.00025,2),5),0)</f>
        <v>5.02</v>
      </c>
      <c r="P4" s="33">
        <f>IFERROR(ROUND(N4*0.001,2),0)</f>
        <v>20.09</v>
      </c>
      <c r="Q4" s="33">
        <f>IFERROR(ROUND(IF(LEFT(B4,2)="60",N4*0.00002,0),2),0)</f>
        <v>0.4</v>
      </c>
      <c r="R4" s="60">
        <f t="shared" ref="R4:R8" si="2">IFERROR(ROUND(SUM(O4:Q4)/N4,5),0)</f>
        <v>0.00127</v>
      </c>
      <c r="S4" s="33">
        <f>N4-SUM(O4:Q4)</f>
        <v>20060.49</v>
      </c>
      <c r="T4" s="33"/>
      <c r="U4" s="33">
        <f t="shared" ref="U4:U8" si="3">J4+R4</f>
        <v>0.00154</v>
      </c>
      <c r="V4" s="85">
        <f t="shared" ref="V4:V6" si="4">Y4/G4</f>
        <v>0.00451239669421488</v>
      </c>
      <c r="W4" s="33">
        <f>IF(M4&lt;&gt;"",N4-G4,0)</f>
        <v>121</v>
      </c>
      <c r="X4" s="33">
        <f>-SUM(H4:I4,O4:Q4)</f>
        <v>-30.91</v>
      </c>
      <c r="Y4" s="34">
        <f>ROUND(N4-SUM(O4:Q4)+T4-SUM(G4:I4)-L4,2)</f>
        <v>90.09</v>
      </c>
      <c r="Z4" s="33">
        <f>M4-F4</f>
        <v>0.02</v>
      </c>
      <c r="AA4" s="85">
        <f>Z4/F4</f>
        <v>0.00606060606060607</v>
      </c>
    </row>
    <row r="5" s="17" customFormat="1" ht="14.25" spans="1:27">
      <c r="A5" s="32" t="s">
        <v>31</v>
      </c>
      <c r="B5" s="33">
        <v>601288</v>
      </c>
      <c r="C5" s="33">
        <v>6050</v>
      </c>
      <c r="D5" s="33">
        <f>SUMIFS(交易对账单!E:E,交易对账单!$D:$D,"证券卖出清算",交易对账单!$C:$C,$A5,交易对账单!$A:$A,#REF!,交易对账单!$A:$A,#REF!)</f>
        <v>0</v>
      </c>
      <c r="E5" s="33">
        <f>C5-D5</f>
        <v>6050</v>
      </c>
      <c r="F5" s="34">
        <v>3.3</v>
      </c>
      <c r="G5" s="33">
        <f>IFERROR(IF(F5=0,"",C5*F5),0)</f>
        <v>19965</v>
      </c>
      <c r="H5" s="33">
        <f>IFERROR(IF(G5&gt;20000,ROUND(G5*0.00025,2),5),0)</f>
        <v>5</v>
      </c>
      <c r="I5" s="33">
        <f>IFERROR(ROUND(IF(LEFT(B5,2)="60",G5*0.00002,0),2),0)</f>
        <v>0.4</v>
      </c>
      <c r="J5" s="60">
        <f t="shared" si="0"/>
        <v>0.00027</v>
      </c>
      <c r="K5" s="61">
        <f t="shared" si="1"/>
        <v>19970.4</v>
      </c>
      <c r="L5" s="33"/>
      <c r="M5" s="34">
        <v>3.32</v>
      </c>
      <c r="N5" s="33">
        <f>IFERROR(IF(M5=0,"",C5*M5),0)</f>
        <v>20086</v>
      </c>
      <c r="O5" s="33">
        <f>IFERROR(IF(N5&gt;20000,ROUND(N5*0.00025,2),5),0)</f>
        <v>5.02</v>
      </c>
      <c r="P5" s="33">
        <f>IFERROR(ROUND(N5*0.001,2),0)</f>
        <v>20.09</v>
      </c>
      <c r="Q5" s="33">
        <f>IFERROR(ROUND(IF(LEFT(B5,2)="60",N5*0.00002,0),2),0)</f>
        <v>0.4</v>
      </c>
      <c r="R5" s="60">
        <f t="shared" si="2"/>
        <v>0.00127</v>
      </c>
      <c r="S5" s="33">
        <f>N5-SUM(O5:Q5)</f>
        <v>20060.49</v>
      </c>
      <c r="T5" s="33"/>
      <c r="U5" s="33">
        <f t="shared" si="3"/>
        <v>0.00154</v>
      </c>
      <c r="V5" s="85">
        <f t="shared" si="4"/>
        <v>0.00451239669421488</v>
      </c>
      <c r="W5" s="33">
        <f>IF(M5&lt;&gt;"",N5-G5,0)</f>
        <v>121</v>
      </c>
      <c r="X5" s="33">
        <f>-SUM(H5:I5,O5:Q5)</f>
        <v>-30.91</v>
      </c>
      <c r="Y5" s="34">
        <f>ROUND(N5-SUM(O5:Q5)+T5-SUM(G5:I5)-L5,2)</f>
        <v>90.09</v>
      </c>
      <c r="Z5" s="33">
        <f>M5-F5</f>
        <v>0.02</v>
      </c>
      <c r="AA5" s="85">
        <f>Z5/F5</f>
        <v>0.00606060606060607</v>
      </c>
    </row>
    <row r="6" s="17" customFormat="1" ht="14.25" spans="1:27">
      <c r="A6" s="32" t="s">
        <v>31</v>
      </c>
      <c r="B6" s="33">
        <v>601288</v>
      </c>
      <c r="C6" s="33">
        <v>6050</v>
      </c>
      <c r="D6" s="33">
        <f>SUMIFS(交易对账单!E:E,交易对账单!$D:$D,"证券卖出清算",交易对账单!$C:$C,$A6,交易对账单!$A:$A,#REF!,交易对账单!$A:$A,#REF!)</f>
        <v>0</v>
      </c>
      <c r="E6" s="33">
        <f>C6-D6</f>
        <v>6050</v>
      </c>
      <c r="F6" s="34">
        <v>3.3</v>
      </c>
      <c r="G6" s="33">
        <f>IFERROR(IF(F6=0,"",C6*F6),0)</f>
        <v>19965</v>
      </c>
      <c r="H6" s="33">
        <f>IFERROR(IF(G6&gt;20000,ROUND(G6*0.00025,2),5),0)</f>
        <v>5</v>
      </c>
      <c r="I6" s="33">
        <f>IFERROR(ROUND(IF(LEFT(B6,2)="60",G6*0.00002,0),2),0)</f>
        <v>0.4</v>
      </c>
      <c r="J6" s="60">
        <f t="shared" si="0"/>
        <v>0.00027</v>
      </c>
      <c r="K6" s="61">
        <f t="shared" si="1"/>
        <v>19970.4</v>
      </c>
      <c r="L6" s="33"/>
      <c r="M6" s="34">
        <v>3.32</v>
      </c>
      <c r="N6" s="33">
        <f>IFERROR(IF(M6=0,"",C6*M6),0)</f>
        <v>20086</v>
      </c>
      <c r="O6" s="33">
        <f>IFERROR(IF(N6&gt;20000,ROUND(N6*0.00025,2),5),0)</f>
        <v>5.02</v>
      </c>
      <c r="P6" s="33">
        <f>IFERROR(ROUND(N6*0.001,2),0)</f>
        <v>20.09</v>
      </c>
      <c r="Q6" s="33">
        <f>IFERROR(ROUND(IF(LEFT(B6,2)="60",N6*0.00002,0),2),0)</f>
        <v>0.4</v>
      </c>
      <c r="R6" s="60">
        <f t="shared" si="2"/>
        <v>0.00127</v>
      </c>
      <c r="S6" s="33">
        <f>N6-SUM(O6:Q6)</f>
        <v>20060.49</v>
      </c>
      <c r="T6" s="33"/>
      <c r="U6" s="33">
        <f t="shared" si="3"/>
        <v>0.00154</v>
      </c>
      <c r="V6" s="85">
        <f t="shared" si="4"/>
        <v>0.00451239669421488</v>
      </c>
      <c r="W6" s="33">
        <f>IF(M6&lt;&gt;"",N6-G6,0)</f>
        <v>121</v>
      </c>
      <c r="X6" s="33">
        <f>-SUM(H6:I6,O6:Q6)</f>
        <v>-30.91</v>
      </c>
      <c r="Y6" s="34">
        <f>ROUND(N6-SUM(O6:Q6)+T6-SUM(G6:I6)-L6,2)</f>
        <v>90.09</v>
      </c>
      <c r="Z6" s="33">
        <f>M6-F6</f>
        <v>0.02</v>
      </c>
      <c r="AA6" s="85">
        <f>Z6/F6</f>
        <v>0.00606060606060607</v>
      </c>
    </row>
    <row r="7" s="17" customFormat="1" ht="14.25" spans="1:25">
      <c r="A7" s="35"/>
      <c r="B7" s="36"/>
      <c r="C7" s="36"/>
      <c r="D7" s="36"/>
      <c r="E7" s="36"/>
      <c r="F7" s="37"/>
      <c r="G7" s="36"/>
      <c r="H7" s="36"/>
      <c r="I7" s="36"/>
      <c r="J7" s="62"/>
      <c r="K7" s="63"/>
      <c r="L7" s="36"/>
      <c r="M7" s="37"/>
      <c r="N7" s="36"/>
      <c r="O7" s="36"/>
      <c r="P7" s="36"/>
      <c r="Q7" s="36"/>
      <c r="R7" s="62"/>
      <c r="S7" s="36"/>
      <c r="T7" s="36"/>
      <c r="U7" s="36"/>
      <c r="V7" s="86"/>
      <c r="W7" s="36"/>
      <c r="X7" s="36"/>
      <c r="Y7" s="36"/>
    </row>
    <row r="8" s="18" customFormat="1" ht="14.25" spans="1:27">
      <c r="A8" s="38" t="s">
        <v>93</v>
      </c>
      <c r="B8" s="38"/>
      <c r="C8" s="39"/>
      <c r="D8" s="39"/>
      <c r="E8" s="39"/>
      <c r="F8" s="39"/>
      <c r="G8" s="39">
        <f>SUM(G4:G7)</f>
        <v>59895</v>
      </c>
      <c r="H8" s="39">
        <f>SUM(H4:H7)</f>
        <v>15</v>
      </c>
      <c r="I8" s="39">
        <f>SUM(I4:I7)</f>
        <v>1.2</v>
      </c>
      <c r="J8" s="64">
        <f t="shared" si="0"/>
        <v>0.00027</v>
      </c>
      <c r="K8" s="65">
        <f t="shared" si="1"/>
        <v>59911.2</v>
      </c>
      <c r="L8" s="39"/>
      <c r="M8" s="39"/>
      <c r="N8" s="39">
        <f t="shared" ref="N8:Q8" si="5">SUM(N4:N7)</f>
        <v>60258</v>
      </c>
      <c r="O8" s="39">
        <f t="shared" si="5"/>
        <v>15.06</v>
      </c>
      <c r="P8" s="39">
        <f t="shared" si="5"/>
        <v>60.27</v>
      </c>
      <c r="Q8" s="39">
        <f t="shared" si="5"/>
        <v>1.2</v>
      </c>
      <c r="R8" s="64">
        <f t="shared" si="2"/>
        <v>0.00127</v>
      </c>
      <c r="S8" s="39"/>
      <c r="T8" s="39"/>
      <c r="U8" s="39">
        <f t="shared" si="3"/>
        <v>0.00154</v>
      </c>
      <c r="V8" s="87">
        <f>SUM(V4:V6)</f>
        <v>0.0135371900826446</v>
      </c>
      <c r="W8" s="39">
        <f t="shared" ref="W8:Y8" si="6">SUM(W4:W6)</f>
        <v>363</v>
      </c>
      <c r="X8" s="39">
        <f t="shared" si="6"/>
        <v>-92.73</v>
      </c>
      <c r="Y8" s="39">
        <f t="shared" si="6"/>
        <v>270.27</v>
      </c>
      <c r="Z8" s="39"/>
      <c r="AA8" s="39"/>
    </row>
    <row r="9" s="19" customFormat="1" ht="14.25" spans="1:27">
      <c r="A9" s="40"/>
      <c r="B9" s="40"/>
      <c r="C9" s="41"/>
      <c r="D9" s="41"/>
      <c r="E9" s="41"/>
      <c r="F9" s="42"/>
      <c r="G9" s="41"/>
      <c r="H9" s="41"/>
      <c r="I9" s="41"/>
      <c r="J9" s="66"/>
      <c r="K9" s="67"/>
      <c r="L9" s="41"/>
      <c r="M9" s="42"/>
      <c r="N9" s="41"/>
      <c r="O9" s="41"/>
      <c r="P9" s="41"/>
      <c r="Q9" s="41"/>
      <c r="R9" s="66"/>
      <c r="S9" s="41"/>
      <c r="T9" s="41"/>
      <c r="U9" s="41"/>
      <c r="V9" s="88"/>
      <c r="W9" s="41"/>
      <c r="X9" s="41"/>
      <c r="Y9" s="41"/>
      <c r="Z9" s="41"/>
      <c r="AA9" s="41"/>
    </row>
    <row r="10" s="16" customFormat="1" ht="18.95" customHeight="1" spans="1:27">
      <c r="A10" s="29" t="s">
        <v>94</v>
      </c>
      <c r="B10" s="30"/>
      <c r="C10" s="31"/>
      <c r="D10" s="31"/>
      <c r="E10" s="31"/>
      <c r="F10" s="31"/>
      <c r="G10" s="31"/>
      <c r="H10" s="31"/>
      <c r="I10" s="31"/>
      <c r="J10" s="57"/>
      <c r="K10" s="58"/>
      <c r="L10" s="59"/>
      <c r="M10" s="31"/>
      <c r="N10" s="31"/>
      <c r="O10" s="31"/>
      <c r="P10" s="31"/>
      <c r="Q10" s="31"/>
      <c r="R10" s="82"/>
      <c r="S10" s="83"/>
      <c r="T10" s="59"/>
      <c r="U10" s="84"/>
      <c r="V10" s="84"/>
      <c r="W10" s="59"/>
      <c r="X10" s="59"/>
      <c r="Y10" s="83"/>
      <c r="Z10" s="84"/>
      <c r="AA10" s="84"/>
    </row>
    <row r="11" s="20" customFormat="1" ht="14.25" spans="1:27">
      <c r="A11" s="32" t="s">
        <v>31</v>
      </c>
      <c r="B11" s="43">
        <v>601288</v>
      </c>
      <c r="C11" s="43">
        <v>6050</v>
      </c>
      <c r="D11" s="43">
        <f>SUMIFS(交易对账单!E:E,交易对账单!$D:$D,"证券卖出清算",交易对账单!$C:$C,$A11,交易对账单!$A:$A,#REF!,交易对账单!$A:$A,#REF!)</f>
        <v>0</v>
      </c>
      <c r="E11" s="43">
        <f>C11-D11</f>
        <v>6050</v>
      </c>
      <c r="F11" s="44">
        <v>3.3</v>
      </c>
      <c r="G11" s="43">
        <f>IFERROR(IF(F11=0,"",C11*F11),0)</f>
        <v>19965</v>
      </c>
      <c r="H11" s="43">
        <f>IFERROR(IF(G11&gt;20000,ROUND(G11*0.00025,2),5),0)</f>
        <v>5</v>
      </c>
      <c r="I11" s="43">
        <f>IFERROR(ROUND(IF(LEFT(B11,2)="60",G11*0.00002,0),2),0)</f>
        <v>0.4</v>
      </c>
      <c r="J11" s="68">
        <f>IFERROR(ROUND(SUM(H11:I11)/G11,5),0)</f>
        <v>0.00027</v>
      </c>
      <c r="K11" s="69">
        <f>SUM(G11:I11)</f>
        <v>19970.4</v>
      </c>
      <c r="L11" s="43"/>
      <c r="M11" s="70">
        <v>3.36</v>
      </c>
      <c r="N11" s="43">
        <f>IFERROR(IF(M11=0,"",C11*M11),0)</f>
        <v>20328</v>
      </c>
      <c r="O11" s="43">
        <f>IFERROR(IF(N11&gt;20000,ROUND(N11*0.00025,2),5),0)</f>
        <v>5.08</v>
      </c>
      <c r="P11" s="43">
        <f>IFERROR(ROUND(N11*0.001,2),0)</f>
        <v>20.33</v>
      </c>
      <c r="Q11" s="43">
        <f>IFERROR(ROUND(IF(LEFT(B11,2)="60",N11*0.00002,0),2),0)</f>
        <v>0.41</v>
      </c>
      <c r="R11" s="68">
        <f>IFERROR(ROUND(SUM(O11:Q11)/N11,5),0)</f>
        <v>0.00127</v>
      </c>
      <c r="S11" s="43">
        <f>N11-SUM(O11:Q11)</f>
        <v>20302.18</v>
      </c>
      <c r="T11" s="43"/>
      <c r="U11" s="43">
        <f>J11+R11</f>
        <v>0.00154</v>
      </c>
      <c r="V11" s="89">
        <f>Y11/G11</f>
        <v>0.016618081642875</v>
      </c>
      <c r="W11" s="43">
        <f>IF(M11&lt;&gt;"",N11-G11,0)</f>
        <v>363</v>
      </c>
      <c r="X11" s="43">
        <f>-SUM(H11:I11,O11:Q11)</f>
        <v>-31.22</v>
      </c>
      <c r="Y11" s="44">
        <f>ROUND(N11-SUM(O11:Q11)+T11-SUM(G11:I11)-L11,2)</f>
        <v>331.78</v>
      </c>
      <c r="Z11" s="43">
        <f>M11-F11</f>
        <v>0.0600000000000001</v>
      </c>
      <c r="AA11" s="89">
        <f>Z11/F11</f>
        <v>0.0181818181818182</v>
      </c>
    </row>
    <row r="13" s="21" customFormat="1" ht="14.25" spans="1:27">
      <c r="A13" s="38" t="s">
        <v>95</v>
      </c>
      <c r="B13" s="38"/>
      <c r="C13" s="45"/>
      <c r="D13" s="45"/>
      <c r="E13" s="45"/>
      <c r="F13" s="45"/>
      <c r="G13" s="45"/>
      <c r="H13" s="45"/>
      <c r="I13" s="45"/>
      <c r="J13" s="71"/>
      <c r="K13" s="71"/>
      <c r="L13" s="72"/>
      <c r="M13" s="72"/>
      <c r="N13" s="72"/>
      <c r="O13" s="72"/>
      <c r="P13" s="73"/>
      <c r="Q13" s="73"/>
      <c r="R13" s="73"/>
      <c r="S13" s="73"/>
      <c r="T13" s="73"/>
      <c r="U13" s="90"/>
      <c r="V13" s="91">
        <f>V11-V8</f>
        <v>0.00308089156023036</v>
      </c>
      <c r="W13" s="90"/>
      <c r="X13" s="72"/>
      <c r="Y13" s="96">
        <f>(V11-V8)*G11</f>
        <v>61.5099999999992</v>
      </c>
      <c r="Z13" s="72"/>
      <c r="AA13" s="72"/>
    </row>
    <row r="15" s="16" customFormat="1" ht="24" customHeight="1" spans="1:27">
      <c r="A15" s="29" t="s">
        <v>96</v>
      </c>
      <c r="B15" s="30"/>
      <c r="C15" s="31"/>
      <c r="D15" s="31"/>
      <c r="E15" s="31"/>
      <c r="F15" s="31"/>
      <c r="G15" s="31"/>
      <c r="H15" s="31"/>
      <c r="I15" s="31"/>
      <c r="J15" s="57"/>
      <c r="K15" s="58"/>
      <c r="L15" s="59"/>
      <c r="M15" s="31"/>
      <c r="N15" s="31"/>
      <c r="O15" s="31"/>
      <c r="P15" s="31"/>
      <c r="Q15" s="31"/>
      <c r="R15" s="82"/>
      <c r="S15" s="83"/>
      <c r="T15" s="59"/>
      <c r="U15" s="84"/>
      <c r="V15" s="84"/>
      <c r="W15" s="59"/>
      <c r="X15" s="59"/>
      <c r="Y15" s="83"/>
      <c r="Z15" s="84"/>
      <c r="AA15" s="84"/>
    </row>
    <row r="16" s="20" customFormat="1" ht="14.25" spans="1:27">
      <c r="A16" s="46" t="s">
        <v>31</v>
      </c>
      <c r="B16" s="47">
        <v>601288</v>
      </c>
      <c r="C16" s="48">
        <f>6050*3</f>
        <v>18150</v>
      </c>
      <c r="D16" s="47">
        <f>SUMIFS(交易对账单!E:E,交易对账单!$D:$D,"证券卖出清算",交易对账单!$C:$C,$A16,交易对账单!$A:$A,#REF!,交易对账单!$A:$A,#REF!)</f>
        <v>0</v>
      </c>
      <c r="E16" s="47">
        <f t="shared" ref="E16:E21" si="7">C16-D16</f>
        <v>18150</v>
      </c>
      <c r="F16" s="49">
        <v>3.3</v>
      </c>
      <c r="G16" s="47">
        <f>IFERROR(IF(F16=0,"",C16*F16),0)</f>
        <v>59895</v>
      </c>
      <c r="H16" s="47">
        <f>IFERROR(IF(G16&gt;20000,ROUND(G16*0.00025,2),5),0)</f>
        <v>14.97</v>
      </c>
      <c r="I16" s="47">
        <f>IFERROR(ROUND(IF(LEFT(B16,2)="60",G16*0.00002,0),2),0)</f>
        <v>1.2</v>
      </c>
      <c r="J16" s="74">
        <f>IFERROR(ROUND(SUM(H16:I16)/G16,5),0)</f>
        <v>0.00027</v>
      </c>
      <c r="K16" s="75">
        <f>SUM(G16:I16)</f>
        <v>59911.17</v>
      </c>
      <c r="L16" s="47"/>
      <c r="M16" s="49">
        <v>3.32</v>
      </c>
      <c r="N16" s="47">
        <f t="shared" ref="N16:N21" si="8">IFERROR(IF(M16=0,"",C16*M16),0)</f>
        <v>60258</v>
      </c>
      <c r="O16" s="47">
        <f t="shared" ref="O16:O21" si="9">IFERROR(IF(N16&gt;20000,ROUND(N16*0.00025,2),5),0)</f>
        <v>15.06</v>
      </c>
      <c r="P16" s="47">
        <f t="shared" ref="P16:P21" si="10">IFERROR(ROUND(N16*0.001,2),0)</f>
        <v>60.26</v>
      </c>
      <c r="Q16" s="47">
        <f t="shared" ref="Q16:Q21" si="11">IFERROR(ROUND(IF(LEFT(B16,2)="60",N16*0.00002,0),2),0)</f>
        <v>1.21</v>
      </c>
      <c r="R16" s="74">
        <f t="shared" ref="R16:R21" si="12">IFERROR(ROUND(SUM(O16:Q16)/N16,5),0)</f>
        <v>0.00127</v>
      </c>
      <c r="S16" s="47">
        <f t="shared" ref="S16:S21" si="13">N16-SUM(O16:Q16)</f>
        <v>60181.47</v>
      </c>
      <c r="T16" s="47"/>
      <c r="U16" s="47">
        <f t="shared" ref="U16:U21" si="14">J16+R16</f>
        <v>0.00154</v>
      </c>
      <c r="V16" s="92">
        <f>Y16/G16</f>
        <v>0.00451289757074881</v>
      </c>
      <c r="W16" s="47">
        <f>IF(M16&lt;&gt;"",N16-G16,0)</f>
        <v>363</v>
      </c>
      <c r="X16" s="93">
        <f t="shared" ref="X16:X21" si="15">-SUM(H16:I16,O16:Q16)</f>
        <v>-92.7</v>
      </c>
      <c r="Y16" s="49">
        <f>ROUND(N16-SUM(O16:Q16)+T16-SUM(G16:I16)-L16,2)</f>
        <v>270.3</v>
      </c>
      <c r="Z16" s="47">
        <f>M16-F16</f>
        <v>0.02</v>
      </c>
      <c r="AA16" s="92">
        <f>Z16/F16</f>
        <v>0.00606060606060607</v>
      </c>
    </row>
    <row r="18" s="16" customFormat="1" ht="24" customHeight="1" spans="1:27">
      <c r="A18" s="29" t="s">
        <v>97</v>
      </c>
      <c r="B18" s="30"/>
      <c r="C18" s="31"/>
      <c r="D18" s="31"/>
      <c r="E18" s="31"/>
      <c r="F18" s="31"/>
      <c r="G18" s="31"/>
      <c r="H18" s="31"/>
      <c r="I18" s="31"/>
      <c r="J18" s="57"/>
      <c r="K18" s="58"/>
      <c r="L18" s="59"/>
      <c r="M18" s="31"/>
      <c r="N18" s="31"/>
      <c r="O18" s="31"/>
      <c r="P18" s="31"/>
      <c r="Q18" s="31"/>
      <c r="R18" s="82"/>
      <c r="S18" s="83"/>
      <c r="T18" s="59"/>
      <c r="U18" s="84"/>
      <c r="V18" s="84"/>
      <c r="W18" s="59"/>
      <c r="X18" s="59"/>
      <c r="Y18" s="83"/>
      <c r="Z18" s="84"/>
      <c r="AA18" s="84"/>
    </row>
    <row r="19" spans="7:7">
      <c r="G19" s="50">
        <v>0.04</v>
      </c>
    </row>
    <row r="20" s="20" customFormat="1" ht="14.25" spans="1:27">
      <c r="A20" s="32" t="s">
        <v>31</v>
      </c>
      <c r="B20" s="43">
        <v>601288</v>
      </c>
      <c r="C20" s="43">
        <v>6050</v>
      </c>
      <c r="D20" s="43">
        <f>SUMIFS(交易对账单!E:E,交易对账单!$D:$D,"证券卖出清算",交易对账单!$C:$C,$A20,交易对账单!$A:$A,#REF!,交易对账单!$A:$A,#REF!)</f>
        <v>0</v>
      </c>
      <c r="E20" s="43">
        <f t="shared" si="7"/>
        <v>6050</v>
      </c>
      <c r="F20" s="44">
        <v>3.3</v>
      </c>
      <c r="G20" s="43">
        <f>IFERROR(IF(F20=0,"",C20*F20),0)</f>
        <v>19965</v>
      </c>
      <c r="H20" s="43">
        <f>IFERROR(IF(G20&gt;20000,ROUND(G20*0.00025,2),5),0)</f>
        <v>5</v>
      </c>
      <c r="I20" s="43">
        <f>IFERROR(ROUND(IF(LEFT(B20,2)="60",G20*0.00002,0),2),0)</f>
        <v>0.4</v>
      </c>
      <c r="J20" s="68">
        <f>IFERROR(ROUND(SUM(H20:I20)/G20,5),0)</f>
        <v>0.00027</v>
      </c>
      <c r="K20" s="69">
        <f>SUM(G20:I20)</f>
        <v>19970.4</v>
      </c>
      <c r="L20" s="43"/>
      <c r="M20" s="70">
        <f>ROUND(F20*(1+$G$19),2)</f>
        <v>3.43</v>
      </c>
      <c r="N20" s="43">
        <f t="shared" si="8"/>
        <v>20751.5</v>
      </c>
      <c r="O20" s="43">
        <f t="shared" si="9"/>
        <v>5.19</v>
      </c>
      <c r="P20" s="43">
        <f t="shared" si="10"/>
        <v>20.75</v>
      </c>
      <c r="Q20" s="43">
        <f t="shared" si="11"/>
        <v>0.42</v>
      </c>
      <c r="R20" s="68">
        <f t="shared" si="12"/>
        <v>0.00127</v>
      </c>
      <c r="S20" s="43">
        <f t="shared" si="13"/>
        <v>20725.14</v>
      </c>
      <c r="T20" s="43"/>
      <c r="U20" s="43">
        <f t="shared" si="14"/>
        <v>0.00154</v>
      </c>
      <c r="V20" s="89">
        <f>Y20/G20</f>
        <v>0.0378031555221638</v>
      </c>
      <c r="W20" s="43">
        <f>IF(M20&lt;&gt;"",N20-G20,0)</f>
        <v>786.5</v>
      </c>
      <c r="X20" s="43">
        <f t="shared" si="15"/>
        <v>-31.76</v>
      </c>
      <c r="Y20" s="44">
        <f>ROUND(N20-SUM(O20:Q20)+T20-SUM(G20:I20)-L20,2)</f>
        <v>754.74</v>
      </c>
      <c r="Z20" s="43">
        <f>M20-F20</f>
        <v>0.13</v>
      </c>
      <c r="AA20" s="89">
        <f>Z20/F20</f>
        <v>0.0393939393939395</v>
      </c>
    </row>
    <row r="21" s="20" customFormat="1" ht="14.25" spans="1:27">
      <c r="A21" s="32" t="s">
        <v>98</v>
      </c>
      <c r="B21" s="43">
        <v>601288</v>
      </c>
      <c r="C21" s="43">
        <v>605</v>
      </c>
      <c r="D21" s="43">
        <f>SUMIFS(交易对账单!E:E,交易对账单!$D:$D,"证券卖出清算",交易对账单!$C:$C,$A21,交易对账单!$A:$A,#REF!,交易对账单!$A:$A,#REF!)</f>
        <v>0</v>
      </c>
      <c r="E21" s="43">
        <f t="shared" si="7"/>
        <v>605</v>
      </c>
      <c r="F21" s="44">
        <v>33</v>
      </c>
      <c r="G21" s="43">
        <f>IFERROR(IF(F21=0,"",C21*F21),0)</f>
        <v>19965</v>
      </c>
      <c r="H21" s="43">
        <f>IFERROR(IF(G21&gt;20000,ROUND(G21*0.00025,2),5),0)</f>
        <v>5</v>
      </c>
      <c r="I21" s="43">
        <f>IFERROR(ROUND(IF(LEFT(B21,2)="60",G21*0.00002,0),2),0)</f>
        <v>0.4</v>
      </c>
      <c r="J21" s="68">
        <f>IFERROR(ROUND(SUM(H21:I21)/G21,5),0)</f>
        <v>0.00027</v>
      </c>
      <c r="K21" s="69">
        <f>SUM(G21:I21)</f>
        <v>19970.4</v>
      </c>
      <c r="L21" s="43"/>
      <c r="M21" s="70">
        <f>ROUND(F21*(1+$G$19),2)</f>
        <v>34.32</v>
      </c>
      <c r="N21" s="43">
        <f t="shared" si="8"/>
        <v>20763.6</v>
      </c>
      <c r="O21" s="43">
        <f t="shared" si="9"/>
        <v>5.19</v>
      </c>
      <c r="P21" s="43">
        <f t="shared" si="10"/>
        <v>20.76</v>
      </c>
      <c r="Q21" s="43">
        <f t="shared" si="11"/>
        <v>0.42</v>
      </c>
      <c r="R21" s="68">
        <f t="shared" si="12"/>
        <v>0.00127</v>
      </c>
      <c r="S21" s="43">
        <f t="shared" si="13"/>
        <v>20737.23</v>
      </c>
      <c r="T21" s="43"/>
      <c r="U21" s="43">
        <f t="shared" si="14"/>
        <v>0.00154</v>
      </c>
      <c r="V21" s="89">
        <f>Y21/G21</f>
        <v>0.0384087152516905</v>
      </c>
      <c r="W21" s="43">
        <f>IF(M21&lt;&gt;"",N21-G21,0)</f>
        <v>798.599999999999</v>
      </c>
      <c r="X21" s="43">
        <f t="shared" si="15"/>
        <v>-31.77</v>
      </c>
      <c r="Y21" s="44">
        <f>ROUND(N21-SUM(O21:Q21)+T21-SUM(G21:I21)-L21,2)</f>
        <v>766.83</v>
      </c>
      <c r="Z21" s="43">
        <f>M21-F21</f>
        <v>1.32</v>
      </c>
      <c r="AA21" s="89">
        <f>Z21/F21</f>
        <v>0.04</v>
      </c>
    </row>
  </sheetData>
  <mergeCells count="12">
    <mergeCell ref="C1:E1"/>
    <mergeCell ref="F1:K1"/>
    <mergeCell ref="M1:S1"/>
    <mergeCell ref="L1:L2"/>
    <mergeCell ref="T1:T2"/>
    <mergeCell ref="U1:U2"/>
    <mergeCell ref="V1:V2"/>
    <mergeCell ref="W1:W2"/>
    <mergeCell ref="X1:X2"/>
    <mergeCell ref="Y1:Y2"/>
    <mergeCell ref="Z1:Z2"/>
    <mergeCell ref="AA1:AA2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10"/>
  <sheetViews>
    <sheetView workbookViewId="0">
      <selection activeCell="E6" sqref="E6"/>
    </sheetView>
  </sheetViews>
  <sheetFormatPr defaultColWidth="9" defaultRowHeight="13.5" outlineLevelCol="6"/>
  <cols>
    <col min="1" max="1" width="8.125" customWidth="1"/>
    <col min="2" max="2" width="10.875" customWidth="1"/>
    <col min="3" max="5" width="10.875" style="1" customWidth="1"/>
    <col min="6" max="6" width="8.875" style="1" customWidth="1"/>
    <col min="7" max="7" width="17.5" style="1" customWidth="1"/>
  </cols>
  <sheetData>
    <row r="1" spans="1:7">
      <c r="A1" t="s">
        <v>99</v>
      </c>
      <c r="B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t="s">
        <v>106</v>
      </c>
      <c r="B2" t="s">
        <v>107</v>
      </c>
      <c r="C2" s="1">
        <v>204001</v>
      </c>
      <c r="D2" s="1" t="s">
        <v>108</v>
      </c>
      <c r="E2" s="1">
        <v>131810</v>
      </c>
      <c r="F2" s="14">
        <v>1e-5</v>
      </c>
      <c r="G2" s="1">
        <v>1</v>
      </c>
    </row>
    <row r="3" spans="1:7">
      <c r="A3" t="s">
        <v>109</v>
      </c>
      <c r="B3" t="s">
        <v>110</v>
      </c>
      <c r="C3" s="1">
        <v>204002</v>
      </c>
      <c r="D3" s="1" t="s">
        <v>111</v>
      </c>
      <c r="E3" s="1">
        <v>131811</v>
      </c>
      <c r="F3" s="14">
        <v>2e-5</v>
      </c>
      <c r="G3" s="1">
        <v>2</v>
      </c>
    </row>
    <row r="4" spans="1:7">
      <c r="A4" t="s">
        <v>112</v>
      </c>
      <c r="B4" t="s">
        <v>113</v>
      </c>
      <c r="C4" s="1">
        <v>204003</v>
      </c>
      <c r="D4" s="1" t="s">
        <v>114</v>
      </c>
      <c r="E4" s="1">
        <v>131800</v>
      </c>
      <c r="F4" s="14">
        <v>3e-5</v>
      </c>
      <c r="G4" s="1">
        <v>3</v>
      </c>
    </row>
    <row r="5" spans="1:7">
      <c r="A5" t="s">
        <v>115</v>
      </c>
      <c r="B5" t="s">
        <v>116</v>
      </c>
      <c r="C5" s="1">
        <v>204004</v>
      </c>
      <c r="D5" s="1" t="s">
        <v>117</v>
      </c>
      <c r="E5" s="1">
        <v>131809</v>
      </c>
      <c r="F5" s="14">
        <v>4e-5</v>
      </c>
      <c r="G5" s="1">
        <v>4</v>
      </c>
    </row>
    <row r="6" spans="1:7">
      <c r="A6" t="s">
        <v>118</v>
      </c>
      <c r="B6" t="s">
        <v>119</v>
      </c>
      <c r="C6" s="1">
        <v>204007</v>
      </c>
      <c r="D6" s="1" t="s">
        <v>45</v>
      </c>
      <c r="E6" s="1">
        <v>131801</v>
      </c>
      <c r="F6" s="14">
        <v>5e-5</v>
      </c>
      <c r="G6" s="1">
        <v>5</v>
      </c>
    </row>
    <row r="7" spans="1:7">
      <c r="A7" t="s">
        <v>120</v>
      </c>
      <c r="B7" t="s">
        <v>121</v>
      </c>
      <c r="C7" s="1">
        <v>204014</v>
      </c>
      <c r="D7" s="1" t="s">
        <v>122</v>
      </c>
      <c r="E7" s="1">
        <v>131802</v>
      </c>
      <c r="F7" s="14">
        <v>0.0001</v>
      </c>
      <c r="G7" s="1">
        <v>10</v>
      </c>
    </row>
    <row r="8" spans="1:7">
      <c r="A8" t="s">
        <v>123</v>
      </c>
      <c r="B8" t="s">
        <v>124</v>
      </c>
      <c r="C8" s="1">
        <v>204028</v>
      </c>
      <c r="D8" s="1" t="s">
        <v>125</v>
      </c>
      <c r="E8" s="1">
        <v>131803</v>
      </c>
      <c r="F8" s="14">
        <v>0.0002</v>
      </c>
      <c r="G8" s="1">
        <v>20</v>
      </c>
    </row>
    <row r="9" spans="1:7">
      <c r="A9" t="s">
        <v>126</v>
      </c>
      <c r="B9" t="s">
        <v>127</v>
      </c>
      <c r="C9" s="1">
        <v>204091</v>
      </c>
      <c r="D9" s="1" t="s">
        <v>128</v>
      </c>
      <c r="E9" s="1">
        <v>131805</v>
      </c>
      <c r="F9" s="14">
        <v>0.0003</v>
      </c>
      <c r="G9" s="1">
        <v>30</v>
      </c>
    </row>
    <row r="10" spans="1:7">
      <c r="A10" t="s">
        <v>129</v>
      </c>
      <c r="B10" t="s">
        <v>130</v>
      </c>
      <c r="C10" s="1">
        <v>204182</v>
      </c>
      <c r="D10" s="1" t="s">
        <v>131</v>
      </c>
      <c r="E10" s="1">
        <v>131806</v>
      </c>
      <c r="F10" s="14">
        <v>0.0003</v>
      </c>
      <c r="G10" s="1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2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O1" sqref="O$1:O$1048576"/>
    </sheetView>
  </sheetViews>
  <sheetFormatPr defaultColWidth="9" defaultRowHeight="13.5"/>
  <cols>
    <col min="1" max="1" width="4.75" style="1" customWidth="1"/>
    <col min="2" max="2" width="10" style="1" customWidth="1"/>
    <col min="3" max="3" width="11.5" style="2" customWidth="1"/>
    <col min="4" max="4" width="10.375" style="2" customWidth="1"/>
    <col min="5" max="5" width="11.5" style="2" customWidth="1"/>
    <col min="6" max="6" width="23.875" style="3" customWidth="1"/>
    <col min="7" max="7" width="42.25" style="1" customWidth="1"/>
    <col min="8" max="8" width="12.625" style="3" customWidth="1"/>
    <col min="9" max="9" width="13.25" style="3" customWidth="1"/>
    <col min="10" max="10" width="13" style="3" customWidth="1"/>
    <col min="11" max="11" width="13.125" style="3" customWidth="1"/>
    <col min="12" max="13" width="13.25" style="3" customWidth="1"/>
    <col min="14" max="14" width="17.25" style="1" customWidth="1"/>
    <col min="15" max="15" width="17.625" customWidth="1"/>
    <col min="18" max="18" width="16" customWidth="1"/>
    <col min="19" max="19" width="12.625"/>
  </cols>
  <sheetData>
    <row r="1" ht="27" spans="1:15">
      <c r="A1" s="4" t="s">
        <v>132</v>
      </c>
      <c r="B1" s="4" t="s">
        <v>133</v>
      </c>
      <c r="C1" s="5" t="s">
        <v>134</v>
      </c>
      <c r="D1" s="5" t="s">
        <v>135</v>
      </c>
      <c r="E1" s="5" t="s">
        <v>136</v>
      </c>
      <c r="F1" s="6" t="s">
        <v>137</v>
      </c>
      <c r="G1" s="4" t="s">
        <v>2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9" t="s">
        <v>144</v>
      </c>
      <c r="O1" s="9" t="s">
        <v>145</v>
      </c>
    </row>
    <row r="2" ht="54" spans="1:14">
      <c r="A2" s="1">
        <f>COUNTA(A$1:A1)</f>
        <v>1</v>
      </c>
      <c r="B2" s="1" t="s">
        <v>146</v>
      </c>
      <c r="C2" s="2">
        <v>44457</v>
      </c>
      <c r="D2" s="2">
        <v>42823</v>
      </c>
      <c r="E2" s="2">
        <v>42910</v>
      </c>
      <c r="F2" s="3" t="s">
        <v>147</v>
      </c>
      <c r="G2" s="7" t="s">
        <v>148</v>
      </c>
      <c r="I2" s="8"/>
      <c r="J2" s="8">
        <v>65701820</v>
      </c>
      <c r="K2" s="8">
        <v>65701820</v>
      </c>
      <c r="L2" s="8"/>
      <c r="M2" s="8"/>
      <c r="N2" s="10">
        <v>65701820</v>
      </c>
    </row>
    <row r="3" ht="67.5" spans="1:14">
      <c r="A3" s="1">
        <f>COUNTA(A$1:A2)</f>
        <v>2</v>
      </c>
      <c r="B3" s="1" t="s">
        <v>149</v>
      </c>
      <c r="C3" s="2">
        <v>44462</v>
      </c>
      <c r="D3" s="2">
        <v>43619</v>
      </c>
      <c r="E3" s="2">
        <v>44194</v>
      </c>
      <c r="F3" s="3" t="s">
        <v>150</v>
      </c>
      <c r="G3" s="7" t="s">
        <v>151</v>
      </c>
      <c r="H3" s="8"/>
      <c r="I3" s="8"/>
      <c r="K3" s="8">
        <v>5000000</v>
      </c>
      <c r="L3" s="8"/>
      <c r="M3" s="8"/>
      <c r="N3" s="11">
        <v>-2689736137.2</v>
      </c>
    </row>
    <row r="4" ht="67.5" spans="1:14">
      <c r="A4" s="1">
        <f>COUNTA(A$1:A3)</f>
        <v>3</v>
      </c>
      <c r="B4" s="3" t="s">
        <v>149</v>
      </c>
      <c r="C4" s="2">
        <v>44119</v>
      </c>
      <c r="D4" s="2">
        <v>42590</v>
      </c>
      <c r="E4" s="2">
        <v>43363</v>
      </c>
      <c r="F4" s="3" t="s">
        <v>152</v>
      </c>
      <c r="G4" s="7" t="s">
        <v>153</v>
      </c>
      <c r="H4" s="8"/>
      <c r="I4" s="8"/>
      <c r="K4" s="8">
        <v>2000000</v>
      </c>
      <c r="L4" s="8">
        <v>300000</v>
      </c>
      <c r="M4" s="8"/>
      <c r="N4" s="11">
        <v>-140431335.36</v>
      </c>
    </row>
    <row r="5" ht="67.5" spans="1:14">
      <c r="A5" s="1">
        <f>COUNTA(A$1:A4)</f>
        <v>4</v>
      </c>
      <c r="B5" s="3" t="s">
        <v>154</v>
      </c>
      <c r="C5" s="2">
        <v>44119</v>
      </c>
      <c r="D5" s="2">
        <v>42590</v>
      </c>
      <c r="E5" s="2">
        <v>43363</v>
      </c>
      <c r="F5" s="3" t="s">
        <v>152</v>
      </c>
      <c r="G5" s="7" t="s">
        <v>153</v>
      </c>
      <c r="H5" s="8"/>
      <c r="I5" s="8"/>
      <c r="K5" s="8"/>
      <c r="L5" s="8"/>
      <c r="M5" s="8">
        <v>500000</v>
      </c>
      <c r="N5" s="11">
        <v>-140431335.36</v>
      </c>
    </row>
    <row r="6" ht="40.5" spans="1:14">
      <c r="A6" s="1">
        <f>COUNTA(A$1:A4)</f>
        <v>4</v>
      </c>
      <c r="B6" s="1" t="s">
        <v>155</v>
      </c>
      <c r="C6" s="2">
        <v>44454</v>
      </c>
      <c r="D6" s="2">
        <v>40179</v>
      </c>
      <c r="E6" s="2">
        <v>42735</v>
      </c>
      <c r="F6" s="7" t="s">
        <v>156</v>
      </c>
      <c r="G6" s="1" t="s">
        <v>157</v>
      </c>
      <c r="H6" s="8">
        <v>3630000</v>
      </c>
      <c r="I6" s="8">
        <v>1089000</v>
      </c>
      <c r="K6" s="3">
        <v>7</v>
      </c>
      <c r="L6" s="8"/>
      <c r="M6" s="8"/>
      <c r="N6" s="7"/>
    </row>
    <row r="7" ht="81" spans="1:15">
      <c r="A7" s="1">
        <f>COUNTA(A$1:A6)</f>
        <v>6</v>
      </c>
      <c r="B7" s="1" t="s">
        <v>155</v>
      </c>
      <c r="C7" s="2">
        <v>43811</v>
      </c>
      <c r="D7" s="2">
        <v>40179</v>
      </c>
      <c r="E7" s="2">
        <v>42735</v>
      </c>
      <c r="F7" s="3" t="s">
        <v>158</v>
      </c>
      <c r="G7" s="7" t="s">
        <v>159</v>
      </c>
      <c r="H7" s="8"/>
      <c r="I7" s="8">
        <v>600000</v>
      </c>
      <c r="J7" s="3">
        <f>30+10+5+3</f>
        <v>48</v>
      </c>
      <c r="K7" s="8"/>
      <c r="L7" s="8"/>
      <c r="M7" s="8"/>
      <c r="N7" s="1"/>
      <c r="O7" s="12">
        <v>1901945340.86</v>
      </c>
    </row>
    <row r="8" spans="1:13">
      <c r="A8" s="1">
        <f>COUNTA(A$1:A7)</f>
        <v>7</v>
      </c>
      <c r="H8" s="8"/>
      <c r="I8" s="8"/>
      <c r="K8" s="8"/>
      <c r="L8" s="8"/>
      <c r="M8" s="8"/>
    </row>
    <row r="9" spans="1:13">
      <c r="A9" s="1">
        <f>COUNTA(A$1:A8)</f>
        <v>8</v>
      </c>
      <c r="H9" s="8"/>
      <c r="I9" s="8"/>
      <c r="K9" s="8"/>
      <c r="L9" s="8"/>
      <c r="M9" s="8"/>
    </row>
    <row r="10" spans="1:13">
      <c r="A10" s="1">
        <f>COUNTA(A$1:A9)</f>
        <v>9</v>
      </c>
      <c r="H10" s="8"/>
      <c r="I10" s="8"/>
      <c r="K10" s="8"/>
      <c r="L10" s="8"/>
      <c r="M10" s="8"/>
    </row>
    <row r="11" spans="1:13">
      <c r="A11" s="1">
        <f>COUNTA(A$1:A10)</f>
        <v>10</v>
      </c>
      <c r="H11" s="8"/>
      <c r="I11" s="8"/>
      <c r="K11" s="8"/>
      <c r="L11" s="8"/>
      <c r="M11" s="8"/>
    </row>
    <row r="12" spans="1:18">
      <c r="A12" s="1">
        <f>COUNTA(A$1:A11)</f>
        <v>11</v>
      </c>
      <c r="H12" s="8"/>
      <c r="I12" s="8"/>
      <c r="K12" s="8"/>
      <c r="L12" s="8"/>
      <c r="M12" s="8"/>
      <c r="R12" s="12"/>
    </row>
    <row r="13" spans="1:13">
      <c r="A13" s="1">
        <f>COUNTA(A$1:A12)</f>
        <v>12</v>
      </c>
      <c r="H13" s="8"/>
      <c r="I13" s="8"/>
      <c r="K13" s="8"/>
      <c r="L13" s="8"/>
      <c r="M13" s="8"/>
    </row>
    <row r="14" spans="1:13">
      <c r="A14" s="1">
        <f>COUNTA(A$1:A13)</f>
        <v>13</v>
      </c>
      <c r="H14" s="8"/>
      <c r="I14" s="8"/>
      <c r="K14" s="8"/>
      <c r="L14" s="8"/>
      <c r="M14" s="8"/>
    </row>
    <row r="15" spans="1:13">
      <c r="A15" s="1">
        <f>COUNTA(A$1:A14)</f>
        <v>14</v>
      </c>
      <c r="H15" s="8"/>
      <c r="I15" s="8"/>
      <c r="K15" s="8"/>
      <c r="L15" s="8"/>
      <c r="M15" s="8"/>
    </row>
    <row r="16" spans="1:18">
      <c r="A16" s="1">
        <f>COUNTA(A$1:A15)</f>
        <v>15</v>
      </c>
      <c r="H16" s="8"/>
      <c r="I16" s="8"/>
      <c r="K16" s="8"/>
      <c r="L16" s="8"/>
      <c r="M16" s="8"/>
      <c r="R16" s="13"/>
    </row>
    <row r="17" spans="1:13">
      <c r="A17" s="1">
        <f>COUNTA(A$1:A16)</f>
        <v>16</v>
      </c>
      <c r="H17" s="8"/>
      <c r="I17" s="8"/>
      <c r="K17" s="8"/>
      <c r="L17" s="8"/>
      <c r="M17" s="8"/>
    </row>
    <row r="18" spans="1:13">
      <c r="A18" s="1">
        <f>COUNTA(A$1:A17)</f>
        <v>17</v>
      </c>
      <c r="H18" s="8"/>
      <c r="I18" s="8"/>
      <c r="K18" s="8"/>
      <c r="L18" s="8"/>
      <c r="M18" s="8"/>
    </row>
    <row r="19" spans="1:1">
      <c r="A19" s="1">
        <f>COUNTA(A$1:A18)</f>
        <v>18</v>
      </c>
    </row>
    <row r="20" spans="1:1">
      <c r="A20" s="1">
        <f>COUNTA(A$1:A19)</f>
        <v>19</v>
      </c>
    </row>
    <row r="21" spans="1:1">
      <c r="A21" s="1">
        <f>COUNTA(A$1:A20)</f>
        <v>20</v>
      </c>
    </row>
    <row r="22" spans="1:1">
      <c r="A22" s="1">
        <f>COUNTA(A$1:A21)</f>
        <v>21</v>
      </c>
    </row>
    <row r="23" spans="1:1">
      <c r="A23" s="1">
        <f>COUNTA(A$1:A22)</f>
        <v>22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交易对账单</vt:lpstr>
      <vt:lpstr>收益对照表汇总</vt:lpstr>
      <vt:lpstr>个股收益预测计算表</vt:lpstr>
      <vt:lpstr>国债理财（逆回购）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2021-03-03T15:07:00Z</dcterms:created>
  <dcterms:modified xsi:type="dcterms:W3CDTF">2021-10-25T03:17:50Z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2052-11.1.0.10938</vt:lpwstr>
  </property>
  <property fmtid="{D5CDD505-2E9C-101B-9397-08002B2CF9AE}" pid="4" name="ICV">
    <vt:lpwstr>E6B00C375AB74EA7A40A15B2C4253158</vt:lpwstr>
  </property>
</Properties>
</file>