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928" firstSheet="10" activeTab="13"/>
  </bookViews>
  <sheets>
    <sheet name="旧" sheetId="1" state="hidden" r:id="rId1"/>
    <sheet name="Ebay" sheetId="2" r:id="rId2"/>
    <sheet name="Mano" sheetId="3" r:id="rId3"/>
    <sheet name="Shopify" sheetId="4" r:id="rId4"/>
    <sheet name="Aica Paypal" sheetId="5" r:id="rId5"/>
    <sheet name="Perfect Paypal" sheetId="6" r:id="rId6"/>
    <sheet name="Homefast Paypal" sheetId="7" r:id="rId7"/>
    <sheet name="银行现金" sheetId="16" r:id="rId8"/>
    <sheet name="信洋xinyang_ltd Ebay" sheetId="24" r:id="rId9"/>
    <sheet name="信洋ebay+Amazon" sheetId="12" r:id="rId10"/>
    <sheet name="Excellent Paypal流水" sheetId="22" r:id="rId11"/>
    <sheet name="Excellent Amazon流水" sheetId="21" r:id="rId12"/>
    <sheet name="国际部确认收入+退款+成本" sheetId="11" r:id="rId13"/>
    <sheet name="工资单个税+保险+工资计提+水电+海运费" sheetId="10" r:id="rId14"/>
    <sheet name="海洋工资+绩效" sheetId="9" r:id="rId15"/>
    <sheet name="销售补贴+仓租费+拓展部运费+德法代垫shopify" sheetId="13" r:id="rId16"/>
    <sheet name="Mano订阅费+Shopify月租+Ebay点击费" sheetId="8" r:id="rId17"/>
    <sheet name="Ebay费计提+调整ebay费+Ebay点击费" sheetId="14" r:id="rId18"/>
    <sheet name="AICA Paypal费" sheetId="15" r:id="rId19"/>
    <sheet name="Homefast paypal费" sheetId="17" r:id="rId20"/>
    <sheet name="Perfect paypal费" sheetId="18" r:id="rId21"/>
    <sheet name="Excellent paypal费" sheetId="20" r:id="rId22"/>
    <sheet name="Excellent Amazon 费" sheetId="23" r:id="rId23"/>
    <sheet name="司机问题扣款" sheetId="19" r:id="rId24"/>
    <sheet name="Excellent Amazon" sheetId="25" r:id="rId2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计提汇率用“现汇买入”</t>
        </r>
      </text>
    </comment>
  </commentList>
</comments>
</file>

<file path=xl/sharedStrings.xml><?xml version="1.0" encoding="utf-8"?>
<sst xmlns="http://schemas.openxmlformats.org/spreadsheetml/2006/main" count="5948" uniqueCount="1014">
  <si>
    <t>Online Ebay</t>
  </si>
  <si>
    <t>claim</t>
  </si>
  <si>
    <t>hold</t>
  </si>
  <si>
    <t>refund</t>
  </si>
  <si>
    <t>部门</t>
  </si>
  <si>
    <t>总金额含税</t>
  </si>
  <si>
    <t>邮费</t>
  </si>
  <si>
    <t>不含税</t>
  </si>
  <si>
    <t>ebay费1</t>
  </si>
  <si>
    <t>ebay费2</t>
  </si>
  <si>
    <t>营运费8%：</t>
  </si>
  <si>
    <t>往来合计</t>
  </si>
  <si>
    <t>合计</t>
  </si>
  <si>
    <t>2020.08</t>
  </si>
  <si>
    <t>2020.07前</t>
  </si>
  <si>
    <t>order</t>
  </si>
  <si>
    <t>流水合计</t>
  </si>
  <si>
    <t>国际</t>
  </si>
  <si>
    <t>镜柜</t>
  </si>
  <si>
    <t>水龙头</t>
  </si>
  <si>
    <t>五金</t>
  </si>
  <si>
    <t>小计</t>
  </si>
  <si>
    <t>2020.08月</t>
  </si>
  <si>
    <t>Online Ebay流水</t>
  </si>
  <si>
    <t xml:space="preserve"> 1122.001.001</t>
  </si>
  <si>
    <t xml:space="preserve">        应收 Online Ebay</t>
  </si>
  <si>
    <t>Order</t>
  </si>
  <si>
    <t xml:space="preserve"> 1122.002.001</t>
  </si>
  <si>
    <t xml:space="preserve">        应收 Online Ebay-争议款/hold款</t>
  </si>
  <si>
    <t xml:space="preserve"> 2203.07.001</t>
  </si>
  <si>
    <t xml:space="preserve">        预收 Online Ebay</t>
  </si>
  <si>
    <t>税金</t>
  </si>
  <si>
    <t>2221</t>
  </si>
  <si>
    <t>应交税费</t>
  </si>
  <si>
    <t>refund + Claim</t>
  </si>
  <si>
    <t>Surfing Ebay流水</t>
  </si>
  <si>
    <t>Hold</t>
  </si>
  <si>
    <t xml:space="preserve"> 1122.001.012</t>
  </si>
  <si>
    <t xml:space="preserve">        应收 Surfing Ebay</t>
  </si>
  <si>
    <t>Ebay费</t>
  </si>
  <si>
    <t xml:space="preserve"> 1122.002.006</t>
  </si>
  <si>
    <t xml:space="preserve">        应收 Surfing Ebay-争议款/hold款</t>
  </si>
  <si>
    <t xml:space="preserve"> 2203.07.012</t>
  </si>
  <si>
    <t xml:space="preserve">        预收 Surfing Ebay</t>
  </si>
  <si>
    <t>计提营运费</t>
  </si>
  <si>
    <t>Simple Ebay流水</t>
  </si>
  <si>
    <t xml:space="preserve"> 1122.001.002</t>
  </si>
  <si>
    <t xml:space="preserve">        应收 Simple Ebay</t>
  </si>
  <si>
    <t xml:space="preserve"> 1122.002.002</t>
  </si>
  <si>
    <t xml:space="preserve">        应收 Simple Ebay-争议款/hold款</t>
  </si>
  <si>
    <t xml:space="preserve"> 2203.07.002</t>
  </si>
  <si>
    <t xml:space="preserve">        预收 Simple Ebay</t>
  </si>
  <si>
    <t>Showerenclosure Ebay流水</t>
  </si>
  <si>
    <t xml:space="preserve"> 1122.001.013</t>
  </si>
  <si>
    <t xml:space="preserve">        应收 Showerenclosure Ebay</t>
  </si>
  <si>
    <t xml:space="preserve"> 1122.002.007</t>
  </si>
  <si>
    <t xml:space="preserve">        应收 Showerenclosure Ebay-争议款/hold款</t>
  </si>
  <si>
    <t xml:space="preserve"> 2203.07.013</t>
  </si>
  <si>
    <t xml:space="preserve">        预收 Showerenclosure Ebay</t>
  </si>
  <si>
    <t>1221.86</t>
  </si>
  <si>
    <t>其他应收款 - 事业部</t>
  </si>
  <si>
    <t>6601.002.002.003</t>
  </si>
  <si>
    <t>销售费用 - 销售平台费用 - Ebay费用 - 镜柜事业部-Ebay费</t>
  </si>
  <si>
    <t>6601.006.002</t>
  </si>
  <si>
    <t>销售费用 - 事业部营运费 - 镜柜事业部-营运费</t>
  </si>
  <si>
    <t>1221.60</t>
  </si>
  <si>
    <t>其他应收款 - 拓展部五金部</t>
  </si>
  <si>
    <t>6601.002.002.002</t>
  </si>
  <si>
    <t>销售费用 - 销售平台费用 - Ebay费用 - 五金事业部-Ebay费</t>
  </si>
  <si>
    <t>6601.006.001</t>
  </si>
  <si>
    <t>销售费用 - 事业部营运费 - 五金事业部-营运费</t>
  </si>
  <si>
    <t>1221.100</t>
  </si>
  <si>
    <t>其他应收款 - 拓展部-水龙头</t>
  </si>
  <si>
    <t>6601.002.002.004</t>
  </si>
  <si>
    <t>销售费用 - 销售平台费用 - Ebay费用 - 水龙头事业部-Ebay费</t>
  </si>
  <si>
    <t>6601.006.003</t>
  </si>
  <si>
    <t>销售费用 - 事业部营运费 - 水龙头事业部-营运费</t>
  </si>
  <si>
    <t>Surfing Ebay</t>
  </si>
  <si>
    <t>ebay费3</t>
  </si>
  <si>
    <t>营运费5%：</t>
  </si>
  <si>
    <t>Payment case</t>
  </si>
  <si>
    <t>Payment dispute</t>
  </si>
  <si>
    <t>--</t>
  </si>
  <si>
    <t>陶瓷</t>
  </si>
  <si>
    <t>防火板</t>
  </si>
  <si>
    <t>Adjustment</t>
  </si>
  <si>
    <t>Postage label</t>
  </si>
  <si>
    <t>Transfer</t>
  </si>
  <si>
    <t>2021.09月</t>
  </si>
  <si>
    <t>Ebay费*</t>
  </si>
  <si>
    <t>Simple Ebay</t>
  </si>
  <si>
    <t>Ebay点击费*</t>
  </si>
  <si>
    <t>营运费*</t>
  </si>
  <si>
    <t>Showerenclosure Ebay</t>
  </si>
  <si>
    <t>SuperShower Ebay</t>
  </si>
  <si>
    <t>1122.001.017</t>
  </si>
  <si>
    <t>应收 SuperShower Ebay</t>
  </si>
  <si>
    <t>1122.002.010</t>
  </si>
  <si>
    <t>应收 SuperShower Ebay-争议款/hold款</t>
  </si>
  <si>
    <t>2203.07.017</t>
  </si>
  <si>
    <t>预收 SuperShower Ebay</t>
  </si>
  <si>
    <t>Onlinebath Ebay</t>
  </si>
  <si>
    <t>1122.001.018</t>
  </si>
  <si>
    <t>应收 Onlinebath21 Ebay</t>
  </si>
  <si>
    <t>1122.002.011</t>
  </si>
  <si>
    <t>应收 OnlineBath21 Ebay-争议款/hold款</t>
  </si>
  <si>
    <t>2203.07.018</t>
  </si>
  <si>
    <t>预收 OnlineBath21 Ebay</t>
  </si>
  <si>
    <t>Skybathroom Ebay</t>
  </si>
  <si>
    <t>1122.001.021</t>
  </si>
  <si>
    <t>应收 Skybathroom Ebay</t>
  </si>
  <si>
    <t>1122.002.012</t>
  </si>
  <si>
    <t>应收 Skybathroom Ebay-争议款/hold款</t>
  </si>
  <si>
    <t>2203.07.021</t>
  </si>
  <si>
    <t>预收 Skybathroom Ebay</t>
  </si>
  <si>
    <t>6601.003.002.003</t>
  </si>
  <si>
    <t>销售费用 - 销售平台引流费 - Ebay点击费 - 镜柜事业部-ebay点击费</t>
  </si>
  <si>
    <t>6601.003.002.002</t>
  </si>
  <si>
    <t>销售费用 - 销售平台引流费 - Ebay点击费 - 五金事业部-ebay点击费</t>
  </si>
  <si>
    <t>6601.003.002.004</t>
  </si>
  <si>
    <t>销售费用 - 销售平台引流费 - Ebay点击费 - 水龙头事业部-ebay点击费</t>
  </si>
  <si>
    <t>1221.103</t>
  </si>
  <si>
    <t>拓展部-陶瓷部</t>
  </si>
  <si>
    <t>6601.002.002.005</t>
  </si>
  <si>
    <t>陶瓷部事业部-Ebay费</t>
  </si>
  <si>
    <t>6601.006.004</t>
  </si>
  <si>
    <t>陶瓷事业部-营运费</t>
  </si>
  <si>
    <t>6601.003.002.005</t>
  </si>
  <si>
    <t>陶瓷部事业部-ebay点击费</t>
  </si>
  <si>
    <t>1221.107</t>
  </si>
  <si>
    <t>拓展部-防火底板</t>
  </si>
  <si>
    <t>6601.002.002.006</t>
  </si>
  <si>
    <t>防火底板事业部-Ebay费</t>
  </si>
  <si>
    <t>6601.006.005</t>
  </si>
  <si>
    <t>防火底板事业部-营运费</t>
  </si>
  <si>
    <t>6601.003.002.006</t>
  </si>
  <si>
    <t>防火底板事业部-ebay点击费</t>
  </si>
  <si>
    <t>Commande</t>
  </si>
  <si>
    <t>Remboursement</t>
  </si>
  <si>
    <t>Retenue sur remboursement</t>
  </si>
  <si>
    <t>Mano</t>
  </si>
  <si>
    <t>&lt;&gt;2020.07前</t>
  </si>
  <si>
    <t>2021.03月</t>
  </si>
  <si>
    <t>平台费</t>
  </si>
  <si>
    <t>mano</t>
  </si>
  <si>
    <t>1122.001.003</t>
  </si>
  <si>
    <t>应收账款 - 应收销售平台款 - 应收 Mano</t>
  </si>
  <si>
    <t>2203.07.003</t>
  </si>
  <si>
    <t>预收账款 - 预收销售平台款 - 预收 Mano</t>
  </si>
  <si>
    <t>1122.09</t>
  </si>
  <si>
    <t>应收账款 - 7月</t>
  </si>
  <si>
    <t>6601.002.004.003</t>
  </si>
  <si>
    <t>销售费用 - 销售平台费用 - Manomano平台费 - 镜柜事业部-manomano平台费</t>
  </si>
  <si>
    <t>6601.002.004.002</t>
  </si>
  <si>
    <t>销售费用 - 销售平台费用 - Manomano平台费 - 五金事业部-manomano平台费</t>
  </si>
  <si>
    <t>6601.002.004.004</t>
  </si>
  <si>
    <t>销售费用 - 销售平台费用 - Manomano平台费 - 水龙头事业部-manomano平台费</t>
  </si>
  <si>
    <t>6601.002.004.005</t>
  </si>
  <si>
    <t>陶瓷部事业部-manomano平台费</t>
  </si>
  <si>
    <t>6601.002.004.006</t>
  </si>
  <si>
    <t>防火底板事业部-manomano平台费</t>
  </si>
  <si>
    <t>chargeback</t>
  </si>
  <si>
    <t>Shopify</t>
  </si>
  <si>
    <t>charge</t>
  </si>
  <si>
    <t>2020.12月</t>
  </si>
  <si>
    <t>拼单</t>
  </si>
  <si>
    <t>手续费</t>
  </si>
  <si>
    <t>拼单手续费</t>
  </si>
  <si>
    <t>营运费5%</t>
  </si>
  <si>
    <t>adjustment</t>
  </si>
  <si>
    <t>拼单下单</t>
  </si>
  <si>
    <t>Q</t>
  </si>
  <si>
    <t>R</t>
  </si>
  <si>
    <t>T</t>
  </si>
  <si>
    <t>S</t>
  </si>
  <si>
    <t>U</t>
  </si>
  <si>
    <t>shopify</t>
  </si>
  <si>
    <t>1122.001.004</t>
  </si>
  <si>
    <t>应收账款 - 应收销售平台款 - 应收 Shopify</t>
  </si>
  <si>
    <t>2203.07.004</t>
  </si>
  <si>
    <t>预收账款 - 预收销售平台款 - 预收 Shopify</t>
  </si>
  <si>
    <t>adjusment</t>
  </si>
  <si>
    <t>6603.002.02.01</t>
  </si>
  <si>
    <t>财务费用 - 收款平台手续费 - Shopify手续费 - 英国公司-shopify手续费</t>
  </si>
  <si>
    <t>6603.002.02.03</t>
  </si>
  <si>
    <t>财务费用 - 收款平台手续费 - Shopify手续费 - 镜柜事业部-shopify手续费</t>
  </si>
  <si>
    <t>6603.002.02.02</t>
  </si>
  <si>
    <t>财务费用 - 收款平台手续费 - Shopify手续费 - 五金事业部-shopify手续费</t>
  </si>
  <si>
    <t>6603.002.02.04</t>
  </si>
  <si>
    <t>财务费用 - 收款平台手续费 - Shopify手续费 - 水龙头事业部-shopify手续费</t>
  </si>
  <si>
    <t>6603.002.02.05</t>
  </si>
  <si>
    <t>陶瓷部事业部-shopify手续费</t>
  </si>
  <si>
    <t>6603.002.02.06</t>
  </si>
  <si>
    <t>防火底板事业部-shopify手续费</t>
  </si>
  <si>
    <t>Aica paypal流水</t>
  </si>
  <si>
    <t>General Payment</t>
  </si>
  <si>
    <t>Payment Refund</t>
  </si>
  <si>
    <t>Payment Reversal</t>
  </si>
  <si>
    <t>Cancellation of Hold for Dispute Resolution</t>
  </si>
  <si>
    <t>Hold on Balance for Dispute Investigation</t>
  </si>
  <si>
    <t>ebay费13%</t>
  </si>
  <si>
    <t>eBay Auction Payment</t>
  </si>
  <si>
    <t>Mobile Payment</t>
  </si>
  <si>
    <t>Virtual Terminal Payment</t>
  </si>
  <si>
    <t>Express Checkout Payment</t>
  </si>
  <si>
    <t>Mass Payment</t>
  </si>
  <si>
    <t>1122.001.006</t>
  </si>
  <si>
    <t>应收账款 - 应收销售平台款 - Aica paypal流水</t>
  </si>
  <si>
    <t>2203.07.006</t>
  </si>
  <si>
    <t>预收账款 - 预收销售平台款 - 预收 Aica paypal流水</t>
  </si>
  <si>
    <t>1122.002.004</t>
  </si>
  <si>
    <t>应收账款 - 应收销售平台-争议款/hold款 - 应收 Aica paypal流水-争议款/hold款</t>
  </si>
  <si>
    <t>ebay费</t>
  </si>
  <si>
    <t>6603.002.01.03</t>
  </si>
  <si>
    <t>财务费用 - 收款平台手续费 - Paypal手续费 - 镜柜事业部-paypal手续费</t>
  </si>
  <si>
    <t>6603.002.01.02</t>
  </si>
  <si>
    <t>财务费用 - 收款平台手续费 - Paypal手续费 - 五金事业部-paypal手续费</t>
  </si>
  <si>
    <t>6603.002.01.04</t>
  </si>
  <si>
    <t>财务费用 - 收款平台手续费 - Paypal手续费 - 水龙头事业部-paypal手续费</t>
  </si>
  <si>
    <t>其他应收款 - 拓展部-陶瓷</t>
  </si>
  <si>
    <t>销售费用 - 销售平台费用 - Ebay费用 - 陶瓷事业部-Ebay费</t>
  </si>
  <si>
    <t>6603.002.01.05</t>
  </si>
  <si>
    <t>财务费用 - 收款平台手续费 - Paypal手续费 - 陶瓷事业部-paypal手续费</t>
  </si>
  <si>
    <t>销售费用 - 事业部营运费 - 陶瓷事业部-营运费</t>
  </si>
  <si>
    <t>6603.002.01.06</t>
  </si>
  <si>
    <t>防火底板事业部-paypal手续费</t>
  </si>
  <si>
    <t>Perfect Paypal流水</t>
  </si>
  <si>
    <t>Chargeback</t>
  </si>
  <si>
    <t>Chargeback Reversal</t>
  </si>
  <si>
    <t>1122.001.007</t>
  </si>
  <si>
    <t>应收账款 - 应收销售平台款 - Perfect Paypal流水</t>
  </si>
  <si>
    <t>2203.07.007</t>
  </si>
  <si>
    <t>预收账款 - 预收销售平台款 - 预收 Perfect paypal流水</t>
  </si>
  <si>
    <t>防火底板</t>
  </si>
  <si>
    <t>Homefast paypal流水</t>
  </si>
  <si>
    <t>1122.001.005</t>
  </si>
  <si>
    <t>应收账款 - 应收销售平台款 - 应收 Homefast paypal流水</t>
  </si>
  <si>
    <t>2203.07.005</t>
  </si>
  <si>
    <t>预收账款 - 预收销售平台款 - 预收 Homefast paypal流水</t>
  </si>
  <si>
    <t>银行现金</t>
  </si>
  <si>
    <t>下单</t>
  </si>
  <si>
    <t>退款</t>
  </si>
  <si>
    <t>收款</t>
  </si>
  <si>
    <t>现金</t>
  </si>
  <si>
    <t>Perfect汇丰</t>
  </si>
  <si>
    <t>Aica中行</t>
  </si>
  <si>
    <t>lloyd</t>
  </si>
  <si>
    <t>蒋卡</t>
  </si>
  <si>
    <t>homefast bar</t>
  </si>
  <si>
    <t>Excellent</t>
  </si>
  <si>
    <t>Perfect sanitary</t>
  </si>
  <si>
    <t>AICA中行</t>
  </si>
  <si>
    <t>perfect汇丰</t>
  </si>
  <si>
    <t>1122.001.009</t>
  </si>
  <si>
    <t>应收账款 - 应收销售平台款 - 应收 银行现金</t>
  </si>
  <si>
    <t>2203.07.009</t>
  </si>
  <si>
    <t>预收账款 - 预收销售平台款 - 预收 银行现金</t>
  </si>
  <si>
    <t>信洋 Ebay</t>
  </si>
  <si>
    <t>2021.06月</t>
  </si>
  <si>
    <t>总金额不含税</t>
  </si>
  <si>
    <t>收款（不含税）</t>
  </si>
  <si>
    <t>1221.102</t>
  </si>
  <si>
    <t>其他应收款 - 应收信洋Ebay+Amazon店（事业部）</t>
  </si>
  <si>
    <t>1122.001.010</t>
  </si>
  <si>
    <t>应收账款 - 应收销售平台款 - 应收 xinyang - ltd Ebay</t>
  </si>
  <si>
    <t>退款（不含税）</t>
  </si>
  <si>
    <t>Ebay交易费</t>
  </si>
  <si>
    <t>6601.002.002.001</t>
  </si>
  <si>
    <t>销售费用 - 销售平台费用 - Ebay费用 - 英国公司-Ebay费</t>
  </si>
  <si>
    <t>下单（不含税）</t>
  </si>
  <si>
    <t>2203.07.010</t>
  </si>
  <si>
    <t>预收账款 - 预收销售平台款 - 预收 xinyang - ltd Ebay</t>
  </si>
  <si>
    <t>Amazon批发网站</t>
  </si>
  <si>
    <t>2021.05月</t>
  </si>
  <si>
    <t>promotional rebates</t>
  </si>
  <si>
    <t>other</t>
  </si>
  <si>
    <t>英国Amazon批发网站（国际单）下单</t>
  </si>
  <si>
    <t>1122.001.008</t>
  </si>
  <si>
    <t>应收账款 - 应收销售平台款 - 应收 Amazon批发网站</t>
  </si>
  <si>
    <t>2203.07.008</t>
  </si>
  <si>
    <t>预收账款 - 预收销售平台款 - 预收 Amazon批发网站</t>
  </si>
  <si>
    <t>xinyang_ltd Ebay（paypal）</t>
  </si>
  <si>
    <t>2021.07月</t>
  </si>
  <si>
    <t>含税</t>
  </si>
  <si>
    <t>英国xinyang_ltd（国际单）paypal流水</t>
  </si>
  <si>
    <t>6603.002.01.01</t>
  </si>
  <si>
    <t>财务费用 - 收款平台手续费 - Paypal手续费 - 英国公司-paypal手续费</t>
  </si>
  <si>
    <t>Ebay模板设计费</t>
  </si>
  <si>
    <t>6601.003.002.001</t>
  </si>
  <si>
    <t>销售费用 - 销售平台引流费 - Ebay点击费 - 英国公司-ebay点击费</t>
  </si>
  <si>
    <t>Ebay点击费</t>
  </si>
  <si>
    <t>英国xinyang_ltd（国际单）paypal流水计提</t>
  </si>
  <si>
    <t>英国xinyang_ltd（国际单）paypal流水集体退</t>
  </si>
  <si>
    <t>xinyang_SA Ebay（paypal）</t>
  </si>
  <si>
    <t>2021.08月</t>
  </si>
  <si>
    <t>英国xinyang_SA Ebay（国际单）paypal流水</t>
  </si>
  <si>
    <t>1122.001.019</t>
  </si>
  <si>
    <t>应收 xinyang_SA Ebay</t>
  </si>
  <si>
    <t>Ebay交易费+点击费</t>
  </si>
  <si>
    <t>2203.07.019</t>
  </si>
  <si>
    <t>预收 xinyang_SA Ebay</t>
  </si>
  <si>
    <t>!$S:$S</t>
  </si>
  <si>
    <t>!$u:$u</t>
  </si>
  <si>
    <t>!$T:$T</t>
  </si>
  <si>
    <t>信洋Amazon</t>
  </si>
  <si>
    <t>!$V:$V</t>
  </si>
  <si>
    <t>!$Y:$Y</t>
  </si>
  <si>
    <t>!$AB:$AB</t>
  </si>
  <si>
    <t>!$AC:$AC</t>
  </si>
  <si>
    <t>!$AD:$AD</t>
  </si>
  <si>
    <t>!$AE:$AE</t>
  </si>
  <si>
    <t>selling fees</t>
  </si>
  <si>
    <t>fba fees</t>
  </si>
  <si>
    <t>other transaction fees</t>
  </si>
  <si>
    <t>英国信洋Amazon（国际单）流水</t>
  </si>
  <si>
    <t>Excellent Amazon</t>
  </si>
  <si>
    <t>1122.001.011</t>
  </si>
  <si>
    <t>应收账款 - 应收销售平台款 - 应收 信洋Amazon</t>
  </si>
  <si>
    <t>6601.002.003.005</t>
  </si>
  <si>
    <t>陶瓷事业部-Amazon平台费</t>
  </si>
  <si>
    <t>6601.003.003.001</t>
  </si>
  <si>
    <t>英国公司-Amazon点击费</t>
  </si>
  <si>
    <t>6601.003.003.002</t>
  </si>
  <si>
    <t>五金事业部-Amazon点击费</t>
  </si>
  <si>
    <t>费用</t>
  </si>
  <si>
    <t>6601.002.003.001</t>
  </si>
  <si>
    <t>销售费用 - 销售平台费用 - Amazon平台费 - 英国公司-Amazon平台费</t>
  </si>
  <si>
    <t>6601.003.003.003</t>
  </si>
  <si>
    <t>镜柜事业部-Amazon点击费</t>
  </si>
  <si>
    <t>6601.003.003.004</t>
  </si>
  <si>
    <t>水龙头事业部-Amazon点击费</t>
  </si>
  <si>
    <t>订阅费</t>
  </si>
  <si>
    <t>6601.003.003.005</t>
  </si>
  <si>
    <t>陶瓷事业部-Amazon点击费</t>
  </si>
  <si>
    <t>6601.003.003.006</t>
  </si>
  <si>
    <t>防火板事业部-Amazon点击费</t>
  </si>
  <si>
    <t>广告费</t>
  </si>
  <si>
    <t>2203.07.011</t>
  </si>
  <si>
    <t>预收账款 - 预收销售平台款 - 预收 信洋Amazon</t>
  </si>
  <si>
    <t>惠洋Amazon</t>
  </si>
  <si>
    <t>英国惠洋_Amazon（国际单）流水</t>
  </si>
  <si>
    <t>1122.001.016</t>
  </si>
  <si>
    <t>应收 惠洋Amazon</t>
  </si>
  <si>
    <t>2203.07.016</t>
  </si>
  <si>
    <t>预收 惠洋Amazon</t>
  </si>
  <si>
    <t>信洋xinyang_ltd Ebay</t>
  </si>
  <si>
    <t>英国xinyang_ltd_xy（国际单）Ebay流水</t>
  </si>
  <si>
    <t>汇兑损益</t>
  </si>
  <si>
    <t>6603.001.03</t>
  </si>
  <si>
    <t>财务费用 - 银行费用 - 汇兑损益</t>
  </si>
  <si>
    <t>xy_sanitaryware_XYSA Ebay</t>
  </si>
  <si>
    <t>6603.001.03 - 财务费用 - 银行费用 - 汇兑损益</t>
  </si>
  <si>
    <t>英国xy_sanitaryware_XYSA Ebay（国际单）Ebay流水</t>
  </si>
  <si>
    <t>1122.001.020</t>
  </si>
  <si>
    <t>应收 wayfair</t>
  </si>
  <si>
    <t>2203.07.020</t>
  </si>
  <si>
    <t>预收 WayFair</t>
  </si>
  <si>
    <t>6601.002.006.001</t>
  </si>
  <si>
    <t>英国公司-WayFair平台费</t>
  </si>
  <si>
    <t>Excellent Paypal流水</t>
  </si>
  <si>
    <t>1122.001.014</t>
  </si>
  <si>
    <t>应收 Excellent Paypal流水</t>
  </si>
  <si>
    <t>2203.07.014</t>
  </si>
  <si>
    <t>预收 Excellent Paypal流水</t>
  </si>
  <si>
    <t>Excellent Amazon流水</t>
  </si>
  <si>
    <t>tax</t>
  </si>
  <si>
    <t>1122.001.015</t>
  </si>
  <si>
    <t>应收 Excellent Amazon</t>
  </si>
  <si>
    <t>2203.07.015</t>
  </si>
  <si>
    <t>预收 Excellent Amazon</t>
  </si>
  <si>
    <t>营运费</t>
  </si>
  <si>
    <t>6601.002.003.004</t>
  </si>
  <si>
    <t>水龙头事业部-Amazon平台费</t>
  </si>
  <si>
    <t>6601.002.003.002</t>
  </si>
  <si>
    <t>五金事业部-Amazon平台费</t>
  </si>
  <si>
    <t>6601.002.003.003</t>
  </si>
  <si>
    <t>镜柜事业部-Amazon平台费</t>
  </si>
  <si>
    <t>6601.002.003.006</t>
  </si>
  <si>
    <t>防火底板事业部-Amazon平台费</t>
  </si>
  <si>
    <t>防火底板事业部-Amazon点击费</t>
  </si>
  <si>
    <t>更改为I:I列</t>
  </si>
  <si>
    <t>出货/退款时间</t>
  </si>
  <si>
    <t>OnlineBath Ebay</t>
  </si>
  <si>
    <t>wayfair</t>
  </si>
  <si>
    <t>Amaozn发货未收款</t>
  </si>
  <si>
    <t>最终确认收入（含税）</t>
  </si>
  <si>
    <t>最终确认收入（不含税）</t>
  </si>
  <si>
    <t xml:space="preserve">2021.09月 </t>
  </si>
  <si>
    <t>2203.07.001</t>
  </si>
  <si>
    <t>预收账款 - 预收销售平台款 - 预收 Online Ebay</t>
  </si>
  <si>
    <t>Online Ebay流水（国际部）：出货收入</t>
  </si>
  <si>
    <t>6001</t>
  </si>
  <si>
    <t>主营业务收入</t>
  </si>
  <si>
    <t>Simple Ebay流水（国际部）：出货收入</t>
  </si>
  <si>
    <t>2203.07.002</t>
  </si>
  <si>
    <t>预收账款 - 预收销售平台款 - 预收 Simple Ebay</t>
  </si>
  <si>
    <t>6051</t>
  </si>
  <si>
    <t>其他业务收入</t>
  </si>
  <si>
    <t>Surfing Ebay流水（国际部）：出货收入</t>
  </si>
  <si>
    <t>2203.07.012</t>
  </si>
  <si>
    <t>预收账款 - 预收销售平台款 - 预收 Surfing Ebay</t>
  </si>
  <si>
    <t>Showerenclouser Ebay流水（国际部）：出货收入</t>
  </si>
  <si>
    <t>2203.07.013</t>
  </si>
  <si>
    <t>预收账款 - 预收销售平台款 - 预收 Showerenclosure Ebay</t>
  </si>
  <si>
    <t>SuperShower Ebay流水（国际部）：出货收入</t>
  </si>
  <si>
    <t>预收账款 - 预收销售平台款 - 预收 SuperShower Ebay</t>
  </si>
  <si>
    <t>OnlineBath Ebay流水（国际部）：出货收入</t>
  </si>
  <si>
    <t>Mano 流水（国际部）：出货收入</t>
  </si>
  <si>
    <t>Shopify 流水（国际部）：出货收入</t>
  </si>
  <si>
    <t>Homefast paypal 流水（国际部）：出货收入</t>
  </si>
  <si>
    <t>Aica paypal 流水（国际部）：出货收入</t>
  </si>
  <si>
    <t>perfect paypal 流水（国际部）：出货收入</t>
  </si>
  <si>
    <t>Amazon批发网站 流水（国际部）：出货收入</t>
  </si>
  <si>
    <t>银行现金 流水（国际部）：出货收入</t>
  </si>
  <si>
    <t>Excellent Paypal 流水（国际部）：出货收入</t>
  </si>
  <si>
    <t>Excellent Amazon 流水（国际部）：出货收入</t>
  </si>
  <si>
    <t>xinyang_ltd Ebay paypal流水（国际部）：出货收入</t>
  </si>
  <si>
    <t>xinyang_ltd Ebay 流水（国际部）：出货收入</t>
  </si>
  <si>
    <t>xinyang_SA Ebay（paypal）（国际部）：出货收入</t>
  </si>
  <si>
    <t>信洋Amazon 流水（国际部）：出货收入</t>
  </si>
  <si>
    <t>惠洋Amazon 流水（国际部）：出货收入</t>
  </si>
  <si>
    <t>wayfair 流水（国际部）：出货收入</t>
  </si>
  <si>
    <t xml:space="preserve">2021.07月 </t>
  </si>
  <si>
    <t>7月后的退款</t>
  </si>
  <si>
    <t>Online Ebay（国际部）：退款</t>
  </si>
  <si>
    <t>1122.001.001</t>
  </si>
  <si>
    <t>应收账款 - 应收销售平台款 - 应收 Online Ebay</t>
  </si>
  <si>
    <t>Simple Ebay（国际部）：退款</t>
  </si>
  <si>
    <t>1122.001.002</t>
  </si>
  <si>
    <t>应收账款 - 应收销售平台款 - 应收 Simple Ebay</t>
  </si>
  <si>
    <t>Surfing Ebay（国际部）：退款</t>
  </si>
  <si>
    <t>1122.001.012</t>
  </si>
  <si>
    <t>应收账款 - 应收销售平台款 - 应收 Surfing Ebay</t>
  </si>
  <si>
    <t>Showerenclosure Ebay（国际部）：退款</t>
  </si>
  <si>
    <t>1122.001.013</t>
  </si>
  <si>
    <t>应收账款 - 应收销售平台款 - 应收 Showerenclosure Ebay</t>
  </si>
  <si>
    <t>SuperShower Ebay（国际部）：退款</t>
  </si>
  <si>
    <t>OnlineBath Ebay（国际部）：退款</t>
  </si>
  <si>
    <t>Skybathroom Ebay（国际部）：退款</t>
  </si>
  <si>
    <t>mano（国际部）：退款</t>
  </si>
  <si>
    <t>shopify（国际部）：退款</t>
  </si>
  <si>
    <t>Homefast paypal流水：退款</t>
  </si>
  <si>
    <t>Aica paypal 流水（国际部）：退款</t>
  </si>
  <si>
    <t>Perfect paypal 流水（国际部）：退款</t>
  </si>
  <si>
    <t>应收账款 - 应收销售平台款 - Perfect paypal流水</t>
  </si>
  <si>
    <t>银行现金（国际部）：退款</t>
  </si>
  <si>
    <t>Excellent Paypal流水（国际部）：退款</t>
  </si>
  <si>
    <t>Excellent Amazon流水（国际部）：退款</t>
  </si>
  <si>
    <t>7月钱的退款</t>
  </si>
  <si>
    <t>Homefast paypal流水（国际部）：退款（2020.7月前下单）</t>
  </si>
  <si>
    <t>Aica paypal流水（国际部）：退款（2020.7月前下单）</t>
  </si>
  <si>
    <t xml:space="preserve">2021.06月 </t>
  </si>
  <si>
    <t>银行现金（国际部）：退款（2020.7月前下单）</t>
  </si>
  <si>
    <t xml:space="preserve">2021.04月 </t>
  </si>
  <si>
    <t>Perfect paypal流水（国际部）：退款（2020.8月下单）</t>
  </si>
  <si>
    <t xml:space="preserve">2020.09月 </t>
  </si>
  <si>
    <t>Shopify（国际部）：退款（2020.8月下单）</t>
  </si>
  <si>
    <t>Online Ebay流水（国际部）：退款（2020.8月下单）</t>
  </si>
  <si>
    <t>Simple Ebay流水（国际部）：退款（2020.8月下单）</t>
  </si>
  <si>
    <t>Showerenclosure Ebay流水（国际部）：退款（2020.8月下单）</t>
  </si>
  <si>
    <t xml:space="preserve">结转2021.09月 </t>
  </si>
  <si>
    <t>在途商品为库存商品（主体产品）</t>
  </si>
  <si>
    <t>1405</t>
  </si>
  <si>
    <t>库存商品</t>
  </si>
  <si>
    <t>1402</t>
  </si>
  <si>
    <t>在途商品</t>
  </si>
  <si>
    <t>在途商品为库存商品（配件产品）</t>
  </si>
  <si>
    <t>退货入仓（主体产品）</t>
  </si>
  <si>
    <t>6401</t>
  </si>
  <si>
    <t>主营业务成本</t>
  </si>
  <si>
    <t>退货入仓（配件产品）</t>
  </si>
  <si>
    <t>主营业务成本(主体产品)</t>
  </si>
  <si>
    <t>月主营业务成本(配件产品)</t>
  </si>
  <si>
    <t>2020.09</t>
  </si>
  <si>
    <t xml:space="preserve">月AICA </t>
  </si>
  <si>
    <t>个税+保险-办公室</t>
  </si>
  <si>
    <t>6601.001.002</t>
  </si>
  <si>
    <t xml:space="preserve">销售费用 - 用人成本 - 国外人员工资
</t>
  </si>
  <si>
    <t>个税+保险-仓库员工</t>
  </si>
  <si>
    <t>6601.001.007</t>
  </si>
  <si>
    <t xml:space="preserve">销售费用 - 用人成本 - 搬运工费用
</t>
  </si>
  <si>
    <t>个税+保险-公司</t>
  </si>
  <si>
    <t>6601.001.004</t>
  </si>
  <si>
    <t xml:space="preserve">销售费用 - 用人成本 - 国外员工社保
</t>
  </si>
  <si>
    <t>个税+保险-拓展五金Tony+sun man+li zhang peng+Jarnail</t>
  </si>
  <si>
    <t>个税+保险-王敬尧（个人+公司部分）</t>
  </si>
  <si>
    <t>1221.106</t>
  </si>
  <si>
    <t>其他应收款 - 王敬尧</t>
  </si>
  <si>
    <t>个税+保险-公司+办公室+仓库+拓展+王敬尧</t>
  </si>
  <si>
    <t>2202.20</t>
  </si>
  <si>
    <t>应付账款 - 工资税</t>
  </si>
  <si>
    <t>个税+保险-王敬尧(公司部分)</t>
  </si>
  <si>
    <t>养老金-办公室</t>
  </si>
  <si>
    <t>养老金-仓库</t>
  </si>
  <si>
    <t>养老金-公司</t>
  </si>
  <si>
    <t>养老金-拓展五金Tony+suman+lizhangpeng</t>
  </si>
  <si>
    <t>养老金-王敬尧（个人+公司部分）</t>
  </si>
  <si>
    <t>养老金-公司+办公室+仓库</t>
  </si>
  <si>
    <t>月Perfect</t>
  </si>
  <si>
    <t>个税+保险-办公室+仓库</t>
  </si>
  <si>
    <t>月Excellent</t>
  </si>
  <si>
    <t>个税+保险-仓库</t>
  </si>
  <si>
    <t>个税+保险-公司+办公室+仓库</t>
  </si>
  <si>
    <t xml:space="preserve">计提仓库员工Michael </t>
  </si>
  <si>
    <t>月工资</t>
  </si>
  <si>
    <t>2211</t>
  </si>
  <si>
    <t>应付职工薪酬</t>
  </si>
  <si>
    <t xml:space="preserve">计提仓库员工TJ </t>
  </si>
  <si>
    <t xml:space="preserve">计提仓库员工Omar </t>
  </si>
  <si>
    <t>月工资现金部分 1203.87</t>
  </si>
  <si>
    <t>计提仓库员工Abdul</t>
  </si>
  <si>
    <t>月工资现金部分</t>
  </si>
  <si>
    <t>计提仓库员工Ahmed</t>
  </si>
  <si>
    <t xml:space="preserve">海洋代垫英国海运费 </t>
  </si>
  <si>
    <t>2柜OS21-0628Y-3+5</t>
  </si>
  <si>
    <t>2241.01</t>
  </si>
  <si>
    <t xml:space="preserve">其他应付款 - 代垫海洋往来
</t>
  </si>
  <si>
    <t>1柜OS21-0625Y-JZ-6</t>
  </si>
  <si>
    <t>1柜OS21-0316Y-JZ-1</t>
  </si>
  <si>
    <t>2柜OS21-0628Y-4+6</t>
  </si>
  <si>
    <t>1柜OS21-0625Y-JZ-3</t>
  </si>
  <si>
    <t>2柜OS21-0625Y-JZ-1+2P</t>
  </si>
  <si>
    <t>1柜OS21-0625Y-JZ-5</t>
  </si>
  <si>
    <t>2柜OS21-0628Y-1+2</t>
  </si>
  <si>
    <t>1柜OS21-0528Y-2+3</t>
  </si>
  <si>
    <t>4柜OS21-0525Y-JZ-5+6+7+8</t>
  </si>
  <si>
    <t>5柜OS21-0528Y-6+7+8+9+10</t>
  </si>
  <si>
    <t>1柜OS21-0528Y-1</t>
  </si>
  <si>
    <t>3柜OS21-0418Y-JZ-7+8/0420Y-11</t>
  </si>
  <si>
    <t>2柜OS21-0420Y-9+7</t>
  </si>
  <si>
    <t>海洋代垫英国办公室租金</t>
  </si>
  <si>
    <t>6602.001.006</t>
  </si>
  <si>
    <t xml:space="preserve">管理费用 - 办公费新 - 国内办公室租金
</t>
  </si>
  <si>
    <t>海洋代垫英国办公室电信费</t>
  </si>
  <si>
    <t>6602.001.002</t>
  </si>
  <si>
    <t xml:space="preserve">管理费用 - 办公费新 - 电话费
</t>
  </si>
  <si>
    <t>海洋代垫IJ6400主机1台</t>
  </si>
  <si>
    <t>固定资产</t>
  </si>
  <si>
    <t>海洋代垫公牛1091C-5米排插2个</t>
  </si>
  <si>
    <t>6602.001.010</t>
  </si>
  <si>
    <t>国际部办公费</t>
  </si>
  <si>
    <t>海洋代垫丽确A4纸2箱</t>
  </si>
  <si>
    <t>海洋代垫英国注册商标</t>
  </si>
  <si>
    <t>6602.004.008</t>
  </si>
  <si>
    <t>CE证书费</t>
  </si>
  <si>
    <t>海洋代垫信洋税检（RMB:5000），国际部与拓展部各1半</t>
  </si>
  <si>
    <t xml:space="preserve">海洋代垫国际 </t>
  </si>
  <si>
    <t>红包发放</t>
  </si>
  <si>
    <t>6602.004.002</t>
  </si>
  <si>
    <t>管理费用 - 其他费用 - 职工福利</t>
  </si>
  <si>
    <t>海洋代垫白云学院招聘油费+高速费</t>
  </si>
  <si>
    <t>6602.004.003</t>
  </si>
  <si>
    <t>管理费用 - 其他费用 - 差旅费</t>
  </si>
  <si>
    <t>英国外贸三批发部2021年08月绩效</t>
  </si>
  <si>
    <t>序号</t>
  </si>
  <si>
    <t>姓名</t>
  </si>
  <si>
    <t>英镑</t>
  </si>
  <si>
    <t>8月汇率</t>
  </si>
  <si>
    <t>人民币</t>
  </si>
  <si>
    <t>月发70%</t>
  </si>
  <si>
    <t>年底发30%</t>
  </si>
  <si>
    <t>1、</t>
  </si>
  <si>
    <t>陈荣（SELINA）</t>
  </si>
  <si>
    <t>2、</t>
  </si>
  <si>
    <t>廖灵(LIZZY)</t>
  </si>
  <si>
    <t>合计：</t>
  </si>
  <si>
    <t>RMB</t>
  </si>
  <si>
    <t>-陈荣(SELINA)月计提30%</t>
  </si>
  <si>
    <t>6601.001.001</t>
  </si>
  <si>
    <t>销售费用 - 用人成本 - 国内人员工资</t>
  </si>
  <si>
    <t>-廖灵(LIZZY)</t>
  </si>
  <si>
    <t>-廖灵(LIZZY)月发70%</t>
  </si>
  <si>
    <t>-廖灵(LIZZY)年底发30%</t>
  </si>
  <si>
    <t>-陈荣(SELINA)德国批发单提成月发70%</t>
  </si>
  <si>
    <t>2241.05</t>
  </si>
  <si>
    <t>其他应付款 - 德国往来</t>
  </si>
  <si>
    <t>-代五金付陈荣(SELINA)德国批发单提成月发70%</t>
  </si>
  <si>
    <t>-代镜柜付陈荣(SELINA)德国批发单提成月发70%</t>
  </si>
  <si>
    <t>中国员工社保-个人部分</t>
  </si>
  <si>
    <t>1221.72</t>
  </si>
  <si>
    <t>其他应收款 - 员工食宿/保险</t>
  </si>
  <si>
    <t>中国员工社保-单位部分</t>
  </si>
  <si>
    <t>6601.001.003</t>
  </si>
  <si>
    <t xml:space="preserve">销售费用 - 用人成本 - 国内员工社保
</t>
  </si>
  <si>
    <t>中国员工社保-个人+单位部分</t>
  </si>
  <si>
    <t>中国国际部领取工衣明细</t>
  </si>
  <si>
    <t>中国国际部房租水电</t>
  </si>
  <si>
    <t>中国员工-罚款借款或其他</t>
  </si>
  <si>
    <t>中国员工-月绩效扣款</t>
  </si>
  <si>
    <t>中国员工-月绩效扣款+罚款借款或其他</t>
  </si>
  <si>
    <t>2241.10</t>
  </si>
  <si>
    <t>其他应付款 - 互助基金</t>
  </si>
  <si>
    <t>中国员工（肖伟雄）-年底绩效</t>
  </si>
  <si>
    <t>中国员工-餐费</t>
  </si>
  <si>
    <t>中国员工-住宿水电</t>
  </si>
  <si>
    <t>中国员工-个人所得税</t>
  </si>
  <si>
    <t>中国员工-商业保险</t>
  </si>
  <si>
    <t>中国员工-工衣/体检费</t>
  </si>
  <si>
    <t>中国员工-个人所得税+住宿水电+餐费+商业保险+工衣</t>
  </si>
  <si>
    <t>中国员工-实发工资</t>
  </si>
  <si>
    <t>中国员工-实发工资-手续费</t>
  </si>
  <si>
    <t>6602.001.001</t>
  </si>
  <si>
    <t xml:space="preserve">管理费用 - 办公费新 - 办公费
</t>
  </si>
  <si>
    <t>海洋垫付2021.08月中国员工社保-个人部分（RMB:10163.98,汇率：8.9867）</t>
  </si>
  <si>
    <t>2021.09月发7月客服绩效:</t>
  </si>
  <si>
    <t xml:space="preserve"> 国内</t>
  </si>
  <si>
    <t xml:space="preserve"> 国外</t>
  </si>
  <si>
    <t xml:space="preserve">销售补贴 </t>
  </si>
  <si>
    <t>6601.004.005.005</t>
  </si>
  <si>
    <t>销售费用 - 仓库费用 - 仓库租金 - 陶瓷事业部-仓租</t>
  </si>
  <si>
    <t>6601.005.006.005</t>
  </si>
  <si>
    <t>销售费用_运输成本_Hermes运费_陶瓷事业部-Hermes</t>
  </si>
  <si>
    <t>6601.005.007.005</t>
  </si>
  <si>
    <t>销售费用_运输成本_TNT运费_陶瓷事业部-TNT</t>
  </si>
  <si>
    <t>6601.005.005.005</t>
  </si>
  <si>
    <t>销售费用_运输成本_PL运费_陶瓷事业部-Palletline</t>
  </si>
  <si>
    <t>6601.005.001</t>
  </si>
  <si>
    <t xml:space="preserve">销售费用 - 运输成本 - 运输用托盘</t>
  </si>
  <si>
    <t>6601.005.004.026</t>
  </si>
  <si>
    <t>销售费用_运输成本_Van司机运费_陶瓷事业部-van</t>
  </si>
  <si>
    <t>6601.004.005.004</t>
  </si>
  <si>
    <t>销售费用 - 仓库费用 - 仓库租金 - 水龙头事业部-仓租</t>
  </si>
  <si>
    <t xml:space="preserve">仓储费 </t>
  </si>
  <si>
    <t>暂估计提 4000</t>
  </si>
  <si>
    <t>6601.005.006.004</t>
  </si>
  <si>
    <t>销售费用 - 运输成本 - Hermes运费 - 水龙头事业部-Hermes</t>
  </si>
  <si>
    <t>暂估计提 1000</t>
  </si>
  <si>
    <t>6601.005.007.004</t>
  </si>
  <si>
    <t>销售费用 - 运输成本 - TNT运费 - 水龙头事业部-TNT</t>
  </si>
  <si>
    <t>6601.005.005.004</t>
  </si>
  <si>
    <t>销售费用 - 运输成本 - PL运费 - 水龙头事业部-Palletline</t>
  </si>
  <si>
    <t>暂估计提 300</t>
  </si>
  <si>
    <t>6601.005.004.025</t>
  </si>
  <si>
    <t>销售费用 - 运输成本 - Van司机运费 - 水龙头事业部-Van</t>
  </si>
  <si>
    <t>暂估计提 20</t>
  </si>
  <si>
    <t>暂估计提 100</t>
  </si>
  <si>
    <t xml:space="preserve">hermes运费 </t>
  </si>
  <si>
    <t>金额</t>
  </si>
  <si>
    <t>单数</t>
  </si>
  <si>
    <t>6601.004.005.002</t>
  </si>
  <si>
    <t>销售费用 - 仓库费用 - 仓库租金 - 五金事业部-仓租</t>
  </si>
  <si>
    <t>Hermes运费</t>
  </si>
  <si>
    <t xml:space="preserve">tnt运费 </t>
  </si>
  <si>
    <t>TNT运费</t>
  </si>
  <si>
    <t>PL运费</t>
  </si>
  <si>
    <t>6601.005.006.002</t>
  </si>
  <si>
    <t>销售费用 - 运输成本 - Hermes运费 - 五金事业部-Hermes</t>
  </si>
  <si>
    <t xml:space="preserve">pl运费 </t>
  </si>
  <si>
    <t>托盘费</t>
  </si>
  <si>
    <t>6601.005.007.002</t>
  </si>
  <si>
    <t>销售费用 - 运输成本 - TNT运费 - 五金事业部-TNT</t>
  </si>
  <si>
    <t>PL运费（调货）</t>
  </si>
  <si>
    <t>6601.005.005.002</t>
  </si>
  <si>
    <t>销售费用 - 运输成本 - PL运费 - 五金事业部-Palletline</t>
  </si>
  <si>
    <t xml:space="preserve">pl托盘费 </t>
  </si>
  <si>
    <t>托盘费（调货）</t>
  </si>
  <si>
    <t xml:space="preserve">销售费用 - 运输成本 - 运输用托盘
</t>
  </si>
  <si>
    <t>6601.005.004.023</t>
  </si>
  <si>
    <t>销售费用 - 运输成本 - Van司机运费 - 五金事业部-Van</t>
  </si>
  <si>
    <t>pl运费（调货）</t>
  </si>
  <si>
    <t>暂估van运费</t>
  </si>
  <si>
    <t>pl托盘费 （调货）</t>
  </si>
  <si>
    <t>6601.004.005.003</t>
  </si>
  <si>
    <t>销售费用 - 仓库费用 - 仓库租金 - 镜柜事业部-仓租</t>
  </si>
  <si>
    <t xml:space="preserve">van运费 </t>
  </si>
  <si>
    <t>6601.005.006.003</t>
  </si>
  <si>
    <t>销售费用 - 运输成本 - Hermes运费 - 镜柜事业部-Hermes</t>
  </si>
  <si>
    <t>6601.005.007.003</t>
  </si>
  <si>
    <t>销售费用 - 运输成本 - TNT运费 - 镜柜事业部-TNT</t>
  </si>
  <si>
    <t>6601.005.005.003</t>
  </si>
  <si>
    <t>销售费用 - 运输成本 - PL运费 - 镜柜事业部-Palletline</t>
  </si>
  <si>
    <t>6601.005.004.024</t>
  </si>
  <si>
    <t>销售费用 - 运输成本 - Van司机运费 - 镜柜事业部-Van</t>
  </si>
  <si>
    <t>6601.004.005.006</t>
  </si>
  <si>
    <t>销售费用 - 仓库费用 - 仓库租金 - 防火板事业部-仓租</t>
  </si>
  <si>
    <t>6601.005.006.006</t>
  </si>
  <si>
    <t>销售费用_运输成本_Hermes运费_防火底板事业部-Hermes</t>
  </si>
  <si>
    <t>6601.005.007.006</t>
  </si>
  <si>
    <t>销售费用_运输成本_TNT运费_防火底板事业部-TNT</t>
  </si>
  <si>
    <t>6601.005.005.006</t>
  </si>
  <si>
    <t>销售费用_运输成本_PL运费_防火底板事业部-Palletline</t>
  </si>
  <si>
    <t>6601.005.004.031</t>
  </si>
  <si>
    <t>销售费用_运输成本_Van司机运费_防火底板事业部-van</t>
  </si>
  <si>
    <t>英国</t>
  </si>
  <si>
    <t>6601.005.005.001</t>
  </si>
  <si>
    <t>销售费用_运输成本_PL运费_英国公司-Palletline</t>
  </si>
  <si>
    <t>6601.005.006.001</t>
  </si>
  <si>
    <t>销售费用_运输成本_Hermes运费_英国公司-Hermes</t>
  </si>
  <si>
    <t>6601.005.007.001</t>
  </si>
  <si>
    <t>销售费用_运输成本_TNT运费_英国公司-TNT</t>
  </si>
  <si>
    <t>6601.002.001.001</t>
  </si>
  <si>
    <t>销售费用_销售平台费用_Shopify月租金_英国公司-shopify月租金</t>
  </si>
  <si>
    <t>销售费用_销售平台费用_Ebay费用_英国公司-Ebay费</t>
  </si>
  <si>
    <t>销售费用_销售平台费用_Amazon平台费_英国公司-Amazon平台费</t>
  </si>
  <si>
    <t>6601.002.004.001</t>
  </si>
  <si>
    <t>销售费用_销售平台费用_Manomano平台费_英国公司-manomano平台费</t>
  </si>
  <si>
    <t>6601.002.005.001</t>
  </si>
  <si>
    <t>销售费用_销售平台费用_Shopify平台费_英国公司-Shopify平台费</t>
  </si>
  <si>
    <t>6601.003.001.001</t>
  </si>
  <si>
    <t>销售费用_销售平台引流费_Shopify点击费_英国公司-shopify点击费</t>
  </si>
  <si>
    <t>销售费用_销售平台引流费_Ebay点击费_英国公司-ebay点击费</t>
  </si>
  <si>
    <t>销售费用_销售平台引流费_Amazon点击费_英国公司-Amazon点击费</t>
  </si>
  <si>
    <t>6601.003.004.001</t>
  </si>
  <si>
    <t>销售费用_销售平台引流费_ManoMano点击费_英国公司-ManoMano点击费</t>
  </si>
  <si>
    <t>6601.004.005.001</t>
  </si>
  <si>
    <t>销售费用_仓库费用_仓库租金_英国公司-仓租</t>
  </si>
  <si>
    <t>财务费用_收款平台手续费_Paypal手续费_英国公司-paypal手续费</t>
  </si>
  <si>
    <t>财务费用_收款平台手续费_Shopify手续费_英国公司-shopify手续费</t>
  </si>
  <si>
    <t>6603.002.03.01</t>
  </si>
  <si>
    <t>财务费用_收款平台手续费_Manomano手续费_英国公司-manomano手续费</t>
  </si>
  <si>
    <t>6603.002.04.01</t>
  </si>
  <si>
    <t>财务费用_收款平台手续费_Ebay手续费_英国公司-Ebay手续费</t>
  </si>
  <si>
    <t>2202.02</t>
  </si>
  <si>
    <t>应付账款 - palletline</t>
  </si>
  <si>
    <t>2202.04</t>
  </si>
  <si>
    <t>应付账款_TNT</t>
  </si>
  <si>
    <t>2202.48</t>
  </si>
  <si>
    <t>应付账款_Hermes运费</t>
  </si>
  <si>
    <t xml:space="preserve">计提BT网络费 </t>
  </si>
  <si>
    <t>6602.001.003</t>
  </si>
  <si>
    <t xml:space="preserve">管理费用 - 办公费新 - 网络费
</t>
  </si>
  <si>
    <t>2202.42</t>
  </si>
  <si>
    <t>应付账款 - bt网络费</t>
  </si>
  <si>
    <t>计提Biffa垃圾费</t>
  </si>
  <si>
    <t>6601.004.009</t>
  </si>
  <si>
    <t xml:space="preserve">销售费用 - 仓库费用 - 公司垃圾费
</t>
  </si>
  <si>
    <t>2202.14</t>
  </si>
  <si>
    <t>应付账款 - 垃圾费</t>
  </si>
  <si>
    <t xml:space="preserve">计提排图费 </t>
  </si>
  <si>
    <t>6601.005.002</t>
  </si>
  <si>
    <t xml:space="preserve">销售费用 - 运输成本 - 排图软件费用
</t>
  </si>
  <si>
    <t>2202.41</t>
  </si>
  <si>
    <t>应付账款 - 排图系统租金</t>
  </si>
  <si>
    <t>法国代垫英国 shopify月租金</t>
  </si>
  <si>
    <t>销售费用 - 销售平台费用 - Shopify月租金 - 英国公司-shopify月租金</t>
  </si>
  <si>
    <t>2241.12</t>
  </si>
  <si>
    <t>其他应付款 - 法国</t>
  </si>
  <si>
    <t>德国代垫英国 shopify点击费</t>
  </si>
  <si>
    <t>销售费用 - 销售平台引流费 - Shopify点击费 - 英国公司-shopify点击费</t>
  </si>
  <si>
    <t>德国代垫英国 shopify英国数字服务税费用</t>
  </si>
  <si>
    <t xml:space="preserve">计提仓库水费 </t>
  </si>
  <si>
    <t>6602.003.002</t>
  </si>
  <si>
    <t xml:space="preserve">管理费用 - 宿舍费用 - 宿舍水电煤气家庭税费</t>
  </si>
  <si>
    <t>2202.17</t>
  </si>
  <si>
    <t>应付账款 - 仓储费用</t>
  </si>
  <si>
    <t>2021.9.13-10.12</t>
  </si>
  <si>
    <t xml:space="preserve">漏计提电费 </t>
  </si>
  <si>
    <t>6601.004.004</t>
  </si>
  <si>
    <t xml:space="preserve">销售费用 - 仓库费用 - 电费
</t>
  </si>
  <si>
    <t>1221.61</t>
  </si>
  <si>
    <t>其他应收款 - 隔壁公司（电费）</t>
  </si>
  <si>
    <t xml:space="preserve">冲计提电费 </t>
  </si>
  <si>
    <t xml:space="preserve">补计提电费 </t>
  </si>
  <si>
    <t xml:space="preserve">9.13-9.17日  </t>
  </si>
  <si>
    <t>Palletline</t>
  </si>
  <si>
    <t>0211991</t>
  </si>
  <si>
    <t xml:space="preserve">8.23-8.31日 </t>
  </si>
  <si>
    <t>0211589</t>
  </si>
  <si>
    <t xml:space="preserve">2021.5.17-5.21日 </t>
  </si>
  <si>
    <t>0209617</t>
  </si>
  <si>
    <t xml:space="preserve">9.13-9.17日 </t>
  </si>
  <si>
    <t>TNT</t>
  </si>
  <si>
    <t>9.14-9.24日</t>
  </si>
  <si>
    <t xml:space="preserve">9.19-9.25日 </t>
  </si>
  <si>
    <t>Hermes</t>
  </si>
  <si>
    <t>00114061</t>
  </si>
  <si>
    <t xml:space="preserve">2021.09月 补收运费 </t>
  </si>
  <si>
    <t xml:space="preserve"> TNT</t>
  </si>
  <si>
    <t>收2021.10月</t>
  </si>
  <si>
    <t>shopify月租金</t>
  </si>
  <si>
    <t>6601.002.001.002</t>
  </si>
  <si>
    <t>销售费用_销售平台费用_Shopify月租金_五金事业部-shopify月租金</t>
  </si>
  <si>
    <t>6601.002.001.003</t>
  </si>
  <si>
    <t>销售费用_销售平台费用_Shopify月租金_镜柜事业部-shopify月租金</t>
  </si>
  <si>
    <t>6601.002.001.004</t>
  </si>
  <si>
    <t>销售费用_销售平台费用_Shopify月租金_水龙头事业部-shopify月租金</t>
  </si>
  <si>
    <t>6601.002.001.005</t>
  </si>
  <si>
    <t>销售费用_销售平台费用_Shopify月租金_陶瓷部事业部-shopify月租金</t>
  </si>
  <si>
    <t>6601.002.001.006</t>
  </si>
  <si>
    <t>销售费用_销售平台费用_Shopify月租金_防火底板事业部-shopify月租金</t>
  </si>
  <si>
    <t>manomano订阅费</t>
  </si>
  <si>
    <t>6603.002.03.02</t>
  </si>
  <si>
    <t>财务费用_收款平台手续费_Manomano手续费_五金事业部-manomano手续费</t>
  </si>
  <si>
    <t>6603.002.03.03</t>
  </si>
  <si>
    <t>财务费用_收款平台手续费_Manomano手续费_镜柜事业部-manomano手续费</t>
  </si>
  <si>
    <t>6603.002.03.04</t>
  </si>
  <si>
    <t>财务费用_收款平台手续费_Manomano手续费_水龙头事业部-manomano手续费</t>
  </si>
  <si>
    <t>6603.002.03.05</t>
  </si>
  <si>
    <t>财务费用_收款平台手续费_Manomano手续费_陶瓷部事业部-manomano手续费</t>
  </si>
  <si>
    <t>6603.002.03.06</t>
  </si>
  <si>
    <t>财务费用_收款平台手续费_Manomano手续费_防火底板事业部-manomano手续费</t>
  </si>
  <si>
    <t>Amazon订阅费</t>
  </si>
  <si>
    <t>销售费用_销售平台费用_Amazon平台费_五金事业部-Amazon平台费</t>
  </si>
  <si>
    <t>销售费用_销售平台费用_Amazon平台费_镜柜事业部-Amazon平台费</t>
  </si>
  <si>
    <t>销售费用_销售平台费用_Amazon平台费_水龙头事业部-Amazon平台费</t>
  </si>
  <si>
    <t>销售费用_销售平台费用_Amazon平台费_陶瓷事业部-Amazon平台费</t>
  </si>
  <si>
    <t>销售费用_销售平台费用_Amazon平台费_防火底板事业部-Amazon平台费</t>
  </si>
  <si>
    <t>2021第一季度：Shopify第三方信用平台费</t>
  </si>
  <si>
    <t>6601.002.005.002</t>
  </si>
  <si>
    <t>销售费用_销售平台费用_Shopify平台费_五金事业部-Shopify平台费</t>
  </si>
  <si>
    <t>6601.002.005.003</t>
  </si>
  <si>
    <t>销售费用_销售平台费用_Shopify平台费_镜柜事业部-Shopify平台费</t>
  </si>
  <si>
    <t>6601.002.005.004</t>
  </si>
  <si>
    <t>销售费用_销售平台费用_Shopify平台费_水龙头事业部-Shopify平台费</t>
  </si>
  <si>
    <t>6601.002.005.005</t>
  </si>
  <si>
    <t>销售费用_销售平台费用_Shopify平台费_陶瓷事业部-Shopify平台费</t>
  </si>
  <si>
    <t>6601.002.005.006</t>
  </si>
  <si>
    <t>销售费用_销售平台费用_Shopify平台费_防火底板事业部-Shopify平台费</t>
  </si>
  <si>
    <t xml:space="preserve"> 6601.002.003.002</t>
  </si>
  <si>
    <t>五金事业部——Amazon平台费</t>
  </si>
  <si>
    <t xml:space="preserve"> 6601.002.003.003</t>
  </si>
  <si>
    <t>镜柜事业部——Amazon平台费</t>
  </si>
  <si>
    <t xml:space="preserve"> 6601.002.003.004</t>
  </si>
  <si>
    <t>水龙头事业部——Amazon平台费</t>
  </si>
  <si>
    <t xml:space="preserve"> 6601.002.003.005</t>
  </si>
  <si>
    <t>陶瓷事业部——Amazon平台费</t>
  </si>
  <si>
    <t xml:space="preserve"> 6601.002.003.006</t>
  </si>
  <si>
    <t>防火底板事业部——Amazon平台费</t>
  </si>
  <si>
    <t>英国亚马逊FBA inventory fee</t>
  </si>
  <si>
    <t>平台</t>
  </si>
  <si>
    <t>店铺</t>
  </si>
  <si>
    <t>订单前缀</t>
  </si>
  <si>
    <t>国际部</t>
  </si>
  <si>
    <t>淋浴底板</t>
  </si>
  <si>
    <t>AMAZON</t>
  </si>
  <si>
    <t>xinyang</t>
  </si>
  <si>
    <t>XYAP</t>
  </si>
  <si>
    <t>huiyang</t>
  </si>
  <si>
    <t>HYAP</t>
  </si>
  <si>
    <t>未</t>
  </si>
  <si>
    <t>excellent</t>
  </si>
  <si>
    <t>ESA</t>
  </si>
  <si>
    <t>英国各部门付费点击确认（2021.01月）</t>
  </si>
  <si>
    <t>EBay</t>
  </si>
  <si>
    <t>FA</t>
  </si>
  <si>
    <t>RFS</t>
  </si>
  <si>
    <t>K</t>
  </si>
  <si>
    <t>DJY</t>
  </si>
  <si>
    <t>ESE</t>
  </si>
  <si>
    <t>onlinebath21</t>
  </si>
  <si>
    <t>OBH</t>
  </si>
  <si>
    <t>aica</t>
  </si>
  <si>
    <t>AOSP</t>
  </si>
  <si>
    <t>MANO</t>
  </si>
  <si>
    <t>UKM</t>
  </si>
  <si>
    <t>Amazon</t>
  </si>
  <si>
    <t>6601.003.004.003</t>
  </si>
  <si>
    <t>镜柜事业部-ManoMano点击费</t>
  </si>
  <si>
    <t>6601.003.004.002</t>
  </si>
  <si>
    <t>五金事业部-ManoMano点击费</t>
  </si>
  <si>
    <t>6601.003.004.004</t>
  </si>
  <si>
    <t>水龙头事业部-ManoMano点击费</t>
  </si>
  <si>
    <t>6601.003.004.005</t>
  </si>
  <si>
    <t>陶瓷事业部-ManoMano点击费</t>
  </si>
  <si>
    <t>6601.003.004.006</t>
  </si>
  <si>
    <t>防火底板事业部-ManoMano点击费</t>
  </si>
  <si>
    <t>Amazon点击费*</t>
  </si>
  <si>
    <t>Mano点击费*</t>
  </si>
  <si>
    <t>英国公司-Ebay费</t>
  </si>
  <si>
    <t>英国公司-ebay点击费</t>
  </si>
  <si>
    <t>2202.001.01</t>
  </si>
  <si>
    <t>应付Ebay费（Simple）</t>
  </si>
  <si>
    <t>2202.001.02</t>
  </si>
  <si>
    <t>应付Ebay费（Surfing）</t>
  </si>
  <si>
    <t>2202.001.03</t>
  </si>
  <si>
    <t>应付Ebay费（onlineshowers）</t>
  </si>
  <si>
    <t>2202.001.04</t>
  </si>
  <si>
    <t>应付Ebay费（Showerenclosure）</t>
  </si>
  <si>
    <t>2202.001.05</t>
  </si>
  <si>
    <t>应付Ebay费（SuperShower）</t>
  </si>
  <si>
    <t>2202.001.06</t>
  </si>
  <si>
    <t>应付Ebay费（BathroomIdeals）</t>
  </si>
  <si>
    <t>2202.001.07</t>
  </si>
  <si>
    <t>应付Ebay费（OnlineBath）</t>
  </si>
  <si>
    <t>2202.001.08</t>
  </si>
  <si>
    <t>应付Ebay费（Skybathroom Ebay）</t>
  </si>
  <si>
    <t>2021.8.16-9.15日</t>
  </si>
  <si>
    <t>Surfing</t>
  </si>
  <si>
    <t>ebay点击费</t>
  </si>
  <si>
    <t>SuperShower</t>
  </si>
  <si>
    <t>OnlineBath</t>
  </si>
  <si>
    <t>OnlineShowers</t>
  </si>
  <si>
    <t>Showerenclosure</t>
  </si>
  <si>
    <t>Simple</t>
  </si>
  <si>
    <t>sky</t>
  </si>
  <si>
    <t>实际</t>
  </si>
  <si>
    <t>计提</t>
  </si>
  <si>
    <t>调整</t>
  </si>
  <si>
    <t>点击费</t>
  </si>
  <si>
    <t>2021.08月 计提</t>
  </si>
  <si>
    <t>ebay费+点击费</t>
  </si>
  <si>
    <t>Aica paypal 收款</t>
  </si>
  <si>
    <t>1002.47</t>
  </si>
  <si>
    <t>银行存款 - aica的ebay</t>
  </si>
  <si>
    <t>应收账款 - 应收销售平台款 - 应收 Aica paypal流水</t>
  </si>
  <si>
    <t>Aica paypal 费用</t>
  </si>
  <si>
    <t>Aica paypal 争议款</t>
  </si>
  <si>
    <t>Aica paypal 转账</t>
  </si>
  <si>
    <t>1002.38</t>
  </si>
  <si>
    <t>银行存款 - Aica新中行做账</t>
  </si>
  <si>
    <t>Aica paypal 信用卡月费</t>
  </si>
  <si>
    <t>6603.001.01</t>
  </si>
  <si>
    <t>财务费用 - 银行费用 - 账户管理费</t>
  </si>
  <si>
    <t>Aica paypal 1&amp;1网站费（22.87+8.4+21.6+32.44=85.31）</t>
  </si>
  <si>
    <t>Aica paypal 1&amp;1网站费（16.8）</t>
  </si>
  <si>
    <t>Aica paypal 其他退款（1205.74）</t>
  </si>
  <si>
    <t>2021.05月 Aica paypal 扣2021.04月online ebay费</t>
  </si>
  <si>
    <t>应付账款 - 应付Ebay费 - 应付Ebay费（onlineshowers）</t>
  </si>
  <si>
    <t>2021.05月 Aica paypal 扣2021.04月shower ebay费</t>
  </si>
  <si>
    <t>应付账款 - 应付Ebay费 - 应付Ebay费（Showerenclosure）</t>
  </si>
  <si>
    <t>Homefast paypal 收款</t>
  </si>
  <si>
    <t>1002.64</t>
  </si>
  <si>
    <t>银行存款 - homefast paypal</t>
  </si>
  <si>
    <t>Homefast paypal 费用</t>
  </si>
  <si>
    <t>Homefast paypal 争议款</t>
  </si>
  <si>
    <t>1122.002.003</t>
  </si>
  <si>
    <t>应收账款 - 应收销售平台-争议款/hold款 - 应收 Homefast paypal流水-争议款/hold款</t>
  </si>
  <si>
    <t>Homefast paypal 其他退款</t>
  </si>
  <si>
    <t>Homefast paypal 转账</t>
  </si>
  <si>
    <t>1002.66</t>
  </si>
  <si>
    <t>银行存款 - homefast barclays</t>
  </si>
  <si>
    <t>Homefast paypal 扣Surfing ebay费 5.16-6.15</t>
  </si>
  <si>
    <t>应付账款 - 应付Ebay费 - 应付Ebay费（Surfing）</t>
  </si>
  <si>
    <t>Perfect paypal 收款</t>
  </si>
  <si>
    <t>1002.61</t>
  </si>
  <si>
    <t>银行存款 - prefect paypal</t>
  </si>
  <si>
    <t>应收账款 - 应收销售平台款 - 应收 Perfect Paypal流水</t>
  </si>
  <si>
    <t>Perfect paypal 费用</t>
  </si>
  <si>
    <t>Perfect paypal 争议款</t>
  </si>
  <si>
    <t>1122.002.005</t>
  </si>
  <si>
    <t>应收账款 - 应收销售平台-争议款/hold款 - 应收 Perfect paypal流水-争议款/hold款</t>
  </si>
  <si>
    <t xml:space="preserve">Perfect paypal 其他退款 </t>
  </si>
  <si>
    <t xml:space="preserve">2021.08月 </t>
  </si>
  <si>
    <t>2021.02月 Perfect paypal 扣2021.01月 Simple Ebay费（实际5743.36-2021.01月计提余额 5710.57=32.79)</t>
  </si>
  <si>
    <t>应付账款 - 应付Ebay费 - 应付Ebay费（Simple）</t>
  </si>
  <si>
    <t>冲减多计提2020.12月 Perfect paypal 扣2020.11月 Simple Ebay费（实际6774.47-11月计提余额 6813.07=-38.6)</t>
  </si>
  <si>
    <t>Excellent paypal 收款</t>
  </si>
  <si>
    <t>应收账款 - 应收销售平台款 - 应收 Excellent Paypal流水</t>
  </si>
  <si>
    <t>银行存款 - excellent shower paypal</t>
  </si>
  <si>
    <t>Excellent paypal 费用</t>
  </si>
  <si>
    <t>Excellent paypal 争议款</t>
  </si>
  <si>
    <t>1122.002.009</t>
  </si>
  <si>
    <t>应收账款 - 应收销售平台-争议款/hold款 - 应收 Excellent Paypal流水-争议款/hold款</t>
  </si>
  <si>
    <t xml:space="preserve">Excellent paypal 其他退款 </t>
  </si>
  <si>
    <t>2021.03月 Excellent paypal 扣2021.02.16-3.15日 SuperShower Ebay费</t>
  </si>
  <si>
    <t>应付账款 - 应付Ebay费 - 应付Ebay费（SuperShower）</t>
  </si>
  <si>
    <t>2021.02月 Excellent paypal 扣2021.01月 SuperShower Ebay费（实际5743.36-2021.01月计提余额 5710.57=32.79)</t>
  </si>
  <si>
    <t>冲减多计提2020.12月 Excellent paypal 扣2020.11月 SuperShower Ebay费（实际6774.47-11月计提余额 6813.07=-38.6)</t>
  </si>
  <si>
    <t xml:space="preserve">2021.05月 </t>
  </si>
  <si>
    <t xml:space="preserve">Excellent Amazon </t>
  </si>
  <si>
    <t>（Seller-fulfilled selling fees）</t>
  </si>
  <si>
    <t>应收账款 - 应收销售平台款 - 应收 Excellent Amazon</t>
  </si>
  <si>
    <t>（FBA selling fees）</t>
  </si>
  <si>
    <t>（FBA transaction fees）</t>
  </si>
  <si>
    <t>（FBA Inventory Fee）</t>
  </si>
  <si>
    <t>销售费用 - 销售平台引流费 - Amazon点击费 - 英国公司-Amazon点击费</t>
  </si>
  <si>
    <t>2020.09月</t>
  </si>
  <si>
    <t>扣款金额</t>
  </si>
  <si>
    <t>成本价</t>
  </si>
  <si>
    <t>司机问题扣款-</t>
  </si>
  <si>
    <t>6601.005.004.028</t>
  </si>
  <si>
    <t>国际部司机问题扣款</t>
  </si>
  <si>
    <t>营业外收入</t>
  </si>
  <si>
    <t>给回司机问题扣款-</t>
  </si>
  <si>
    <t>其他应收款 - 陶瓷</t>
  </si>
  <si>
    <t>2021.03月MonthlyTransaction</t>
  </si>
  <si>
    <t>Debits</t>
  </si>
  <si>
    <t>Credits</t>
  </si>
  <si>
    <t>Seller-fulfilled product sales</t>
  </si>
  <si>
    <t>N</t>
  </si>
  <si>
    <t>Seller-fulfilled product sale refunds</t>
  </si>
  <si>
    <t>FBA product sales</t>
  </si>
  <si>
    <t>FBA product sale refunds</t>
  </si>
  <si>
    <t>FBA inventory credit</t>
  </si>
  <si>
    <t>Z</t>
  </si>
  <si>
    <t>FBA liquidation proceeds</t>
  </si>
  <si>
    <t>Postage credits</t>
  </si>
  <si>
    <t>Delivery credit refunds</t>
  </si>
  <si>
    <t>Gift wrap credits</t>
  </si>
  <si>
    <t>Gift wrap credit refunds</t>
  </si>
  <si>
    <t>Promotional rebates</t>
  </si>
  <si>
    <t>Promotional rebate refunds</t>
  </si>
  <si>
    <t>A-to-z Guarantee Claims</t>
  </si>
  <si>
    <t>Chargebacks</t>
  </si>
  <si>
    <t>Amazon Shipping Reimbursement</t>
  </si>
  <si>
    <t>SAFE-T reimbursement</t>
  </si>
  <si>
    <t>Commingling VAT</t>
  </si>
  <si>
    <t>Seller-fulfilled selling fees</t>
  </si>
  <si>
    <t>FBA selling fees</t>
  </si>
  <si>
    <t>Selling fee refunds</t>
  </si>
  <si>
    <t>FBA transaction fees</t>
  </si>
  <si>
    <t>FBA transaction fee refunds</t>
  </si>
  <si>
    <t>Other transaction fees</t>
  </si>
  <si>
    <t>Other transaction fee refunds</t>
  </si>
  <si>
    <t>FBA inventory and inbound services fees</t>
  </si>
  <si>
    <t>Delivery label purchases</t>
  </si>
  <si>
    <t>Delivery label refunds</t>
  </si>
  <si>
    <t>Carrier delivery label adjustments</t>
  </si>
  <si>
    <t>Service fees</t>
  </si>
  <si>
    <t>Refund administration fees</t>
  </si>
  <si>
    <t>Adjustments</t>
  </si>
  <si>
    <t>Cost of Advertising</t>
  </si>
  <si>
    <t>Refund for Advertiser</t>
  </si>
  <si>
    <t>Liquidations brokerage fee</t>
  </si>
  <si>
    <t>Transfers to bank account</t>
  </si>
  <si>
    <t>Failed transfers to bank account</t>
  </si>
  <si>
    <t>Charges to credit card</t>
  </si>
  <si>
    <t>Product, delivery and gift wrap taxes collected</t>
  </si>
  <si>
    <t>Product, delivery and gift wrap taxes refunded</t>
  </si>
  <si>
    <t>Amazon obligated tax withheld</t>
  </si>
  <si>
    <t>2021年.9月 英国Excellent Amazon 流水-</t>
  </si>
  <si>
    <t>FBA Inventory Fee</t>
  </si>
  <si>
    <t>Seller-fulfilled selling</t>
  </si>
  <si>
    <t>marketplace withheld tax</t>
  </si>
</sst>
</file>

<file path=xl/styles.xml><?xml version="1.0" encoding="utf-8"?>
<styleSheet xmlns="http://schemas.openxmlformats.org/spreadsheetml/2006/main">
  <numFmts count="8">
    <numFmt numFmtId="176" formatCode="#,##0.00_ "/>
    <numFmt numFmtId="177" formatCode="[$£-809]#,##0.00;\-[$£-809]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0_ "/>
    <numFmt numFmtId="7" formatCode="&quot;￥&quot;#,##0.00;&quot;￥&quot;\-#,##0.00"/>
  </numFmts>
  <fonts count="7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8" tint="-0.25"/>
      <name val="宋体"/>
      <charset val="134"/>
      <scheme val="minor"/>
    </font>
    <font>
      <b/>
      <sz val="12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3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0"/>
      <name val="微软雅黑"/>
      <charset val="134"/>
    </font>
    <font>
      <b/>
      <sz val="10"/>
      <color rgb="FF000000"/>
      <name val="Arial"/>
      <charset val="134"/>
    </font>
    <font>
      <b/>
      <sz val="12"/>
      <color rgb="FF000000"/>
      <name val="SimSun"/>
      <charset val="134"/>
    </font>
    <font>
      <sz val="10"/>
      <color rgb="FF000000"/>
      <name val="Arial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Arial"/>
      <charset val="134"/>
    </font>
    <font>
      <b/>
      <sz val="10"/>
      <name val="微软雅黑"/>
      <charset val="134"/>
    </font>
    <font>
      <b/>
      <sz val="12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indexed="8"/>
      <name val="等线"/>
      <charset val="134"/>
    </font>
    <font>
      <sz val="12"/>
      <color indexed="8"/>
      <name val="等线"/>
      <charset val="134"/>
    </font>
    <font>
      <sz val="13"/>
      <color rgb="FF000000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0.5"/>
      <color rgb="FF0070C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0.5"/>
      <color theme="5" tint="-0.499984740745262"/>
      <name val="宋体"/>
      <charset val="134"/>
      <scheme val="minor"/>
    </font>
    <font>
      <b/>
      <sz val="11"/>
      <color theme="5" tint="-0.499984740745262"/>
      <name val="宋体"/>
      <charset val="134"/>
      <scheme val="minor"/>
    </font>
    <font>
      <sz val="10.5"/>
      <name val="宋体"/>
      <charset val="134"/>
      <scheme val="minor"/>
    </font>
    <font>
      <b/>
      <sz val="10.5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D8A2DA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A5EB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1" fillId="28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40" borderId="39" applyNumberFormat="0" applyFont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42" applyNumberFormat="0" applyFill="0" applyAlignment="0" applyProtection="0">
      <alignment vertical="center"/>
    </xf>
    <xf numFmtId="0" fontId="69" fillId="0" borderId="42" applyNumberFormat="0" applyFill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3" fillId="0" borderId="43" applyNumberFormat="0" applyFill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64" fillId="39" borderId="41" applyNumberFormat="0" applyAlignment="0" applyProtection="0">
      <alignment vertical="center"/>
    </xf>
    <xf numFmtId="0" fontId="59" fillId="39" borderId="36" applyNumberFormat="0" applyAlignment="0" applyProtection="0">
      <alignment vertical="center"/>
    </xf>
    <xf numFmtId="0" fontId="54" fillId="31" borderId="37" applyNumberFormat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6" fillId="0" borderId="38" applyNumberFormat="0" applyFill="0" applyAlignment="0" applyProtection="0">
      <alignment vertical="center"/>
    </xf>
    <xf numFmtId="0" fontId="62" fillId="0" borderId="40" applyNumberFormat="0" applyFill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3" fillId="54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</cellStyleXfs>
  <cellXfs count="6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0" fillId="7" borderId="0" xfId="0" applyFill="1" applyAlignment="1">
      <alignment horizontal="right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righ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10" borderId="3" xfId="0" applyNumberFormat="1" applyFont="1" applyFill="1" applyBorder="1" applyAlignment="1">
      <alignment horizontal="left" vertical="center"/>
    </xf>
    <xf numFmtId="0" fontId="6" fillId="10" borderId="0" xfId="0" applyNumberFormat="1" applyFont="1" applyFill="1" applyBorder="1" applyAlignment="1">
      <alignment horizontal="left" vertical="center"/>
    </xf>
    <xf numFmtId="49" fontId="6" fillId="7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left" vertical="center"/>
    </xf>
    <xf numFmtId="176" fontId="7" fillId="0" borderId="3" xfId="0" applyNumberFormat="1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NumberFormat="1" applyFont="1" applyFill="1">
      <alignment vertical="center"/>
    </xf>
    <xf numFmtId="0" fontId="9" fillId="0" borderId="0" xfId="0" applyFont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49" fontId="7" fillId="0" borderId="4" xfId="0" applyNumberFormat="1" applyFont="1" applyFill="1" applyBorder="1" applyAlignment="1">
      <alignment horizontal="left" vertical="center"/>
    </xf>
    <xf numFmtId="176" fontId="7" fillId="0" borderId="4" xfId="0" applyNumberFormat="1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7" fillId="0" borderId="3" xfId="0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4" xfId="0" applyNumberFormat="1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6" fontId="7" fillId="7" borderId="0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7" borderId="0" xfId="0" applyFont="1" applyFill="1" applyAlignment="1">
      <alignment horizontal="center" vertical="center"/>
    </xf>
    <xf numFmtId="0" fontId="7" fillId="0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7" fillId="0" borderId="9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 applyAlignment="1">
      <alignment horizontal="righ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left" vertical="center"/>
    </xf>
    <xf numFmtId="176" fontId="7" fillId="0" borderId="7" xfId="0" applyNumberFormat="1" applyFont="1" applyFill="1" applyBorder="1" applyAlignment="1">
      <alignment horizontal="right" vertical="center"/>
    </xf>
    <xf numFmtId="176" fontId="6" fillId="10" borderId="0" xfId="0" applyNumberFormat="1" applyFont="1" applyFill="1" applyBorder="1" applyAlignment="1">
      <alignment horizontal="right" vertical="center"/>
    </xf>
    <xf numFmtId="176" fontId="7" fillId="0" borderId="10" xfId="0" applyNumberFormat="1" applyFont="1" applyFill="1" applyBorder="1" applyAlignment="1">
      <alignment horizontal="right" vertical="center"/>
    </xf>
    <xf numFmtId="176" fontId="7" fillId="10" borderId="0" xfId="0" applyNumberFormat="1" applyFont="1" applyFill="1" applyBorder="1" applyAlignment="1">
      <alignment horizontal="right"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Alignment="1">
      <alignment horizontal="right" vertical="center"/>
    </xf>
    <xf numFmtId="178" fontId="11" fillId="11" borderId="2" xfId="0" applyNumberFormat="1" applyFont="1" applyFill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 vertical="center"/>
    </xf>
    <xf numFmtId="49" fontId="12" fillId="12" borderId="0" xfId="0" applyNumberFormat="1" applyFont="1" applyFill="1" applyBorder="1" applyAlignment="1" applyProtection="1">
      <alignment horizontal="left" vertical="center"/>
    </xf>
    <xf numFmtId="178" fontId="13" fillId="12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49" fontId="14" fillId="13" borderId="0" xfId="0" applyNumberFormat="1" applyFont="1" applyFill="1" applyBorder="1" applyAlignment="1" applyProtection="1">
      <alignment horizontal="left" vertical="center"/>
    </xf>
    <xf numFmtId="176" fontId="7" fillId="0" borderId="12" xfId="0" applyNumberFormat="1" applyFont="1" applyFill="1" applyBorder="1" applyAlignment="1">
      <alignment horizontal="right" vertical="center"/>
    </xf>
    <xf numFmtId="178" fontId="11" fillId="0" borderId="13" xfId="0" applyNumberFormat="1" applyFont="1" applyFill="1" applyBorder="1" applyAlignment="1">
      <alignment horizontal="center" vertical="center"/>
    </xf>
    <xf numFmtId="178" fontId="11" fillId="11" borderId="13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vertical="center"/>
    </xf>
    <xf numFmtId="49" fontId="7" fillId="13" borderId="14" xfId="0" applyNumberFormat="1" applyFont="1" applyFill="1" applyBorder="1" applyAlignment="1">
      <alignment horizontal="left" vertical="center"/>
    </xf>
    <xf numFmtId="49" fontId="7" fillId="13" borderId="15" xfId="0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178" fontId="16" fillId="0" borderId="0" xfId="0" applyNumberFormat="1" applyFont="1">
      <alignment vertical="center"/>
    </xf>
    <xf numFmtId="0" fontId="16" fillId="0" borderId="8" xfId="0" applyFont="1" applyBorder="1">
      <alignment vertical="center"/>
    </xf>
    <xf numFmtId="0" fontId="16" fillId="0" borderId="9" xfId="0" applyFont="1" applyBorder="1">
      <alignment vertical="center"/>
    </xf>
    <xf numFmtId="0" fontId="16" fillId="7" borderId="9" xfId="0" applyFont="1" applyFill="1" applyBorder="1">
      <alignment vertical="center"/>
    </xf>
    <xf numFmtId="0" fontId="16" fillId="0" borderId="5" xfId="0" applyFont="1" applyBorder="1">
      <alignment vertical="center"/>
    </xf>
    <xf numFmtId="0" fontId="16" fillId="0" borderId="0" xfId="0" applyFont="1" applyBorder="1">
      <alignment vertical="center"/>
    </xf>
    <xf numFmtId="0" fontId="16" fillId="7" borderId="0" xfId="0" applyFont="1" applyFill="1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>
      <alignment vertical="center"/>
    </xf>
    <xf numFmtId="0" fontId="16" fillId="7" borderId="7" xfId="0" applyFont="1" applyFill="1" applyBorder="1">
      <alignment vertical="center"/>
    </xf>
    <xf numFmtId="0" fontId="16" fillId="7" borderId="12" xfId="0" applyFont="1" applyFill="1" applyBorder="1">
      <alignment vertical="center"/>
    </xf>
    <xf numFmtId="0" fontId="16" fillId="7" borderId="10" xfId="0" applyFont="1" applyFill="1" applyBorder="1">
      <alignment vertical="center"/>
    </xf>
    <xf numFmtId="0" fontId="16" fillId="7" borderId="11" xfId="0" applyFont="1" applyFill="1" applyBorder="1">
      <alignment vertical="center"/>
    </xf>
    <xf numFmtId="0" fontId="17" fillId="0" borderId="16" xfId="0" applyNumberFormat="1" applyFont="1" applyFill="1" applyBorder="1" applyAlignment="1">
      <alignment horizontal="center" vertical="center"/>
    </xf>
    <xf numFmtId="0" fontId="18" fillId="0" borderId="16" xfId="0" applyNumberFormat="1" applyFont="1" applyFill="1" applyBorder="1" applyAlignment="1">
      <alignment vertical="center"/>
    </xf>
    <xf numFmtId="0" fontId="19" fillId="14" borderId="17" xfId="0" applyNumberFormat="1" applyFont="1" applyFill="1" applyBorder="1" applyAlignment="1">
      <alignment vertical="center"/>
    </xf>
    <xf numFmtId="0" fontId="11" fillId="14" borderId="17" xfId="0" applyNumberFormat="1" applyFont="1" applyFill="1" applyBorder="1" applyAlignment="1">
      <alignment horizontal="center" vertical="center"/>
    </xf>
    <xf numFmtId="0" fontId="11" fillId="14" borderId="17" xfId="0" applyNumberFormat="1" applyFont="1" applyFill="1" applyBorder="1" applyAlignment="1">
      <alignment vertical="center"/>
    </xf>
    <xf numFmtId="0" fontId="20" fillId="14" borderId="17" xfId="0" applyNumberFormat="1" applyFont="1" applyFill="1" applyBorder="1" applyAlignment="1">
      <alignment vertical="center"/>
    </xf>
    <xf numFmtId="0" fontId="21" fillId="0" borderId="16" xfId="0" applyNumberFormat="1" applyFont="1" applyFill="1" applyBorder="1" applyAlignment="1">
      <alignment horizontal="center" vertical="center"/>
    </xf>
    <xf numFmtId="0" fontId="22" fillId="0" borderId="16" xfId="0" applyNumberFormat="1" applyFont="1" applyFill="1" applyBorder="1" applyAlignment="1">
      <alignment horizontal="center" vertical="center"/>
    </xf>
    <xf numFmtId="0" fontId="13" fillId="0" borderId="16" xfId="0" applyNumberFormat="1" applyFont="1" applyFill="1" applyBorder="1" applyAlignment="1">
      <alignment horizontal="center" vertical="center"/>
    </xf>
    <xf numFmtId="178" fontId="13" fillId="0" borderId="16" xfId="0" applyNumberFormat="1" applyFont="1" applyFill="1" applyBorder="1" applyAlignment="1">
      <alignment horizontal="center" vertical="center"/>
    </xf>
    <xf numFmtId="0" fontId="23" fillId="14" borderId="0" xfId="0" applyNumberFormat="1" applyFont="1" applyFill="1" applyBorder="1" applyAlignment="1">
      <alignment vertical="center"/>
    </xf>
    <xf numFmtId="0" fontId="24" fillId="14" borderId="0" xfId="0" applyNumberFormat="1" applyFont="1" applyFill="1" applyBorder="1" applyAlignment="1">
      <alignment horizontal="right" vertical="center"/>
    </xf>
    <xf numFmtId="0" fontId="25" fillId="15" borderId="2" xfId="0" applyNumberFormat="1" applyFont="1" applyFill="1" applyBorder="1" applyAlignment="1">
      <alignment horizontal="center" vertical="center"/>
    </xf>
    <xf numFmtId="0" fontId="19" fillId="14" borderId="18" xfId="0" applyNumberFormat="1" applyFont="1" applyFill="1" applyBorder="1" applyAlignment="1">
      <alignment vertical="center"/>
    </xf>
    <xf numFmtId="0" fontId="11" fillId="14" borderId="19" xfId="0" applyNumberFormat="1" applyFont="1" applyFill="1" applyBorder="1" applyAlignment="1">
      <alignment horizontal="center" vertical="center"/>
    </xf>
    <xf numFmtId="0" fontId="11" fillId="14" borderId="2" xfId="0" applyNumberFormat="1" applyFont="1" applyFill="1" applyBorder="1" applyAlignment="1">
      <alignment horizontal="center" vertical="center"/>
    </xf>
    <xf numFmtId="0" fontId="11" fillId="15" borderId="2" xfId="0" applyNumberFormat="1" applyFont="1" applyFill="1" applyBorder="1" applyAlignment="1">
      <alignment horizontal="center" vertical="center"/>
    </xf>
    <xf numFmtId="0" fontId="20" fillId="15" borderId="2" xfId="0" applyNumberFormat="1" applyFont="1" applyFill="1" applyBorder="1" applyAlignment="1">
      <alignment horizontal="center" vertical="center"/>
    </xf>
    <xf numFmtId="0" fontId="21" fillId="0" borderId="18" xfId="0" applyNumberFormat="1" applyFont="1" applyFill="1" applyBorder="1" applyAlignment="1">
      <alignment horizontal="center" vertical="center"/>
    </xf>
    <xf numFmtId="0" fontId="13" fillId="0" borderId="20" xfId="0" applyNumberFormat="1" applyFont="1" applyFill="1" applyBorder="1" applyAlignment="1">
      <alignment horizontal="left" vertical="center"/>
    </xf>
    <xf numFmtId="0" fontId="13" fillId="0" borderId="2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8" fillId="0" borderId="17" xfId="0" applyNumberFormat="1" applyFont="1" applyFill="1" applyBorder="1" applyAlignment="1">
      <alignment vertical="center"/>
    </xf>
    <xf numFmtId="0" fontId="18" fillId="0" borderId="21" xfId="0" applyNumberFormat="1" applyFont="1" applyFill="1" applyBorder="1" applyAlignment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1" fillId="16" borderId="16" xfId="0" applyNumberFormat="1" applyFont="1" applyFill="1" applyBorder="1" applyAlignment="1">
      <alignment horizontal="center" vertical="center"/>
    </xf>
    <xf numFmtId="0" fontId="13" fillId="16" borderId="20" xfId="0" applyNumberFormat="1" applyFont="1" applyFill="1" applyBorder="1" applyAlignment="1">
      <alignment horizontal="left" vertical="center"/>
    </xf>
    <xf numFmtId="0" fontId="13" fillId="16" borderId="2" xfId="0" applyNumberFormat="1" applyFont="1" applyFill="1" applyBorder="1" applyAlignment="1">
      <alignment horizontal="center" vertical="center"/>
    </xf>
    <xf numFmtId="0" fontId="21" fillId="16" borderId="18" xfId="0" applyNumberFormat="1" applyFont="1" applyFill="1" applyBorder="1" applyAlignment="1">
      <alignment horizontal="center" vertical="center"/>
    </xf>
    <xf numFmtId="0" fontId="21" fillId="16" borderId="19" xfId="0" applyNumberFormat="1" applyFont="1" applyFill="1" applyBorder="1" applyAlignment="1">
      <alignment horizontal="left" vertical="center"/>
    </xf>
    <xf numFmtId="0" fontId="21" fillId="16" borderId="2" xfId="0" applyNumberFormat="1" applyFont="1" applyFill="1" applyBorder="1" applyAlignment="1">
      <alignment horizontal="center" vertical="center"/>
    </xf>
    <xf numFmtId="0" fontId="18" fillId="16" borderId="2" xfId="0" applyNumberFormat="1" applyFont="1" applyFill="1" applyBorder="1" applyAlignment="1">
      <alignment horizontal="center" vertical="center"/>
    </xf>
    <xf numFmtId="0" fontId="21" fillId="0" borderId="20" xfId="0" applyNumberFormat="1" applyFont="1" applyFill="1" applyBorder="1" applyAlignment="1">
      <alignment horizontal="left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8" fillId="10" borderId="8" xfId="0" applyFont="1" applyFill="1" applyBorder="1" applyAlignment="1">
      <alignment vertical="center"/>
    </xf>
    <xf numFmtId="0" fontId="7" fillId="10" borderId="9" xfId="0" applyNumberFormat="1" applyFont="1" applyFill="1" applyBorder="1" applyAlignment="1">
      <alignment horizontal="left" vertical="center"/>
    </xf>
    <xf numFmtId="176" fontId="7" fillId="10" borderId="9" xfId="0" applyNumberFormat="1" applyFont="1" applyFill="1" applyBorder="1" applyAlignment="1">
      <alignment horizontal="right" vertical="center"/>
    </xf>
    <xf numFmtId="176" fontId="7" fillId="10" borderId="12" xfId="0" applyNumberFormat="1" applyFont="1" applyFill="1" applyBorder="1" applyAlignment="1">
      <alignment horizontal="right" vertical="center"/>
    </xf>
    <xf numFmtId="0" fontId="8" fillId="10" borderId="5" xfId="0" applyFont="1" applyFill="1" applyBorder="1" applyAlignment="1">
      <alignment vertical="center"/>
    </xf>
    <xf numFmtId="0" fontId="7" fillId="10" borderId="0" xfId="0" applyNumberFormat="1" applyFont="1" applyFill="1" applyBorder="1" applyAlignment="1">
      <alignment horizontal="left" vertical="center"/>
    </xf>
    <xf numFmtId="176" fontId="6" fillId="10" borderId="10" xfId="0" applyNumberFormat="1" applyFont="1" applyFill="1" applyBorder="1" applyAlignment="1">
      <alignment horizontal="right" vertical="center"/>
    </xf>
    <xf numFmtId="176" fontId="7" fillId="10" borderId="10" xfId="0" applyNumberFormat="1" applyFont="1" applyFill="1" applyBorder="1" applyAlignment="1">
      <alignment horizontal="right" vertical="center"/>
    </xf>
    <xf numFmtId="176" fontId="26" fillId="10" borderId="10" xfId="0" applyNumberFormat="1" applyFont="1" applyFill="1" applyBorder="1" applyAlignment="1">
      <alignment horizontal="right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10" borderId="5" xfId="0" applyFont="1" applyFill="1" applyBorder="1" applyAlignment="1">
      <alignment vertical="center"/>
    </xf>
    <xf numFmtId="0" fontId="28" fillId="10" borderId="0" xfId="0" applyNumberFormat="1" applyFont="1" applyFill="1" applyBorder="1" applyAlignment="1">
      <alignment horizontal="left" vertical="center"/>
    </xf>
    <xf numFmtId="176" fontId="28" fillId="10" borderId="0" xfId="0" applyNumberFormat="1" applyFont="1" applyFill="1" applyBorder="1" applyAlignment="1">
      <alignment horizontal="right" vertical="center"/>
    </xf>
    <xf numFmtId="176" fontId="29" fillId="10" borderId="0" xfId="0" applyNumberFormat="1" applyFont="1" applyFill="1" applyBorder="1" applyAlignment="1">
      <alignment horizontal="right" vertical="center"/>
    </xf>
    <xf numFmtId="176" fontId="29" fillId="10" borderId="10" xfId="0" applyNumberFormat="1" applyFont="1" applyFill="1" applyBorder="1" applyAlignment="1">
      <alignment horizontal="right" vertical="center"/>
    </xf>
    <xf numFmtId="0" fontId="28" fillId="10" borderId="6" xfId="0" applyFont="1" applyFill="1" applyBorder="1" applyAlignment="1">
      <alignment vertical="center"/>
    </xf>
    <xf numFmtId="0" fontId="28" fillId="10" borderId="7" xfId="0" applyNumberFormat="1" applyFont="1" applyFill="1" applyBorder="1" applyAlignment="1">
      <alignment horizontal="left" vertical="center"/>
    </xf>
    <xf numFmtId="0" fontId="7" fillId="10" borderId="7" xfId="0" applyNumberFormat="1" applyFont="1" applyFill="1" applyBorder="1" applyAlignment="1">
      <alignment horizontal="left" vertical="center"/>
    </xf>
    <xf numFmtId="176" fontId="29" fillId="10" borderId="7" xfId="0" applyNumberFormat="1" applyFont="1" applyFill="1" applyBorder="1" applyAlignment="1">
      <alignment horizontal="right" vertical="center"/>
    </xf>
    <xf numFmtId="176" fontId="29" fillId="10" borderId="11" xfId="0" applyNumberFormat="1" applyFont="1" applyFill="1" applyBorder="1" applyAlignment="1">
      <alignment horizontal="right" vertical="center"/>
    </xf>
    <xf numFmtId="0" fontId="20" fillId="14" borderId="2" xfId="0" applyNumberFormat="1" applyFont="1" applyFill="1" applyBorder="1" applyAlignment="1">
      <alignment horizontal="center" vertical="center"/>
    </xf>
    <xf numFmtId="178" fontId="13" fillId="16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10" borderId="8" xfId="0" applyNumberFormat="1" applyFont="1" applyFill="1" applyBorder="1" applyAlignment="1">
      <alignment horizontal="left" vertical="center"/>
    </xf>
    <xf numFmtId="0" fontId="6" fillId="10" borderId="9" xfId="0" applyNumberFormat="1" applyFont="1" applyFill="1" applyBorder="1" applyAlignment="1">
      <alignment horizontal="left" vertical="center"/>
    </xf>
    <xf numFmtId="176" fontId="6" fillId="10" borderId="9" xfId="0" applyNumberFormat="1" applyFont="1" applyFill="1" applyBorder="1" applyAlignment="1">
      <alignment horizontal="right" vertical="center"/>
    </xf>
    <xf numFmtId="0" fontId="7" fillId="10" borderId="5" xfId="0" applyNumberFormat="1" applyFont="1" applyFill="1" applyBorder="1" applyAlignment="1">
      <alignment horizontal="left" vertical="center"/>
    </xf>
    <xf numFmtId="49" fontId="7" fillId="10" borderId="0" xfId="0" applyNumberFormat="1" applyFont="1" applyFill="1" applyBorder="1" applyAlignment="1">
      <alignment horizontal="left" vertical="center"/>
    </xf>
    <xf numFmtId="0" fontId="6" fillId="7" borderId="5" xfId="0" applyNumberFormat="1" applyFont="1" applyFill="1" applyBorder="1" applyAlignment="1">
      <alignment horizontal="left" vertical="center"/>
    </xf>
    <xf numFmtId="0" fontId="6" fillId="7" borderId="0" xfId="0" applyNumberFormat="1" applyFont="1" applyFill="1" applyBorder="1" applyAlignment="1">
      <alignment horizontal="left" vertical="center"/>
    </xf>
    <xf numFmtId="176" fontId="6" fillId="7" borderId="0" xfId="0" applyNumberFormat="1" applyFont="1" applyFill="1" applyBorder="1" applyAlignment="1">
      <alignment horizontal="right" vertical="center"/>
    </xf>
    <xf numFmtId="0" fontId="7" fillId="7" borderId="5" xfId="0" applyNumberFormat="1" applyFont="1" applyFill="1" applyBorder="1" applyAlignment="1">
      <alignment horizontal="left" vertical="center"/>
    </xf>
    <xf numFmtId="49" fontId="7" fillId="7" borderId="0" xfId="0" applyNumberFormat="1" applyFont="1" applyFill="1" applyBorder="1" applyAlignment="1">
      <alignment horizontal="left" vertical="center"/>
    </xf>
    <xf numFmtId="0" fontId="7" fillId="7" borderId="0" xfId="0" applyNumberFormat="1" applyFont="1" applyFill="1" applyBorder="1" applyAlignment="1">
      <alignment horizontal="left" vertical="center"/>
    </xf>
    <xf numFmtId="0" fontId="6" fillId="10" borderId="5" xfId="0" applyNumberFormat="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7" fillId="10" borderId="6" xfId="0" applyNumberFormat="1" applyFont="1" applyFill="1" applyBorder="1" applyAlignment="1">
      <alignment horizontal="left" vertical="center"/>
    </xf>
    <xf numFmtId="0" fontId="6" fillId="10" borderId="7" xfId="0" applyNumberFormat="1" applyFont="1" applyFill="1" applyBorder="1" applyAlignment="1">
      <alignment horizontal="left" vertical="center"/>
    </xf>
    <xf numFmtId="176" fontId="7" fillId="10" borderId="7" xfId="0" applyNumberFormat="1" applyFont="1" applyFill="1" applyBorder="1" applyAlignment="1">
      <alignment horizontal="right" vertical="center"/>
    </xf>
    <xf numFmtId="0" fontId="7" fillId="10" borderId="0" xfId="0" applyNumberFormat="1" applyFont="1" applyFill="1" applyAlignment="1">
      <alignment horizontal="left" vertical="center"/>
    </xf>
    <xf numFmtId="0" fontId="6" fillId="10" borderId="0" xfId="0" applyNumberFormat="1" applyFont="1" applyFill="1" applyAlignment="1">
      <alignment horizontal="left" vertical="center"/>
    </xf>
    <xf numFmtId="176" fontId="7" fillId="10" borderId="0" xfId="0" applyNumberFormat="1" applyFont="1" applyFill="1" applyAlignment="1">
      <alignment horizontal="right" vertical="center"/>
    </xf>
    <xf numFmtId="0" fontId="6" fillId="0" borderId="8" xfId="0" applyNumberFormat="1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>
      <alignment horizontal="left" vertical="center"/>
    </xf>
    <xf numFmtId="176" fontId="6" fillId="0" borderId="22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6" fillId="0" borderId="3" xfId="0" applyNumberFormat="1" applyFont="1" applyFill="1" applyBorder="1" applyAlignment="1">
      <alignment horizontal="right"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/>
    </xf>
    <xf numFmtId="176" fontId="7" fillId="0" borderId="23" xfId="0" applyNumberFormat="1" applyFont="1" applyFill="1" applyBorder="1" applyAlignment="1">
      <alignment horizontal="right" vertical="center"/>
    </xf>
    <xf numFmtId="0" fontId="5" fillId="0" borderId="9" xfId="0" applyFont="1" applyBorder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76" fontId="6" fillId="10" borderId="12" xfId="0" applyNumberFormat="1" applyFont="1" applyFill="1" applyBorder="1" applyAlignment="1">
      <alignment horizontal="right" vertical="center"/>
    </xf>
    <xf numFmtId="176" fontId="6" fillId="7" borderId="10" xfId="0" applyNumberFormat="1" applyFont="1" applyFill="1" applyBorder="1" applyAlignment="1">
      <alignment horizontal="right" vertical="center"/>
    </xf>
    <xf numFmtId="176" fontId="7" fillId="7" borderId="10" xfId="0" applyNumberFormat="1" applyFont="1" applyFill="1" applyBorder="1" applyAlignment="1">
      <alignment horizontal="right" vertical="center"/>
    </xf>
    <xf numFmtId="176" fontId="7" fillId="10" borderId="11" xfId="0" applyNumberFormat="1" applyFont="1" applyFill="1" applyBorder="1" applyAlignment="1">
      <alignment horizontal="right" vertical="center"/>
    </xf>
    <xf numFmtId="176" fontId="6" fillId="0" borderId="24" xfId="0" applyNumberFormat="1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178" fontId="1" fillId="6" borderId="2" xfId="0" applyNumberFormat="1" applyFont="1" applyFill="1" applyBorder="1" applyAlignment="1">
      <alignment horizontal="center" vertical="center"/>
    </xf>
    <xf numFmtId="176" fontId="7" fillId="0" borderId="25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178" fontId="0" fillId="0" borderId="2" xfId="0" applyNumberFormat="1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7" fillId="0" borderId="26" xfId="0" applyNumberFormat="1" applyFont="1" applyFill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49" fontId="7" fillId="17" borderId="8" xfId="0" applyNumberFormat="1" applyFont="1" applyFill="1" applyBorder="1" applyAlignment="1">
      <alignment horizontal="left" vertical="center"/>
    </xf>
    <xf numFmtId="49" fontId="7" fillId="17" borderId="5" xfId="0" applyNumberFormat="1" applyFont="1" applyFill="1" applyBorder="1" applyAlignment="1">
      <alignment horizontal="left" vertical="center"/>
    </xf>
    <xf numFmtId="0" fontId="8" fillId="7" borderId="0" xfId="0" applyFont="1" applyFill="1">
      <alignment vertical="center"/>
    </xf>
    <xf numFmtId="49" fontId="7" fillId="10" borderId="5" xfId="0" applyNumberFormat="1" applyFont="1" applyFill="1" applyBorder="1" applyAlignment="1">
      <alignment horizontal="left" vertical="center"/>
    </xf>
    <xf numFmtId="49" fontId="7" fillId="17" borderId="0" xfId="0" applyNumberFormat="1" applyFont="1" applyFill="1" applyBorder="1" applyAlignment="1">
      <alignment horizontal="left" vertical="center"/>
    </xf>
    <xf numFmtId="176" fontId="7" fillId="17" borderId="3" xfId="0" applyNumberFormat="1" applyFont="1" applyFill="1" applyBorder="1" applyAlignment="1">
      <alignment horizontal="right" vertical="center"/>
    </xf>
    <xf numFmtId="49" fontId="7" fillId="10" borderId="6" xfId="0" applyNumberFormat="1" applyFont="1" applyFill="1" applyBorder="1" applyAlignment="1">
      <alignment horizontal="left" vertical="center"/>
    </xf>
    <xf numFmtId="176" fontId="7" fillId="17" borderId="23" xfId="0" applyNumberFormat="1" applyFont="1" applyFill="1" applyBorder="1" applyAlignment="1">
      <alignment horizontal="right" vertical="center"/>
    </xf>
    <xf numFmtId="49" fontId="7" fillId="17" borderId="3" xfId="0" applyNumberFormat="1" applyFont="1" applyFill="1" applyBorder="1" applyAlignment="1">
      <alignment horizontal="left" vertical="center"/>
    </xf>
    <xf numFmtId="49" fontId="7" fillId="17" borderId="3" xfId="0" applyNumberFormat="1" applyFont="1" applyFill="1" applyBorder="1" applyAlignment="1">
      <alignment horizontal="left" vertical="center" wrapText="1"/>
    </xf>
    <xf numFmtId="49" fontId="7" fillId="17" borderId="23" xfId="0" applyNumberFormat="1" applyFont="1" applyFill="1" applyBorder="1" applyAlignment="1">
      <alignment horizontal="left" vertical="center"/>
    </xf>
    <xf numFmtId="49" fontId="7" fillId="10" borderId="8" xfId="0" applyNumberFormat="1" applyFont="1" applyFill="1" applyBorder="1" applyAlignment="1">
      <alignment horizontal="left" vertical="center"/>
    </xf>
    <xf numFmtId="49" fontId="7" fillId="10" borderId="9" xfId="0" applyNumberFormat="1" applyFont="1" applyFill="1" applyBorder="1" applyAlignment="1">
      <alignment horizontal="left" vertical="center"/>
    </xf>
    <xf numFmtId="49" fontId="7" fillId="7" borderId="5" xfId="0" applyNumberFormat="1" applyFont="1" applyFill="1" applyBorder="1" applyAlignment="1">
      <alignment horizontal="left" vertical="center"/>
    </xf>
    <xf numFmtId="49" fontId="7" fillId="7" borderId="6" xfId="0" applyNumberFormat="1" applyFont="1" applyFill="1" applyBorder="1" applyAlignment="1">
      <alignment horizontal="left" vertical="center"/>
    </xf>
    <xf numFmtId="49" fontId="7" fillId="7" borderId="7" xfId="0" applyNumberFormat="1" applyFont="1" applyFill="1" applyBorder="1" applyAlignment="1">
      <alignment horizontal="left" vertical="center"/>
    </xf>
    <xf numFmtId="176" fontId="7" fillId="7" borderId="7" xfId="0" applyNumberFormat="1" applyFont="1" applyFill="1" applyBorder="1" applyAlignment="1">
      <alignment horizontal="right" vertical="center"/>
    </xf>
    <xf numFmtId="0" fontId="30" fillId="0" borderId="12" xfId="0" applyFont="1" applyBorder="1">
      <alignment vertical="center"/>
    </xf>
    <xf numFmtId="0" fontId="30" fillId="0" borderId="10" xfId="0" applyFont="1" applyBorder="1">
      <alignment vertical="center"/>
    </xf>
    <xf numFmtId="176" fontId="7" fillId="17" borderId="25" xfId="0" applyNumberFormat="1" applyFont="1" applyFill="1" applyBorder="1" applyAlignment="1">
      <alignment horizontal="right" vertical="center"/>
    </xf>
    <xf numFmtId="176" fontId="7" fillId="17" borderId="26" xfId="0" applyNumberFormat="1" applyFont="1" applyFill="1" applyBorder="1" applyAlignment="1">
      <alignment horizontal="right" vertical="center"/>
    </xf>
    <xf numFmtId="176" fontId="7" fillId="7" borderId="11" xfId="0" applyNumberFormat="1" applyFont="1" applyFill="1" applyBorder="1" applyAlignment="1">
      <alignment horizontal="right" vertical="center"/>
    </xf>
    <xf numFmtId="49" fontId="7" fillId="7" borderId="3" xfId="0" applyNumberFormat="1" applyFont="1" applyFill="1" applyBorder="1" applyAlignment="1">
      <alignment horizontal="left" vertical="center"/>
    </xf>
    <xf numFmtId="176" fontId="7" fillId="7" borderId="3" xfId="0" applyNumberFormat="1" applyFont="1" applyFill="1" applyBorder="1" applyAlignment="1">
      <alignment horizontal="right" vertical="center"/>
    </xf>
    <xf numFmtId="0" fontId="16" fillId="7" borderId="0" xfId="0" applyFont="1" applyFill="1">
      <alignment vertical="center"/>
    </xf>
    <xf numFmtId="0" fontId="7" fillId="5" borderId="5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176" fontId="7" fillId="5" borderId="3" xfId="0" applyNumberFormat="1" applyFont="1" applyFill="1" applyBorder="1" applyAlignment="1">
      <alignment horizontal="right" vertical="center"/>
    </xf>
    <xf numFmtId="0" fontId="7" fillId="5" borderId="6" xfId="0" applyNumberFormat="1" applyFont="1" applyFill="1" applyBorder="1" applyAlignment="1">
      <alignment horizontal="left" vertical="center"/>
    </xf>
    <xf numFmtId="49" fontId="7" fillId="5" borderId="23" xfId="0" applyNumberFormat="1" applyFont="1" applyFill="1" applyBorder="1" applyAlignment="1">
      <alignment horizontal="left" vertical="center"/>
    </xf>
    <xf numFmtId="176" fontId="7" fillId="5" borderId="23" xfId="0" applyNumberFormat="1" applyFont="1" applyFill="1" applyBorder="1" applyAlignment="1">
      <alignment horizontal="right" vertical="center"/>
    </xf>
    <xf numFmtId="0" fontId="16" fillId="0" borderId="0" xfId="0" applyFont="1" applyFill="1">
      <alignment vertical="center"/>
    </xf>
    <xf numFmtId="0" fontId="7" fillId="12" borderId="3" xfId="0" applyNumberFormat="1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left" vertical="center"/>
    </xf>
    <xf numFmtId="176" fontId="7" fillId="7" borderId="25" xfId="0" applyNumberFormat="1" applyFont="1" applyFill="1" applyBorder="1" applyAlignment="1">
      <alignment horizontal="right" vertical="center"/>
    </xf>
    <xf numFmtId="176" fontId="7" fillId="5" borderId="25" xfId="0" applyNumberFormat="1" applyFont="1" applyFill="1" applyBorder="1" applyAlignment="1">
      <alignment horizontal="right" vertical="center"/>
    </xf>
    <xf numFmtId="176" fontId="7" fillId="5" borderId="26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177" fontId="32" fillId="0" borderId="2" xfId="0" applyNumberFormat="1" applyFont="1" applyFill="1" applyBorder="1" applyAlignment="1">
      <alignment horizontal="left" vertical="center"/>
    </xf>
    <xf numFmtId="7" fontId="32" fillId="0" borderId="2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178" fontId="33" fillId="0" borderId="0" xfId="0" applyNumberFormat="1" applyFont="1" applyFill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left" vertical="center"/>
    </xf>
    <xf numFmtId="0" fontId="8" fillId="7" borderId="9" xfId="0" applyFont="1" applyFill="1" applyBorder="1">
      <alignment vertical="center"/>
    </xf>
    <xf numFmtId="49" fontId="7" fillId="7" borderId="22" xfId="0" applyNumberFormat="1" applyFont="1" applyFill="1" applyBorder="1" applyAlignment="1">
      <alignment horizontal="left" vertical="center"/>
    </xf>
    <xf numFmtId="178" fontId="8" fillId="0" borderId="0" xfId="0" applyNumberFormat="1" applyFont="1" applyBorder="1" applyAlignment="1">
      <alignment horizontal="center" vertical="center"/>
    </xf>
    <xf numFmtId="0" fontId="8" fillId="10" borderId="0" xfId="0" applyFont="1" applyFill="1">
      <alignment vertical="center"/>
    </xf>
    <xf numFmtId="49" fontId="7" fillId="10" borderId="3" xfId="0" applyNumberFormat="1" applyFont="1" applyFill="1" applyBorder="1" applyAlignment="1">
      <alignment horizontal="left" vertical="center"/>
    </xf>
    <xf numFmtId="0" fontId="8" fillId="10" borderId="0" xfId="0" applyFont="1" applyFill="1" applyBorder="1">
      <alignment vertical="center"/>
    </xf>
    <xf numFmtId="49" fontId="7" fillId="7" borderId="9" xfId="0" applyNumberFormat="1" applyFont="1" applyFill="1" applyBorder="1" applyAlignment="1">
      <alignment horizontal="left" vertical="center"/>
    </xf>
    <xf numFmtId="0" fontId="8" fillId="7" borderId="0" xfId="0" applyFont="1" applyFill="1" applyBorder="1">
      <alignment vertical="center"/>
    </xf>
    <xf numFmtId="0" fontId="7" fillId="7" borderId="6" xfId="0" applyNumberFormat="1" applyFont="1" applyFill="1" applyBorder="1" applyAlignment="1">
      <alignment horizontal="left" vertical="center"/>
    </xf>
    <xf numFmtId="0" fontId="8" fillId="7" borderId="7" xfId="0" applyFont="1" applyFill="1" applyBorder="1">
      <alignment vertical="center"/>
    </xf>
    <xf numFmtId="178" fontId="33" fillId="0" borderId="0" xfId="0" applyNumberFormat="1" applyFont="1" applyFill="1" applyAlignment="1">
      <alignment horizontal="center" vertical="center"/>
    </xf>
    <xf numFmtId="0" fontId="7" fillId="7" borderId="0" xfId="0" applyNumberFormat="1" applyFont="1" applyFill="1" applyAlignment="1">
      <alignment horizontal="left" vertical="center"/>
    </xf>
    <xf numFmtId="49" fontId="7" fillId="7" borderId="0" xfId="0" applyNumberFormat="1" applyFont="1" applyFill="1" applyAlignment="1">
      <alignment horizontal="left" vertical="center"/>
    </xf>
    <xf numFmtId="0" fontId="7" fillId="10" borderId="8" xfId="0" applyNumberFormat="1" applyFont="1" applyFill="1" applyBorder="1" applyAlignment="1">
      <alignment horizontal="left" vertical="center"/>
    </xf>
    <xf numFmtId="0" fontId="8" fillId="10" borderId="9" xfId="0" applyFont="1" applyFill="1" applyBorder="1" applyAlignment="1">
      <alignment vertical="center"/>
    </xf>
    <xf numFmtId="49" fontId="7" fillId="10" borderId="22" xfId="0" applyNumberFormat="1" applyFont="1" applyFill="1" applyBorder="1" applyAlignment="1">
      <alignment horizontal="left" vertical="center"/>
    </xf>
    <xf numFmtId="0" fontId="8" fillId="10" borderId="0" xfId="0" applyFont="1" applyFill="1" applyAlignment="1">
      <alignment vertical="center"/>
    </xf>
    <xf numFmtId="0" fontId="8" fillId="10" borderId="7" xfId="0" applyFont="1" applyFill="1" applyBorder="1" applyAlignment="1">
      <alignment vertical="center"/>
    </xf>
    <xf numFmtId="49" fontId="7" fillId="10" borderId="23" xfId="0" applyNumberFormat="1" applyFont="1" applyFill="1" applyBorder="1" applyAlignment="1">
      <alignment horizontal="left" vertical="center"/>
    </xf>
    <xf numFmtId="0" fontId="7" fillId="17" borderId="3" xfId="0" applyNumberFormat="1" applyFont="1" applyFill="1" applyBorder="1" applyAlignment="1">
      <alignment horizontal="left" vertical="center"/>
    </xf>
    <xf numFmtId="0" fontId="8" fillId="10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left" vertical="center"/>
    </xf>
    <xf numFmtId="0" fontId="8" fillId="16" borderId="0" xfId="0" applyFont="1" applyFill="1" applyAlignment="1">
      <alignment horizontal="center" vertical="center"/>
    </xf>
    <xf numFmtId="0" fontId="7" fillId="16" borderId="5" xfId="0" applyNumberFormat="1" applyFont="1" applyFill="1" applyBorder="1" applyAlignment="1">
      <alignment horizontal="left" vertical="center"/>
    </xf>
    <xf numFmtId="0" fontId="8" fillId="16" borderId="0" xfId="0" applyFont="1" applyFill="1" applyAlignment="1">
      <alignment vertical="center"/>
    </xf>
    <xf numFmtId="49" fontId="7" fillId="16" borderId="3" xfId="0" applyNumberFormat="1" applyFont="1" applyFill="1" applyBorder="1" applyAlignment="1">
      <alignment horizontal="left" vertical="center"/>
    </xf>
    <xf numFmtId="0" fontId="7" fillId="16" borderId="6" xfId="0" applyNumberFormat="1" applyFont="1" applyFill="1" applyBorder="1" applyAlignment="1">
      <alignment horizontal="left" vertical="center"/>
    </xf>
    <xf numFmtId="0" fontId="8" fillId="16" borderId="7" xfId="0" applyFont="1" applyFill="1" applyBorder="1" applyAlignment="1">
      <alignment vertical="center"/>
    </xf>
    <xf numFmtId="49" fontId="7" fillId="16" borderId="23" xfId="0" applyNumberFormat="1" applyFont="1" applyFill="1" applyBorder="1" applyAlignment="1">
      <alignment horizontal="left" vertical="center"/>
    </xf>
    <xf numFmtId="0" fontId="8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left" vertical="center"/>
    </xf>
    <xf numFmtId="176" fontId="7" fillId="7" borderId="22" xfId="0" applyNumberFormat="1" applyFont="1" applyFill="1" applyBorder="1" applyAlignment="1">
      <alignment horizontal="right" vertical="center"/>
    </xf>
    <xf numFmtId="176" fontId="7" fillId="7" borderId="24" xfId="0" applyNumberFormat="1" applyFont="1" applyFill="1" applyBorder="1" applyAlignment="1">
      <alignment horizontal="right" vertical="center"/>
    </xf>
    <xf numFmtId="176" fontId="7" fillId="10" borderId="3" xfId="0" applyNumberFormat="1" applyFont="1" applyFill="1" applyBorder="1" applyAlignment="1">
      <alignment horizontal="right" vertical="center"/>
    </xf>
    <xf numFmtId="176" fontId="7" fillId="10" borderId="25" xfId="0" applyNumberFormat="1" applyFont="1" applyFill="1" applyBorder="1" applyAlignment="1">
      <alignment horizontal="right" vertical="center"/>
    </xf>
    <xf numFmtId="49" fontId="7" fillId="10" borderId="3" xfId="0" applyNumberFormat="1" applyFont="1" applyFill="1" applyBorder="1" applyAlignment="1">
      <alignment horizontal="left" vertical="center" wrapText="1"/>
    </xf>
    <xf numFmtId="176" fontId="7" fillId="7" borderId="9" xfId="0" applyNumberFormat="1" applyFont="1" applyFill="1" applyBorder="1" applyAlignment="1">
      <alignment horizontal="right" vertical="center"/>
    </xf>
    <xf numFmtId="176" fontId="7" fillId="7" borderId="12" xfId="0" applyNumberFormat="1" applyFont="1" applyFill="1" applyBorder="1" applyAlignment="1">
      <alignment horizontal="right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176" fontId="7" fillId="7" borderId="0" xfId="0" applyNumberFormat="1" applyFont="1" applyFill="1" applyAlignment="1">
      <alignment horizontal="right" vertical="center"/>
    </xf>
    <xf numFmtId="176" fontId="7" fillId="10" borderId="22" xfId="0" applyNumberFormat="1" applyFont="1" applyFill="1" applyBorder="1" applyAlignment="1">
      <alignment horizontal="right" vertical="center"/>
    </xf>
    <xf numFmtId="176" fontId="7" fillId="10" borderId="24" xfId="0" applyNumberFormat="1" applyFont="1" applyFill="1" applyBorder="1" applyAlignment="1">
      <alignment horizontal="right" vertical="center"/>
    </xf>
    <xf numFmtId="176" fontId="7" fillId="10" borderId="23" xfId="0" applyNumberFormat="1" applyFont="1" applyFill="1" applyBorder="1" applyAlignment="1">
      <alignment horizontal="right" vertical="center"/>
    </xf>
    <xf numFmtId="176" fontId="7" fillId="10" borderId="26" xfId="0" applyNumberFormat="1" applyFont="1" applyFill="1" applyBorder="1" applyAlignment="1">
      <alignment horizontal="right" vertical="center"/>
    </xf>
    <xf numFmtId="176" fontId="7" fillId="16" borderId="3" xfId="0" applyNumberFormat="1" applyFont="1" applyFill="1" applyBorder="1" applyAlignment="1">
      <alignment horizontal="right" vertical="center"/>
    </xf>
    <xf numFmtId="176" fontId="7" fillId="16" borderId="25" xfId="0" applyNumberFormat="1" applyFont="1" applyFill="1" applyBorder="1" applyAlignment="1">
      <alignment horizontal="right" vertical="center"/>
    </xf>
    <xf numFmtId="176" fontId="7" fillId="16" borderId="23" xfId="0" applyNumberFormat="1" applyFont="1" applyFill="1" applyBorder="1" applyAlignment="1">
      <alignment horizontal="right" vertical="center"/>
    </xf>
    <xf numFmtId="176" fontId="7" fillId="16" borderId="26" xfId="0" applyNumberFormat="1" applyFont="1" applyFill="1" applyBorder="1" applyAlignment="1">
      <alignment horizontal="right" vertical="center"/>
    </xf>
    <xf numFmtId="0" fontId="30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6" fillId="7" borderId="0" xfId="0" applyFont="1" applyFill="1" applyAlignment="1">
      <alignment horizontal="left" vertical="center"/>
    </xf>
    <xf numFmtId="49" fontId="34" fillId="10" borderId="5" xfId="0" applyNumberFormat="1" applyFont="1" applyFill="1" applyBorder="1" applyAlignment="1">
      <alignment horizontal="left" vertical="center"/>
    </xf>
    <xf numFmtId="49" fontId="34" fillId="10" borderId="3" xfId="0" applyNumberFormat="1" applyFont="1" applyFill="1" applyBorder="1" applyAlignment="1">
      <alignment horizontal="left" vertical="center"/>
    </xf>
    <xf numFmtId="176" fontId="34" fillId="10" borderId="3" xfId="0" applyNumberFormat="1" applyFont="1" applyFill="1" applyBorder="1" applyAlignment="1">
      <alignment horizontal="right" vertical="center"/>
    </xf>
    <xf numFmtId="176" fontId="35" fillId="10" borderId="25" xfId="0" applyNumberFormat="1" applyFont="1" applyFill="1" applyBorder="1" applyAlignment="1">
      <alignment horizontal="right" vertical="center"/>
    </xf>
    <xf numFmtId="0" fontId="34" fillId="10" borderId="8" xfId="0" applyNumberFormat="1" applyFont="1" applyFill="1" applyBorder="1" applyAlignment="1">
      <alignment horizontal="left" vertical="center"/>
    </xf>
    <xf numFmtId="49" fontId="34" fillId="10" borderId="22" xfId="0" applyNumberFormat="1" applyFont="1" applyFill="1" applyBorder="1" applyAlignment="1">
      <alignment horizontal="left" vertical="center"/>
    </xf>
    <xf numFmtId="176" fontId="34" fillId="10" borderId="22" xfId="0" applyNumberFormat="1" applyFont="1" applyFill="1" applyBorder="1" applyAlignment="1">
      <alignment horizontal="right" vertical="center"/>
    </xf>
    <xf numFmtId="176" fontId="35" fillId="10" borderId="24" xfId="0" applyNumberFormat="1" applyFont="1" applyFill="1" applyBorder="1" applyAlignment="1">
      <alignment horizontal="right" vertical="center"/>
    </xf>
    <xf numFmtId="176" fontId="36" fillId="17" borderId="3" xfId="0" applyNumberFormat="1" applyFont="1" applyFill="1" applyBorder="1" applyAlignment="1">
      <alignment horizontal="right" vertical="center"/>
    </xf>
    <xf numFmtId="49" fontId="34" fillId="17" borderId="5" xfId="0" applyNumberFormat="1" applyFont="1" applyFill="1" applyBorder="1" applyAlignment="1">
      <alignment horizontal="left" vertical="center"/>
    </xf>
    <xf numFmtId="49" fontId="34" fillId="17" borderId="3" xfId="0" applyNumberFormat="1" applyFont="1" applyFill="1" applyBorder="1" applyAlignment="1">
      <alignment horizontal="left" vertical="center"/>
    </xf>
    <xf numFmtId="176" fontId="34" fillId="17" borderId="3" xfId="0" applyNumberFormat="1" applyFont="1" applyFill="1" applyBorder="1" applyAlignment="1">
      <alignment horizontal="right" vertical="center"/>
    </xf>
    <xf numFmtId="176" fontId="35" fillId="17" borderId="25" xfId="0" applyNumberFormat="1" applyFont="1" applyFill="1" applyBorder="1" applyAlignment="1">
      <alignment horizontal="right" vertical="center"/>
    </xf>
    <xf numFmtId="49" fontId="34" fillId="2" borderId="5" xfId="0" applyNumberFormat="1" applyFont="1" applyFill="1" applyBorder="1" applyAlignment="1">
      <alignment horizontal="left" vertical="center"/>
    </xf>
    <xf numFmtId="49" fontId="34" fillId="2" borderId="3" xfId="0" applyNumberFormat="1" applyFont="1" applyFill="1" applyBorder="1" applyAlignment="1">
      <alignment horizontal="left" vertical="center"/>
    </xf>
    <xf numFmtId="176" fontId="34" fillId="2" borderId="3" xfId="0" applyNumberFormat="1" applyFont="1" applyFill="1" applyBorder="1" applyAlignment="1">
      <alignment horizontal="right" vertical="center"/>
    </xf>
    <xf numFmtId="176" fontId="35" fillId="2" borderId="25" xfId="0" applyNumberFormat="1" applyFont="1" applyFill="1" applyBorder="1" applyAlignment="1">
      <alignment horizontal="right" vertical="center"/>
    </xf>
    <xf numFmtId="49" fontId="34" fillId="5" borderId="3" xfId="0" applyNumberFormat="1" applyFont="1" applyFill="1" applyBorder="1" applyAlignment="1">
      <alignment horizontal="left" vertical="center"/>
    </xf>
    <xf numFmtId="49" fontId="34" fillId="5" borderId="5" xfId="0" applyNumberFormat="1" applyFont="1" applyFill="1" applyBorder="1" applyAlignment="1">
      <alignment horizontal="left" vertical="center"/>
    </xf>
    <xf numFmtId="176" fontId="34" fillId="5" borderId="3" xfId="0" applyNumberFormat="1" applyFont="1" applyFill="1" applyBorder="1" applyAlignment="1">
      <alignment horizontal="right" vertical="center"/>
    </xf>
    <xf numFmtId="176" fontId="35" fillId="5" borderId="25" xfId="0" applyNumberFormat="1" applyFont="1" applyFill="1" applyBorder="1" applyAlignment="1">
      <alignment horizontal="right" vertical="center"/>
    </xf>
    <xf numFmtId="0" fontId="34" fillId="5" borderId="5" xfId="0" applyNumberFormat="1" applyFont="1" applyFill="1" applyBorder="1" applyAlignment="1">
      <alignment horizontal="left" vertical="center"/>
    </xf>
    <xf numFmtId="0" fontId="34" fillId="17" borderId="5" xfId="0" applyNumberFormat="1" applyFont="1" applyFill="1" applyBorder="1" applyAlignment="1">
      <alignment horizontal="left" vertical="center"/>
    </xf>
    <xf numFmtId="0" fontId="34" fillId="8" borderId="5" xfId="0" applyNumberFormat="1" applyFont="1" applyFill="1" applyBorder="1" applyAlignment="1">
      <alignment horizontal="left" vertical="center"/>
    </xf>
    <xf numFmtId="49" fontId="34" fillId="8" borderId="3" xfId="0" applyNumberFormat="1" applyFont="1" applyFill="1" applyBorder="1" applyAlignment="1">
      <alignment horizontal="left" vertical="center"/>
    </xf>
    <xf numFmtId="176" fontId="34" fillId="8" borderId="3" xfId="0" applyNumberFormat="1" applyFont="1" applyFill="1" applyBorder="1" applyAlignment="1">
      <alignment horizontal="right" vertical="center"/>
    </xf>
    <xf numFmtId="176" fontId="35" fillId="8" borderId="25" xfId="0" applyNumberFormat="1" applyFont="1" applyFill="1" applyBorder="1" applyAlignment="1">
      <alignment horizontal="right" vertical="center"/>
    </xf>
    <xf numFmtId="0" fontId="34" fillId="10" borderId="5" xfId="0" applyNumberFormat="1" applyFont="1" applyFill="1" applyBorder="1" applyAlignment="1">
      <alignment horizontal="left" vertical="center"/>
    </xf>
    <xf numFmtId="49" fontId="34" fillId="10" borderId="3" xfId="0" applyNumberFormat="1" applyFont="1" applyFill="1" applyBorder="1" applyAlignment="1">
      <alignment horizontal="left" vertical="center" wrapText="1"/>
    </xf>
    <xf numFmtId="49" fontId="34" fillId="5" borderId="3" xfId="0" applyNumberFormat="1" applyFont="1" applyFill="1" applyBorder="1" applyAlignment="1">
      <alignment horizontal="left" vertical="center" wrapText="1"/>
    </xf>
    <xf numFmtId="49" fontId="34" fillId="17" borderId="3" xfId="0" applyNumberFormat="1" applyFont="1" applyFill="1" applyBorder="1" applyAlignment="1">
      <alignment horizontal="left" vertical="center" wrapText="1"/>
    </xf>
    <xf numFmtId="49" fontId="34" fillId="17" borderId="27" xfId="0" applyNumberFormat="1" applyFont="1" applyFill="1" applyBorder="1" applyAlignment="1">
      <alignment horizontal="left" vertical="center"/>
    </xf>
    <xf numFmtId="49" fontId="34" fillId="17" borderId="4" xfId="0" applyNumberFormat="1" applyFont="1" applyFill="1" applyBorder="1" applyAlignment="1">
      <alignment horizontal="left" vertical="center"/>
    </xf>
    <xf numFmtId="176" fontId="34" fillId="17" borderId="4" xfId="0" applyNumberFormat="1" applyFont="1" applyFill="1" applyBorder="1" applyAlignment="1">
      <alignment horizontal="right" vertical="center"/>
    </xf>
    <xf numFmtId="176" fontId="35" fillId="17" borderId="28" xfId="0" applyNumberFormat="1" applyFont="1" applyFill="1" applyBorder="1" applyAlignment="1">
      <alignment horizontal="right" vertical="center"/>
    </xf>
    <xf numFmtId="49" fontId="34" fillId="10" borderId="6" xfId="0" applyNumberFormat="1" applyFont="1" applyFill="1" applyBorder="1" applyAlignment="1">
      <alignment horizontal="left" vertical="center"/>
    </xf>
    <xf numFmtId="49" fontId="34" fillId="10" borderId="23" xfId="0" applyNumberFormat="1" applyFont="1" applyFill="1" applyBorder="1" applyAlignment="1">
      <alignment horizontal="left" vertical="center"/>
    </xf>
    <xf numFmtId="176" fontId="34" fillId="10" borderId="23" xfId="0" applyNumberFormat="1" applyFont="1" applyFill="1" applyBorder="1" applyAlignment="1">
      <alignment horizontal="right" vertical="center"/>
    </xf>
    <xf numFmtId="176" fontId="35" fillId="10" borderId="26" xfId="0" applyNumberFormat="1" applyFont="1" applyFill="1" applyBorder="1" applyAlignment="1">
      <alignment horizontal="right" vertical="center"/>
    </xf>
    <xf numFmtId="0" fontId="16" fillId="15" borderId="0" xfId="0" applyFont="1" applyFill="1">
      <alignment vertical="center"/>
    </xf>
    <xf numFmtId="0" fontId="16" fillId="7" borderId="0" xfId="0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left" vertical="center" wrapText="1"/>
    </xf>
    <xf numFmtId="0" fontId="16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8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37" fillId="9" borderId="2" xfId="0" applyFont="1" applyFill="1" applyBorder="1" applyAlignment="1">
      <alignment horizontal="center" vertical="center" wrapText="1"/>
    </xf>
    <xf numFmtId="0" fontId="38" fillId="9" borderId="2" xfId="0" applyFont="1" applyFill="1" applyBorder="1" applyAlignment="1">
      <alignment horizontal="center" vertical="center" wrapText="1"/>
    </xf>
    <xf numFmtId="0" fontId="38" fillId="9" borderId="2" xfId="0" applyFont="1" applyFill="1" applyBorder="1" applyAlignment="1">
      <alignment horizontal="left" vertical="center" wrapText="1"/>
    </xf>
    <xf numFmtId="0" fontId="7" fillId="10" borderId="3" xfId="0" applyNumberFormat="1" applyFont="1" applyFill="1" applyBorder="1" applyAlignment="1">
      <alignment horizontal="left" vertical="center"/>
    </xf>
    <xf numFmtId="49" fontId="29" fillId="10" borderId="3" xfId="0" applyNumberFormat="1" applyFont="1" applyFill="1" applyBorder="1" applyAlignment="1">
      <alignment horizontal="left" vertical="center"/>
    </xf>
    <xf numFmtId="49" fontId="29" fillId="17" borderId="3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6" fillId="17" borderId="3" xfId="0" applyNumberFormat="1" applyFont="1" applyFill="1" applyBorder="1" applyAlignment="1">
      <alignment horizontal="left" vertical="center"/>
    </xf>
    <xf numFmtId="49" fontId="6" fillId="17" borderId="3" xfId="0" applyNumberFormat="1" applyFont="1" applyFill="1" applyBorder="1" applyAlignment="1">
      <alignment horizontal="left" vertical="center"/>
    </xf>
    <xf numFmtId="176" fontId="29" fillId="17" borderId="3" xfId="0" applyNumberFormat="1" applyFont="1" applyFill="1" applyBorder="1" applyAlignment="1">
      <alignment horizontal="right" vertical="center"/>
    </xf>
    <xf numFmtId="176" fontId="26" fillId="10" borderId="3" xfId="0" applyNumberFormat="1" applyFont="1" applyFill="1" applyBorder="1" applyAlignment="1">
      <alignment horizontal="right" vertical="center"/>
    </xf>
    <xf numFmtId="176" fontId="29" fillId="10" borderId="3" xfId="0" applyNumberFormat="1" applyFont="1" applyFill="1" applyBorder="1" applyAlignment="1">
      <alignment horizontal="right" vertical="center"/>
    </xf>
    <xf numFmtId="0" fontId="38" fillId="18" borderId="0" xfId="0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38" fillId="9" borderId="2" xfId="0" applyNumberFormat="1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>
      <alignment vertical="center"/>
    </xf>
    <xf numFmtId="0" fontId="7" fillId="8" borderId="3" xfId="0" applyNumberFormat="1" applyFont="1" applyFill="1" applyBorder="1" applyAlignment="1">
      <alignment horizontal="left" vertical="center"/>
    </xf>
    <xf numFmtId="49" fontId="7" fillId="8" borderId="3" xfId="0" applyNumberFormat="1" applyFont="1" applyFill="1" applyBorder="1" applyAlignment="1">
      <alignment horizontal="left" vertical="center"/>
    </xf>
    <xf numFmtId="49" fontId="7" fillId="10" borderId="0" xfId="0" applyNumberFormat="1" applyFont="1" applyFill="1" applyAlignment="1">
      <alignment horizontal="left" vertical="center"/>
    </xf>
    <xf numFmtId="0" fontId="39" fillId="7" borderId="0" xfId="0" applyFont="1" applyFill="1">
      <alignment vertical="center"/>
    </xf>
    <xf numFmtId="49" fontId="7" fillId="10" borderId="7" xfId="0" applyNumberFormat="1" applyFont="1" applyFill="1" applyBorder="1" applyAlignment="1">
      <alignment horizontal="left" vertical="center"/>
    </xf>
    <xf numFmtId="176" fontId="6" fillId="10" borderId="7" xfId="0" applyNumberFormat="1" applyFont="1" applyFill="1" applyBorder="1" applyAlignment="1">
      <alignment horizontal="right" vertical="center"/>
    </xf>
    <xf numFmtId="0" fontId="8" fillId="19" borderId="0" xfId="0" applyFont="1" applyFill="1">
      <alignment vertical="center"/>
    </xf>
    <xf numFmtId="0" fontId="8" fillId="19" borderId="0" xfId="0" applyFont="1" applyFill="1" applyAlignment="1">
      <alignment horizontal="center" vertical="center"/>
    </xf>
    <xf numFmtId="49" fontId="7" fillId="7" borderId="14" xfId="0" applyNumberFormat="1" applyFont="1" applyFill="1" applyBorder="1" applyAlignment="1">
      <alignment horizontal="left" vertical="center"/>
    </xf>
    <xf numFmtId="49" fontId="7" fillId="7" borderId="15" xfId="0" applyNumberFormat="1" applyFont="1" applyFill="1" applyBorder="1" applyAlignment="1">
      <alignment horizontal="left" vertical="center"/>
    </xf>
    <xf numFmtId="176" fontId="7" fillId="7" borderId="15" xfId="0" applyNumberFormat="1" applyFont="1" applyFill="1" applyBorder="1" applyAlignment="1">
      <alignment horizontal="right" vertical="center"/>
    </xf>
    <xf numFmtId="176" fontId="29" fillId="7" borderId="29" xfId="0" applyNumberFormat="1" applyFont="1" applyFill="1" applyBorder="1" applyAlignment="1">
      <alignment horizontal="right" vertical="center"/>
    </xf>
    <xf numFmtId="176" fontId="7" fillId="7" borderId="29" xfId="0" applyNumberFormat="1" applyFont="1" applyFill="1" applyBorder="1" applyAlignment="1">
      <alignment horizontal="right" vertical="center"/>
    </xf>
    <xf numFmtId="176" fontId="7" fillId="7" borderId="30" xfId="0" applyNumberFormat="1" applyFont="1" applyFill="1" applyBorder="1" applyAlignment="1">
      <alignment horizontal="right" vertical="center"/>
    </xf>
    <xf numFmtId="176" fontId="7" fillId="7" borderId="31" xfId="0" applyNumberFormat="1" applyFont="1" applyFill="1" applyBorder="1" applyAlignment="1">
      <alignment horizontal="right" vertical="center"/>
    </xf>
    <xf numFmtId="49" fontId="7" fillId="7" borderId="4" xfId="0" applyNumberFormat="1" applyFont="1" applyFill="1" applyBorder="1" applyAlignment="1">
      <alignment horizontal="left" vertical="center"/>
    </xf>
    <xf numFmtId="176" fontId="7" fillId="8" borderId="3" xfId="0" applyNumberFormat="1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8" fontId="40" fillId="0" borderId="0" xfId="0" applyNumberFormat="1" applyFont="1" applyFill="1" applyAlignment="1">
      <alignment horizontal="center" vertical="center"/>
    </xf>
    <xf numFmtId="176" fontId="7" fillId="7" borderId="4" xfId="0" applyNumberFormat="1" applyFont="1" applyFill="1" applyBorder="1" applyAlignment="1">
      <alignment horizontal="right" vertical="center"/>
    </xf>
    <xf numFmtId="0" fontId="7" fillId="7" borderId="3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9" fillId="0" borderId="0" xfId="0" applyFont="1" applyFill="1" applyAlignment="1">
      <alignment horizontal="left" vertical="center"/>
    </xf>
    <xf numFmtId="0" fontId="1" fillId="20" borderId="0" xfId="0" applyFont="1" applyFill="1" applyAlignment="1">
      <alignment horizontal="left" vertical="center"/>
    </xf>
    <xf numFmtId="178" fontId="1" fillId="20" borderId="0" xfId="0" applyNumberFormat="1" applyFont="1" applyFill="1" applyAlignment="1">
      <alignment horizontal="center" vertical="center"/>
    </xf>
    <xf numFmtId="178" fontId="1" fillId="2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178" fontId="0" fillId="21" borderId="0" xfId="0" applyNumberFormat="1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178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178" fontId="1" fillId="7" borderId="0" xfId="0" applyNumberFormat="1" applyFont="1" applyFill="1" applyAlignment="1" applyProtection="1">
      <alignment horizontal="center" vertical="center"/>
      <protection hidden="1"/>
    </xf>
    <xf numFmtId="178" fontId="1" fillId="20" borderId="0" xfId="0" applyNumberFormat="1" applyFont="1" applyFill="1" applyAlignment="1" applyProtection="1">
      <alignment horizontal="center" vertical="center"/>
      <protection hidden="1"/>
    </xf>
    <xf numFmtId="178" fontId="0" fillId="19" borderId="0" xfId="0" applyNumberFormat="1" applyFill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178" fontId="0" fillId="15" borderId="0" xfId="0" applyNumberFormat="1" applyFill="1" applyAlignment="1">
      <alignment horizontal="center" vertical="center"/>
    </xf>
    <xf numFmtId="178" fontId="1" fillId="15" borderId="0" xfId="0" applyNumberFormat="1" applyFont="1" applyFill="1" applyAlignment="1">
      <alignment horizontal="center" vertical="center"/>
    </xf>
    <xf numFmtId="178" fontId="0" fillId="0" borderId="0" xfId="0" applyNumberFormat="1" applyFill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178" fontId="1" fillId="20" borderId="0" xfId="0" applyNumberFormat="1" applyFont="1" applyFill="1" applyAlignment="1" applyProtection="1">
      <alignment horizontal="center" vertical="center"/>
    </xf>
    <xf numFmtId="0" fontId="41" fillId="0" borderId="0" xfId="0" applyFont="1" applyFill="1" applyAlignment="1">
      <alignment horizontal="left" vertical="center"/>
    </xf>
    <xf numFmtId="0" fontId="8" fillId="7" borderId="8" xfId="0" applyFon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10" borderId="0" xfId="0" applyNumberFormat="1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8" fillId="10" borderId="7" xfId="0" applyNumberFormat="1" applyFont="1" applyFill="1" applyBorder="1" applyAlignment="1">
      <alignment vertical="center"/>
    </xf>
    <xf numFmtId="0" fontId="42" fillId="20" borderId="0" xfId="0" applyFont="1" applyFill="1" applyBorder="1" applyAlignment="1">
      <alignment horizontal="center" vertical="center" wrapText="1"/>
    </xf>
    <xf numFmtId="0" fontId="43" fillId="5" borderId="0" xfId="0" applyFont="1" applyFill="1" applyAlignment="1">
      <alignment horizontal="center" vertical="center" wrapText="1"/>
    </xf>
    <xf numFmtId="0" fontId="42" fillId="5" borderId="0" xfId="0" applyFont="1" applyFill="1" applyBorder="1" applyAlignment="1">
      <alignment horizontal="center" vertical="center" wrapText="1"/>
    </xf>
    <xf numFmtId="0" fontId="43" fillId="5" borderId="0" xfId="0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8" fillId="7" borderId="9" xfId="0" applyNumberFormat="1" applyFont="1" applyFill="1" applyBorder="1" applyAlignment="1">
      <alignment vertical="center"/>
    </xf>
    <xf numFmtId="0" fontId="8" fillId="7" borderId="0" xfId="0" applyNumberFormat="1" applyFont="1" applyFill="1" applyBorder="1" applyAlignment="1">
      <alignment vertical="center"/>
    </xf>
    <xf numFmtId="0" fontId="8" fillId="10" borderId="9" xfId="0" applyNumberFormat="1" applyFont="1" applyFill="1" applyBorder="1" applyAlignment="1">
      <alignment vertical="center"/>
    </xf>
    <xf numFmtId="0" fontId="5" fillId="10" borderId="0" xfId="0" applyNumberFormat="1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8" fillId="10" borderId="0" xfId="0" applyFont="1" applyFill="1" applyBorder="1" applyAlignment="1">
      <alignment vertical="center"/>
    </xf>
    <xf numFmtId="0" fontId="43" fillId="20" borderId="0" xfId="0" applyFont="1" applyFill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0" fontId="45" fillId="20" borderId="0" xfId="0" applyFont="1" applyFill="1" applyBorder="1" applyAlignment="1">
      <alignment horizontal="center" vertical="center" wrapText="1"/>
    </xf>
    <xf numFmtId="0" fontId="44" fillId="22" borderId="2" xfId="0" applyFont="1" applyFill="1" applyBorder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3" fillId="20" borderId="0" xfId="0" applyFont="1" applyFill="1" applyBorder="1" applyAlignment="1">
      <alignment horizontal="center" vertical="center" wrapText="1"/>
    </xf>
    <xf numFmtId="0" fontId="0" fillId="23" borderId="0" xfId="0" applyFill="1">
      <alignment vertical="center"/>
    </xf>
    <xf numFmtId="0" fontId="39" fillId="24" borderId="0" xfId="0" applyFont="1" applyFill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8" fillId="7" borderId="8" xfId="0" applyFont="1" applyFill="1" applyBorder="1">
      <alignment vertical="center"/>
    </xf>
    <xf numFmtId="0" fontId="8" fillId="7" borderId="9" xfId="0" applyFont="1" applyFill="1" applyBorder="1" applyAlignment="1">
      <alignment horizontal="left" vertical="center"/>
    </xf>
    <xf numFmtId="0" fontId="8" fillId="7" borderId="5" xfId="0" applyFont="1" applyFill="1" applyBorder="1">
      <alignment vertical="center"/>
    </xf>
    <xf numFmtId="0" fontId="8" fillId="7" borderId="0" xfId="0" applyFont="1" applyFill="1" applyBorder="1" applyAlignment="1">
      <alignment horizontal="left" vertical="center"/>
    </xf>
    <xf numFmtId="0" fontId="8" fillId="7" borderId="6" xfId="0" applyFont="1" applyFill="1" applyBorder="1">
      <alignment vertical="center"/>
    </xf>
    <xf numFmtId="0" fontId="8" fillId="7" borderId="7" xfId="0" applyFont="1" applyFill="1" applyBorder="1" applyAlignment="1">
      <alignment horizontal="left" vertical="center"/>
    </xf>
    <xf numFmtId="176" fontId="7" fillId="19" borderId="0" xfId="0" applyNumberFormat="1" applyFont="1" applyFill="1" applyBorder="1" applyAlignment="1">
      <alignment horizontal="right" vertical="center"/>
    </xf>
    <xf numFmtId="176" fontId="7" fillId="19" borderId="11" xfId="0" applyNumberFormat="1" applyFont="1" applyFill="1" applyBorder="1" applyAlignment="1">
      <alignment horizontal="right" vertical="center"/>
    </xf>
    <xf numFmtId="176" fontId="7" fillId="19" borderId="7" xfId="0" applyNumberFormat="1" applyFont="1" applyFill="1" applyBorder="1" applyAlignment="1">
      <alignment horizontal="right" vertical="center"/>
    </xf>
    <xf numFmtId="0" fontId="0" fillId="23" borderId="0" xfId="0" applyFill="1" applyAlignment="1">
      <alignment horizontal="left" vertical="center"/>
    </xf>
    <xf numFmtId="178" fontId="0" fillId="23" borderId="0" xfId="0" applyNumberFormat="1" applyFill="1" applyAlignment="1">
      <alignment horizontal="center" vertical="center"/>
    </xf>
    <xf numFmtId="0" fontId="39" fillId="24" borderId="0" xfId="0" applyFont="1" applyFill="1" applyAlignment="1">
      <alignment horizontal="right" vertical="center"/>
    </xf>
    <xf numFmtId="0" fontId="43" fillId="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7" borderId="0" xfId="0" applyFont="1" applyFill="1">
      <alignment vertical="center"/>
    </xf>
    <xf numFmtId="0" fontId="0" fillId="23" borderId="0" xfId="0" applyFill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19" borderId="0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8" fillId="0" borderId="9" xfId="0" applyFont="1" applyFill="1" applyBorder="1">
      <alignment vertical="center"/>
    </xf>
    <xf numFmtId="0" fontId="8" fillId="0" borderId="9" xfId="0" applyFont="1" applyFill="1" applyBorder="1" applyAlignment="1">
      <alignment horizontal="left" vertical="center"/>
    </xf>
    <xf numFmtId="0" fontId="8" fillId="0" borderId="6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7" xfId="0" applyFont="1" applyFill="1" applyBorder="1" applyAlignment="1">
      <alignment horizontal="left" vertical="center"/>
    </xf>
    <xf numFmtId="49" fontId="7" fillId="0" borderId="23" xfId="0" applyNumberFormat="1" applyFont="1" applyFill="1" applyBorder="1" applyAlignment="1">
      <alignment horizontal="left" vertical="center"/>
    </xf>
    <xf numFmtId="49" fontId="7" fillId="0" borderId="22" xfId="0" applyNumberFormat="1" applyFont="1" applyFill="1" applyBorder="1" applyAlignment="1">
      <alignment horizontal="left" vertical="center"/>
    </xf>
    <xf numFmtId="0" fontId="8" fillId="19" borderId="7" xfId="0" applyFont="1" applyFill="1" applyBorder="1">
      <alignment vertical="center"/>
    </xf>
    <xf numFmtId="49" fontId="7" fillId="0" borderId="9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left" vertical="center"/>
    </xf>
    <xf numFmtId="178" fontId="41" fillId="20" borderId="0" xfId="0" applyNumberFormat="1" applyFont="1" applyFill="1" applyAlignment="1" applyProtection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6" fontId="7" fillId="19" borderId="10" xfId="0" applyNumberFormat="1" applyFont="1" applyFill="1" applyBorder="1" applyAlignment="1">
      <alignment horizontal="right" vertical="center"/>
    </xf>
    <xf numFmtId="0" fontId="8" fillId="0" borderId="10" xfId="0" applyFont="1" applyFill="1" applyBorder="1">
      <alignment vertical="center"/>
    </xf>
    <xf numFmtId="176" fontId="7" fillId="0" borderId="22" xfId="0" applyNumberFormat="1" applyFont="1" applyFill="1" applyBorder="1" applyAlignment="1">
      <alignment horizontal="right" vertical="center"/>
    </xf>
    <xf numFmtId="176" fontId="7" fillId="0" borderId="24" xfId="0" applyNumberFormat="1" applyFont="1" applyFill="1" applyBorder="1" applyAlignment="1">
      <alignment horizontal="right" vertical="center"/>
    </xf>
    <xf numFmtId="0" fontId="8" fillId="0" borderId="11" xfId="0" applyFont="1" applyFill="1" applyBorder="1">
      <alignment vertical="center"/>
    </xf>
    <xf numFmtId="178" fontId="0" fillId="25" borderId="0" xfId="0" applyNumberFormat="1" applyFill="1" applyAlignment="1">
      <alignment horizontal="center" vertical="center"/>
    </xf>
    <xf numFmtId="178" fontId="1" fillId="8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19" borderId="0" xfId="0" applyFont="1" applyFill="1" applyBorder="1" applyAlignment="1">
      <alignment horizontal="left" vertical="center"/>
    </xf>
    <xf numFmtId="0" fontId="8" fillId="19" borderId="7" xfId="0" applyFont="1" applyFill="1" applyBorder="1" applyAlignment="1">
      <alignment horizontal="left" vertical="center"/>
    </xf>
    <xf numFmtId="0" fontId="39" fillId="25" borderId="0" xfId="0" applyFont="1" applyFill="1" applyAlignment="1">
      <alignment horizontal="left" vertical="center"/>
    </xf>
    <xf numFmtId="0" fontId="39" fillId="0" borderId="0" xfId="0" applyFont="1">
      <alignment vertical="center"/>
    </xf>
    <xf numFmtId="0" fontId="7" fillId="10" borderId="22" xfId="0" applyNumberFormat="1" applyFont="1" applyFill="1" applyBorder="1" applyAlignment="1">
      <alignment horizontal="left" vertical="center"/>
    </xf>
    <xf numFmtId="0" fontId="7" fillId="10" borderId="22" xfId="0" applyNumberFormat="1" applyFont="1" applyFill="1" applyBorder="1" applyAlignment="1">
      <alignment horizontal="right" vertical="center"/>
    </xf>
    <xf numFmtId="0" fontId="7" fillId="10" borderId="24" xfId="0" applyNumberFormat="1" applyFont="1" applyFill="1" applyBorder="1" applyAlignment="1">
      <alignment horizontal="right" vertical="center"/>
    </xf>
    <xf numFmtId="0" fontId="7" fillId="10" borderId="3" xfId="0" applyNumberFormat="1" applyFont="1" applyFill="1" applyBorder="1" applyAlignment="1">
      <alignment horizontal="right" vertical="center"/>
    </xf>
    <xf numFmtId="0" fontId="7" fillId="10" borderId="25" xfId="0" applyNumberFormat="1" applyFont="1" applyFill="1" applyBorder="1" applyAlignment="1">
      <alignment horizontal="right" vertical="center"/>
    </xf>
    <xf numFmtId="0" fontId="7" fillId="10" borderId="23" xfId="0" applyNumberFormat="1" applyFont="1" applyFill="1" applyBorder="1" applyAlignment="1">
      <alignment horizontal="left" vertical="center"/>
    </xf>
    <xf numFmtId="0" fontId="7" fillId="10" borderId="23" xfId="0" applyNumberFormat="1" applyFont="1" applyFill="1" applyBorder="1" applyAlignment="1">
      <alignment horizontal="right" vertical="center"/>
    </xf>
    <xf numFmtId="0" fontId="7" fillId="10" borderId="26" xfId="0" applyNumberFormat="1" applyFont="1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178" fontId="0" fillId="21" borderId="0" xfId="0" applyNumberFormat="1" applyFill="1" applyAlignment="1">
      <alignment horizontal="center" vertical="center"/>
    </xf>
    <xf numFmtId="0" fontId="7" fillId="7" borderId="9" xfId="0" applyNumberFormat="1" applyFont="1" applyFill="1" applyBorder="1" applyAlignment="1">
      <alignment horizontal="left" vertical="center"/>
    </xf>
    <xf numFmtId="0" fontId="8" fillId="7" borderId="6" xfId="0" applyFont="1" applyFill="1" applyBorder="1" applyAlignment="1">
      <alignment vertical="center"/>
    </xf>
    <xf numFmtId="0" fontId="8" fillId="7" borderId="7" xfId="0" applyFont="1" applyFill="1" applyBorder="1" applyAlignment="1">
      <alignment vertical="center"/>
    </xf>
    <xf numFmtId="0" fontId="7" fillId="7" borderId="7" xfId="0" applyNumberFormat="1" applyFont="1" applyFill="1" applyBorder="1" applyAlignment="1">
      <alignment horizontal="left" vertical="center"/>
    </xf>
    <xf numFmtId="0" fontId="0" fillId="0" borderId="32" xfId="0" applyBorder="1">
      <alignment vertical="center"/>
    </xf>
    <xf numFmtId="0" fontId="3" fillId="25" borderId="0" xfId="0" applyFont="1" applyFill="1" applyAlignment="1">
      <alignment horizontal="center" vertical="center"/>
    </xf>
    <xf numFmtId="178" fontId="44" fillId="0" borderId="0" xfId="0" applyNumberFormat="1" applyFont="1" applyFill="1" applyAlignment="1">
      <alignment horizontal="center" vertical="center"/>
    </xf>
    <xf numFmtId="0" fontId="8" fillId="7" borderId="7" xfId="0" applyNumberFormat="1" applyFont="1" applyFill="1" applyBorder="1" applyAlignment="1">
      <alignment vertical="center"/>
    </xf>
    <xf numFmtId="0" fontId="0" fillId="10" borderId="0" xfId="0" applyFill="1" applyBorder="1">
      <alignment vertical="center"/>
    </xf>
    <xf numFmtId="0" fontId="0" fillId="10" borderId="7" xfId="0" applyFill="1" applyBorder="1">
      <alignment vertical="center"/>
    </xf>
    <xf numFmtId="176" fontId="6" fillId="10" borderId="11" xfId="0" applyNumberFormat="1" applyFont="1" applyFill="1" applyBorder="1" applyAlignment="1">
      <alignment horizontal="right" vertical="center"/>
    </xf>
    <xf numFmtId="0" fontId="47" fillId="2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41" fillId="0" borderId="0" xfId="0" applyNumberFormat="1" applyFont="1" applyFill="1" applyAlignment="1">
      <alignment horizontal="center" vertical="center"/>
    </xf>
    <xf numFmtId="0" fontId="48" fillId="2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44" fillId="4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40" fillId="25" borderId="0" xfId="0" applyFont="1" applyFill="1" applyAlignment="1">
      <alignment horizontal="center" vertical="center"/>
    </xf>
    <xf numFmtId="0" fontId="27" fillId="25" borderId="0" xfId="0" applyFont="1" applyFill="1" applyAlignment="1">
      <alignment horizontal="center" vertical="center"/>
    </xf>
    <xf numFmtId="0" fontId="0" fillId="21" borderId="0" xfId="0" applyFill="1">
      <alignment vertical="center"/>
    </xf>
    <xf numFmtId="0" fontId="39" fillId="25" borderId="0" xfId="0" applyFont="1" applyFill="1">
      <alignment vertical="center"/>
    </xf>
    <xf numFmtId="0" fontId="1" fillId="20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76" fontId="29" fillId="7" borderId="9" xfId="0" applyNumberFormat="1" applyFont="1" applyFill="1" applyBorder="1" applyAlignment="1">
      <alignment horizontal="right" vertical="center"/>
    </xf>
    <xf numFmtId="176" fontId="29" fillId="7" borderId="0" xfId="0" applyNumberFormat="1" applyFont="1" applyFill="1" applyBorder="1" applyAlignment="1">
      <alignment horizontal="right" vertical="center"/>
    </xf>
    <xf numFmtId="49" fontId="49" fillId="10" borderId="14" xfId="0" applyNumberFormat="1" applyFont="1" applyFill="1" applyBorder="1" applyAlignment="1">
      <alignment horizontal="left" vertical="center"/>
    </xf>
    <xf numFmtId="49" fontId="49" fillId="10" borderId="15" xfId="0" applyNumberFormat="1" applyFont="1" applyFill="1" applyBorder="1" applyAlignment="1">
      <alignment horizontal="left" vertical="center"/>
    </xf>
    <xf numFmtId="178" fontId="50" fillId="20" borderId="2" xfId="0" applyNumberFormat="1" applyFont="1" applyFill="1" applyBorder="1" applyAlignment="1">
      <alignment horizontal="center" vertical="center" wrapText="1"/>
    </xf>
    <xf numFmtId="0" fontId="50" fillId="20" borderId="2" xfId="0" applyFont="1" applyFill="1" applyBorder="1" applyAlignment="1">
      <alignment horizontal="center" vertical="center" wrapText="1"/>
    </xf>
    <xf numFmtId="0" fontId="50" fillId="20" borderId="2" xfId="0" applyFont="1" applyFill="1" applyBorder="1" applyAlignment="1">
      <alignment horizontal="left" vertical="center" wrapText="1"/>
    </xf>
    <xf numFmtId="0" fontId="6" fillId="10" borderId="0" xfId="0" applyNumberFormat="1" applyFont="1" applyFill="1" applyBorder="1" applyAlignment="1">
      <alignment vertical="center"/>
    </xf>
    <xf numFmtId="0" fontId="7" fillId="1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178" fontId="1" fillId="21" borderId="0" xfId="0" applyNumberFormat="1" applyFont="1" applyFill="1" applyAlignment="1">
      <alignment horizontal="center" vertical="center"/>
    </xf>
    <xf numFmtId="0" fontId="1" fillId="16" borderId="33" xfId="0" applyFont="1" applyFill="1" applyBorder="1">
      <alignment vertical="center"/>
    </xf>
    <xf numFmtId="0" fontId="1" fillId="16" borderId="34" xfId="0" applyFont="1" applyFill="1" applyBorder="1">
      <alignment vertical="center"/>
    </xf>
    <xf numFmtId="178" fontId="1" fillId="7" borderId="0" xfId="0" applyNumberFormat="1" applyFont="1" applyFill="1" applyAlignment="1" applyProtection="1">
      <alignment horizontal="center" vertical="center"/>
    </xf>
    <xf numFmtId="0" fontId="1" fillId="16" borderId="0" xfId="0" applyFont="1" applyFill="1">
      <alignment vertical="center"/>
    </xf>
    <xf numFmtId="178" fontId="8" fillId="0" borderId="0" xfId="0" applyNumberFormat="1" applyFont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7" borderId="0" xfId="0" applyNumberFormat="1" applyFont="1" applyFill="1" applyAlignment="1">
      <alignment vertical="center"/>
    </xf>
    <xf numFmtId="0" fontId="8" fillId="10" borderId="0" xfId="0" applyNumberFormat="1" applyFont="1" applyFill="1" applyAlignment="1">
      <alignment vertical="center"/>
    </xf>
    <xf numFmtId="0" fontId="6" fillId="10" borderId="3" xfId="0" applyNumberFormat="1" applyFont="1" applyFill="1" applyBorder="1" applyAlignment="1">
      <alignment horizontal="left" vertical="center"/>
    </xf>
    <xf numFmtId="0" fontId="5" fillId="10" borderId="0" xfId="0" applyNumberFormat="1" applyFont="1" applyFill="1" applyAlignment="1">
      <alignment vertical="center"/>
    </xf>
    <xf numFmtId="0" fontId="8" fillId="10" borderId="35" xfId="0" applyFont="1" applyFill="1" applyBorder="1" applyAlignment="1">
      <alignment vertical="center"/>
    </xf>
    <xf numFmtId="0" fontId="7" fillId="10" borderId="4" xfId="0" applyNumberFormat="1" applyFont="1" applyFill="1" applyBorder="1" applyAlignment="1">
      <alignment horizontal="left" vertical="center"/>
    </xf>
    <xf numFmtId="0" fontId="8" fillId="10" borderId="35" xfId="0" applyNumberFormat="1" applyFont="1" applyFill="1" applyBorder="1" applyAlignment="1">
      <alignment vertical="center"/>
    </xf>
    <xf numFmtId="0" fontId="6" fillId="10" borderId="4" xfId="0" applyNumberFormat="1" applyFont="1" applyFill="1" applyBorder="1" applyAlignment="1">
      <alignment horizontal="left" vertical="center"/>
    </xf>
    <xf numFmtId="0" fontId="28" fillId="10" borderId="0" xfId="0" applyNumberFormat="1" applyFont="1" applyFill="1" applyBorder="1" applyAlignment="1">
      <alignment vertical="center"/>
    </xf>
    <xf numFmtId="0" fontId="28" fillId="10" borderId="7" xfId="0" applyNumberFormat="1" applyFont="1" applyFill="1" applyBorder="1" applyAlignment="1">
      <alignment vertical="center"/>
    </xf>
    <xf numFmtId="0" fontId="29" fillId="10" borderId="0" xfId="0" applyNumberFormat="1" applyFont="1" applyFill="1" applyBorder="1" applyAlignment="1">
      <alignment horizontal="left" vertical="center"/>
    </xf>
    <xf numFmtId="178" fontId="1" fillId="4" borderId="0" xfId="0" applyNumberFormat="1" applyFont="1" applyFill="1" applyAlignment="1">
      <alignment horizontal="center" vertical="center"/>
    </xf>
    <xf numFmtId="178" fontId="1" fillId="27" borderId="0" xfId="0" applyNumberFormat="1" applyFont="1" applyFill="1" applyAlignment="1">
      <alignment vertical="center"/>
    </xf>
    <xf numFmtId="0" fontId="1" fillId="16" borderId="2" xfId="0" applyFont="1" applyFill="1" applyBorder="1" applyAlignment="1">
      <alignment horizontal="center" vertical="center"/>
    </xf>
    <xf numFmtId="178" fontId="1" fillId="16" borderId="2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vertical="center"/>
    </xf>
    <xf numFmtId="176" fontId="6" fillId="10" borderId="3" xfId="0" applyNumberFormat="1" applyFont="1" applyFill="1" applyBorder="1" applyAlignment="1">
      <alignment horizontal="right" vertical="center"/>
    </xf>
    <xf numFmtId="176" fontId="7" fillId="10" borderId="4" xfId="0" applyNumberFormat="1" applyFont="1" applyFill="1" applyBorder="1" applyAlignment="1">
      <alignment horizontal="right" vertical="center"/>
    </xf>
    <xf numFmtId="176" fontId="6" fillId="10" borderId="4" xfId="0" applyNumberFormat="1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49" fontId="14" fillId="13" borderId="0" xfId="0" applyNumberFormat="1" applyFont="1" applyFill="1" applyBorder="1" applyAlignment="1" applyProtection="1">
      <alignment vertical="center"/>
    </xf>
    <xf numFmtId="0" fontId="5" fillId="10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28" fillId="10" borderId="0" xfId="0" applyFont="1" applyFill="1" applyBorder="1" applyAlignment="1">
      <alignment vertical="center"/>
    </xf>
    <xf numFmtId="0" fontId="28" fillId="10" borderId="0" xfId="0" applyFont="1" applyFill="1" applyBorder="1" applyAlignment="1">
      <alignment horizontal="center" vertical="center"/>
    </xf>
    <xf numFmtId="176" fontId="28" fillId="10" borderId="1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29" fillId="10" borderId="0" xfId="0" applyNumberFormat="1" applyFont="1" applyFill="1" applyBorder="1" applyAlignment="1">
      <alignment vertical="center"/>
    </xf>
    <xf numFmtId="0" fontId="28" fillId="10" borderId="7" xfId="0" applyFont="1" applyFill="1" applyBorder="1" applyAlignment="1">
      <alignment vertical="center"/>
    </xf>
    <xf numFmtId="0" fontId="28" fillId="10" borderId="7" xfId="0" applyFont="1" applyFill="1" applyBorder="1" applyAlignment="1">
      <alignment horizontal="center" vertical="center"/>
    </xf>
    <xf numFmtId="176" fontId="28" fillId="10" borderId="7" xfId="0" applyNumberFormat="1" applyFont="1" applyFill="1" applyBorder="1" applyAlignment="1">
      <alignment horizontal="right" vertical="center"/>
    </xf>
    <xf numFmtId="176" fontId="28" fillId="10" borderId="11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49" fontId="14" fillId="7" borderId="0" xfId="0" applyNumberFormat="1" applyFont="1" applyFill="1" applyBorder="1" applyAlignment="1" applyProtection="1">
      <alignment vertical="center"/>
    </xf>
    <xf numFmtId="49" fontId="14" fillId="7" borderId="0" xfId="0" applyNumberFormat="1" applyFont="1" applyFill="1" applyBorder="1" applyAlignment="1" applyProtection="1">
      <alignment horizontal="left" vertical="center"/>
    </xf>
    <xf numFmtId="178" fontId="1" fillId="27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39" fillId="25" borderId="0" xfId="0" applyFont="1" applyFill="1" applyAlignment="1">
      <alignment vertical="center"/>
    </xf>
    <xf numFmtId="178" fontId="0" fillId="0" borderId="0" xfId="0" applyNumberFormat="1" applyFill="1" applyAlignment="1">
      <alignment vertical="center"/>
    </xf>
    <xf numFmtId="178" fontId="0" fillId="25" borderId="0" xfId="0" applyNumberFormat="1" applyFill="1" applyAlignment="1">
      <alignment vertical="center"/>
    </xf>
    <xf numFmtId="178" fontId="1" fillId="7" borderId="2" xfId="0" applyNumberFormat="1" applyFont="1" applyFill="1" applyBorder="1" applyAlignment="1">
      <alignment horizontal="center" vertical="center"/>
    </xf>
    <xf numFmtId="178" fontId="1" fillId="16" borderId="0" xfId="0" applyNumberFormat="1" applyFont="1" applyFill="1" applyAlignment="1">
      <alignment horizontal="center" vertical="center"/>
    </xf>
    <xf numFmtId="178" fontId="1" fillId="25" borderId="0" xfId="0" applyNumberFormat="1" applyFont="1" applyFill="1" applyAlignment="1">
      <alignment vertical="center"/>
    </xf>
    <xf numFmtId="0" fontId="1" fillId="16" borderId="2" xfId="0" applyFont="1" applyFill="1" applyBorder="1" applyAlignment="1" quotePrefix="1">
      <alignment horizontal="center" vertical="center"/>
    </xf>
    <xf numFmtId="0" fontId="1" fillId="16" borderId="33" xfId="0" applyFont="1" applyFill="1" applyBorder="1" quotePrefix="1">
      <alignment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  <xf numFmtId="0" fontId="41" fillId="0" borderId="0" xfId="0" applyFont="1" applyFill="1" applyAlignment="1" quotePrefix="1">
      <alignment horizontal="center" vertical="center"/>
    </xf>
    <xf numFmtId="178" fontId="0" fillId="0" borderId="0" xfId="0" applyNumberFormat="1" quotePrefix="1">
      <alignment vertical="center"/>
    </xf>
    <xf numFmtId="0" fontId="41" fillId="0" borderId="0" xfId="0" applyFont="1" applyAlignment="1" quotePrefix="1">
      <alignment horizontal="center" vertical="center"/>
    </xf>
    <xf numFmtId="0" fontId="8" fillId="0" borderId="8" xfId="0" applyFont="1" applyBorder="1" quotePrefix="1">
      <alignment vertical="center"/>
    </xf>
    <xf numFmtId="0" fontId="8" fillId="0" borderId="5" xfId="0" applyFont="1" applyBorder="1" quotePrefix="1">
      <alignment vertical="center"/>
    </xf>
    <xf numFmtId="0" fontId="8" fillId="0" borderId="6" xfId="0" applyFont="1" applyBorder="1" quotePrefix="1">
      <alignment vertical="center"/>
    </xf>
    <xf numFmtId="0" fontId="8" fillId="0" borderId="0" xfId="0" applyFont="1" applyFill="1" quotePrefix="1">
      <alignment vertical="center"/>
    </xf>
    <xf numFmtId="0" fontId="8" fillId="0" borderId="0" xfId="0" applyFont="1" quotePrefix="1">
      <alignment vertical="center"/>
    </xf>
    <xf numFmtId="0" fontId="8" fillId="7" borderId="0" xfId="0" applyFont="1" applyFill="1" quotePrefix="1">
      <alignment vertical="center"/>
    </xf>
    <xf numFmtId="0" fontId="8" fillId="0" borderId="0" xfId="0" applyFont="1" applyBorder="1" quotePrefix="1">
      <alignment vertical="center"/>
    </xf>
    <xf numFmtId="0" fontId="8" fillId="19" borderId="0" xfId="0" applyFont="1" applyFill="1" quotePrefix="1">
      <alignment vertical="center"/>
    </xf>
    <xf numFmtId="0" fontId="16" fillId="7" borderId="0" xfId="0" applyFont="1" applyFill="1" applyAlignment="1" quotePrefix="1">
      <alignment horizontal="left" vertical="center"/>
    </xf>
    <xf numFmtId="0" fontId="8" fillId="0" borderId="0" xfId="0" applyFont="1" applyAlignment="1" quotePrefix="1">
      <alignment horizontal="left" vertical="center"/>
    </xf>
    <xf numFmtId="0" fontId="8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00D070B4"/>
      <color rgb="00E549D1"/>
      <color rgb="00F221F5"/>
      <color rgb="00BE82B5"/>
      <color rgb="00FFBAB7"/>
      <color rgb="00D8A2D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selection activeCell="A1" sqref="$A1:$XFD1048576"/>
    </sheetView>
  </sheetViews>
  <sheetFormatPr defaultColWidth="9" defaultRowHeight="13.5"/>
  <cols>
    <col min="1" max="1" width="17.5" customWidth="1"/>
    <col min="2" max="2" width="12.875" customWidth="1"/>
    <col min="3" max="3" width="9.25" customWidth="1"/>
    <col min="4" max="4" width="12.875" customWidth="1"/>
    <col min="5" max="5" width="14.125" customWidth="1"/>
    <col min="6" max="6" width="18.625" customWidth="1"/>
    <col min="7" max="7" width="19.625" customWidth="1"/>
    <col min="8" max="8" width="17.25" customWidth="1"/>
    <col min="9" max="9" width="12.875" customWidth="1"/>
    <col min="10" max="10" width="10.375" customWidth="1"/>
    <col min="11" max="11" width="11.375" customWidth="1"/>
    <col min="12" max="13" width="12.625" customWidth="1"/>
    <col min="14" max="14" width="12.875" customWidth="1"/>
    <col min="15" max="15" width="16.375" customWidth="1"/>
    <col min="16" max="16" width="11.375" customWidth="1"/>
    <col min="17" max="17" width="11.625" customWidth="1"/>
  </cols>
  <sheetData>
    <row r="1" ht="18.75" spans="1:17">
      <c r="A1" s="635" t="s">
        <v>0</v>
      </c>
      <c r="B1" s="636"/>
      <c r="C1" s="636"/>
      <c r="D1" s="636"/>
      <c r="E1" s="636"/>
      <c r="F1" s="636"/>
      <c r="G1" s="636"/>
      <c r="H1" s="636"/>
      <c r="I1" s="636"/>
      <c r="J1" s="638" t="s">
        <v>1</v>
      </c>
      <c r="K1" s="638" t="s">
        <v>1</v>
      </c>
      <c r="L1" s="638" t="s">
        <v>2</v>
      </c>
      <c r="M1" s="638" t="s">
        <v>2</v>
      </c>
      <c r="N1" s="422"/>
      <c r="O1" s="638" t="s">
        <v>3</v>
      </c>
      <c r="P1" s="638" t="s">
        <v>3</v>
      </c>
      <c r="Q1" s="422"/>
    </row>
    <row r="2" spans="1:17">
      <c r="A2" s="58" t="s">
        <v>4</v>
      </c>
      <c r="B2" s="435" t="s">
        <v>5</v>
      </c>
      <c r="C2" s="435" t="s">
        <v>6</v>
      </c>
      <c r="D2" s="435" t="s">
        <v>7</v>
      </c>
      <c r="E2" s="591" t="s">
        <v>8</v>
      </c>
      <c r="F2" s="591" t="s">
        <v>9</v>
      </c>
      <c r="G2" s="437" t="s">
        <v>10</v>
      </c>
      <c r="H2" s="435" t="s">
        <v>11</v>
      </c>
      <c r="I2" s="437" t="s">
        <v>12</v>
      </c>
      <c r="J2" s="641" t="s">
        <v>13</v>
      </c>
      <c r="K2" s="608" t="s">
        <v>14</v>
      </c>
      <c r="L2" s="641" t="s">
        <v>13</v>
      </c>
      <c r="M2" s="608" t="s">
        <v>14</v>
      </c>
      <c r="N2" s="639" t="s">
        <v>15</v>
      </c>
      <c r="O2" s="641" t="s">
        <v>13</v>
      </c>
      <c r="P2" s="608" t="s">
        <v>14</v>
      </c>
      <c r="Q2" s="633" t="s">
        <v>16</v>
      </c>
    </row>
    <row r="3" spans="1:17">
      <c r="A3" s="422" t="s">
        <v>17</v>
      </c>
      <c r="B3" s="141">
        <v>124271.940000002</v>
      </c>
      <c r="C3" s="141">
        <v>233.97</v>
      </c>
      <c r="D3" s="141">
        <v>103754.925000002</v>
      </c>
      <c r="E3" s="636">
        <v>-409.199999999997</v>
      </c>
      <c r="F3" s="636">
        <v>-13609.79</v>
      </c>
      <c r="G3" s="636"/>
      <c r="H3" s="141">
        <v>89735.9350000016</v>
      </c>
      <c r="I3" s="428"/>
      <c r="J3" s="141">
        <v>0</v>
      </c>
      <c r="K3" s="141">
        <v>0</v>
      </c>
      <c r="L3" s="465">
        <v>-1115.79</v>
      </c>
      <c r="M3" s="141">
        <v>0</v>
      </c>
      <c r="N3" s="141">
        <v>127576.730000002</v>
      </c>
      <c r="O3" s="465">
        <v>-1955.03</v>
      </c>
      <c r="P3" s="141">
        <v>0</v>
      </c>
      <c r="Q3" s="143">
        <v>124505.910000002</v>
      </c>
    </row>
    <row r="4" spans="1:17">
      <c r="A4" s="422" t="s">
        <v>18</v>
      </c>
      <c r="B4" s="141">
        <v>7080.19999999999</v>
      </c>
      <c r="C4" s="141">
        <v>39.96</v>
      </c>
      <c r="D4" s="524">
        <v>5933.46666666666</v>
      </c>
      <c r="E4" s="637">
        <v>-29.6999999999999</v>
      </c>
      <c r="F4" s="637">
        <v>-802.65</v>
      </c>
      <c r="G4" s="637">
        <v>474.677333333333</v>
      </c>
      <c r="H4" s="141">
        <v>5575.79399999999</v>
      </c>
      <c r="I4" s="428"/>
      <c r="J4" s="141">
        <v>0</v>
      </c>
      <c r="K4" s="141">
        <v>0</v>
      </c>
      <c r="L4" s="524">
        <v>-249.96</v>
      </c>
      <c r="M4" s="141">
        <v>0</v>
      </c>
      <c r="N4" s="524">
        <v>7767.07999999999</v>
      </c>
      <c r="O4" s="524">
        <v>-396.96</v>
      </c>
      <c r="P4" s="141">
        <v>0</v>
      </c>
      <c r="Q4" s="143">
        <v>7120.15999999999</v>
      </c>
    </row>
    <row r="5" spans="1:17">
      <c r="A5" s="422" t="s">
        <v>19</v>
      </c>
      <c r="B5" s="141">
        <v>178.85</v>
      </c>
      <c r="C5" s="141">
        <v>0</v>
      </c>
      <c r="D5" s="524">
        <v>149.041666666667</v>
      </c>
      <c r="E5" s="637">
        <v>-1.32</v>
      </c>
      <c r="F5" s="637">
        <v>-19.38</v>
      </c>
      <c r="G5" s="637">
        <v>11.9233333333333</v>
      </c>
      <c r="H5" s="141">
        <v>140.265</v>
      </c>
      <c r="I5" s="428"/>
      <c r="J5" s="141">
        <v>0</v>
      </c>
      <c r="K5" s="141">
        <v>0</v>
      </c>
      <c r="L5" s="141">
        <v>0</v>
      </c>
      <c r="M5" s="141">
        <v>0</v>
      </c>
      <c r="N5" s="524">
        <v>178.85</v>
      </c>
      <c r="O5" s="141">
        <v>0</v>
      </c>
      <c r="P5" s="141">
        <v>0</v>
      </c>
      <c r="Q5" s="143">
        <v>178.85</v>
      </c>
    </row>
    <row r="6" spans="1:17">
      <c r="A6" s="422" t="s">
        <v>20</v>
      </c>
      <c r="B6" s="141">
        <v>83897.2</v>
      </c>
      <c r="C6" s="141">
        <v>0</v>
      </c>
      <c r="D6" s="524">
        <v>69914.3333333333</v>
      </c>
      <c r="E6" s="637">
        <v>-179.850000000001</v>
      </c>
      <c r="F6" s="637">
        <v>-9974.98</v>
      </c>
      <c r="G6" s="637">
        <v>5593.14666666667</v>
      </c>
      <c r="H6" s="141">
        <v>65352.65</v>
      </c>
      <c r="I6" s="428"/>
      <c r="J6" s="524">
        <v>-161.88</v>
      </c>
      <c r="K6" s="141">
        <v>0</v>
      </c>
      <c r="L6" s="524">
        <v>-251.01</v>
      </c>
      <c r="M6" s="141">
        <v>0</v>
      </c>
      <c r="N6" s="524">
        <v>86515.51</v>
      </c>
      <c r="O6" s="524">
        <v>-2205.42</v>
      </c>
      <c r="P6" s="141">
        <v>0</v>
      </c>
      <c r="Q6" s="143">
        <v>83897.2</v>
      </c>
    </row>
    <row r="7" spans="1:17">
      <c r="A7" s="542" t="s">
        <v>21</v>
      </c>
      <c r="B7" s="587">
        <v>215428.190000002</v>
      </c>
      <c r="C7" s="587">
        <v>273.93</v>
      </c>
      <c r="D7" s="587">
        <v>179751.766666668</v>
      </c>
      <c r="E7" s="587">
        <v>-620.069999999998</v>
      </c>
      <c r="F7" s="587">
        <v>-24406.8</v>
      </c>
      <c r="G7" s="587">
        <v>6079.74733333333</v>
      </c>
      <c r="H7" s="587">
        <v>160804.644000002</v>
      </c>
      <c r="I7" s="428">
        <v>190675.250000002</v>
      </c>
      <c r="J7" s="428">
        <v>-161.88</v>
      </c>
      <c r="K7" s="428">
        <v>0</v>
      </c>
      <c r="L7" s="428">
        <v>-1616.76</v>
      </c>
      <c r="M7" s="428">
        <v>0</v>
      </c>
      <c r="N7" s="640">
        <v>222038.170000002</v>
      </c>
      <c r="O7" s="587">
        <v>-4557.41</v>
      </c>
      <c r="P7" s="428">
        <v>0</v>
      </c>
      <c r="Q7" s="542">
        <v>215702.120000002</v>
      </c>
    </row>
    <row r="8" s="142" customFormat="1" spans="1:17">
      <c r="A8" s="542"/>
      <c r="B8" s="587"/>
      <c r="C8" s="587"/>
      <c r="D8" s="587"/>
      <c r="E8" s="587"/>
      <c r="F8" s="587"/>
      <c r="G8" s="587"/>
      <c r="H8" s="587"/>
      <c r="I8" s="428"/>
      <c r="J8" s="428"/>
      <c r="K8" s="428"/>
      <c r="L8" s="428"/>
      <c r="M8" s="428"/>
      <c r="N8" s="587"/>
      <c r="O8" s="587"/>
      <c r="P8" s="428"/>
      <c r="Q8" s="542"/>
    </row>
    <row r="9" s="142" customFormat="1" spans="1:17">
      <c r="A9" s="542"/>
      <c r="B9" s="587"/>
      <c r="C9" s="587"/>
      <c r="D9" s="587"/>
      <c r="E9" s="587"/>
      <c r="F9" s="587"/>
      <c r="G9" s="587"/>
      <c r="H9" s="587"/>
      <c r="I9" s="428"/>
      <c r="J9" s="428"/>
      <c r="K9" s="428"/>
      <c r="L9" s="428"/>
      <c r="M9" s="428"/>
      <c r="N9" s="587"/>
      <c r="O9" s="587"/>
      <c r="P9" s="428"/>
      <c r="Q9" s="542"/>
    </row>
    <row r="10" ht="14.25"/>
    <row r="11" spans="1:16">
      <c r="A11" s="642" t="s">
        <v>22</v>
      </c>
      <c r="J11" s="638" t="s">
        <v>1</v>
      </c>
      <c r="K11" s="638" t="s">
        <v>1</v>
      </c>
      <c r="L11" s="638" t="s">
        <v>2</v>
      </c>
      <c r="M11" s="638" t="s">
        <v>2</v>
      </c>
      <c r="N11" s="422"/>
      <c r="O11" s="638" t="s">
        <v>3</v>
      </c>
      <c r="P11" s="638" t="s">
        <v>3</v>
      </c>
    </row>
    <row r="12" s="266" customFormat="1" ht="15" spans="1:17">
      <c r="A12" s="590" t="s">
        <v>23</v>
      </c>
      <c r="B12" s="435" t="s">
        <v>5</v>
      </c>
      <c r="C12" s="435" t="s">
        <v>6</v>
      </c>
      <c r="D12" s="435" t="s">
        <v>7</v>
      </c>
      <c r="E12" s="591" t="s">
        <v>8</v>
      </c>
      <c r="F12" s="591" t="s">
        <v>9</v>
      </c>
      <c r="G12" s="437" t="s">
        <v>10</v>
      </c>
      <c r="H12" s="435" t="s">
        <v>11</v>
      </c>
      <c r="I12" s="437" t="s">
        <v>12</v>
      </c>
      <c r="J12" s="641" t="s">
        <v>13</v>
      </c>
      <c r="K12" s="608" t="s">
        <v>14</v>
      </c>
      <c r="L12" s="641" t="s">
        <v>13</v>
      </c>
      <c r="M12" s="608" t="s">
        <v>14</v>
      </c>
      <c r="N12" s="639" t="s">
        <v>15</v>
      </c>
      <c r="O12" s="641" t="s">
        <v>13</v>
      </c>
      <c r="P12" s="608" t="s">
        <v>14</v>
      </c>
      <c r="Q12" s="633" t="s">
        <v>16</v>
      </c>
    </row>
    <row r="13" s="266" customFormat="1" ht="14.25" spans="1:17">
      <c r="A13" s="592" t="s">
        <v>18</v>
      </c>
      <c r="B13" s="593">
        <f>INDEX($A$2:$Q$7,MATCH($A$13,$A$2:$A$7,0),MATCH(B$12,$A$2:$Q$2,0))</f>
        <v>7080.19999999999</v>
      </c>
      <c r="C13" s="593">
        <f t="shared" ref="C13:Q13" si="0">INDEX($A$2:$Q$7,MATCH($A$13,$A$2:$A$7,0),MATCH(C$12,$A$2:$Q$2,0))</f>
        <v>39.96</v>
      </c>
      <c r="D13" s="593">
        <f t="shared" si="0"/>
        <v>5933.46666666666</v>
      </c>
      <c r="E13" s="593">
        <f t="shared" si="0"/>
        <v>-29.6999999999999</v>
      </c>
      <c r="F13" s="593">
        <f t="shared" si="0"/>
        <v>-802.65</v>
      </c>
      <c r="G13" s="593">
        <f t="shared" si="0"/>
        <v>474.677333333333</v>
      </c>
      <c r="H13" s="593">
        <f t="shared" si="0"/>
        <v>5575.79399999999</v>
      </c>
      <c r="I13" s="593">
        <f t="shared" si="0"/>
        <v>0</v>
      </c>
      <c r="J13" s="593">
        <f t="array" ref="J13">INDEX($A$2:$Q$7,MATCH($A$13,$A$2:$A$7,0),MATCH(J$12&amp;J$11,$A$2:$Q$2&amp;$A$1:$Q$1,0))</f>
        <v>0</v>
      </c>
      <c r="K13" s="593">
        <f t="array" ref="K13">INDEX($A$2:$Q$7,MATCH($A$13,$A$2:$A$7,0),MATCH(K$12&amp;K$11,$A$2:$Q$2&amp;$A$1:$Q$1,0))</f>
        <v>0</v>
      </c>
      <c r="L13" s="593">
        <f t="array" ref="L13">INDEX($A$2:$Q$7,MATCH($A$13,$A$2:$A$7,0),MATCH(L$12&amp;L$11,$A$2:$Q$2&amp;$A$1:$Q$1,0))</f>
        <v>-249.96</v>
      </c>
      <c r="M13" s="593">
        <f t="array" ref="M13">INDEX($A$2:$Q$7,MATCH($A$13,$A$2:$A$7,0),MATCH(M$12&amp;M$11,$A$2:$Q$2&amp;$A$1:$Q$1,0))</f>
        <v>0</v>
      </c>
      <c r="N13" s="593">
        <f t="array" ref="N13">INDEX($A$2:$Q$7,MATCH($A$13,$A$2:$A$7,0),MATCH(N$12&amp;N$11,$A$2:$Q$2&amp;$A$1:$Q$1,0))</f>
        <v>7767.07999999999</v>
      </c>
      <c r="O13" s="593">
        <f t="array" ref="O13">INDEX($A$2:$Q$7,MATCH($A$13,$A$2:$A$7,0),MATCH(O$12&amp;O$11,$A$2:$Q$2&amp;$A$1:$Q$1,0))</f>
        <v>-396.96</v>
      </c>
      <c r="P13" s="593">
        <f t="array" ref="P13">INDEX($A$2:$Q$7,MATCH($A$13,$A$2:$A$7,0),MATCH(P$12&amp;P$11,$A$2:$Q$2&amp;$A$1:$Q$1,0))</f>
        <v>0</v>
      </c>
      <c r="Q13" s="593">
        <f t="array" ref="Q13">INDEX($A$2:$Q$7,MATCH($A$13,$A$2:$A$7,0),MATCH(Q$12&amp;Q$11,$A$2:$Q$2&amp;$A$1:$Q$1,0))</f>
        <v>7120.15999999999</v>
      </c>
    </row>
    <row r="14" s="266" customFormat="1" ht="14.25" spans="1:1">
      <c r="A14"/>
    </row>
    <row r="15" s="266" customFormat="1" ht="14.25" spans="1:1">
      <c r="A15"/>
    </row>
    <row r="16" s="586" customFormat="1" ht="18.75" spans="1:16">
      <c r="A16" s="594"/>
      <c r="B16" s="421" t="str">
        <f>$A$11&amp;$A$12&amp;"：Order："&amp;ROUND($N$7,2)</f>
        <v>2020.08月Online Ebay流水：Order：222038.17</v>
      </c>
      <c r="C16" s="594"/>
      <c r="D16" s="594"/>
      <c r="E16" s="594"/>
      <c r="F16" s="421" t="str">
        <f ca="1">OFFSET($O$1,MATCH($A$12,$O:$O,0),)</f>
        <v> 1122.001.001</v>
      </c>
      <c r="G16" s="421" t="str">
        <f ca="1">OFFSET($P$1,MATCH($A$12,$O:$O,0),)</f>
        <v>        应收 Online Ebay</v>
      </c>
      <c r="H16" s="595"/>
      <c r="I16" s="594"/>
      <c r="J16" s="594"/>
      <c r="K16" s="594"/>
      <c r="L16" s="248">
        <f>$N$7</f>
        <v>222038.170000002</v>
      </c>
      <c r="M16" s="248"/>
      <c r="O16" s="78" t="s">
        <v>23</v>
      </c>
      <c r="P16" s="78"/>
    </row>
    <row r="17" s="586" customFormat="1" ht="14.25" spans="1:16">
      <c r="A17" s="594"/>
      <c r="B17" s="421" t="str">
        <f>$A$11&amp;$A$12&amp;"：Order："&amp;ROUND($N$7,2)</f>
        <v>2020.08月Online Ebay流水：Order：222038.17</v>
      </c>
      <c r="C17" s="594"/>
      <c r="D17" s="594"/>
      <c r="E17" s="594"/>
      <c r="F17" s="421" t="str">
        <f ca="1">OFFSET($O$1,MATCH($A$12,$O:$O,0)+2,)</f>
        <v> 2203.07.001</v>
      </c>
      <c r="G17" s="421" t="str">
        <f ca="1">OFFSET($P$1,MATCH($A$12,$O:$O,0)+2,)</f>
        <v>        预收 Online Ebay</v>
      </c>
      <c r="H17" s="595"/>
      <c r="I17" s="594"/>
      <c r="J17" s="594"/>
      <c r="K17" s="594"/>
      <c r="L17" s="248"/>
      <c r="M17" s="248">
        <f>$N$7</f>
        <v>222038.170000002</v>
      </c>
      <c r="O17" s="616" t="s">
        <v>24</v>
      </c>
      <c r="P17" s="81" t="s">
        <v>25</v>
      </c>
    </row>
    <row r="18" s="586" customFormat="1" ht="14.25" spans="1:16">
      <c r="A18" s="293" t="s">
        <v>26</v>
      </c>
      <c r="B18" s="383" t="str">
        <f>$A$11&amp;$A$12&amp;"("&amp;$A$13&amp;")："&amp;A18</f>
        <v>2020.08月Online Ebay流水(镜柜)：Order</v>
      </c>
      <c r="C18" s="293"/>
      <c r="D18" s="293"/>
      <c r="E18" s="293"/>
      <c r="F18" s="383" t="str">
        <f ca="1">OFFSET($O$1,MATCH($A$12,$O:$O,0)+2,)</f>
        <v> 2203.07.001</v>
      </c>
      <c r="G18" s="383" t="str">
        <f ca="1">OFFSET($P$1,MATCH($A$12,$O:$O,0)+2,)</f>
        <v>        预收 Online Ebay</v>
      </c>
      <c r="H18" s="596"/>
      <c r="I18" s="293"/>
      <c r="J18" s="293"/>
      <c r="K18" s="293"/>
      <c r="L18" s="312">
        <f>$N$13</f>
        <v>7767.07999999999</v>
      </c>
      <c r="M18" s="312"/>
      <c r="O18" s="616" t="s">
        <v>27</v>
      </c>
      <c r="P18" s="81" t="s">
        <v>28</v>
      </c>
    </row>
    <row r="19" s="586" customFormat="1" ht="14.25" spans="1:16">
      <c r="A19" s="293" t="s">
        <v>7</v>
      </c>
      <c r="B19" s="383" t="str">
        <f t="shared" ref="B19:B26" si="1">$A$11&amp;$A$12&amp;"("&amp;$A$13&amp;")："&amp;A19</f>
        <v>2020.08月Online Ebay流水(镜柜)：不含税</v>
      </c>
      <c r="C19" s="596"/>
      <c r="D19" s="596"/>
      <c r="E19" s="596"/>
      <c r="F19" s="597" t="str">
        <f ca="1">OFFSET($O$1,MATCH($A$13,$O:$O,0),)</f>
        <v>1221.86</v>
      </c>
      <c r="G19" s="597" t="str">
        <f ca="1">OFFSET($P$1,MATCH($A$13,$O:$O,0),)</f>
        <v>其他应收款 - 事业部</v>
      </c>
      <c r="H19" s="598"/>
      <c r="I19" s="610"/>
      <c r="J19" s="293"/>
      <c r="K19" s="293"/>
      <c r="L19" s="312"/>
      <c r="M19" s="312">
        <f>$D$13</f>
        <v>5933.46666666666</v>
      </c>
      <c r="O19" s="616" t="s">
        <v>29</v>
      </c>
      <c r="P19" s="81" t="s">
        <v>30</v>
      </c>
    </row>
    <row r="20" s="586" customFormat="1" ht="14.25" spans="1:16">
      <c r="A20" s="293" t="s">
        <v>31</v>
      </c>
      <c r="B20" s="383" t="str">
        <f t="shared" si="1"/>
        <v>2020.08月Online Ebay流水(镜柜)：税金</v>
      </c>
      <c r="C20" s="596"/>
      <c r="D20" s="596"/>
      <c r="E20" s="596"/>
      <c r="F20" s="383" t="s">
        <v>32</v>
      </c>
      <c r="G20" s="383" t="s">
        <v>33</v>
      </c>
      <c r="H20" s="596"/>
      <c r="I20" s="293"/>
      <c r="J20" s="293"/>
      <c r="K20" s="293"/>
      <c r="L20" s="312"/>
      <c r="M20" s="312">
        <f>$M$19*0.2</f>
        <v>1186.69333333333</v>
      </c>
      <c r="O20" s="622"/>
      <c r="P20" s="503"/>
    </row>
    <row r="21" s="586" customFormat="1" ht="18.75" spans="1:16">
      <c r="A21" s="293" t="s">
        <v>34</v>
      </c>
      <c r="B21" s="383" t="str">
        <f t="shared" si="1"/>
        <v>2020.08月Online Ebay流水(镜柜)：refund + Claim</v>
      </c>
      <c r="C21" s="596"/>
      <c r="D21" s="596"/>
      <c r="E21" s="596"/>
      <c r="F21" s="383" t="str">
        <f ca="1">OFFSET($O$1,MATCH($A$12,$O:$O,0),)</f>
        <v> 1122.001.001</v>
      </c>
      <c r="G21" s="383" t="str">
        <f ca="1">OFFSET($P$1,MATCH($A$12,$O:$O,0),)</f>
        <v>        应收 Online Ebay</v>
      </c>
      <c r="H21" s="596"/>
      <c r="I21" s="293"/>
      <c r="J21" s="293"/>
      <c r="K21" s="293"/>
      <c r="L21" s="312"/>
      <c r="M21" s="312">
        <f>-SUM($O$13:$P$13,$J$13:$K$13)</f>
        <v>396.96</v>
      </c>
      <c r="O21" s="78" t="s">
        <v>35</v>
      </c>
      <c r="P21" s="78"/>
    </row>
    <row r="22" s="586" customFormat="1" ht="14.25" spans="1:16">
      <c r="A22" s="293" t="s">
        <v>36</v>
      </c>
      <c r="B22" s="383" t="str">
        <f t="shared" si="1"/>
        <v>2020.08月Online Ebay流水(镜柜)：Hold</v>
      </c>
      <c r="C22" s="596"/>
      <c r="D22" s="596"/>
      <c r="E22" s="596"/>
      <c r="F22" s="383" t="str">
        <f ca="1">OFFSET($O$1,MATCH($A$12,$O:$O,0)+1,)</f>
        <v> 1122.002.001</v>
      </c>
      <c r="G22" s="383" t="str">
        <f ca="1">OFFSET($P$1,MATCH($A$12,$O:$O,0)+1,)</f>
        <v>        应收 Online Ebay-争议款/hold款</v>
      </c>
      <c r="H22" s="596"/>
      <c r="I22" s="293"/>
      <c r="J22" s="293"/>
      <c r="K22" s="293"/>
      <c r="L22" s="312"/>
      <c r="M22" s="312">
        <f>-SUM($L$13:$M$13)</f>
        <v>249.96</v>
      </c>
      <c r="O22" s="616" t="s">
        <v>37</v>
      </c>
      <c r="P22" s="81" t="s">
        <v>38</v>
      </c>
    </row>
    <row r="23" s="586" customFormat="1" ht="14.25" spans="1:16">
      <c r="A23" s="293" t="s">
        <v>39</v>
      </c>
      <c r="B23" s="383" t="str">
        <f t="shared" si="1"/>
        <v>2020.08月Online Ebay流水(镜柜)：Ebay费</v>
      </c>
      <c r="C23" s="596"/>
      <c r="D23" s="596"/>
      <c r="E23" s="596"/>
      <c r="F23" s="597" t="str">
        <f ca="1">OFFSET($O$1,MATCH($A$13,$O:$O,0)+1,)</f>
        <v>6601.002.002.003</v>
      </c>
      <c r="G23" s="597" t="str">
        <f ca="1">OFFSET($P$1,MATCH($A$13,$O:$O,0)+1,)</f>
        <v>销售费用 - 销售平台费用 - Ebay费用 - 镜柜事业部-Ebay费</v>
      </c>
      <c r="H23" s="596"/>
      <c r="I23" s="293"/>
      <c r="J23" s="293"/>
      <c r="K23" s="293"/>
      <c r="L23" s="312">
        <f>SUM($E$13:$F$13)</f>
        <v>-832.35</v>
      </c>
      <c r="M23" s="312"/>
      <c r="O23" s="616" t="s">
        <v>40</v>
      </c>
      <c r="P23" s="81" t="s">
        <v>41</v>
      </c>
    </row>
    <row r="24" s="586" customFormat="1" ht="14.25" spans="1:16">
      <c r="A24" s="293" t="s">
        <v>39</v>
      </c>
      <c r="B24" s="383" t="str">
        <f t="shared" si="1"/>
        <v>2020.08月Online Ebay流水(镜柜)：Ebay费</v>
      </c>
      <c r="C24" s="596"/>
      <c r="D24" s="596"/>
      <c r="E24" s="596"/>
      <c r="F24" s="597" t="str">
        <f ca="1">OFFSET($O$1,MATCH($A$13,$O:$O,0),)</f>
        <v>1221.86</v>
      </c>
      <c r="G24" s="597" t="str">
        <f ca="1">OFFSET($P$1,MATCH($A$13,$O:$O,0),)</f>
        <v>其他应收款 - 事业部</v>
      </c>
      <c r="H24" s="596"/>
      <c r="I24" s="293"/>
      <c r="J24" s="293"/>
      <c r="K24" s="293"/>
      <c r="L24" s="312">
        <f>-L23</f>
        <v>832.35</v>
      </c>
      <c r="M24" s="312"/>
      <c r="O24" s="616" t="s">
        <v>42</v>
      </c>
      <c r="P24" s="81" t="s">
        <v>43</v>
      </c>
    </row>
    <row r="25" s="586" customFormat="1" ht="14.25" spans="1:20">
      <c r="A25" s="293" t="s">
        <v>44</v>
      </c>
      <c r="B25" s="383" t="str">
        <f t="shared" si="1"/>
        <v>2020.08月Online Ebay流水(镜柜)：计提营运费</v>
      </c>
      <c r="C25" s="596"/>
      <c r="D25" s="596"/>
      <c r="E25" s="596"/>
      <c r="F25" s="597" t="str">
        <f ca="1">OFFSET($O$1,MATCH($A$13,$O:$O,0)+2,)</f>
        <v>6601.006.002</v>
      </c>
      <c r="G25" s="597" t="str">
        <f ca="1">OFFSET($P$1,MATCH($A$13,$O:$O,0)+2,)</f>
        <v>销售费用 - 事业部营运费 - 镜柜事业部-营运费</v>
      </c>
      <c r="H25" s="596"/>
      <c r="I25" s="293"/>
      <c r="J25" s="293"/>
      <c r="K25" s="293"/>
      <c r="L25" s="312">
        <f>-$G$13</f>
        <v>-474.677333333333</v>
      </c>
      <c r="M25" s="312"/>
      <c r="O25" s="622"/>
      <c r="P25" s="503"/>
      <c r="Q25"/>
      <c r="R25"/>
      <c r="S25"/>
      <c r="T25"/>
    </row>
    <row r="26" s="586" customFormat="1" ht="18.75" spans="1:20">
      <c r="A26" s="293" t="s">
        <v>44</v>
      </c>
      <c r="B26" s="383" t="str">
        <f t="shared" si="1"/>
        <v>2020.08月Online Ebay流水(镜柜)：计提营运费</v>
      </c>
      <c r="C26" s="596"/>
      <c r="D26" s="596"/>
      <c r="E26" s="596"/>
      <c r="F26" s="597" t="str">
        <f ca="1">OFFSET($O$1,MATCH($A$13,$O:$O,0),)</f>
        <v>1221.86</v>
      </c>
      <c r="G26" s="597" t="str">
        <f ca="1">OFFSET($P$1,MATCH($A$13,$O:$O,0),)</f>
        <v>其他应收款 - 事业部</v>
      </c>
      <c r="H26" s="596"/>
      <c r="I26" s="293"/>
      <c r="J26" s="293"/>
      <c r="K26" s="293"/>
      <c r="L26" s="312">
        <f>-L25</f>
        <v>474.677333333333</v>
      </c>
      <c r="M26" s="312"/>
      <c r="O26" s="78" t="s">
        <v>45</v>
      </c>
      <c r="P26" s="78"/>
      <c r="Q26"/>
      <c r="R26"/>
      <c r="S26"/>
      <c r="T26"/>
    </row>
    <row r="27" ht="14.25" spans="15:16">
      <c r="O27" s="616" t="s">
        <v>46</v>
      </c>
      <c r="P27" s="81" t="s">
        <v>47</v>
      </c>
    </row>
    <row r="28" ht="14.25" spans="15:16">
      <c r="O28" s="616" t="s">
        <v>48</v>
      </c>
      <c r="P28" s="81" t="s">
        <v>49</v>
      </c>
    </row>
    <row r="29" ht="14.25" spans="15:16">
      <c r="O29" s="616" t="s">
        <v>50</v>
      </c>
      <c r="P29" s="81" t="s">
        <v>51</v>
      </c>
    </row>
    <row r="30" ht="14.25" spans="15:16">
      <c r="O30" s="622"/>
      <c r="P30" s="503"/>
    </row>
    <row r="31" ht="18.75" spans="15:17">
      <c r="O31" s="78" t="s">
        <v>52</v>
      </c>
      <c r="P31" s="78"/>
      <c r="Q31" s="26"/>
    </row>
    <row r="32" ht="14.25" spans="15:16">
      <c r="O32" s="616" t="s">
        <v>53</v>
      </c>
      <c r="P32" s="81" t="s">
        <v>54</v>
      </c>
    </row>
    <row r="33" ht="14.25" spans="15:16">
      <c r="O33" s="616" t="s">
        <v>55</v>
      </c>
      <c r="P33" s="81" t="s">
        <v>56</v>
      </c>
    </row>
    <row r="34" ht="14.25" spans="15:16">
      <c r="O34" s="616" t="s">
        <v>57</v>
      </c>
      <c r="P34" s="81" t="s">
        <v>58</v>
      </c>
    </row>
    <row r="36" ht="14.25" spans="15:17">
      <c r="O36" s="630" t="s">
        <v>32</v>
      </c>
      <c r="P36" s="631" t="s">
        <v>33</v>
      </c>
      <c r="Q36" s="26"/>
    </row>
    <row r="38" ht="18.75" spans="15:20">
      <c r="O38" s="78" t="s">
        <v>18</v>
      </c>
      <c r="P38" s="78"/>
      <c r="Q38" s="27"/>
      <c r="R38" s="2"/>
      <c r="S38" s="2"/>
      <c r="T38" s="2"/>
    </row>
    <row r="39" ht="14.25" spans="15:20">
      <c r="O39" s="81" t="s">
        <v>59</v>
      </c>
      <c r="P39" s="81" t="s">
        <v>60</v>
      </c>
      <c r="Q39" s="2"/>
      <c r="R39" s="2"/>
      <c r="S39" s="2"/>
      <c r="T39" s="2"/>
    </row>
    <row r="40" ht="14.25" spans="15:20">
      <c r="O40" s="81" t="s">
        <v>61</v>
      </c>
      <c r="P40" s="81" t="s">
        <v>62</v>
      </c>
      <c r="Q40" s="2"/>
      <c r="R40" s="2"/>
      <c r="S40" s="2"/>
      <c r="T40" s="2"/>
    </row>
    <row r="41" ht="14.25" spans="15:20">
      <c r="O41" s="81" t="s">
        <v>63</v>
      </c>
      <c r="P41" s="81" t="s">
        <v>64</v>
      </c>
      <c r="Q41" s="2"/>
      <c r="R41" s="2"/>
      <c r="S41" s="2"/>
      <c r="T41" s="2"/>
    </row>
    <row r="42" spans="19:20">
      <c r="S42" s="2"/>
      <c r="T42" s="2"/>
    </row>
    <row r="43" ht="18.75" spans="15:20">
      <c r="O43" s="78" t="s">
        <v>20</v>
      </c>
      <c r="P43" s="78"/>
      <c r="Q43" s="27"/>
      <c r="S43" s="2"/>
      <c r="T43" s="2"/>
    </row>
    <row r="44" ht="14.25" spans="15:20">
      <c r="O44" s="81" t="s">
        <v>65</v>
      </c>
      <c r="P44" s="81" t="s">
        <v>66</v>
      </c>
      <c r="Q44" s="2"/>
      <c r="R44" s="2"/>
      <c r="S44" s="2"/>
      <c r="T44" s="2"/>
    </row>
    <row r="45" ht="14.25" spans="15:20">
      <c r="O45" s="81" t="s">
        <v>67</v>
      </c>
      <c r="P45" s="81" t="s">
        <v>68</v>
      </c>
      <c r="Q45" s="2"/>
      <c r="R45" s="2"/>
      <c r="S45" s="2"/>
      <c r="T45" s="2"/>
    </row>
    <row r="46" ht="14.25" spans="15:20">
      <c r="O46" s="81" t="s">
        <v>69</v>
      </c>
      <c r="P46" s="81" t="s">
        <v>70</v>
      </c>
      <c r="Q46" s="2"/>
      <c r="R46" s="2"/>
      <c r="S46" s="2"/>
      <c r="T46" s="2"/>
    </row>
    <row r="47" spans="18:20">
      <c r="R47" s="2"/>
      <c r="S47" s="2"/>
      <c r="T47" s="2"/>
    </row>
    <row r="48" ht="18.75" spans="15:18">
      <c r="O48" s="78" t="s">
        <v>19</v>
      </c>
      <c r="P48" s="78"/>
      <c r="Q48" s="27"/>
      <c r="R48" s="2"/>
    </row>
    <row r="49" ht="14.25" spans="15:18">
      <c r="O49" s="81" t="s">
        <v>71</v>
      </c>
      <c r="P49" s="81" t="s">
        <v>72</v>
      </c>
      <c r="Q49" s="2"/>
      <c r="R49" s="2"/>
    </row>
    <row r="50" ht="14.25" spans="15:17">
      <c r="O50" s="81" t="s">
        <v>73</v>
      </c>
      <c r="P50" s="81" t="s">
        <v>74</v>
      </c>
      <c r="Q50" s="2"/>
    </row>
    <row r="51" ht="14.25" spans="15:17">
      <c r="O51" s="81" t="s">
        <v>75</v>
      </c>
      <c r="P51" s="81" t="s">
        <v>76</v>
      </c>
      <c r="Q51" s="2"/>
    </row>
  </sheetData>
  <dataValidations count="1">
    <dataValidation type="list" allowBlank="1" showInputMessage="1" showErrorMessage="1" sqref="A13">
      <formula1>$A$3:$A$6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T97"/>
  <sheetViews>
    <sheetView workbookViewId="0">
      <pane ySplit="9" topLeftCell="A59" activePane="bottomLeft" state="frozen"/>
      <selection/>
      <selection pane="bottomLeft" activeCell="O68" sqref="O66:P66 O68:P68"/>
    </sheetView>
  </sheetViews>
  <sheetFormatPr defaultColWidth="9" defaultRowHeight="13.5"/>
  <cols>
    <col min="1" max="1" width="11.375" customWidth="1"/>
    <col min="2" max="2" width="13.375" customWidth="1"/>
    <col min="3" max="3" width="9.25" customWidth="1"/>
    <col min="4" max="4" width="12.875" customWidth="1"/>
    <col min="5" max="5" width="10.375" customWidth="1"/>
    <col min="6" max="6" width="15.5" customWidth="1"/>
    <col min="7" max="7" width="18" customWidth="1"/>
    <col min="8" max="8" width="13.625" customWidth="1"/>
    <col min="9" max="9" width="12.875" customWidth="1"/>
    <col min="10" max="10" width="8.875" customWidth="1"/>
    <col min="11" max="11" width="12.625" customWidth="1"/>
    <col min="12" max="12" width="15" customWidth="1"/>
    <col min="13" max="13" width="12.625" customWidth="1"/>
    <col min="14" max="14" width="13.375" customWidth="1"/>
    <col min="15" max="15" width="17.125" customWidth="1"/>
    <col min="16" max="16" width="13.125" customWidth="1"/>
    <col min="17" max="17" width="11.625" customWidth="1"/>
    <col min="18" max="18" width="11.625"/>
  </cols>
  <sheetData>
    <row r="1" ht="18.75" spans="1:17">
      <c r="A1" s="529" t="s">
        <v>77</v>
      </c>
      <c r="B1" s="484"/>
      <c r="C1" s="484"/>
      <c r="E1" s="484"/>
      <c r="F1" s="31"/>
      <c r="G1" s="31"/>
      <c r="K1" s="31"/>
      <c r="L1" s="31"/>
      <c r="M1" s="31"/>
      <c r="N1" s="31"/>
      <c r="O1" s="31"/>
      <c r="P1" s="31"/>
      <c r="Q1" s="31"/>
    </row>
    <row r="2" spans="1:18">
      <c r="A2" s="424" t="s">
        <v>4</v>
      </c>
      <c r="B2" s="425" t="s">
        <v>5</v>
      </c>
      <c r="C2" s="425" t="s">
        <v>6</v>
      </c>
      <c r="D2" s="425" t="s">
        <v>7</v>
      </c>
      <c r="E2" s="517" t="s">
        <v>8</v>
      </c>
      <c r="F2" s="517" t="s">
        <v>9</v>
      </c>
      <c r="G2" s="517" t="s">
        <v>78</v>
      </c>
      <c r="H2" s="438" t="s">
        <v>79</v>
      </c>
      <c r="I2" s="425" t="s">
        <v>11</v>
      </c>
      <c r="J2" s="438" t="s">
        <v>12</v>
      </c>
      <c r="K2" s="478" t="s">
        <v>3</v>
      </c>
      <c r="L2" s="478" t="s">
        <v>1</v>
      </c>
      <c r="M2" s="478" t="s">
        <v>80</v>
      </c>
      <c r="N2" s="478" t="s">
        <v>81</v>
      </c>
      <c r="O2" s="478" t="s">
        <v>2</v>
      </c>
      <c r="P2" s="525" t="s">
        <v>15</v>
      </c>
      <c r="Q2" s="525" t="s">
        <v>82</v>
      </c>
      <c r="R2" s="526" t="s">
        <v>16</v>
      </c>
    </row>
    <row r="3" spans="1:18">
      <c r="A3" s="427" t="s">
        <v>17</v>
      </c>
      <c r="B3" s="141">
        <v>285238.410000001</v>
      </c>
      <c r="C3" s="141">
        <v>889.110000000001</v>
      </c>
      <c r="D3" s="141">
        <v>238439.6</v>
      </c>
      <c r="E3" s="141">
        <v>-630.575000000019</v>
      </c>
      <c r="F3" s="141">
        <v>-28858.8083333333</v>
      </c>
      <c r="G3" s="141">
        <v>0</v>
      </c>
      <c r="H3" s="141">
        <v>-11921.98</v>
      </c>
      <c r="I3" s="141">
        <v>197028.236666667</v>
      </c>
      <c r="J3" s="428"/>
      <c r="K3" s="524">
        <v>-13158.53</v>
      </c>
      <c r="L3" s="524">
        <v>-869.27</v>
      </c>
      <c r="M3" s="524">
        <v>0</v>
      </c>
      <c r="N3" s="524">
        <v>0</v>
      </c>
      <c r="O3" s="524">
        <v>0</v>
      </c>
      <c r="P3" s="524">
        <v>266572.390000001</v>
      </c>
      <c r="Q3" s="524">
        <v>33582.93</v>
      </c>
      <c r="R3" s="143">
        <v>286127.520000001</v>
      </c>
    </row>
    <row r="4" spans="1:18">
      <c r="A4" s="427" t="s">
        <v>18</v>
      </c>
      <c r="B4" s="141">
        <v>31751.4300000002</v>
      </c>
      <c r="C4" s="141">
        <v>29.97</v>
      </c>
      <c r="D4" s="141">
        <v>26484.5000000001</v>
      </c>
      <c r="E4" s="141">
        <v>-83.8749999999996</v>
      </c>
      <c r="F4" s="141">
        <v>-3259.35</v>
      </c>
      <c r="G4" s="141">
        <v>0</v>
      </c>
      <c r="H4" s="141">
        <v>-1324.22500000001</v>
      </c>
      <c r="I4" s="141">
        <v>21817.0500000001</v>
      </c>
      <c r="J4" s="428"/>
      <c r="K4" s="141">
        <v>-1669.03</v>
      </c>
      <c r="L4" s="141">
        <v>0</v>
      </c>
      <c r="M4" s="141">
        <v>0</v>
      </c>
      <c r="N4" s="141">
        <v>0</v>
      </c>
      <c r="O4" s="141">
        <v>0</v>
      </c>
      <c r="P4" s="141">
        <v>30930.3700000002</v>
      </c>
      <c r="Q4" s="141">
        <v>2520.06</v>
      </c>
      <c r="R4" s="143">
        <v>31781.4000000002</v>
      </c>
    </row>
    <row r="5" spans="1:18">
      <c r="A5" s="427" t="s">
        <v>19</v>
      </c>
      <c r="B5" s="141">
        <v>29748.5399999999</v>
      </c>
      <c r="C5" s="141">
        <v>62.16</v>
      </c>
      <c r="D5" s="141">
        <v>24842.2499999999</v>
      </c>
      <c r="E5" s="141">
        <v>-138.600000000001</v>
      </c>
      <c r="F5" s="141">
        <v>-2998.83333333333</v>
      </c>
      <c r="G5" s="141">
        <v>0</v>
      </c>
      <c r="H5" s="141">
        <v>-1242.1125</v>
      </c>
      <c r="I5" s="141">
        <v>20462.7041666666</v>
      </c>
      <c r="J5" s="428"/>
      <c r="K5" s="141">
        <v>-1825.15</v>
      </c>
      <c r="L5" s="141">
        <v>-159.62</v>
      </c>
      <c r="M5" s="141">
        <v>0</v>
      </c>
      <c r="N5" s="141">
        <v>0</v>
      </c>
      <c r="O5" s="141">
        <v>0</v>
      </c>
      <c r="P5" s="141">
        <v>28485.9699999999</v>
      </c>
      <c r="Q5" s="141">
        <v>3309.5</v>
      </c>
      <c r="R5" s="143">
        <v>29810.6999999999</v>
      </c>
    </row>
    <row r="6" spans="1:18">
      <c r="A6" s="427" t="s">
        <v>20</v>
      </c>
      <c r="B6" s="141">
        <v>200578.170000001</v>
      </c>
      <c r="C6" s="141">
        <v>0</v>
      </c>
      <c r="D6" s="141">
        <v>167148.475000001</v>
      </c>
      <c r="E6" s="141">
        <v>-255.475000000002</v>
      </c>
      <c r="F6" s="141">
        <v>-20518.1333333333</v>
      </c>
      <c r="G6" s="141">
        <v>0</v>
      </c>
      <c r="H6" s="141">
        <v>-8357.42375000004</v>
      </c>
      <c r="I6" s="141">
        <v>138017.442916667</v>
      </c>
      <c r="J6" s="428"/>
      <c r="K6" s="141">
        <v>-14621.81</v>
      </c>
      <c r="L6" s="141">
        <v>-1004.7</v>
      </c>
      <c r="M6" s="141">
        <v>0</v>
      </c>
      <c r="N6" s="141">
        <v>0</v>
      </c>
      <c r="O6" s="141">
        <v>0</v>
      </c>
      <c r="P6" s="141">
        <v>105035.58</v>
      </c>
      <c r="Q6" s="141">
        <v>111169.1</v>
      </c>
      <c r="R6" s="143">
        <v>200578.17</v>
      </c>
    </row>
    <row r="7" spans="1:18">
      <c r="A7" s="427" t="s">
        <v>83</v>
      </c>
      <c r="B7" s="141">
        <v>21567.06</v>
      </c>
      <c r="C7" s="141">
        <v>0</v>
      </c>
      <c r="D7" s="141">
        <v>17972.55</v>
      </c>
      <c r="E7" s="141">
        <v>-42.6249999999999</v>
      </c>
      <c r="F7" s="141">
        <v>-2043.00833333333</v>
      </c>
      <c r="G7" s="141">
        <v>0</v>
      </c>
      <c r="H7" s="141">
        <v>-898.627500000001</v>
      </c>
      <c r="I7" s="141">
        <v>14988.2891666667</v>
      </c>
      <c r="J7" s="428"/>
      <c r="K7" s="141">
        <v>-811.17</v>
      </c>
      <c r="L7" s="141">
        <v>-133.99</v>
      </c>
      <c r="M7" s="141">
        <v>0</v>
      </c>
      <c r="N7" s="141">
        <v>0</v>
      </c>
      <c r="O7" s="141">
        <v>0</v>
      </c>
      <c r="P7" s="141">
        <v>21689.47</v>
      </c>
      <c r="Q7" s="141">
        <v>822.75</v>
      </c>
      <c r="R7" s="143">
        <v>21567.06</v>
      </c>
    </row>
    <row r="8" spans="1:18">
      <c r="A8" s="427" t="s">
        <v>84</v>
      </c>
      <c r="B8" s="141">
        <v>948.95</v>
      </c>
      <c r="C8" s="141">
        <v>0</v>
      </c>
      <c r="D8" s="141">
        <v>790.791666666667</v>
      </c>
      <c r="E8" s="141">
        <v>-1.925</v>
      </c>
      <c r="F8" s="141">
        <v>-95.1583333333333</v>
      </c>
      <c r="G8" s="141">
        <v>0</v>
      </c>
      <c r="H8" s="141">
        <v>-39.5395833333333</v>
      </c>
      <c r="I8" s="141">
        <v>654.16875</v>
      </c>
      <c r="J8" s="428"/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948.95</v>
      </c>
      <c r="Q8" s="141">
        <v>0</v>
      </c>
      <c r="R8" s="143">
        <v>948.95</v>
      </c>
    </row>
    <row r="9" spans="1:18">
      <c r="A9" s="386" t="s">
        <v>21</v>
      </c>
      <c r="B9" s="428">
        <v>569832.560000001</v>
      </c>
      <c r="C9" s="428">
        <v>981.240000000001</v>
      </c>
      <c r="D9" s="428">
        <v>475678.166666668</v>
      </c>
      <c r="E9" s="428">
        <v>-1153.07500000002</v>
      </c>
      <c r="F9" s="428">
        <v>-57773.2916666667</v>
      </c>
      <c r="G9" s="428">
        <v>0</v>
      </c>
      <c r="H9" s="428">
        <v>-23783.9083333334</v>
      </c>
      <c r="I9" s="428">
        <v>392967.891666668</v>
      </c>
      <c r="J9" s="606">
        <v>0</v>
      </c>
      <c r="K9" s="428">
        <v>-32085.69</v>
      </c>
      <c r="L9" s="428">
        <v>-2167.58</v>
      </c>
      <c r="M9" s="428">
        <v>0</v>
      </c>
      <c r="N9" s="428">
        <v>0</v>
      </c>
      <c r="O9" s="141">
        <v>1352.8</v>
      </c>
      <c r="P9" s="428">
        <v>453662.730000001</v>
      </c>
      <c r="Q9" s="428">
        <v>151404.34</v>
      </c>
      <c r="R9" s="543">
        <v>572166.600000001</v>
      </c>
    </row>
    <row r="10" s="142" customFormat="1" spans="1:18">
      <c r="A10" s="386"/>
      <c r="B10" s="428"/>
      <c r="C10" s="428"/>
      <c r="D10" s="428"/>
      <c r="E10" s="428"/>
      <c r="F10" s="428"/>
      <c r="G10" s="428"/>
      <c r="H10" s="428"/>
      <c r="I10" s="428"/>
      <c r="J10" s="428"/>
      <c r="K10" s="428"/>
      <c r="L10" s="428"/>
      <c r="M10" s="428"/>
      <c r="N10" s="428"/>
      <c r="O10" s="141"/>
      <c r="P10" s="428"/>
      <c r="Q10" s="428" t="s">
        <v>85</v>
      </c>
      <c r="R10" s="543">
        <v>0</v>
      </c>
    </row>
    <row r="11" customFormat="1" spans="1:18">
      <c r="A11" s="542"/>
      <c r="B11" s="587"/>
      <c r="C11" s="587"/>
      <c r="D11" s="428"/>
      <c r="E11" s="428"/>
      <c r="F11" s="587"/>
      <c r="G11" s="142"/>
      <c r="H11" s="428"/>
      <c r="I11" s="587"/>
      <c r="J11" s="428"/>
      <c r="K11" s="428"/>
      <c r="L11" s="428"/>
      <c r="M11" s="428"/>
      <c r="N11" s="428"/>
      <c r="O11" s="607"/>
      <c r="P11" s="588"/>
      <c r="Q11" s="632" t="s">
        <v>86</v>
      </c>
      <c r="R11" s="542">
        <v>0</v>
      </c>
    </row>
    <row r="12" s="142" customFormat="1" spans="1:18">
      <c r="A12" s="542"/>
      <c r="B12" s="587"/>
      <c r="C12" s="587"/>
      <c r="D12" s="587"/>
      <c r="E12" s="587"/>
      <c r="F12" s="587"/>
      <c r="H12" s="587"/>
      <c r="I12" s="428"/>
      <c r="J12" s="428"/>
      <c r="K12" s="428"/>
      <c r="L12" s="587"/>
      <c r="M12" s="428"/>
      <c r="N12" s="428"/>
      <c r="O12" s="587"/>
      <c r="P12" s="542"/>
      <c r="Q12" s="142" t="s">
        <v>87</v>
      </c>
      <c r="R12" s="142">
        <v>0</v>
      </c>
    </row>
    <row r="13" s="142" customFormat="1" spans="1:15">
      <c r="A13" s="542"/>
      <c r="B13" s="587"/>
      <c r="C13" s="587"/>
      <c r="D13" s="587"/>
      <c r="E13" s="587"/>
      <c r="F13" s="587"/>
      <c r="H13" s="587"/>
      <c r="I13" s="428"/>
      <c r="J13" s="428"/>
      <c r="K13" s="428"/>
      <c r="L13" s="587"/>
      <c r="M13" s="428"/>
      <c r="N13" s="587"/>
      <c r="O13" s="542"/>
    </row>
    <row r="14" s="140" customFormat="1" ht="14.25" spans="4:16">
      <c r="D14" s="588">
        <f ca="1">SUM(D4:D8)-SUMIFS(N40:N86,B40:B86,D2)</f>
        <v>-0.00333333236631006</v>
      </c>
      <c r="E14" s="588">
        <f ca="1">SUM(E4:G8)+SUMIFS(M40:M86,$B$40:$B$86,"ebay费*",M40:M86,"&gt;0")</f>
        <v>-0.00333333329035668</v>
      </c>
      <c r="F14" s="587"/>
      <c r="G14" s="142"/>
      <c r="H14" s="588">
        <f ca="1">SUM(H4:H8)+SUMIFS(M40:M86,$B$40:$B$86,"营运费*",M40:M86,"&gt;0")</f>
        <v>0.00166666661607451</v>
      </c>
      <c r="I14" s="587"/>
      <c r="J14" s="428"/>
      <c r="K14" s="588">
        <f ca="1">SUM(K4:N8)+SUMIFS(N40:N86,$B$40:$B$86,K2)</f>
        <v>0</v>
      </c>
      <c r="P14" s="588">
        <f ca="1">SUM(P4:Q8)-SUMIFS(M40:M86,$B$40:$B$86,P2)</f>
        <v>0</v>
      </c>
    </row>
    <row r="15" customFormat="1" spans="1:1">
      <c r="A15" s="642" t="s">
        <v>88</v>
      </c>
    </row>
    <row r="16" s="266" customFormat="1" ht="15" spans="1:17">
      <c r="A16" s="590" t="str">
        <f>A1</f>
        <v>Surfing Ebay</v>
      </c>
      <c r="B16" s="435" t="s">
        <v>5</v>
      </c>
      <c r="C16" s="435" t="s">
        <v>6</v>
      </c>
      <c r="D16" s="435" t="s">
        <v>7</v>
      </c>
      <c r="E16" s="591" t="s">
        <v>8</v>
      </c>
      <c r="F16" s="591" t="s">
        <v>9</v>
      </c>
      <c r="G16" s="591" t="s">
        <v>78</v>
      </c>
      <c r="H16" s="437" t="s">
        <v>10</v>
      </c>
      <c r="I16" s="435" t="s">
        <v>11</v>
      </c>
      <c r="J16" s="437" t="s">
        <v>12</v>
      </c>
      <c r="K16" s="608" t="s">
        <v>3</v>
      </c>
      <c r="L16" s="608" t="s">
        <v>1</v>
      </c>
      <c r="M16" s="608" t="s">
        <v>80</v>
      </c>
      <c r="N16" s="608" t="s">
        <v>2</v>
      </c>
      <c r="O16" s="609" t="s">
        <v>15</v>
      </c>
      <c r="P16" s="609" t="s">
        <v>82</v>
      </c>
      <c r="Q16" s="633" t="s">
        <v>16</v>
      </c>
    </row>
    <row r="17" s="266" customFormat="1" ht="14.25" spans="1:17">
      <c r="A17" s="592" t="s">
        <v>18</v>
      </c>
      <c r="B17" s="593">
        <f>INDEX($A$2:$R$9,MATCH($A$17,$A$2:$A$9,0),MATCH(B$16,$A$2:$R$2,0))</f>
        <v>31751.4300000002</v>
      </c>
      <c r="C17" s="593">
        <f>INDEX($A$2:$R$9,MATCH($A$17,$A$2:$A$9,0),MATCH(C$16,$A$2:$R$2,0))</f>
        <v>29.97</v>
      </c>
      <c r="D17" s="593">
        <f>INDEX($A$2:$R$9,MATCH($A$17,$A$2:$A$9,0),MATCH(D$16,$A$2:$R$2,0))</f>
        <v>26484.5000000001</v>
      </c>
      <c r="E17" s="593">
        <f>INDEX($A$2:$R$9,MATCH($A$17,$A$2:$A$9,0),MATCH(E$16,$A$2:$R$2,0))</f>
        <v>-83.8749999999996</v>
      </c>
      <c r="F17" s="593">
        <f>INDEX($A$2:$R$9,MATCH($A$17,$A$2:$A$9,0),MATCH(F$16,$A$2:$R$2,0))</f>
        <v>-3259.35</v>
      </c>
      <c r="G17" s="593">
        <f>INDEX($A$2:$R$9,MATCH($A$17,$A$2:$A$9,0),MATCH(G$16,$A$2:$R$2,0))</f>
        <v>0</v>
      </c>
      <c r="H17" s="593" t="e">
        <f>INDEX($A$2:$R$9,MATCH($A$17,$A$2:$A$9,0),MATCH(H$16,$A$2:$R$2,0))</f>
        <v>#N/A</v>
      </c>
      <c r="I17" s="593">
        <f>INDEX($A$2:$R$9,MATCH($A$17,$A$2:$A$9,0),MATCH(I$16,$A$2:$R$2,0))</f>
        <v>21817.0500000001</v>
      </c>
      <c r="J17" s="593">
        <f>INDEX($A$2:$R$9,MATCH($A$17,$A$2:$A$9,0),MATCH(J$16,$A$2:$R$2,0))</f>
        <v>0</v>
      </c>
      <c r="K17" s="593">
        <f>INDEX($A$2:$R$9,MATCH($A$17,$A$2:$A$9,0),MATCH(K$16,$A$2:$R$2,0))</f>
        <v>-1669.03</v>
      </c>
      <c r="L17" s="593">
        <f>INDEX($A$2:$R$9,MATCH($A$17,$A$2:$A$9,0),MATCH(L$16,$A$2:$R$2,0))</f>
        <v>0</v>
      </c>
      <c r="M17" s="593">
        <f>INDEX($A$2:$R$9,MATCH($A$17,$A$2:$A$9,0),MATCH(M$16,$A$2:$R$2,0))</f>
        <v>0</v>
      </c>
      <c r="N17" s="593">
        <f>INDEX($A$2:$R$9,MATCH($A$17,$A$2:$A$9,0),MATCH(N$16,$A$2:$R$2,0))</f>
        <v>0</v>
      </c>
      <c r="O17" s="593">
        <f>INDEX($A$2:$R$9,MATCH($A$17,$A$2:$A$9,0),MATCH(O$16,$A$2:$R$2,0))</f>
        <v>30930.3700000002</v>
      </c>
      <c r="P17" s="593">
        <f>INDEX($A$2:$R$9,MATCH($A$17,$A$2:$A$9,0),MATCH(P$16,$A$2:$R$2,0))</f>
        <v>2520.06</v>
      </c>
      <c r="Q17" s="593">
        <f>INDEX($A$2:$R$9,MATCH($A$17,$A$2:$A$9,0),MATCH(Q$16,$A$2:$R$2,0))</f>
        <v>31781.4000000002</v>
      </c>
    </row>
    <row r="18" s="266" customFormat="1" ht="14.25" spans="1:1">
      <c r="A18"/>
    </row>
    <row r="19" s="266" customFormat="1" ht="14.25" hidden="1" spans="1:1">
      <c r="A19"/>
    </row>
    <row r="20" s="586" customFormat="1" ht="14.25" hidden="1" spans="1:13">
      <c r="A20" s="594" t="s">
        <v>26</v>
      </c>
      <c r="B20" s="594" t="str">
        <f>$A$15&amp;$A$16&amp;"："&amp;A20</f>
        <v>2021.09月Surfing Ebay：Order</v>
      </c>
      <c r="C20" s="594"/>
      <c r="D20" s="594"/>
      <c r="E20" s="594"/>
      <c r="F20" s="421" t="str">
        <f ca="1">OFFSET($O$19,MATCH($A$16,$O$19:$O$82,0),)</f>
        <v> 1122.001.012</v>
      </c>
      <c r="G20" s="421" t="str">
        <f ca="1">OFFSET($P$19,MATCH($A$16,$O$19:$O$84,0),)</f>
        <v>        应收 Surfing Ebay</v>
      </c>
      <c r="H20" s="595"/>
      <c r="I20" s="594"/>
      <c r="J20" s="594"/>
      <c r="K20" s="594"/>
      <c r="L20" s="248">
        <f>ROUND(O9+P9,2)</f>
        <v>455015.53</v>
      </c>
      <c r="M20" s="248"/>
    </row>
    <row r="21" s="586" customFormat="1" ht="14.25" hidden="1" spans="1:13">
      <c r="A21" s="594" t="s">
        <v>26</v>
      </c>
      <c r="B21" s="594" t="str">
        <f>$A$15&amp;$A$16&amp;"："&amp;A21</f>
        <v>2021.09月Surfing Ebay：Order</v>
      </c>
      <c r="C21" s="594"/>
      <c r="D21" s="594"/>
      <c r="E21" s="594"/>
      <c r="F21" s="421" t="str">
        <f ca="1">OFFSET($O$19,MATCH($A$16,$O$19:$O$82,0)+2,)</f>
        <v> 2203.07.012</v>
      </c>
      <c r="G21" s="421" t="str">
        <f ca="1">OFFSET($P$19,MATCH($A$16,$O$19:$O$84,0)+2,)</f>
        <v>        预收 Surfing Ebay</v>
      </c>
      <c r="H21" s="595"/>
      <c r="I21" s="594"/>
      <c r="J21" s="594"/>
      <c r="K21" s="594"/>
      <c r="L21" s="248"/>
      <c r="M21" s="248">
        <f>L20</f>
        <v>455015.53</v>
      </c>
    </row>
    <row r="22" s="586" customFormat="1" ht="14.25" hidden="1" spans="1:13">
      <c r="A22" s="293" t="s">
        <v>36</v>
      </c>
      <c r="B22" s="383" t="str">
        <f>$A$15&amp;$A$16&amp;"："&amp;A22</f>
        <v>2021.09月Surfing Ebay：Hold</v>
      </c>
      <c r="C22" s="596"/>
      <c r="D22" s="596"/>
      <c r="E22" s="596"/>
      <c r="F22" s="597" t="str">
        <f ca="1">OFFSET($O$19,MATCH($A$16,$O$19:$O$82,0),)</f>
        <v> 1122.001.012</v>
      </c>
      <c r="G22" s="597" t="str">
        <f ca="1">OFFSET($P$19,MATCH($A$16,$O$19:$O$84,0),)</f>
        <v>        应收 Surfing Ebay</v>
      </c>
      <c r="H22" s="598"/>
      <c r="I22" s="610"/>
      <c r="J22" s="610"/>
      <c r="K22" s="610"/>
      <c r="L22" s="611">
        <f>-ROUND(O9,2)</f>
        <v>-1352.8</v>
      </c>
      <c r="M22" s="312"/>
    </row>
    <row r="23" s="586" customFormat="1" ht="14.25" hidden="1" spans="1:13">
      <c r="A23" s="599" t="s">
        <v>36</v>
      </c>
      <c r="B23" s="600" t="str">
        <f>$A$15&amp;$A$16&amp;"："&amp;A23</f>
        <v>2021.09月Surfing Ebay：Hold</v>
      </c>
      <c r="C23" s="601"/>
      <c r="D23" s="601"/>
      <c r="E23" s="601"/>
      <c r="F23" s="600" t="str">
        <f ca="1">OFFSET($O$19,MATCH($A$16,$O$19:$O$82,0)+1,)</f>
        <v> 1122.002.006</v>
      </c>
      <c r="G23" s="600" t="str">
        <f ca="1">OFFSET($P$19,MATCH($A$16,$O$19:$O$84,0)+1,)</f>
        <v>        应收 Surfing Ebay-争议款/hold款</v>
      </c>
      <c r="H23" s="601"/>
      <c r="I23" s="599"/>
      <c r="J23" s="599"/>
      <c r="K23" s="599"/>
      <c r="L23" s="612"/>
      <c r="M23" s="612">
        <f>L22</f>
        <v>-1352.8</v>
      </c>
    </row>
    <row r="24" s="586" customFormat="1" ht="14.25" hidden="1" spans="1:13">
      <c r="A24" s="293" t="s">
        <v>26</v>
      </c>
      <c r="B24" s="383" t="str">
        <f t="shared" ref="B24:B31" si="0">$A$15&amp;$A$16&amp;"("&amp;$A$17&amp;")："&amp;A24</f>
        <v>2021.09月Surfing Ebay(镜柜)：Order</v>
      </c>
      <c r="C24" s="293"/>
      <c r="D24" s="293"/>
      <c r="E24" s="293"/>
      <c r="F24" s="383" t="str">
        <f ca="1">OFFSET($O$19,MATCH($A$16,$O$19:$O$82,0)+2,)</f>
        <v> 2203.07.012</v>
      </c>
      <c r="G24" s="383" t="str">
        <f ca="1">OFFSET($P$19,MATCH($A$16,$O$19:$O$84,0)+2,)</f>
        <v>        预收 Surfing Ebay</v>
      </c>
      <c r="H24" s="596"/>
      <c r="I24" s="293"/>
      <c r="J24" s="293"/>
      <c r="K24" s="293"/>
      <c r="L24" s="312">
        <f>ROUND($O$17+P17,2)</f>
        <v>33450.43</v>
      </c>
      <c r="M24" s="312"/>
    </row>
    <row r="25" s="586" customFormat="1" ht="14.25" hidden="1" spans="1:13">
      <c r="A25" s="293" t="s">
        <v>7</v>
      </c>
      <c r="B25" s="383" t="str">
        <f t="shared" si="0"/>
        <v>2021.09月Surfing Ebay(镜柜)：不含税</v>
      </c>
      <c r="C25" s="596"/>
      <c r="D25" s="596"/>
      <c r="E25" s="596"/>
      <c r="F25" s="597" t="str">
        <f ca="1">OFFSET($O$19,MATCH($A$17,$O$19:$O$84,0),)</f>
        <v>1221.86</v>
      </c>
      <c r="G25" s="597" t="str">
        <f ca="1">OFFSET($P$19,MATCH($A$17,$O$19:$O$84,0),)</f>
        <v>其他应收款 - 事业部</v>
      </c>
      <c r="H25" s="598"/>
      <c r="I25" s="610"/>
      <c r="J25" s="610"/>
      <c r="K25" s="610"/>
      <c r="L25" s="611"/>
      <c r="M25" s="611">
        <f>ROUND($D$17,2)</f>
        <v>26484.5</v>
      </c>
    </row>
    <row r="26" s="586" customFormat="1" ht="14.25" hidden="1" spans="1:13">
      <c r="A26" s="293" t="s">
        <v>31</v>
      </c>
      <c r="B26" s="383" t="str">
        <f t="shared" si="0"/>
        <v>2021.09月Surfing Ebay(镜柜)：税金</v>
      </c>
      <c r="C26" s="596"/>
      <c r="D26" s="596"/>
      <c r="E26" s="596"/>
      <c r="F26" s="383" t="s">
        <v>32</v>
      </c>
      <c r="G26" s="383" t="s">
        <v>33</v>
      </c>
      <c r="H26" s="596"/>
      <c r="I26" s="293"/>
      <c r="J26" s="293"/>
      <c r="K26" s="293"/>
      <c r="L26" s="312"/>
      <c r="M26" s="312">
        <f>ROUND($M$25*0.2,2)</f>
        <v>5296.9</v>
      </c>
    </row>
    <row r="27" s="586" customFormat="1" ht="14.25" hidden="1" spans="1:13">
      <c r="A27" s="599" t="s">
        <v>34</v>
      </c>
      <c r="B27" s="600" t="str">
        <f t="shared" si="0"/>
        <v>2021.09月Surfing Ebay(镜柜)：refund + Claim</v>
      </c>
      <c r="C27" s="601"/>
      <c r="D27" s="601"/>
      <c r="E27" s="601"/>
      <c r="F27" s="600" t="str">
        <f ca="1">OFFSET($O$19,MATCH($A$16,$O$19:$O$82,0),)</f>
        <v> 1122.001.012</v>
      </c>
      <c r="G27" s="600" t="str">
        <f ca="1">OFFSET($P$19,MATCH($A$16,$O$19:$O$84,0),)</f>
        <v>        应收 Surfing Ebay</v>
      </c>
      <c r="H27" s="601"/>
      <c r="I27" s="599"/>
      <c r="J27" s="599"/>
      <c r="K27" s="599"/>
      <c r="L27" s="612"/>
      <c r="M27" s="612">
        <f>-ROUND(SUM($L$17,$K$17),2)</f>
        <v>1669.03</v>
      </c>
    </row>
    <row r="28" s="586" customFormat="1" ht="14.25" hidden="1" spans="1:13">
      <c r="A28" s="293" t="s">
        <v>39</v>
      </c>
      <c r="B28" s="383" t="str">
        <f t="shared" si="0"/>
        <v>2021.09月Surfing Ebay(镜柜)：Ebay费</v>
      </c>
      <c r="C28" s="596"/>
      <c r="D28" s="596"/>
      <c r="E28" s="596"/>
      <c r="F28" s="383" t="str">
        <f ca="1">OFFSET($O$19,MATCH($A$17,$O$19:$O$82,0)+1,)</f>
        <v>6601.002.002.003</v>
      </c>
      <c r="G28" s="383" t="str">
        <f ca="1">OFFSET($P$19,MATCH($A$17,$O$19:$O$84,0)+1,)</f>
        <v>销售费用 - 销售平台费用 - Ebay费用 - 镜柜事业部-Ebay费</v>
      </c>
      <c r="H28" s="596"/>
      <c r="I28" s="293"/>
      <c r="J28" s="293"/>
      <c r="K28" s="293"/>
      <c r="L28" s="312">
        <f>ROUND(SUM($E$17:$G$17),2)</f>
        <v>-3343.23</v>
      </c>
      <c r="M28" s="312"/>
    </row>
    <row r="29" s="586" customFormat="1" ht="14.25" hidden="1" spans="1:20">
      <c r="A29" s="599" t="s">
        <v>39</v>
      </c>
      <c r="B29" s="600" t="str">
        <f t="shared" si="0"/>
        <v>2021.09月Surfing Ebay(镜柜)：Ebay费</v>
      </c>
      <c r="C29" s="601"/>
      <c r="D29" s="601"/>
      <c r="E29" s="601"/>
      <c r="F29" s="602" t="str">
        <f ca="1">OFFSET($O$19,MATCH($A$17,$O$19:$O$84,0),)</f>
        <v>1221.86</v>
      </c>
      <c r="G29" s="602" t="str">
        <f ca="1">OFFSET($P$19,MATCH($A$17,$O$19:$O$84,0),)</f>
        <v>其他应收款 - 事业部</v>
      </c>
      <c r="H29" s="601"/>
      <c r="I29" s="599"/>
      <c r="J29" s="599"/>
      <c r="K29" s="599"/>
      <c r="L29" s="613">
        <f>-L28</f>
        <v>3343.23</v>
      </c>
      <c r="M29" s="612"/>
      <c r="R29"/>
      <c r="S29"/>
      <c r="T29"/>
    </row>
    <row r="30" s="586" customFormat="1" ht="14.25" hidden="1" spans="1:20">
      <c r="A30" s="293" t="s">
        <v>44</v>
      </c>
      <c r="B30" s="383" t="str">
        <f t="shared" si="0"/>
        <v>2021.09月Surfing Ebay(镜柜)：计提营运费</v>
      </c>
      <c r="C30" s="596"/>
      <c r="D30" s="596"/>
      <c r="E30" s="596"/>
      <c r="F30" s="383" t="str">
        <f ca="1">OFFSET($O$19,MATCH($A$17,$O$19:$O$84,0)+2,)</f>
        <v>6601.006.002</v>
      </c>
      <c r="G30" s="383" t="str">
        <f ca="1">OFFSET($P$19,MATCH($A$17,$O$19:$O$84,0)+2,)</f>
        <v>销售费用 - 事业部营运费 - 镜柜事业部-营运费</v>
      </c>
      <c r="H30" s="596"/>
      <c r="I30" s="293"/>
      <c r="J30" s="293"/>
      <c r="K30" s="293"/>
      <c r="L30" s="312" t="e">
        <f>ROUND($H$17,2)</f>
        <v>#N/A</v>
      </c>
      <c r="M30" s="312"/>
      <c r="R30"/>
      <c r="S30"/>
      <c r="T30"/>
    </row>
    <row r="31" customFormat="1" ht="14.25" hidden="1" spans="1:13">
      <c r="A31" s="293" t="s">
        <v>44</v>
      </c>
      <c r="B31" s="383" t="str">
        <f t="shared" si="0"/>
        <v>2021.09月Surfing Ebay(镜柜)：计提营运费</v>
      </c>
      <c r="C31" s="596"/>
      <c r="D31" s="596"/>
      <c r="E31" s="596"/>
      <c r="F31" s="597" t="str">
        <f ca="1">OFFSET($O$19,MATCH($A$17,$O$19:$O$84,0),)</f>
        <v>1221.86</v>
      </c>
      <c r="G31" s="597" t="str">
        <f ca="1">OFFSET($P$19,MATCH($A$17,$O$19:$O$84,0),)</f>
        <v>其他应收款 - 事业部</v>
      </c>
      <c r="H31" s="596"/>
      <c r="I31" s="293"/>
      <c r="J31" s="293"/>
      <c r="K31" s="293"/>
      <c r="L31" s="611" t="e">
        <f>-L30</f>
        <v>#N/A</v>
      </c>
      <c r="M31" s="312"/>
    </row>
    <row r="33" ht="14.25"/>
    <row r="34" customFormat="1" ht="18.75" spans="2:17">
      <c r="B34" s="452" t="s">
        <v>26</v>
      </c>
      <c r="C34" s="453" t="str">
        <f t="shared" ref="C34:C39" si="1">$A$15&amp;$A$16&amp;"："&amp;B34</f>
        <v>2021.09月Surfing Ebay：Order</v>
      </c>
      <c r="D34" s="453"/>
      <c r="E34" s="453"/>
      <c r="F34" s="453"/>
      <c r="G34" s="546" t="str">
        <f ca="1">OFFSET($O$19,MATCH($A$16,$O$19:$O$82,0),)</f>
        <v> 1122.001.012</v>
      </c>
      <c r="H34" s="546" t="str">
        <f ca="1">OFFSET($P$19,MATCH($A$16,$O$19:$O$84,0),)</f>
        <v>        应收 Surfing Ebay</v>
      </c>
      <c r="I34" s="467"/>
      <c r="J34" s="453"/>
      <c r="K34" s="453"/>
      <c r="L34" s="614">
        <f>SUM(M$34:M34)-SUM(N$34:N34)</f>
        <v>605067.07</v>
      </c>
      <c r="M34" s="315">
        <f>ROUND(Q9+P9,2)</f>
        <v>605067.07</v>
      </c>
      <c r="N34" s="316"/>
      <c r="O34" s="78" t="s">
        <v>0</v>
      </c>
      <c r="P34" s="78"/>
      <c r="Q34" s="586"/>
    </row>
    <row r="35" ht="14.25" spans="2:17">
      <c r="B35" s="454" t="s">
        <v>26</v>
      </c>
      <c r="C35" s="455" t="str">
        <f t="shared" si="1"/>
        <v>2021.09月Surfing Ebay：Order</v>
      </c>
      <c r="D35" s="455"/>
      <c r="E35" s="455"/>
      <c r="F35" s="455"/>
      <c r="G35" s="180" t="str">
        <f ca="1">OFFSET($O$19,MATCH($A$16,$O$19:$O$82,0)+2,)</f>
        <v> 2203.07.012</v>
      </c>
      <c r="H35" s="180" t="str">
        <f ca="1">OFFSET($P$19,MATCH($A$16,$O$19:$O$84,0)+2,)</f>
        <v>        预收 Surfing Ebay</v>
      </c>
      <c r="I35" s="468"/>
      <c r="J35" s="455"/>
      <c r="K35" s="455"/>
      <c r="L35" s="615">
        <f>SUM(M$34:M35)-SUM(N$34:N35)</f>
        <v>0</v>
      </c>
      <c r="M35" s="54"/>
      <c r="N35" s="206">
        <f>M34</f>
        <v>605067.07</v>
      </c>
      <c r="O35" s="616" t="s">
        <v>24</v>
      </c>
      <c r="P35" s="81" t="s">
        <v>25</v>
      </c>
      <c r="Q35" s="586"/>
    </row>
    <row r="36" customFormat="1" ht="14.25" hidden="1" spans="2:17">
      <c r="B36" s="148" t="s">
        <v>36</v>
      </c>
      <c r="C36" s="149" t="str">
        <f t="shared" si="1"/>
        <v>2021.09月Surfing Ebay：Hold</v>
      </c>
      <c r="D36" s="457"/>
      <c r="E36" s="457"/>
      <c r="F36" s="457"/>
      <c r="G36" s="37" t="str">
        <f ca="1">OFFSET($O$19,MATCH($A$16,$O$19:$O$82,0),)</f>
        <v> 1122.001.012</v>
      </c>
      <c r="H36" s="37" t="str">
        <f ca="1">OFFSET($P$19,MATCH($A$16,$O$19:$O$84,0),)</f>
        <v>        应收 Surfing Ebay</v>
      </c>
      <c r="I36" s="457"/>
      <c r="J36" s="471"/>
      <c r="K36" s="471"/>
      <c r="L36" s="617">
        <f>SUM(M$34:M36)-SUM(N$34:N36)</f>
        <v>-1352.80000000005</v>
      </c>
      <c r="M36" s="71">
        <f>-ROUND(O9,2)</f>
        <v>-1352.8</v>
      </c>
      <c r="N36" s="151"/>
      <c r="O36" s="616" t="s">
        <v>27</v>
      </c>
      <c r="P36" s="81" t="s">
        <v>28</v>
      </c>
      <c r="Q36" s="586"/>
    </row>
    <row r="37" customFormat="1" ht="14.25" hidden="1" spans="2:17">
      <c r="B37" s="148" t="s">
        <v>36</v>
      </c>
      <c r="C37" s="149" t="str">
        <f t="shared" si="1"/>
        <v>2021.09月Surfing Ebay：Hold</v>
      </c>
      <c r="D37" s="457"/>
      <c r="E37" s="457"/>
      <c r="F37" s="457"/>
      <c r="G37" s="149" t="str">
        <f ca="1">OFFSET($O$19,MATCH($A$16,$O$19:$O$82,0)+1,)</f>
        <v> 1122.002.006</v>
      </c>
      <c r="H37" s="149" t="str">
        <f ca="1">OFFSET($P$19,MATCH($A$16,$O$19:$O$84,0)+1,)</f>
        <v>        应收 Surfing Ebay-争议款/hold款</v>
      </c>
      <c r="I37" s="470"/>
      <c r="J37" s="472"/>
      <c r="K37" s="472"/>
      <c r="L37" s="618">
        <f>SUM(M$34:M37)-SUM(N$34:N37)</f>
        <v>0</v>
      </c>
      <c r="M37" s="73"/>
      <c r="N37" s="151">
        <f>M36</f>
        <v>-1352.8</v>
      </c>
      <c r="O37" s="616" t="s">
        <v>29</v>
      </c>
      <c r="P37" s="81" t="s">
        <v>30</v>
      </c>
      <c r="Q37" s="586"/>
    </row>
    <row r="38" customFormat="1" ht="14.25" spans="2:17">
      <c r="B38" s="155" t="s">
        <v>36</v>
      </c>
      <c r="C38" s="156" t="str">
        <f t="shared" si="1"/>
        <v>2021.09月Surfing Ebay：Hold</v>
      </c>
      <c r="D38" s="603"/>
      <c r="E38" s="603"/>
      <c r="F38" s="603"/>
      <c r="G38" s="156" t="str">
        <f ca="1">OFFSET($O$19,MATCH($A$16,$O$19:$O$82,0)+1,)</f>
        <v> 1122.002.006</v>
      </c>
      <c r="H38" s="156" t="str">
        <f ca="1">OFFSET($P$19,MATCH($A$16,$O$19:$O$84,0)+1,)</f>
        <v>        应收 Surfing Ebay-争议款/hold款</v>
      </c>
      <c r="I38" s="603"/>
      <c r="J38" s="619"/>
      <c r="K38" s="619"/>
      <c r="L38" s="620">
        <f>SUM(M$34:M38)-SUM(N$34:N38)</f>
        <v>1352.80000000005</v>
      </c>
      <c r="M38" s="157">
        <f>O9</f>
        <v>1352.8</v>
      </c>
      <c r="N38" s="621"/>
      <c r="O38" s="622"/>
      <c r="P38" s="503"/>
      <c r="Q38" s="586"/>
    </row>
    <row r="39" ht="19.5" spans="2:17">
      <c r="B39" s="160" t="s">
        <v>36</v>
      </c>
      <c r="C39" s="161" t="str">
        <f t="shared" si="1"/>
        <v>2021.09月Surfing Ebay：Hold</v>
      </c>
      <c r="D39" s="604"/>
      <c r="E39" s="604"/>
      <c r="F39" s="604"/>
      <c r="G39" s="605" t="str">
        <f ca="1">OFFSET($O$19,MATCH($A$16,$O$19:$O$82,0),)</f>
        <v> 1122.001.012</v>
      </c>
      <c r="H39" s="605" t="str">
        <f ca="1">OFFSET($P$19,MATCH($A$16,$O$19:$O$84,0),)</f>
        <v>        应收 Surfing Ebay</v>
      </c>
      <c r="I39" s="623"/>
      <c r="J39" s="624"/>
      <c r="K39" s="624"/>
      <c r="L39" s="625">
        <f>SUM(M$34:M39)-SUM(N$34:N39)</f>
        <v>0</v>
      </c>
      <c r="M39" s="626"/>
      <c r="N39" s="627">
        <f>M38</f>
        <v>1352.8</v>
      </c>
      <c r="O39" s="78" t="s">
        <v>77</v>
      </c>
      <c r="P39" s="78"/>
      <c r="Q39" s="586"/>
    </row>
    <row r="40" ht="14.25" spans="1:17">
      <c r="A40" t="s">
        <v>18</v>
      </c>
      <c r="B40" s="144" t="s">
        <v>26</v>
      </c>
      <c r="C40" s="145" t="str">
        <f t="shared" ref="C40:C46" si="2">$A$15&amp;$A$16&amp;"("&amp;A40&amp;")："&amp;B40</f>
        <v>2021.09月Surfing Ebay(镜柜)：Order</v>
      </c>
      <c r="D40" s="291"/>
      <c r="E40" s="291"/>
      <c r="F40" s="291"/>
      <c r="G40" s="145" t="str">
        <f ca="1">OFFSET($O$19,MATCH($A$16,$O$19:$O$82,0)+2,)</f>
        <v> 2203.07.012</v>
      </c>
      <c r="H40" s="145" t="str">
        <f ca="1">OFFSET($P$19,MATCH($A$16,$O$19:$O$84,0)+2,)</f>
        <v>        预收 Surfing Ebay</v>
      </c>
      <c r="I40" s="469"/>
      <c r="J40" s="291"/>
      <c r="K40" s="291"/>
      <c r="L40" s="628">
        <f ca="1">SUM(M$34:M40)-SUM(N$34:N40)</f>
        <v>33450.4300000001</v>
      </c>
      <c r="M40" s="146">
        <f ca="1">ROUND(SUM(OFFSET($A$1,MATCH($A40,$A$1:$A$9,0)-1,MATCH($B40,$2:$2,0)-1,,2)),2)</f>
        <v>33450.43</v>
      </c>
      <c r="N40" s="147"/>
      <c r="O40" s="616" t="s">
        <v>37</v>
      </c>
      <c r="P40" s="81" t="s">
        <v>38</v>
      </c>
      <c r="Q40" s="586"/>
    </row>
    <row r="41" ht="14.25" spans="1:17">
      <c r="A41" t="s">
        <v>18</v>
      </c>
      <c r="B41" s="148" t="s">
        <v>7</v>
      </c>
      <c r="C41" s="149" t="str">
        <f t="shared" si="2"/>
        <v>2021.09月Surfing Ebay(镜柜)：不含税</v>
      </c>
      <c r="D41" s="457"/>
      <c r="E41" s="457"/>
      <c r="F41" s="457"/>
      <c r="G41" s="37" t="str">
        <f ca="1">OFFSET($O$19,MATCH($A41,$O$19:$O$84,0),)</f>
        <v>1221.86</v>
      </c>
      <c r="H41" s="37" t="str">
        <f ca="1">OFFSET($P$19,MATCH($A41,$O$19:$O$84,0),)</f>
        <v>其他应收款 - 事业部</v>
      </c>
      <c r="I41" s="470"/>
      <c r="J41" s="471"/>
      <c r="K41" s="471"/>
      <c r="L41" s="617">
        <f ca="1">SUM(M$34:M41)-SUM(N$34:N41)</f>
        <v>6965.93000000005</v>
      </c>
      <c r="M41" s="71"/>
      <c r="N41" s="151">
        <f ca="1">ROUND(SUM(OFFSET($A$1,MATCH($A41,$A$1:$A$9,0)-1,MATCH($B41,$2:$2,0)-1)),2)</f>
        <v>26484.5</v>
      </c>
      <c r="O41" s="616" t="s">
        <v>40</v>
      </c>
      <c r="P41" s="81" t="s">
        <v>41</v>
      </c>
      <c r="Q41" s="586"/>
    </row>
    <row r="42" ht="14.25" spans="1:20">
      <c r="A42" t="s">
        <v>18</v>
      </c>
      <c r="B42" s="148" t="s">
        <v>31</v>
      </c>
      <c r="C42" s="149" t="str">
        <f t="shared" si="2"/>
        <v>2021.09月Surfing Ebay(镜柜)：税金</v>
      </c>
      <c r="D42" s="457"/>
      <c r="E42" s="457"/>
      <c r="F42" s="457"/>
      <c r="G42" s="149" t="s">
        <v>32</v>
      </c>
      <c r="H42" s="149" t="s">
        <v>33</v>
      </c>
      <c r="I42" s="457"/>
      <c r="J42" s="472"/>
      <c r="K42" s="472"/>
      <c r="L42" s="618">
        <f ca="1">SUM(M$34:M42)-SUM(N$34:N42)</f>
        <v>1669.03000000003</v>
      </c>
      <c r="M42" s="73"/>
      <c r="N42" s="151">
        <f ca="1">M40-N41-N43</f>
        <v>5296.9</v>
      </c>
      <c r="O42" s="616" t="s">
        <v>42</v>
      </c>
      <c r="P42" s="81" t="s">
        <v>43</v>
      </c>
      <c r="Q42" s="586"/>
      <c r="R42" s="2"/>
      <c r="S42" s="2"/>
      <c r="T42" s="2"/>
    </row>
    <row r="43" ht="14.25" spans="1:20">
      <c r="A43" t="s">
        <v>18</v>
      </c>
      <c r="B43" s="148" t="s">
        <v>3</v>
      </c>
      <c r="C43" s="149" t="str">
        <f t="shared" si="2"/>
        <v>2021.09月Surfing Ebay(镜柜)：refund</v>
      </c>
      <c r="D43" s="457"/>
      <c r="E43" s="457"/>
      <c r="F43" s="457"/>
      <c r="G43" s="149" t="str">
        <f ca="1">OFFSET($O$19,MATCH($A$16,$O$19:$O$82,0),)</f>
        <v> 1122.001.012</v>
      </c>
      <c r="H43" s="149" t="str">
        <f ca="1">OFFSET($P$19,MATCH($A$16,$O$19:$O$84,0),)</f>
        <v>        应收 Surfing Ebay</v>
      </c>
      <c r="I43" s="457"/>
      <c r="J43" s="472"/>
      <c r="K43" s="472"/>
      <c r="L43" s="618">
        <f ca="1">SUM(M$34:M43)-SUM(N$34:N43)</f>
        <v>0</v>
      </c>
      <c r="M43" s="73"/>
      <c r="N43" s="151">
        <f ca="1">-ROUND(SUM(OFFSET($A$1,MATCH($A43,$A$1:$A$9,0)-1,MATCH($B43,$2:$2,0)-1,,4)),2)</f>
        <v>1669.03</v>
      </c>
      <c r="O43" s="622"/>
      <c r="P43" s="503"/>
      <c r="R43" s="2"/>
      <c r="S43" s="2"/>
      <c r="T43" s="2"/>
    </row>
    <row r="44" ht="18.75" spans="1:20">
      <c r="A44" t="s">
        <v>18</v>
      </c>
      <c r="B44" s="148" t="s">
        <v>89</v>
      </c>
      <c r="C44" s="149" t="str">
        <f t="shared" si="2"/>
        <v>2021.09月Surfing Ebay(镜柜)：Ebay费*</v>
      </c>
      <c r="D44" s="457"/>
      <c r="E44" s="457"/>
      <c r="F44" s="457"/>
      <c r="G44" s="149" t="str">
        <f ca="1">OFFSET($O$19,MATCH($A44,$O$19:$O$82,0)+1,)</f>
        <v>6601.002.002.003</v>
      </c>
      <c r="H44" s="149" t="str">
        <f ca="1">OFFSET($P$19,MATCH($A44,$O$19:$O$84,0)+1,)</f>
        <v>销售费用 - 销售平台费用 - Ebay费用 - 镜柜事业部-Ebay费</v>
      </c>
      <c r="I44" s="457"/>
      <c r="J44" s="472"/>
      <c r="K44" s="472"/>
      <c r="L44" s="618">
        <f ca="1">SUM(M$34:M44)-SUM(N$34:N44)</f>
        <v>-3343.22999999998</v>
      </c>
      <c r="M44" s="73">
        <f ca="1">ROUND(SUM(OFFSET($A$1,MATCH($A44,$A$1:$A$9,0)-1,MATCH($B44,$2:$2,0)-1,,3)),2)</f>
        <v>-3343.23</v>
      </c>
      <c r="N44" s="151"/>
      <c r="O44" s="78" t="s">
        <v>90</v>
      </c>
      <c r="P44" s="78"/>
      <c r="R44" s="2"/>
      <c r="S44" s="2"/>
      <c r="T44" s="2"/>
    </row>
    <row r="45" ht="14.25" hidden="1" spans="1:20">
      <c r="A45" t="s">
        <v>18</v>
      </c>
      <c r="B45" s="148" t="s">
        <v>91</v>
      </c>
      <c r="C45" s="149" t="str">
        <f t="shared" si="2"/>
        <v>2021.09月Surfing Ebay(镜柜)：Ebay点击费*</v>
      </c>
      <c r="D45" s="457"/>
      <c r="E45" s="457"/>
      <c r="F45" s="457"/>
      <c r="G45" s="149" t="str">
        <f ca="1">OFFSET($O$19,MATCH($A45,$O$19:$O$82,0)+3,)</f>
        <v>6601.003.002.003</v>
      </c>
      <c r="H45" s="149" t="str">
        <f ca="1">OFFSET($P$19,MATCH($A45,$O$19:$O$84,0)+3,)</f>
        <v>销售费用 - 销售平台引流费 - Ebay点击费 - 镜柜事业部-ebay点击费</v>
      </c>
      <c r="I45" s="457"/>
      <c r="J45" s="472"/>
      <c r="K45" s="472"/>
      <c r="L45" s="618">
        <f ca="1">SUM(M$34:M45)-SUM(N$34:N45)</f>
        <v>-3343.22999999998</v>
      </c>
      <c r="M45" s="73"/>
      <c r="N45" s="151"/>
      <c r="O45" s="616" t="s">
        <v>46</v>
      </c>
      <c r="P45" s="81" t="s">
        <v>47</v>
      </c>
      <c r="R45" s="2"/>
      <c r="S45" s="2"/>
      <c r="T45" s="2"/>
    </row>
    <row r="46" ht="14.25" spans="1:20">
      <c r="A46" t="s">
        <v>18</v>
      </c>
      <c r="B46" s="148" t="s">
        <v>89</v>
      </c>
      <c r="C46" s="149" t="str">
        <f t="shared" si="2"/>
        <v>2021.09月Surfing Ebay(镜柜)：Ebay费*</v>
      </c>
      <c r="D46" s="457"/>
      <c r="E46" s="457"/>
      <c r="F46" s="457"/>
      <c r="G46" s="37" t="str">
        <f ca="1">OFFSET($O$19,MATCH($A46,$O$19:$O$84,0),)</f>
        <v>1221.86</v>
      </c>
      <c r="H46" s="37" t="str">
        <f ca="1">OFFSET($P$19,MATCH($A46,$O$19:$O$84,0),)</f>
        <v>其他应收款 - 事业部</v>
      </c>
      <c r="I46" s="457"/>
      <c r="J46" s="472"/>
      <c r="K46" s="472"/>
      <c r="L46" s="618">
        <f ca="1">SUM(M$34:M46)-SUM(N$34:N46)</f>
        <v>0</v>
      </c>
      <c r="M46" s="71">
        <f ca="1">-M44</f>
        <v>3343.23</v>
      </c>
      <c r="N46" s="151"/>
      <c r="O46" s="616" t="s">
        <v>48</v>
      </c>
      <c r="P46" s="81" t="s">
        <v>49</v>
      </c>
      <c r="S46" s="2"/>
      <c r="T46" s="2"/>
    </row>
    <row r="47" ht="14.25" spans="1:20">
      <c r="A47" t="s">
        <v>18</v>
      </c>
      <c r="B47" s="148" t="s">
        <v>92</v>
      </c>
      <c r="C47" s="149" t="str">
        <f>$A$15&amp;$A$16&amp;"("&amp;A45&amp;")："&amp;B47</f>
        <v>2021.09月Surfing Ebay(镜柜)：营运费*</v>
      </c>
      <c r="D47" s="457"/>
      <c r="E47" s="457"/>
      <c r="F47" s="457"/>
      <c r="G47" s="149" t="str">
        <f ca="1">OFFSET($O$19,MATCH($A47,$O$19:$O$84,0)+2,)</f>
        <v>6601.006.002</v>
      </c>
      <c r="H47" s="149" t="str">
        <f ca="1">OFFSET($P$19,MATCH($A47,$O$19:$O$84,0)+2,)</f>
        <v>销售费用 - 事业部营运费 - 镜柜事业部-营运费</v>
      </c>
      <c r="I47" s="457"/>
      <c r="J47" s="472"/>
      <c r="K47" s="472"/>
      <c r="L47" s="618">
        <f ca="1">SUM(M$34:M47)-SUM(N$34:N47)</f>
        <v>-1324.22999999998</v>
      </c>
      <c r="M47" s="73">
        <f ca="1">ROUND(SUM(OFFSET($A$1,MATCH($A47,$A$1:$A$9,0)-1,MATCH($B47,$2:$2,0)-1)),2)</f>
        <v>-1324.23</v>
      </c>
      <c r="N47" s="151"/>
      <c r="O47" s="616" t="s">
        <v>50</v>
      </c>
      <c r="P47" s="81" t="s">
        <v>51</v>
      </c>
      <c r="S47" s="2"/>
      <c r="T47" s="2"/>
    </row>
    <row r="48" ht="15" spans="1:20">
      <c r="A48" t="s">
        <v>18</v>
      </c>
      <c r="B48" s="458" t="s">
        <v>92</v>
      </c>
      <c r="C48" s="162" t="str">
        <f>$A$15&amp;$A$16&amp;"("&amp;A48&amp;")："&amp;B48</f>
        <v>2021.09月Surfing Ebay(镜柜)：营运费*</v>
      </c>
      <c r="D48" s="459"/>
      <c r="E48" s="459"/>
      <c r="F48" s="459"/>
      <c r="G48" s="185" t="str">
        <f ca="1">OFFSET($O$19,MATCH($A48,$O$19:$O$84,0),)</f>
        <v>1221.86</v>
      </c>
      <c r="H48" s="185" t="str">
        <f ca="1">OFFSET($P$19,MATCH($A48,$O$19:$O$84,0),)</f>
        <v>其他应收款 - 事业部</v>
      </c>
      <c r="I48" s="459"/>
      <c r="J48" s="294"/>
      <c r="K48" s="294"/>
      <c r="L48" s="629">
        <f ca="1">SUM(M$34:M48)-SUM(N$34:N48)</f>
        <v>0</v>
      </c>
      <c r="M48" s="404">
        <f ca="1">-M47</f>
        <v>1324.23</v>
      </c>
      <c r="N48" s="207"/>
      <c r="O48" s="622"/>
      <c r="P48" s="503"/>
      <c r="R48" s="2"/>
      <c r="S48" s="2"/>
      <c r="T48" s="2"/>
    </row>
    <row r="49" ht="18.75" spans="1:20">
      <c r="A49" t="s">
        <v>20</v>
      </c>
      <c r="B49" s="144" t="s">
        <v>26</v>
      </c>
      <c r="C49" s="145" t="str">
        <f t="shared" ref="C43:C55" si="3">$A$15&amp;$A$16&amp;"("&amp;A49&amp;")："&amp;B49</f>
        <v>2021.09月Surfing Ebay(五金)：Order</v>
      </c>
      <c r="D49" s="291"/>
      <c r="E49" s="291"/>
      <c r="F49" s="291"/>
      <c r="G49" s="145" t="str">
        <f ca="1">OFFSET($O$19,MATCH($A$16,$O$19:$O$82,0)+2,)</f>
        <v> 2203.07.012</v>
      </c>
      <c r="H49" s="145" t="str">
        <f ca="1">OFFSET($P$19,MATCH($A$16,$O$19:$O$84,0)+2,)</f>
        <v>        预收 Surfing Ebay</v>
      </c>
      <c r="I49" s="469"/>
      <c r="J49" s="291"/>
      <c r="K49" s="291"/>
      <c r="L49" s="628">
        <f ca="1">SUM(M$34:M49)-SUM(N$34:N49)</f>
        <v>216204.68</v>
      </c>
      <c r="M49" s="146">
        <f ca="1">ROUND(SUM(OFFSET($A$1,MATCH($A49,$A$1:$A$9,0)-1,MATCH($B49,$2:$2,0)-1,,2)),2)</f>
        <v>216204.68</v>
      </c>
      <c r="N49" s="147"/>
      <c r="O49" s="78" t="s">
        <v>93</v>
      </c>
      <c r="P49" s="78"/>
      <c r="Q49" s="26"/>
      <c r="R49" s="2"/>
      <c r="S49" s="2"/>
      <c r="T49" s="2"/>
    </row>
    <row r="50" ht="15" customHeight="1" spans="1:20">
      <c r="A50" t="s">
        <v>20</v>
      </c>
      <c r="B50" s="148" t="s">
        <v>7</v>
      </c>
      <c r="C50" s="149" t="str">
        <f t="shared" si="3"/>
        <v>2021.09月Surfing Ebay(五金)：不含税</v>
      </c>
      <c r="D50" s="457"/>
      <c r="E50" s="457"/>
      <c r="F50" s="457"/>
      <c r="G50" s="37" t="str">
        <f ca="1">OFFSET($O$19,MATCH($A50,$O$19:$O$84,0),)</f>
        <v>1221.60</v>
      </c>
      <c r="H50" s="37" t="str">
        <f ca="1">OFFSET($P$19,MATCH($A50,$O$19:$O$84,0),)</f>
        <v>其他应收款 - 拓展部五金部</v>
      </c>
      <c r="I50" s="470"/>
      <c r="J50" s="471"/>
      <c r="K50" s="471"/>
      <c r="L50" s="617">
        <f ca="1">SUM(M$34:M50)-SUM(N$34:N50)</f>
        <v>49056.2</v>
      </c>
      <c r="M50" s="71"/>
      <c r="N50" s="151">
        <f ca="1">ROUND(SUM(OFFSET($A$1,MATCH($A50,$A$1:$A$9,0)-1,MATCH($B50,$2:$2,0)-1)),2)</f>
        <v>167148.48</v>
      </c>
      <c r="O50" s="616" t="s">
        <v>53</v>
      </c>
      <c r="P50" s="81" t="s">
        <v>54</v>
      </c>
      <c r="R50" s="2"/>
      <c r="S50" s="2"/>
      <c r="T50" s="2"/>
    </row>
    <row r="51" ht="14.25" spans="1:20">
      <c r="A51" t="s">
        <v>20</v>
      </c>
      <c r="B51" s="148" t="s">
        <v>31</v>
      </c>
      <c r="C51" s="149" t="str">
        <f t="shared" si="3"/>
        <v>2021.09月Surfing Ebay(五金)：税金</v>
      </c>
      <c r="D51" s="457"/>
      <c r="E51" s="457"/>
      <c r="F51" s="457"/>
      <c r="G51" s="149" t="s">
        <v>32</v>
      </c>
      <c r="H51" s="149" t="s">
        <v>33</v>
      </c>
      <c r="I51" s="457"/>
      <c r="J51" s="472"/>
      <c r="K51" s="472"/>
      <c r="L51" s="618">
        <f ca="1">SUM(M$34:M51)-SUM(N$34:N51)</f>
        <v>15626.51</v>
      </c>
      <c r="M51" s="73"/>
      <c r="N51" s="151">
        <f ca="1">M49-N50-N52</f>
        <v>33429.69</v>
      </c>
      <c r="O51" s="616" t="s">
        <v>55</v>
      </c>
      <c r="P51" s="81" t="s">
        <v>56</v>
      </c>
      <c r="R51" s="2"/>
      <c r="S51" s="2"/>
      <c r="T51" s="2"/>
    </row>
    <row r="52" ht="14.25" spans="1:18">
      <c r="A52" t="s">
        <v>20</v>
      </c>
      <c r="B52" s="148" t="s">
        <v>3</v>
      </c>
      <c r="C52" s="149" t="str">
        <f t="shared" si="3"/>
        <v>2021.09月Surfing Ebay(五金)：refund</v>
      </c>
      <c r="D52" s="457"/>
      <c r="E52" s="457"/>
      <c r="F52" s="457"/>
      <c r="G52" s="149" t="str">
        <f ca="1">OFFSET($O$19,MATCH($A$16,$O$19:$O$82,0),)</f>
        <v> 1122.001.012</v>
      </c>
      <c r="H52" s="149" t="str">
        <f ca="1">OFFSET($P$19,MATCH($A$16,$O$19:$O$84,0),)</f>
        <v>        应收 Surfing Ebay</v>
      </c>
      <c r="I52" s="457"/>
      <c r="J52" s="472"/>
      <c r="K52" s="472"/>
      <c r="L52" s="618">
        <f ca="1">SUM(M$34:M52)-SUM(N$34:N52)</f>
        <v>0</v>
      </c>
      <c r="M52" s="73"/>
      <c r="N52" s="151">
        <f ca="1">-ROUND(SUM(OFFSET($A$1,MATCH($A52,$A$1:$A$9,0)-1,MATCH($B52,$2:$2,0)-1,,4)),2)</f>
        <v>15626.51</v>
      </c>
      <c r="O52" s="616" t="s">
        <v>57</v>
      </c>
      <c r="P52" s="81" t="s">
        <v>58</v>
      </c>
      <c r="R52" s="2"/>
    </row>
    <row r="53" ht="14.25" spans="1:18">
      <c r="A53" t="s">
        <v>20</v>
      </c>
      <c r="B53" s="148" t="s">
        <v>89</v>
      </c>
      <c r="C53" s="149" t="str">
        <f t="shared" si="3"/>
        <v>2021.09月Surfing Ebay(五金)：Ebay费*</v>
      </c>
      <c r="D53" s="457"/>
      <c r="E53" s="457"/>
      <c r="F53" s="457"/>
      <c r="G53" s="149" t="str">
        <f ca="1">OFFSET($O$19,MATCH($A53,$O$19:$O$82,0)+1,)</f>
        <v>6601.002.002.002</v>
      </c>
      <c r="H53" s="149" t="str">
        <f ca="1">OFFSET($P$19,MATCH($A53,$O$19:$O$84,0)+1,)</f>
        <v>销售费用 - 销售平台费用 - Ebay费用 - 五金事业部-Ebay费</v>
      </c>
      <c r="I53" s="457"/>
      <c r="J53" s="472"/>
      <c r="K53" s="472"/>
      <c r="L53" s="618">
        <f ca="1">SUM(M$34:M53)-SUM(N$34:N53)</f>
        <v>-20773.61</v>
      </c>
      <c r="M53" s="73">
        <f ca="1">ROUND(SUM(OFFSET($A$1,MATCH($A53,$A$1:$A$9,0)-1,MATCH($B53,$2:$2,0)-1,,3)),2)</f>
        <v>-20773.61</v>
      </c>
      <c r="N53" s="151"/>
      <c r="R53" s="2"/>
    </row>
    <row r="54" ht="14.25" hidden="1" spans="1:17">
      <c r="A54" t="s">
        <v>20</v>
      </c>
      <c r="B54" s="148" t="s">
        <v>91</v>
      </c>
      <c r="C54" s="149" t="str">
        <f t="shared" si="3"/>
        <v>2021.09月Surfing Ebay(五金)：Ebay点击费*</v>
      </c>
      <c r="D54" s="457"/>
      <c r="E54" s="457"/>
      <c r="F54" s="457"/>
      <c r="G54" s="149" t="str">
        <f ca="1">OFFSET($O$19,MATCH($A54,$O$19:$O$82,0)+3,)</f>
        <v>6601.003.002.002</v>
      </c>
      <c r="H54" s="149" t="str">
        <f ca="1">OFFSET($P$19,MATCH($A54,$O$19:$O$84,0)+3,)</f>
        <v>销售费用 - 销售平台引流费 - Ebay点击费 - 五金事业部-ebay点击费</v>
      </c>
      <c r="I54" s="457"/>
      <c r="J54" s="472"/>
      <c r="K54" s="472"/>
      <c r="L54" s="618">
        <f ca="1">SUM(M$34:M54)-SUM(N$34:N54)</f>
        <v>-20773.61</v>
      </c>
      <c r="M54" s="73"/>
      <c r="N54" s="151"/>
      <c r="O54" s="630" t="s">
        <v>32</v>
      </c>
      <c r="P54" s="631" t="s">
        <v>33</v>
      </c>
      <c r="Q54" s="26"/>
    </row>
    <row r="55" ht="18.75" spans="1:17">
      <c r="A55" t="s">
        <v>20</v>
      </c>
      <c r="B55" s="148" t="s">
        <v>89</v>
      </c>
      <c r="C55" s="149" t="str">
        <f t="shared" si="3"/>
        <v>2021.09月Surfing Ebay(五金)：Ebay费*</v>
      </c>
      <c r="D55" s="457"/>
      <c r="E55" s="457"/>
      <c r="F55" s="457"/>
      <c r="G55" s="37" t="str">
        <f ca="1">OFFSET($O$19,MATCH($A55,$O$19:$O$84,0),)</f>
        <v>1221.60</v>
      </c>
      <c r="H55" s="37" t="str">
        <f ca="1">OFFSET($P$19,MATCH($A55,$O$19:$O$84,0),)</f>
        <v>其他应收款 - 拓展部五金部</v>
      </c>
      <c r="I55" s="457"/>
      <c r="J55" s="472"/>
      <c r="K55" s="472"/>
      <c r="L55" s="618">
        <f ca="1">SUM(M$34:M55)-SUM(N$34:N55)</f>
        <v>0</v>
      </c>
      <c r="M55" s="71">
        <f ca="1">-M53</f>
        <v>20773.61</v>
      </c>
      <c r="N55" s="151"/>
      <c r="O55" s="78" t="s">
        <v>94</v>
      </c>
      <c r="P55" s="78"/>
      <c r="Q55" s="26"/>
    </row>
    <row r="56" ht="14.25" spans="1:16">
      <c r="A56" t="s">
        <v>20</v>
      </c>
      <c r="B56" s="148" t="s">
        <v>92</v>
      </c>
      <c r="C56" s="149" t="str">
        <f>$A$15&amp;$A$16&amp;"("&amp;A54&amp;")："&amp;B56</f>
        <v>2021.09月Surfing Ebay(五金)：营运费*</v>
      </c>
      <c r="D56" s="457"/>
      <c r="E56" s="457"/>
      <c r="F56" s="457"/>
      <c r="G56" s="149" t="str">
        <f ca="1">OFFSET($O$19,MATCH($A56,$O$19:$O$84,0)+2,)</f>
        <v>6601.006.001</v>
      </c>
      <c r="H56" s="149" t="str">
        <f ca="1">OFFSET($P$19,MATCH($A56,$O$19:$O$84,0)+2,)</f>
        <v>销售费用 - 事业部营运费 - 五金事业部-营运费</v>
      </c>
      <c r="I56" s="457"/>
      <c r="J56" s="472"/>
      <c r="K56" s="472"/>
      <c r="L56" s="618">
        <f ca="1">SUM(M$34:M56)-SUM(N$34:N56)</f>
        <v>-8357.42000000004</v>
      </c>
      <c r="M56" s="73">
        <f ca="1">ROUND(SUM(OFFSET($A$1,MATCH($A56,$A$1:$A$9,0)-1,MATCH($B56,$2:$2,0)-1)),2)</f>
        <v>-8357.42</v>
      </c>
      <c r="N56" s="151"/>
      <c r="O56" t="s">
        <v>95</v>
      </c>
      <c r="P56" t="s">
        <v>96</v>
      </c>
    </row>
    <row r="57" ht="15" spans="1:16">
      <c r="A57" t="s">
        <v>20</v>
      </c>
      <c r="B57" s="458" t="s">
        <v>92</v>
      </c>
      <c r="C57" s="162" t="str">
        <f t="shared" ref="C57:C64" si="4">$A$15&amp;$A$16&amp;"("&amp;A57&amp;")："&amp;B57</f>
        <v>2021.09月Surfing Ebay(五金)：营运费*</v>
      </c>
      <c r="D57" s="459"/>
      <c r="E57" s="459"/>
      <c r="F57" s="459"/>
      <c r="G57" s="185" t="str">
        <f ca="1">OFFSET($O$19,MATCH($A57,$O$19:$O$84,0),)</f>
        <v>1221.60</v>
      </c>
      <c r="H57" s="185" t="str">
        <f ca="1">OFFSET($P$19,MATCH($A57,$O$19:$O$84,0),)</f>
        <v>其他应收款 - 拓展部五金部</v>
      </c>
      <c r="I57" s="459"/>
      <c r="J57" s="294"/>
      <c r="K57" s="294"/>
      <c r="L57" s="629">
        <f ca="1">SUM(M$34:M57)-SUM(N$34:N57)</f>
        <v>0</v>
      </c>
      <c r="M57" s="404">
        <f ca="1">-M56</f>
        <v>8357.42</v>
      </c>
      <c r="N57" s="207"/>
      <c r="O57" t="s">
        <v>97</v>
      </c>
      <c r="P57" t="s">
        <v>98</v>
      </c>
    </row>
    <row r="58" ht="14.25" spans="1:16">
      <c r="A58" t="s">
        <v>19</v>
      </c>
      <c r="B58" s="144" t="s">
        <v>26</v>
      </c>
      <c r="C58" s="145" t="str">
        <f t="shared" si="4"/>
        <v>2021.09月Surfing Ebay(水龙头)：Order</v>
      </c>
      <c r="D58" s="291"/>
      <c r="E58" s="291"/>
      <c r="F58" s="291"/>
      <c r="G58" s="145" t="str">
        <f ca="1">OFFSET($O$19,MATCH($A$16,$O$19:$O$82,0)+2,)</f>
        <v> 2203.07.012</v>
      </c>
      <c r="H58" s="145" t="str">
        <f ca="1">OFFSET($P$19,MATCH($A$16,$O$19:$O$84,0)+2,)</f>
        <v>        预收 Surfing Ebay</v>
      </c>
      <c r="I58" s="469"/>
      <c r="J58" s="291"/>
      <c r="K58" s="291"/>
      <c r="L58" s="628">
        <f ca="1">SUM(M$34:M58)-SUM(N$34:N58)</f>
        <v>31795.47</v>
      </c>
      <c r="M58" s="146">
        <f ca="1">ROUND(SUM(OFFSET($A$1,MATCH($A58,$A$1:$A$9,0)-1,MATCH($B58,$2:$2,0)-1,,2)),2)</f>
        <v>31795.47</v>
      </c>
      <c r="N58" s="147"/>
      <c r="O58" t="s">
        <v>99</v>
      </c>
      <c r="P58" t="s">
        <v>100</v>
      </c>
    </row>
    <row r="59" ht="14.25" spans="1:14">
      <c r="A59" t="s">
        <v>19</v>
      </c>
      <c r="B59" s="148" t="s">
        <v>7</v>
      </c>
      <c r="C59" s="149" t="str">
        <f t="shared" si="4"/>
        <v>2021.09月Surfing Ebay(水龙头)：不含税</v>
      </c>
      <c r="D59" s="457"/>
      <c r="E59" s="457"/>
      <c r="F59" s="457"/>
      <c r="G59" s="37" t="str">
        <f ca="1">OFFSET($O$19,MATCH($A59,$O$19:$O$84,0),)</f>
        <v>1221.100</v>
      </c>
      <c r="H59" s="37" t="str">
        <f ca="1">OFFSET($P$19,MATCH($A59,$O$19:$O$84,0),)</f>
        <v>其他应收款 - 拓展部-水龙头</v>
      </c>
      <c r="I59" s="470"/>
      <c r="J59" s="471"/>
      <c r="K59" s="471"/>
      <c r="L59" s="617">
        <f ca="1">SUM(M$34:M59)-SUM(N$34:N59)</f>
        <v>6953.21999999997</v>
      </c>
      <c r="M59" s="71"/>
      <c r="N59" s="151">
        <f ca="1">ROUND(SUM(OFFSET($A$1,MATCH($A59,$A$1:$A$9,0)-1,MATCH($B59,$2:$2,0)-1)),2)</f>
        <v>24842.25</v>
      </c>
    </row>
    <row r="60" ht="18.75" spans="1:17">
      <c r="A60" t="s">
        <v>19</v>
      </c>
      <c r="B60" s="148" t="s">
        <v>31</v>
      </c>
      <c r="C60" s="149" t="str">
        <f t="shared" si="4"/>
        <v>2021.09月Surfing Ebay(水龙头)：税金</v>
      </c>
      <c r="D60" s="457"/>
      <c r="E60" s="457"/>
      <c r="F60" s="457"/>
      <c r="G60" s="149" t="s">
        <v>32</v>
      </c>
      <c r="H60" s="149" t="s">
        <v>33</v>
      </c>
      <c r="I60" s="457"/>
      <c r="J60" s="472"/>
      <c r="K60" s="472"/>
      <c r="L60" s="618">
        <f ca="1">SUM(M$34:M60)-SUM(N$34:N60)</f>
        <v>1984.77000000002</v>
      </c>
      <c r="M60" s="73"/>
      <c r="N60" s="151">
        <f ca="1">M58-N59-N61</f>
        <v>4968.45</v>
      </c>
      <c r="O60" s="78" t="s">
        <v>101</v>
      </c>
      <c r="P60" s="78"/>
      <c r="Q60" s="26"/>
    </row>
    <row r="61" ht="14.25" spans="1:16">
      <c r="A61" t="s">
        <v>19</v>
      </c>
      <c r="B61" s="148" t="s">
        <v>3</v>
      </c>
      <c r="C61" s="149" t="str">
        <f t="shared" si="4"/>
        <v>2021.09月Surfing Ebay(水龙头)：refund</v>
      </c>
      <c r="D61" s="457"/>
      <c r="E61" s="457"/>
      <c r="F61" s="457"/>
      <c r="G61" s="149" t="str">
        <f ca="1">OFFSET($O$19,MATCH($A$16,$O$19:$O$82,0),)</f>
        <v> 1122.001.012</v>
      </c>
      <c r="H61" s="149" t="str">
        <f ca="1">OFFSET($P$19,MATCH($A$16,$O$19:$O$84,0),)</f>
        <v>        应收 Surfing Ebay</v>
      </c>
      <c r="I61" s="457"/>
      <c r="J61" s="472"/>
      <c r="K61" s="472"/>
      <c r="L61" s="618">
        <f ca="1">SUM(M$34:M61)-SUM(N$34:N61)</f>
        <v>0</v>
      </c>
      <c r="M61" s="73"/>
      <c r="N61" s="151">
        <f ca="1">-ROUND(SUM(OFFSET($A$1,MATCH($A61,$A$1:$A$9,0)-1,MATCH($B61,$2:$2,0)-1,,4)),2)</f>
        <v>1984.77</v>
      </c>
      <c r="O61" t="s">
        <v>102</v>
      </c>
      <c r="P61" t="s">
        <v>103</v>
      </c>
    </row>
    <row r="62" ht="14.25" spans="1:16">
      <c r="A62" t="s">
        <v>19</v>
      </c>
      <c r="B62" s="148" t="s">
        <v>89</v>
      </c>
      <c r="C62" s="149" t="str">
        <f t="shared" si="4"/>
        <v>2021.09月Surfing Ebay(水龙头)：Ebay费*</v>
      </c>
      <c r="D62" s="457"/>
      <c r="E62" s="457"/>
      <c r="F62" s="457"/>
      <c r="G62" s="149" t="str">
        <f ca="1">OFFSET($O$19,MATCH($A62,$O$19:$O$82,0)+1,)</f>
        <v>6601.002.002.004</v>
      </c>
      <c r="H62" s="149" t="str">
        <f ca="1">OFFSET($P$19,MATCH($A62,$O$19:$O$84,0)+1,)</f>
        <v>销售费用 - 销售平台费用 - Ebay费用 - 水龙头事业部-Ebay费</v>
      </c>
      <c r="I62" s="457"/>
      <c r="J62" s="472"/>
      <c r="K62" s="472"/>
      <c r="L62" s="618">
        <f ca="1">SUM(M$34:M62)-SUM(N$34:N62)</f>
        <v>-3137.43000000005</v>
      </c>
      <c r="M62" s="73">
        <f ca="1">ROUND(SUM(OFFSET($A$1,MATCH($A62,$A$1:$A$9,0)-1,MATCH($B62,$2:$2,0)-1,,3)),2)</f>
        <v>-3137.43</v>
      </c>
      <c r="N62" s="151"/>
      <c r="O62" t="s">
        <v>104</v>
      </c>
      <c r="P62" t="s">
        <v>105</v>
      </c>
    </row>
    <row r="63" ht="14.25" hidden="1" spans="1:16">
      <c r="A63" t="s">
        <v>19</v>
      </c>
      <c r="B63" s="148" t="s">
        <v>91</v>
      </c>
      <c r="C63" s="149" t="str">
        <f t="shared" si="4"/>
        <v>2021.09月Surfing Ebay(水龙头)：Ebay点击费*</v>
      </c>
      <c r="D63" s="457"/>
      <c r="E63" s="457"/>
      <c r="F63" s="457"/>
      <c r="G63" s="149" t="str">
        <f ca="1">OFFSET($O$19,MATCH($A63,$O$19:$O$82,0)+3,)</f>
        <v>6601.003.002.004</v>
      </c>
      <c r="H63" s="149" t="str">
        <f ca="1">OFFSET($P$19,MATCH($A63,$O$19:$O$84,0)+3,)</f>
        <v>销售费用 - 销售平台引流费 - Ebay点击费 - 水龙头事业部-ebay点击费</v>
      </c>
      <c r="I63" s="457"/>
      <c r="J63" s="472"/>
      <c r="K63" s="472"/>
      <c r="L63" s="618">
        <f ca="1">SUM(M$34:M63)-SUM(N$34:N63)</f>
        <v>-3137.43000000005</v>
      </c>
      <c r="M63" s="73"/>
      <c r="N63" s="151"/>
      <c r="O63" t="s">
        <v>106</v>
      </c>
      <c r="P63" t="s">
        <v>107</v>
      </c>
    </row>
    <row r="64" ht="14.25" spans="1:14">
      <c r="A64" t="s">
        <v>19</v>
      </c>
      <c r="B64" s="148" t="s">
        <v>89</v>
      </c>
      <c r="C64" s="149" t="str">
        <f t="shared" si="4"/>
        <v>2021.09月Surfing Ebay(水龙头)：Ebay费*</v>
      </c>
      <c r="D64" s="457"/>
      <c r="E64" s="457"/>
      <c r="F64" s="457"/>
      <c r="G64" s="37" t="str">
        <f ca="1">OFFSET($O$19,MATCH($A64,$O$19:$O$84,0),)</f>
        <v>1221.100</v>
      </c>
      <c r="H64" s="37" t="str">
        <f ca="1">OFFSET($P$19,MATCH($A64,$O$19:$O$84,0),)</f>
        <v>其他应收款 - 拓展部-水龙头</v>
      </c>
      <c r="I64" s="457"/>
      <c r="J64" s="472"/>
      <c r="K64" s="472"/>
      <c r="L64" s="618">
        <f ca="1">SUM(M$34:M64)-SUM(N$34:N64)</f>
        <v>0</v>
      </c>
      <c r="M64" s="71">
        <f ca="1">-M62</f>
        <v>3137.43</v>
      </c>
      <c r="N64" s="151"/>
    </row>
    <row r="65" ht="18.75" spans="1:17">
      <c r="A65" t="s">
        <v>19</v>
      </c>
      <c r="B65" s="148" t="s">
        <v>92</v>
      </c>
      <c r="C65" s="149" t="str">
        <f>$A$15&amp;$A$16&amp;"("&amp;A63&amp;")："&amp;B65</f>
        <v>2021.09月Surfing Ebay(水龙头)：营运费*</v>
      </c>
      <c r="D65" s="457"/>
      <c r="E65" s="457"/>
      <c r="F65" s="457"/>
      <c r="G65" s="149" t="str">
        <f ca="1">OFFSET($O$19,MATCH($A65,$O$19:$O$84,0)+2,)</f>
        <v>6601.006.003</v>
      </c>
      <c r="H65" s="149" t="str">
        <f ca="1">OFFSET($P$19,MATCH($A65,$O$19:$O$84,0)+2,)</f>
        <v>销售费用 - 事业部营运费 - 水龙头事业部-营运费</v>
      </c>
      <c r="I65" s="457"/>
      <c r="J65" s="472"/>
      <c r="K65" s="472"/>
      <c r="L65" s="618">
        <f ca="1">SUM(M$34:M65)-SUM(N$34:N65)</f>
        <v>-1242.10999999999</v>
      </c>
      <c r="M65" s="73">
        <f ca="1">ROUND(SUM(OFFSET($A$1,MATCH($A65,$A$1:$A$9,0)-1,MATCH($B65,$2:$2,0)-1)),2)</f>
        <v>-1242.11</v>
      </c>
      <c r="N65" s="151"/>
      <c r="O65" s="78" t="s">
        <v>108</v>
      </c>
      <c r="P65" s="78"/>
      <c r="Q65" s="26"/>
    </row>
    <row r="66" ht="15" spans="1:16">
      <c r="A66" t="s">
        <v>19</v>
      </c>
      <c r="B66" s="458" t="s">
        <v>92</v>
      </c>
      <c r="C66" s="162" t="str">
        <f t="shared" ref="C66:C73" si="5">$A$15&amp;$A$16&amp;"("&amp;A66&amp;")："&amp;B66</f>
        <v>2021.09月Surfing Ebay(水龙头)：营运费*</v>
      </c>
      <c r="D66" s="459"/>
      <c r="E66" s="459"/>
      <c r="F66" s="459"/>
      <c r="G66" s="185" t="str">
        <f ca="1">OFFSET($O$19,MATCH($A66,$O$19:$O$84,0),)</f>
        <v>1221.100</v>
      </c>
      <c r="H66" s="185" t="str">
        <f ca="1">OFFSET($P$19,MATCH($A66,$O$19:$O$84,0),)</f>
        <v>其他应收款 - 拓展部-水龙头</v>
      </c>
      <c r="I66" s="459"/>
      <c r="J66" s="294"/>
      <c r="K66" s="294"/>
      <c r="L66" s="629">
        <f ca="1">SUM(M$34:M66)-SUM(N$34:N66)</f>
        <v>0</v>
      </c>
      <c r="M66" s="404">
        <f ca="1">-M65</f>
        <v>1242.11</v>
      </c>
      <c r="N66" s="207"/>
      <c r="O66" t="s">
        <v>109</v>
      </c>
      <c r="P66" t="s">
        <v>110</v>
      </c>
    </row>
    <row r="67" ht="14.25" spans="1:16">
      <c r="A67" t="s">
        <v>83</v>
      </c>
      <c r="B67" s="144" t="s">
        <v>26</v>
      </c>
      <c r="C67" s="145" t="str">
        <f t="shared" si="5"/>
        <v>2021.09月Surfing Ebay(陶瓷)：Order</v>
      </c>
      <c r="D67" s="291"/>
      <c r="E67" s="291"/>
      <c r="F67" s="291"/>
      <c r="G67" s="145" t="str">
        <f ca="1">OFFSET($O$19,MATCH($A$16,$O$19:$O$82,0)+2,)</f>
        <v> 2203.07.012</v>
      </c>
      <c r="H67" s="145" t="str">
        <f ca="1">OFFSET($P$19,MATCH($A$16,$O$19:$O$84,0)+2,)</f>
        <v>        预收 Surfing Ebay</v>
      </c>
      <c r="I67" s="469"/>
      <c r="J67" s="291"/>
      <c r="K67" s="291"/>
      <c r="L67" s="628">
        <f ca="1">SUM(M$34:M67)-SUM(N$34:N67)</f>
        <v>22512.22</v>
      </c>
      <c r="M67" s="146">
        <f ca="1">ROUND(SUM(OFFSET($A$1,MATCH($A67,$A$1:$A$9,0)-1,MATCH($B67,$2:$2,0)-1,,2)),2)</f>
        <v>22512.22</v>
      </c>
      <c r="N67" s="147"/>
      <c r="O67" t="s">
        <v>111</v>
      </c>
      <c r="P67" t="s">
        <v>112</v>
      </c>
    </row>
    <row r="68" ht="14.25" spans="1:16">
      <c r="A68" t="s">
        <v>83</v>
      </c>
      <c r="B68" s="148" t="s">
        <v>7</v>
      </c>
      <c r="C68" s="149" t="str">
        <f t="shared" si="5"/>
        <v>2021.09月Surfing Ebay(陶瓷)：不含税</v>
      </c>
      <c r="D68" s="457"/>
      <c r="E68" s="457"/>
      <c r="F68" s="457"/>
      <c r="G68" s="37" t="str">
        <f ca="1">OFFSET($O$19,MATCH($A68,$O$19:$O$98,0),)</f>
        <v>1221.103</v>
      </c>
      <c r="H68" s="37" t="str">
        <f ca="1">OFFSET($P$19,MATCH($A68,$O$19:$O$98,0),)</f>
        <v>拓展部-陶瓷部</v>
      </c>
      <c r="I68" s="470"/>
      <c r="J68" s="471"/>
      <c r="K68" s="471"/>
      <c r="L68" s="617">
        <f ca="1">SUM(M$34:M68)-SUM(N$34:N68)</f>
        <v>4539.66999999993</v>
      </c>
      <c r="M68" s="71"/>
      <c r="N68" s="151">
        <f ca="1">ROUND(SUM(OFFSET($A$1,MATCH($A68,$A$1:$A$9,0)-1,MATCH($B68,$2:$2,0)-1)),2)</f>
        <v>17972.55</v>
      </c>
      <c r="O68" t="s">
        <v>113</v>
      </c>
      <c r="P68" t="s">
        <v>114</v>
      </c>
    </row>
    <row r="69" ht="14.25" spans="1:14">
      <c r="A69" t="s">
        <v>83</v>
      </c>
      <c r="B69" s="148" t="s">
        <v>31</v>
      </c>
      <c r="C69" s="149" t="str">
        <f t="shared" si="5"/>
        <v>2021.09月Surfing Ebay(陶瓷)：税金</v>
      </c>
      <c r="D69" s="457"/>
      <c r="E69" s="457"/>
      <c r="F69" s="457"/>
      <c r="G69" s="149" t="s">
        <v>32</v>
      </c>
      <c r="H69" s="149" t="s">
        <v>33</v>
      </c>
      <c r="I69" s="457"/>
      <c r="J69" s="472"/>
      <c r="K69" s="472"/>
      <c r="L69" s="618">
        <f ca="1">SUM(M$34:M69)-SUM(N$34:N69)</f>
        <v>945.159999999916</v>
      </c>
      <c r="M69" s="73"/>
      <c r="N69" s="151">
        <f ca="1">M67-N68-N70</f>
        <v>3594.51</v>
      </c>
    </row>
    <row r="70" ht="14.25" spans="1:14">
      <c r="A70" t="s">
        <v>83</v>
      </c>
      <c r="B70" s="148" t="s">
        <v>3</v>
      </c>
      <c r="C70" s="149" t="str">
        <f t="shared" si="5"/>
        <v>2021.09月Surfing Ebay(陶瓷)：refund</v>
      </c>
      <c r="D70" s="457"/>
      <c r="E70" s="457"/>
      <c r="F70" s="457"/>
      <c r="G70" s="149" t="str">
        <f ca="1">OFFSET($O$19,MATCH($A$16,$O$19:$O$82,0),)</f>
        <v> 1122.001.012</v>
      </c>
      <c r="H70" s="149" t="str">
        <f ca="1">OFFSET($P$19,MATCH($A$16,$O$19:$O$84,0),)</f>
        <v>        应收 Surfing Ebay</v>
      </c>
      <c r="I70" s="457"/>
      <c r="J70" s="472"/>
      <c r="K70" s="472"/>
      <c r="L70" s="618">
        <f ca="1">SUM(M$34:M70)-SUM(N$34:N70)</f>
        <v>0</v>
      </c>
      <c r="M70" s="73"/>
      <c r="N70" s="151">
        <f ca="1">-ROUND(SUM(OFFSET($A$1,MATCH($A70,$A$1:$A$9,0)-1,MATCH($B70,$2:$2,0)-1,,4)),2)</f>
        <v>945.16</v>
      </c>
    </row>
    <row r="71" ht="14.25" spans="1:14">
      <c r="A71" t="s">
        <v>83</v>
      </c>
      <c r="B71" s="148" t="s">
        <v>89</v>
      </c>
      <c r="C71" s="149" t="str">
        <f t="shared" si="5"/>
        <v>2021.09月Surfing Ebay(陶瓷)：Ebay费*</v>
      </c>
      <c r="D71" s="457"/>
      <c r="E71" s="457"/>
      <c r="F71" s="457"/>
      <c r="G71" s="149" t="str">
        <f ca="1">OFFSET($O$19,MATCH($A71,$O$19:$O$98,0)+1,)</f>
        <v>6601.002.002.005</v>
      </c>
      <c r="H71" s="149" t="str">
        <f ca="1">OFFSET($P$19,MATCH($A71,$O$19:$O$98,0)+1,)</f>
        <v>陶瓷部事业部-Ebay费</v>
      </c>
      <c r="I71" s="457"/>
      <c r="J71" s="472"/>
      <c r="K71" s="472"/>
      <c r="L71" s="618">
        <f ca="1">SUM(M$34:M71)-SUM(N$34:N71)</f>
        <v>-2085.63000000012</v>
      </c>
      <c r="M71" s="73">
        <f ca="1">ROUND(SUM(OFFSET($A$1,MATCH($A71,$A$1:$A$9,0)-1,MATCH($B71,$2:$2,0)-1,,3)),2)</f>
        <v>-2085.63</v>
      </c>
      <c r="N71" s="151"/>
    </row>
    <row r="72" ht="18.75" hidden="1" spans="1:17">
      <c r="A72" t="s">
        <v>83</v>
      </c>
      <c r="B72" s="148" t="s">
        <v>91</v>
      </c>
      <c r="C72" s="149" t="str">
        <f t="shared" si="5"/>
        <v>2021.09月Surfing Ebay(陶瓷)：Ebay点击费*</v>
      </c>
      <c r="D72" s="457"/>
      <c r="E72" s="457"/>
      <c r="F72" s="457"/>
      <c r="G72" s="149" t="str">
        <f ca="1">OFFSET($O$19,MATCH($A72,$O$19:$O$98,0)+3,)</f>
        <v>6601.003.002.005</v>
      </c>
      <c r="H72" s="149" t="str">
        <f ca="1">OFFSET($P$19,MATCH($A72,$O$19:$O$98,0)+3,)</f>
        <v>陶瓷部事业部-ebay点击费</v>
      </c>
      <c r="I72" s="457"/>
      <c r="J72" s="472"/>
      <c r="K72" s="472"/>
      <c r="L72" s="618">
        <f ca="1">SUM(M$34:M72)-SUM(N$34:N72)</f>
        <v>-2085.63000000012</v>
      </c>
      <c r="M72" s="73"/>
      <c r="N72" s="151"/>
      <c r="O72" s="78" t="s">
        <v>18</v>
      </c>
      <c r="P72" s="78"/>
      <c r="Q72" s="27"/>
    </row>
    <row r="73" ht="14.25" spans="1:17">
      <c r="A73" t="s">
        <v>83</v>
      </c>
      <c r="B73" s="148" t="s">
        <v>89</v>
      </c>
      <c r="C73" s="149" t="str">
        <f t="shared" si="5"/>
        <v>2021.09月Surfing Ebay(陶瓷)：Ebay费*</v>
      </c>
      <c r="D73" s="457"/>
      <c r="E73" s="457"/>
      <c r="F73" s="457"/>
      <c r="G73" s="37" t="str">
        <f ca="1">OFFSET($O$19,MATCH($A73,$O$19:$O$98,0),)</f>
        <v>1221.103</v>
      </c>
      <c r="H73" s="37" t="str">
        <f ca="1">OFFSET($P$19,MATCH($A73,$O$19:$O$98,0),)</f>
        <v>拓展部-陶瓷部</v>
      </c>
      <c r="I73" s="457"/>
      <c r="J73" s="472"/>
      <c r="K73" s="472"/>
      <c r="L73" s="618">
        <f ca="1">SUM(M$34:M73)-SUM(N$34:N73)</f>
        <v>0</v>
      </c>
      <c r="M73" s="71">
        <f ca="1">-M71</f>
        <v>2085.63</v>
      </c>
      <c r="N73" s="151"/>
      <c r="O73" s="81" t="s">
        <v>59</v>
      </c>
      <c r="P73" s="81" t="s">
        <v>60</v>
      </c>
      <c r="Q73" s="2"/>
    </row>
    <row r="74" ht="14.25" spans="1:17">
      <c r="A74" t="s">
        <v>83</v>
      </c>
      <c r="B74" s="148" t="s">
        <v>92</v>
      </c>
      <c r="C74" s="149" t="str">
        <f>$A$15&amp;$A$16&amp;"("&amp;A72&amp;")："&amp;B74</f>
        <v>2021.09月Surfing Ebay(陶瓷)：营运费*</v>
      </c>
      <c r="D74" s="457"/>
      <c r="E74" s="457"/>
      <c r="F74" s="457"/>
      <c r="G74" s="149" t="str">
        <f ca="1">OFFSET($O$19,MATCH($A74,$O$19:$O$98,0)+2,)</f>
        <v>6601.006.004</v>
      </c>
      <c r="H74" s="149" t="str">
        <f ca="1">OFFSET($P$19,MATCH($A74,$O$19:$O$98,0)+2,)</f>
        <v>陶瓷事业部-营运费</v>
      </c>
      <c r="I74" s="457"/>
      <c r="J74" s="472"/>
      <c r="K74" s="472"/>
      <c r="L74" s="618">
        <f ca="1">SUM(M$34:M74)-SUM(N$34:N74)</f>
        <v>-898.630000000121</v>
      </c>
      <c r="M74" s="73">
        <f ca="1">ROUND(SUM(OFFSET($A$1,MATCH($A74,$A$1:$A$9,0)-1,MATCH($B74,$2:$2,0)-1)),2)</f>
        <v>-898.63</v>
      </c>
      <c r="N74" s="151"/>
      <c r="O74" s="81" t="s">
        <v>61</v>
      </c>
      <c r="P74" s="81" t="s">
        <v>62</v>
      </c>
      <c r="Q74" s="2"/>
    </row>
    <row r="75" ht="15" spans="1:17">
      <c r="A75" t="s">
        <v>83</v>
      </c>
      <c r="B75" s="458" t="s">
        <v>92</v>
      </c>
      <c r="C75" s="162" t="str">
        <f t="shared" ref="C75:C82" si="6">$A$15&amp;$A$16&amp;"("&amp;A75&amp;")："&amp;B75</f>
        <v>2021.09月Surfing Ebay(陶瓷)：营运费*</v>
      </c>
      <c r="D75" s="459"/>
      <c r="E75" s="459"/>
      <c r="F75" s="459"/>
      <c r="G75" s="185" t="str">
        <f ca="1">OFFSET($O$19,MATCH($A75,$O$19:$O$98,0),)</f>
        <v>1221.103</v>
      </c>
      <c r="H75" s="185" t="str">
        <f ca="1">OFFSET($P$19,MATCH($A75,$O$19:$O$98,0),)</f>
        <v>拓展部-陶瓷部</v>
      </c>
      <c r="I75" s="459"/>
      <c r="J75" s="294"/>
      <c r="K75" s="294"/>
      <c r="L75" s="629">
        <f ca="1">SUM(M$34:M75)-SUM(N$34:N75)</f>
        <v>0</v>
      </c>
      <c r="M75" s="404">
        <f ca="1">-M74</f>
        <v>898.63</v>
      </c>
      <c r="N75" s="207"/>
      <c r="O75" s="81" t="s">
        <v>63</v>
      </c>
      <c r="P75" s="81" t="s">
        <v>64</v>
      </c>
      <c r="Q75" s="2"/>
    </row>
    <row r="76" ht="14.25" spans="1:16">
      <c r="A76" t="s">
        <v>84</v>
      </c>
      <c r="B76" s="144" t="s">
        <v>26</v>
      </c>
      <c r="C76" s="145" t="str">
        <f t="shared" si="6"/>
        <v>2021.09月Surfing Ebay(防火板)：Order</v>
      </c>
      <c r="D76" s="291"/>
      <c r="E76" s="291"/>
      <c r="F76" s="291"/>
      <c r="G76" s="145" t="str">
        <f ca="1">OFFSET($O$19,MATCH($A$16,$O$19:$O$82,0)+2,)</f>
        <v> 2203.07.012</v>
      </c>
      <c r="H76" s="145" t="str">
        <f ca="1">OFFSET($P$19,MATCH($A$16,$O$19:$O$84,0)+2,)</f>
        <v>        预收 Surfing Ebay</v>
      </c>
      <c r="I76" s="469"/>
      <c r="J76" s="291"/>
      <c r="K76" s="291"/>
      <c r="L76" s="628">
        <f ca="1">SUM(M$34:M76)-SUM(N$34:N76)</f>
        <v>948.949999999837</v>
      </c>
      <c r="M76" s="146">
        <f ca="1">ROUND(SUM(OFFSET($A$1,MATCH($A76,$A$1:$A$9,0)-1,MATCH($B76,$2:$2,0)-1,,2)),2)</f>
        <v>948.95</v>
      </c>
      <c r="N76" s="147"/>
      <c r="O76" s="86" t="s">
        <v>115</v>
      </c>
      <c r="P76" s="86" t="s">
        <v>116</v>
      </c>
    </row>
    <row r="77" ht="18.75" spans="1:17">
      <c r="A77" t="s">
        <v>84</v>
      </c>
      <c r="B77" s="148" t="s">
        <v>7</v>
      </c>
      <c r="C77" s="149" t="str">
        <f t="shared" si="6"/>
        <v>2021.09月Surfing Ebay(防火板)：不含税</v>
      </c>
      <c r="D77" s="457"/>
      <c r="E77" s="457"/>
      <c r="F77" s="457"/>
      <c r="G77" s="37" t="str">
        <f ca="1">OFFSET($O$19,MATCH($A77,$O$19:$O$98,0),)</f>
        <v>1221.107</v>
      </c>
      <c r="H77" s="37" t="str">
        <f ca="1">OFFSET($P$19,MATCH($A77,$O$19:$O$98,0),)</f>
        <v>拓展部-防火底板</v>
      </c>
      <c r="I77" s="470"/>
      <c r="J77" s="471"/>
      <c r="K77" s="471"/>
      <c r="L77" s="617">
        <f ca="1">SUM(M$34:M77)-SUM(N$34:N77)</f>
        <v>158.1599999998</v>
      </c>
      <c r="M77" s="71"/>
      <c r="N77" s="151">
        <f ca="1">ROUND(SUM(OFFSET($A$1,MATCH($A77,$A$1:$A$9,0)-1,MATCH($B77,$2:$2,0)-1)),2)</f>
        <v>790.79</v>
      </c>
      <c r="O77" s="78" t="s">
        <v>20</v>
      </c>
      <c r="P77" s="78"/>
      <c r="Q77" s="27"/>
    </row>
    <row r="78" ht="14.25" spans="1:17">
      <c r="A78" t="s">
        <v>84</v>
      </c>
      <c r="B78" s="148" t="s">
        <v>31</v>
      </c>
      <c r="C78" s="149" t="str">
        <f t="shared" si="6"/>
        <v>2021.09月Surfing Ebay(防火板)：税金</v>
      </c>
      <c r="D78" s="457"/>
      <c r="E78" s="457"/>
      <c r="F78" s="457"/>
      <c r="G78" s="149" t="s">
        <v>32</v>
      </c>
      <c r="H78" s="149" t="s">
        <v>33</v>
      </c>
      <c r="I78" s="457"/>
      <c r="J78" s="472"/>
      <c r="K78" s="472"/>
      <c r="L78" s="618">
        <f ca="1">SUM(M$34:M78)-SUM(N$34:N78)</f>
        <v>0</v>
      </c>
      <c r="M78" s="73"/>
      <c r="N78" s="151">
        <f ca="1">M76-N77-N79</f>
        <v>158.16</v>
      </c>
      <c r="O78" s="81" t="s">
        <v>65</v>
      </c>
      <c r="P78" s="81" t="s">
        <v>66</v>
      </c>
      <c r="Q78" s="2"/>
    </row>
    <row r="79" ht="14.25" hidden="1" spans="1:17">
      <c r="A79" t="s">
        <v>84</v>
      </c>
      <c r="B79" s="148" t="s">
        <v>3</v>
      </c>
      <c r="C79" s="149" t="str">
        <f t="shared" si="6"/>
        <v>2021.09月Surfing Ebay(防火板)：refund</v>
      </c>
      <c r="D79" s="457"/>
      <c r="E79" s="457"/>
      <c r="F79" s="457"/>
      <c r="G79" s="149" t="str">
        <f ca="1">OFFSET($O$19,MATCH($A$16,$O$19:$O$82,0),)</f>
        <v> 1122.001.012</v>
      </c>
      <c r="H79" s="149" t="str">
        <f ca="1">OFFSET($P$19,MATCH($A$16,$O$19:$O$84,0),)</f>
        <v>        应收 Surfing Ebay</v>
      </c>
      <c r="I79" s="457"/>
      <c r="J79" s="472"/>
      <c r="K79" s="472"/>
      <c r="L79" s="618">
        <f ca="1">SUM(M$34:M79)-SUM(N$34:N79)</f>
        <v>0</v>
      </c>
      <c r="M79" s="73"/>
      <c r="N79" s="151">
        <f ca="1">-ROUND(SUM(OFFSET($A$1,MATCH($A79,$A$1:$A$9,0)-1,MATCH($B79,$2:$2,0)-1,,4)),2)</f>
        <v>0</v>
      </c>
      <c r="O79" s="81" t="s">
        <v>67</v>
      </c>
      <c r="P79" s="81" t="s">
        <v>68</v>
      </c>
      <c r="Q79" s="2"/>
    </row>
    <row r="80" ht="14.25" spans="1:17">
      <c r="A80" t="s">
        <v>84</v>
      </c>
      <c r="B80" s="148" t="s">
        <v>89</v>
      </c>
      <c r="C80" s="149" t="str">
        <f t="shared" si="6"/>
        <v>2021.09月Surfing Ebay(防火板)：Ebay费*</v>
      </c>
      <c r="D80" s="457"/>
      <c r="E80" s="457"/>
      <c r="F80" s="457"/>
      <c r="G80" s="149" t="str">
        <f ca="1">OFFSET($O$19,MATCH($A80,$O$19:$O$98,0)+1,)</f>
        <v>6601.002.002.006</v>
      </c>
      <c r="H80" s="149" t="str">
        <f ca="1">OFFSET($P$19,MATCH($A80,$O$19:$O$98,0)+1,)</f>
        <v>防火底板事业部-Ebay费</v>
      </c>
      <c r="I80" s="457"/>
      <c r="J80" s="472"/>
      <c r="K80" s="472"/>
      <c r="L80" s="618">
        <f ca="1">SUM(M$34:M80)-SUM(N$34:N80)</f>
        <v>-97.0800000001909</v>
      </c>
      <c r="M80" s="73">
        <f ca="1">ROUND(SUM(OFFSET($A$1,MATCH($A80,$A$1:$A$9,0)-1,MATCH($B80,$2:$2,0)-1,,3)),2)</f>
        <v>-97.08</v>
      </c>
      <c r="N80" s="151"/>
      <c r="O80" s="81" t="s">
        <v>69</v>
      </c>
      <c r="P80" s="81" t="s">
        <v>70</v>
      </c>
      <c r="Q80" s="2"/>
    </row>
    <row r="81" ht="14.25" hidden="1" spans="1:16">
      <c r="A81" t="s">
        <v>84</v>
      </c>
      <c r="B81" s="148" t="s">
        <v>91</v>
      </c>
      <c r="C81" s="149" t="str">
        <f t="shared" si="6"/>
        <v>2021.09月Surfing Ebay(防火板)：Ebay点击费*</v>
      </c>
      <c r="D81" s="457"/>
      <c r="E81" s="457"/>
      <c r="F81" s="457"/>
      <c r="G81" s="149" t="str">
        <f ca="1">OFFSET($O$19,MATCH($A81,$O$19:$O$98,0)+3,)</f>
        <v>6601.003.002.006</v>
      </c>
      <c r="H81" s="149" t="str">
        <f ca="1">OFFSET($P$19,MATCH($A81,$O$19:$O$98,0)+3,)</f>
        <v>防火底板事业部-ebay点击费</v>
      </c>
      <c r="I81" s="457"/>
      <c r="J81" s="472"/>
      <c r="K81" s="472"/>
      <c r="L81" s="618">
        <f ca="1">SUM(M$34:M81)-SUM(N$34:N81)</f>
        <v>-97.0800000001909</v>
      </c>
      <c r="M81" s="73"/>
      <c r="N81" s="151"/>
      <c r="O81" s="86" t="s">
        <v>117</v>
      </c>
      <c r="P81" s="86" t="s">
        <v>118</v>
      </c>
    </row>
    <row r="82" ht="18.75" spans="1:17">
      <c r="A82" t="s">
        <v>84</v>
      </c>
      <c r="B82" s="148" t="s">
        <v>89</v>
      </c>
      <c r="C82" s="149" t="str">
        <f t="shared" si="6"/>
        <v>2021.09月Surfing Ebay(防火板)：Ebay费*</v>
      </c>
      <c r="D82" s="457"/>
      <c r="E82" s="457"/>
      <c r="F82" s="457"/>
      <c r="G82" s="37" t="str">
        <f ca="1">OFFSET($O$19,MATCH($A82,$O$19:$O$98,0),)</f>
        <v>1221.107</v>
      </c>
      <c r="H82" s="37" t="str">
        <f ca="1">OFFSET($P$19,MATCH($A82,$O$19:$O$98,0),)</f>
        <v>拓展部-防火底板</v>
      </c>
      <c r="I82" s="457"/>
      <c r="J82" s="472"/>
      <c r="K82" s="472"/>
      <c r="L82" s="618">
        <f ca="1">SUM(M$34:M82)-SUM(N$34:N82)</f>
        <v>0</v>
      </c>
      <c r="M82" s="71">
        <f ca="1">-M80</f>
        <v>97.08</v>
      </c>
      <c r="N82" s="151"/>
      <c r="O82" s="78" t="s">
        <v>19</v>
      </c>
      <c r="P82" s="78"/>
      <c r="Q82" s="27"/>
    </row>
    <row r="83" ht="14.25" spans="1:17">
      <c r="A83" t="s">
        <v>84</v>
      </c>
      <c r="B83" s="148" t="s">
        <v>92</v>
      </c>
      <c r="C83" s="149" t="str">
        <f>$A$15&amp;$A$16&amp;"("&amp;A81&amp;")："&amp;B83</f>
        <v>2021.09月Surfing Ebay(防火板)：营运费*</v>
      </c>
      <c r="D83" s="457"/>
      <c r="E83" s="457"/>
      <c r="F83" s="457"/>
      <c r="G83" s="149" t="str">
        <f ca="1">OFFSET($O$19,MATCH($A83,$O$19:$O$98,0)+2,)</f>
        <v>6601.006.005</v>
      </c>
      <c r="H83" s="149" t="str">
        <f ca="1">OFFSET($P$19,MATCH($A83,$O$19:$O$98,0)+2,)</f>
        <v>防火底板事业部-营运费</v>
      </c>
      <c r="I83" s="457"/>
      <c r="J83" s="472"/>
      <c r="K83" s="472"/>
      <c r="L83" s="618">
        <f ca="1">SUM(M$34:M83)-SUM(N$34:N83)</f>
        <v>-39.5400000002701</v>
      </c>
      <c r="M83" s="73">
        <f ca="1">ROUND(SUM(OFFSET($A$1,MATCH($A83,$A$1:$A$9,0)-1,MATCH($B83,$2:$2,0)-1)),2)</f>
        <v>-39.54</v>
      </c>
      <c r="N83" s="151"/>
      <c r="O83" s="81" t="s">
        <v>71</v>
      </c>
      <c r="P83" s="81" t="s">
        <v>72</v>
      </c>
      <c r="Q83" s="2"/>
    </row>
    <row r="84" ht="15" spans="1:17">
      <c r="A84" t="s">
        <v>84</v>
      </c>
      <c r="B84" s="458" t="s">
        <v>92</v>
      </c>
      <c r="C84" s="162" t="str">
        <f>$A$15&amp;$A$16&amp;"("&amp;A84&amp;")："&amp;B84</f>
        <v>2021.09月Surfing Ebay(防火板)：营运费*</v>
      </c>
      <c r="D84" s="459"/>
      <c r="E84" s="459"/>
      <c r="F84" s="459"/>
      <c r="G84" s="185" t="str">
        <f ca="1">OFFSET($O$19,MATCH($A84,$O$19:$O$98,0),)</f>
        <v>1221.107</v>
      </c>
      <c r="H84" s="185" t="str">
        <f ca="1">OFFSET($P$19,MATCH($A84,$O$19:$O$98,0),)</f>
        <v>拓展部-防火底板</v>
      </c>
      <c r="I84" s="459"/>
      <c r="J84" s="294"/>
      <c r="K84" s="294"/>
      <c r="L84" s="629">
        <f ca="1">SUM(M$34:M84)-SUM(N$34:N84)</f>
        <v>0</v>
      </c>
      <c r="M84" s="404">
        <f ca="1">-M83</f>
        <v>39.54</v>
      </c>
      <c r="N84" s="207"/>
      <c r="O84" s="81" t="s">
        <v>73</v>
      </c>
      <c r="P84" s="81" t="s">
        <v>74</v>
      </c>
      <c r="Q84" s="2"/>
    </row>
    <row r="85" ht="14.25" spans="15:17">
      <c r="O85" s="81" t="s">
        <v>75</v>
      </c>
      <c r="P85" s="81" t="s">
        <v>76</v>
      </c>
      <c r="Q85" s="2"/>
    </row>
    <row r="86" spans="15:16">
      <c r="O86" s="86" t="s">
        <v>119</v>
      </c>
      <c r="P86" s="86" t="s">
        <v>120</v>
      </c>
    </row>
    <row r="87" ht="18.75" spans="15:17">
      <c r="O87" s="78" t="s">
        <v>83</v>
      </c>
      <c r="P87" s="78"/>
      <c r="Q87" s="27"/>
    </row>
    <row r="88" ht="14.25" spans="12:17">
      <c r="L88" s="634">
        <f ca="1">M88-N88</f>
        <v>0</v>
      </c>
      <c r="M88">
        <f ca="1">SUBTOTAL(9,M34:M87)</f>
        <v>909978.82</v>
      </c>
      <c r="N88">
        <f ca="1">SUBTOTAL(9,N34:N87)</f>
        <v>909978.82</v>
      </c>
      <c r="O88" s="87" t="s">
        <v>121</v>
      </c>
      <c r="P88" s="88" t="s">
        <v>122</v>
      </c>
      <c r="Q88" s="48"/>
    </row>
    <row r="89" ht="14.25" spans="15:17">
      <c r="O89" s="87" t="s">
        <v>123</v>
      </c>
      <c r="P89" s="88" t="s">
        <v>124</v>
      </c>
      <c r="Q89" s="48"/>
    </row>
    <row r="90" ht="14.25" spans="15:17">
      <c r="O90" s="87" t="s">
        <v>125</v>
      </c>
      <c r="P90" s="88" t="s">
        <v>126</v>
      </c>
      <c r="Q90" s="48"/>
    </row>
    <row r="91" ht="14.25" spans="15:17">
      <c r="O91" s="87" t="s">
        <v>127</v>
      </c>
      <c r="P91" s="88" t="s">
        <v>128</v>
      </c>
      <c r="Q91" s="48"/>
    </row>
    <row r="93" ht="18.75" spans="15:17">
      <c r="O93" s="78" t="s">
        <v>84</v>
      </c>
      <c r="P93" s="78"/>
      <c r="Q93" s="27"/>
    </row>
    <row r="94" spans="15:16">
      <c r="O94" t="s">
        <v>129</v>
      </c>
      <c r="P94" t="s">
        <v>130</v>
      </c>
    </row>
    <row r="95" spans="15:16">
      <c r="O95" t="s">
        <v>131</v>
      </c>
      <c r="P95" t="s">
        <v>132</v>
      </c>
    </row>
    <row r="96" spans="15:16">
      <c r="O96" t="s">
        <v>133</v>
      </c>
      <c r="P96" t="s">
        <v>134</v>
      </c>
    </row>
    <row r="97" spans="15:16">
      <c r="O97" t="s">
        <v>135</v>
      </c>
      <c r="P97" t="s">
        <v>136</v>
      </c>
    </row>
  </sheetData>
  <conditionalFormatting sqref="P76">
    <cfRule type="duplicateValues" dxfId="0" priority="2"/>
  </conditionalFormatting>
  <conditionalFormatting sqref="P81">
    <cfRule type="duplicateValues" dxfId="0" priority="3"/>
  </conditionalFormatting>
  <conditionalFormatting sqref="P86">
    <cfRule type="duplicateValues" dxfId="0" priority="1"/>
  </conditionalFormatting>
  <dataValidations count="2">
    <dataValidation type="list" allowBlank="1" showInputMessage="1" showErrorMessage="1" sqref="A16">
      <formula1>"Online Ebay,Surfing Ebay,Simple Ebay,Showerenclosure Ebay,SuperShower Ebay,OnlineBath Ebay,Skybathroom Ebay"</formula1>
    </dataValidation>
    <dataValidation type="list" allowBlank="1" showInputMessage="1" showErrorMessage="1" sqref="A17">
      <formula1>$A$3:$A$6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S65"/>
  <sheetViews>
    <sheetView topLeftCell="A22" workbookViewId="0">
      <selection activeCell="P50" sqref="P50"/>
    </sheetView>
  </sheetViews>
  <sheetFormatPr defaultColWidth="9" defaultRowHeight="13.5"/>
  <cols>
    <col min="1" max="1" width="6.75" customWidth="1"/>
    <col min="2" max="2" width="10.625" customWidth="1"/>
    <col min="3" max="3" width="11.125" customWidth="1"/>
    <col min="4" max="4" width="11.625" customWidth="1"/>
    <col min="5" max="5" width="6.125" customWidth="1"/>
    <col min="6" max="6" width="10.75" customWidth="1"/>
    <col min="7" max="7" width="17.625" customWidth="1"/>
    <col min="8" max="8" width="6.25" customWidth="1"/>
    <col min="9" max="9" width="11.875" customWidth="1"/>
    <col min="10" max="11" width="11.625" customWidth="1"/>
    <col min="12" max="12" width="13.5" customWidth="1"/>
    <col min="13" max="13" width="14.125" customWidth="1"/>
    <col min="14" max="14" width="14.25" customWidth="1"/>
    <col min="15" max="15" width="13.625" style="31" customWidth="1"/>
    <col min="16" max="16" width="13.875" customWidth="1"/>
    <col min="17" max="17" width="10.375"/>
    <col min="18" max="18" width="18.25" customWidth="1"/>
  </cols>
  <sheetData>
    <row r="1" spans="12:16">
      <c r="L1" t="s">
        <v>137</v>
      </c>
      <c r="M1" t="s">
        <v>138</v>
      </c>
      <c r="N1" t="s">
        <v>138</v>
      </c>
      <c r="O1" s="31" t="s">
        <v>139</v>
      </c>
      <c r="P1" t="s">
        <v>139</v>
      </c>
    </row>
    <row r="2" ht="18.75" spans="3:16">
      <c r="C2" s="573" t="s">
        <v>140</v>
      </c>
      <c r="D2" s="140"/>
      <c r="E2" s="140"/>
      <c r="F2" s="140"/>
      <c r="G2" s="140"/>
      <c r="H2" s="140"/>
      <c r="I2" s="140"/>
      <c r="J2" s="140"/>
      <c r="K2" s="140"/>
      <c r="M2" s="478" t="s">
        <v>141</v>
      </c>
      <c r="N2" s="478" t="s">
        <v>14</v>
      </c>
      <c r="O2" s="478" t="s">
        <v>141</v>
      </c>
      <c r="P2" s="478" t="s">
        <v>14</v>
      </c>
    </row>
    <row r="3" ht="25.5" spans="1:17">
      <c r="A3" t="s">
        <v>140</v>
      </c>
      <c r="B3" s="643" t="s">
        <v>142</v>
      </c>
      <c r="C3" s="574" t="s">
        <v>4</v>
      </c>
      <c r="D3" s="425" t="s">
        <v>5</v>
      </c>
      <c r="E3" s="450"/>
      <c r="F3" s="425" t="s">
        <v>7</v>
      </c>
      <c r="G3" s="450" t="s">
        <v>143</v>
      </c>
      <c r="H3" s="450"/>
      <c r="I3" s="438"/>
      <c r="J3" s="425" t="s">
        <v>79</v>
      </c>
      <c r="K3" s="438" t="s">
        <v>11</v>
      </c>
      <c r="L3" s="526" t="s">
        <v>137</v>
      </c>
      <c r="M3" s="581" t="s">
        <v>138</v>
      </c>
      <c r="N3" s="581" t="s">
        <v>138</v>
      </c>
      <c r="O3" s="582" t="s">
        <v>139</v>
      </c>
      <c r="P3" s="583" t="s">
        <v>139</v>
      </c>
      <c r="Q3" s="526" t="s">
        <v>12</v>
      </c>
    </row>
    <row r="4" spans="1:17">
      <c r="A4" s="142" t="s">
        <v>140</v>
      </c>
      <c r="B4" s="643" t="s">
        <v>88</v>
      </c>
      <c r="C4" s="427" t="s">
        <v>17</v>
      </c>
      <c r="D4" s="141">
        <v>34533.2900000002</v>
      </c>
      <c r="E4" s="141"/>
      <c r="F4" s="141">
        <v>28777.7416666668</v>
      </c>
      <c r="G4" s="141">
        <v>-4315.53999999999</v>
      </c>
      <c r="H4" s="141"/>
      <c r="I4" s="143"/>
      <c r="J4" s="141">
        <v>-1438.88708333334</v>
      </c>
      <c r="K4" s="141">
        <v>23023.3145833335</v>
      </c>
      <c r="L4" s="143">
        <v>35941.5300000001</v>
      </c>
      <c r="M4" s="576">
        <v>-1408.24</v>
      </c>
      <c r="N4" s="143">
        <v>0</v>
      </c>
      <c r="O4" s="143">
        <v>0</v>
      </c>
      <c r="P4" s="143">
        <v>0</v>
      </c>
      <c r="Q4" s="143">
        <v>34533.2900000001</v>
      </c>
    </row>
    <row r="5" spans="1:17">
      <c r="A5" s="142" t="s">
        <v>140</v>
      </c>
      <c r="B5" s="643" t="s">
        <v>88</v>
      </c>
      <c r="C5" s="427" t="s">
        <v>18</v>
      </c>
      <c r="D5" s="141">
        <v>40384.9400000001</v>
      </c>
      <c r="E5" s="141"/>
      <c r="F5" s="141">
        <v>33654.1166666667</v>
      </c>
      <c r="G5" s="141">
        <v>-5047.98999999999</v>
      </c>
      <c r="H5" s="141"/>
      <c r="I5" s="143"/>
      <c r="J5" s="141">
        <v>-1682.70583333334</v>
      </c>
      <c r="K5" s="141">
        <v>26923.4208333334</v>
      </c>
      <c r="L5" s="143">
        <v>41644.3100000001</v>
      </c>
      <c r="M5" s="143">
        <v>-1259.37</v>
      </c>
      <c r="N5" s="143">
        <v>0</v>
      </c>
      <c r="O5" s="143">
        <v>0</v>
      </c>
      <c r="P5" s="143">
        <v>0</v>
      </c>
      <c r="Q5" s="143">
        <v>40384.9400000001</v>
      </c>
    </row>
    <row r="6" spans="1:17">
      <c r="A6" s="142" t="s">
        <v>140</v>
      </c>
      <c r="B6" s="643" t="s">
        <v>88</v>
      </c>
      <c r="C6" s="427" t="s">
        <v>19</v>
      </c>
      <c r="D6" s="141">
        <v>4147.57</v>
      </c>
      <c r="E6" s="141"/>
      <c r="F6" s="141">
        <v>3456.30833333333</v>
      </c>
      <c r="G6" s="141">
        <v>-518.47</v>
      </c>
      <c r="H6" s="141"/>
      <c r="I6" s="143"/>
      <c r="J6" s="141">
        <v>-172.815416666667</v>
      </c>
      <c r="K6" s="141">
        <v>2765.02291666666</v>
      </c>
      <c r="L6" s="143">
        <v>4223.56</v>
      </c>
      <c r="M6" s="143">
        <v>-75.99</v>
      </c>
      <c r="N6" s="143">
        <v>0</v>
      </c>
      <c r="O6" s="143">
        <v>0</v>
      </c>
      <c r="P6" s="143">
        <v>0</v>
      </c>
      <c r="Q6" s="143">
        <v>4147.57</v>
      </c>
    </row>
    <row r="7" spans="1:17">
      <c r="A7" s="142" t="s">
        <v>140</v>
      </c>
      <c r="B7" s="643" t="s">
        <v>88</v>
      </c>
      <c r="C7" s="427" t="s">
        <v>20</v>
      </c>
      <c r="D7" s="141">
        <v>16803.07</v>
      </c>
      <c r="E7" s="141"/>
      <c r="F7" s="141">
        <v>14002.5583333333</v>
      </c>
      <c r="G7" s="141">
        <v>-2100.46</v>
      </c>
      <c r="H7" s="141"/>
      <c r="I7" s="143"/>
      <c r="J7" s="141">
        <v>-700.127916666667</v>
      </c>
      <c r="K7" s="141">
        <v>11201.9704166667</v>
      </c>
      <c r="L7" s="143">
        <v>16967.81</v>
      </c>
      <c r="M7" s="143">
        <v>-164.74</v>
      </c>
      <c r="N7" s="143">
        <v>0</v>
      </c>
      <c r="O7" s="143">
        <v>0</v>
      </c>
      <c r="P7" s="143">
        <v>0</v>
      </c>
      <c r="Q7" s="143">
        <v>16803.07</v>
      </c>
    </row>
    <row r="8" spans="1:17">
      <c r="A8" s="142" t="s">
        <v>140</v>
      </c>
      <c r="B8" s="643" t="s">
        <v>88</v>
      </c>
      <c r="C8" s="427" t="s">
        <v>83</v>
      </c>
      <c r="D8" s="141">
        <v>1559.9</v>
      </c>
      <c r="E8" s="141"/>
      <c r="F8" s="141">
        <v>1299.91666666667</v>
      </c>
      <c r="G8" s="141">
        <v>-194.96</v>
      </c>
      <c r="H8" s="141"/>
      <c r="I8" s="143"/>
      <c r="J8" s="141">
        <v>-64.9958333333333</v>
      </c>
      <c r="K8" s="141">
        <v>1039.96083333333</v>
      </c>
      <c r="L8" s="143">
        <v>1694.89</v>
      </c>
      <c r="M8" s="143">
        <v>-134.99</v>
      </c>
      <c r="N8" s="143">
        <v>0</v>
      </c>
      <c r="O8" s="143">
        <v>0</v>
      </c>
      <c r="P8" s="143">
        <v>0</v>
      </c>
      <c r="Q8" s="143">
        <v>1559.9</v>
      </c>
    </row>
    <row r="9" spans="1:17">
      <c r="A9" s="142" t="s">
        <v>140</v>
      </c>
      <c r="B9" s="643" t="s">
        <v>88</v>
      </c>
      <c r="C9" s="427" t="s">
        <v>84</v>
      </c>
      <c r="D9" s="141">
        <v>0</v>
      </c>
      <c r="E9" s="141"/>
      <c r="F9" s="141">
        <v>0</v>
      </c>
      <c r="G9" s="141">
        <v>0</v>
      </c>
      <c r="H9" s="141"/>
      <c r="I9" s="143"/>
      <c r="J9" s="141">
        <v>0</v>
      </c>
      <c r="K9" s="141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</row>
    <row r="10" spans="1:17">
      <c r="A10" s="142" t="s">
        <v>140</v>
      </c>
      <c r="B10" s="643" t="s">
        <v>88</v>
      </c>
      <c r="C10" s="386" t="s">
        <v>21</v>
      </c>
      <c r="D10" s="428">
        <v>97428.7700000002</v>
      </c>
      <c r="E10" s="428">
        <v>0</v>
      </c>
      <c r="F10" s="428">
        <v>81190.6416666669</v>
      </c>
      <c r="G10" s="428">
        <v>-12177.42</v>
      </c>
      <c r="H10" s="428">
        <v>0</v>
      </c>
      <c r="I10" s="428">
        <v>0</v>
      </c>
      <c r="J10" s="428">
        <v>-4059.53208333334</v>
      </c>
      <c r="K10" s="428">
        <v>64953.6895833335</v>
      </c>
      <c r="L10" s="428">
        <v>100472.1</v>
      </c>
      <c r="M10" s="428">
        <v>-3043.33</v>
      </c>
      <c r="N10" s="428">
        <v>0</v>
      </c>
      <c r="O10" s="428">
        <v>0</v>
      </c>
      <c r="P10" s="428">
        <v>0</v>
      </c>
      <c r="Q10" s="543">
        <v>97428.7700000002</v>
      </c>
    </row>
    <row r="11" spans="6:13">
      <c r="F11" s="545">
        <f>SUM(F5:F9)-SUMIFS($N$15:$N$62,$B$15:$B$62,F$3)</f>
        <v>-0.00999999992200173</v>
      </c>
      <c r="G11" s="545">
        <f>SUM(G5:G9)+SUMIFS($M$15:$M$62,$B$15:$B$62,G$3,$M$15:$M$62,"&gt;0")</f>
        <v>8.18545231595635e-12</v>
      </c>
      <c r="H11" s="484"/>
      <c r="I11" s="484"/>
      <c r="J11" s="545">
        <f>SUM(J5:J9)+SUMIFS($M$15:$M$62,$B$15:$B$62,J$3,$M$15:$M$62,"&gt;0")</f>
        <v>0.0149999999962347</v>
      </c>
      <c r="K11" s="484"/>
      <c r="L11" s="545">
        <f>SUM(L5:L9)-SUMIFS($M$17:$M$62,$B$17:$B$62,L$3)</f>
        <v>8.73114913702011e-11</v>
      </c>
      <c r="M11" s="545">
        <f>SUM(M5:M9)+SUMIFS($N$17:$N$62,$B$17:$B$62,M$3)</f>
        <v>0.00999999999976353</v>
      </c>
    </row>
    <row r="12" spans="1:1">
      <c r="A12" s="643" t="str">
        <f>B8</f>
        <v>2021.09月</v>
      </c>
    </row>
    <row r="13" spans="1:1">
      <c r="A13" t="s">
        <v>140</v>
      </c>
    </row>
    <row r="14" ht="14.25"/>
    <row r="15" ht="15" spans="1:18">
      <c r="A15" t="s">
        <v>140</v>
      </c>
      <c r="B15" s="452" t="s">
        <v>137</v>
      </c>
      <c r="C15" s="453" t="str">
        <f>$A$12&amp;$A$13&amp;"："&amp;B15</f>
        <v>2021.09月Mano：Commande</v>
      </c>
      <c r="D15" s="453"/>
      <c r="E15" s="453"/>
      <c r="F15" s="453"/>
      <c r="G15" s="453" t="str">
        <f>INDEX($R:$R,MATCH($A$13,$R:$R,0)+1)</f>
        <v>1122.001.003</v>
      </c>
      <c r="H15" s="453" t="str">
        <f>INDEX($S:$S,MATCH($A$13,$R:$R,0)+1)</f>
        <v>应收账款 - 应收销售平台款 - 应收 Mano</v>
      </c>
      <c r="I15" s="467"/>
      <c r="J15" s="453"/>
      <c r="K15" s="453"/>
      <c r="L15" s="453"/>
      <c r="M15" s="315">
        <f>ROUND(L10,2)</f>
        <v>100472.1</v>
      </c>
      <c r="N15" s="316"/>
      <c r="O15" s="31">
        <f>SUM(M$15:M15)-SUM(N$15:N15)</f>
        <v>100472.1</v>
      </c>
      <c r="R15" s="57" t="s">
        <v>144</v>
      </c>
    </row>
    <row r="16" ht="15" spans="1:19">
      <c r="A16" t="s">
        <v>140</v>
      </c>
      <c r="B16" s="547" t="s">
        <v>137</v>
      </c>
      <c r="C16" s="548" t="str">
        <f>$A$12&amp;$A$13&amp;"："&amp;B16</f>
        <v>2021.09月Mano：Commande</v>
      </c>
      <c r="D16" s="548"/>
      <c r="E16" s="548"/>
      <c r="F16" s="548"/>
      <c r="G16" s="549" t="str">
        <f>INDEX($R:$R,MATCH($A$13,$R:$R,0)+2)</f>
        <v>2203.07.003</v>
      </c>
      <c r="H16" s="548" t="str">
        <f>INDEX($S:$S,MATCH($A$13,$R:$R,0)+2)</f>
        <v>预收账款 - 预收销售平台款 - 预收 Mano</v>
      </c>
      <c r="I16" s="553"/>
      <c r="J16" s="548"/>
      <c r="K16" s="548"/>
      <c r="L16" s="548"/>
      <c r="M16" s="241"/>
      <c r="N16" s="246">
        <f>M15</f>
        <v>100472.1</v>
      </c>
      <c r="O16" s="31">
        <f>SUM(M$15:M16)-SUM(N$15:N16)</f>
        <v>0</v>
      </c>
      <c r="R16" s="546" t="s">
        <v>145</v>
      </c>
      <c r="S16" s="546" t="s">
        <v>146</v>
      </c>
    </row>
    <row r="17" ht="15" spans="1:19">
      <c r="A17" t="s">
        <v>18</v>
      </c>
      <c r="B17" s="144" t="s">
        <v>137</v>
      </c>
      <c r="C17" s="145" t="str">
        <f>$A$12&amp;$A$13&amp;"("&amp;$A17&amp;")："&amp;B17</f>
        <v>2021.09月Mano(镜柜)：Commande</v>
      </c>
      <c r="D17" s="291"/>
      <c r="E17" s="291"/>
      <c r="F17" s="291"/>
      <c r="G17" s="145" t="str">
        <f>INDEX($R:$R,MATCH($A$13,$R:$R,0)+2)</f>
        <v>2203.07.003</v>
      </c>
      <c r="H17" s="291" t="str">
        <f>INDEX($S:$S,MATCH($A$13,$R:$R,0)+2)</f>
        <v>预收账款 - 预收销售平台款 - 预收 Mano</v>
      </c>
      <c r="I17" s="469"/>
      <c r="J17" s="291"/>
      <c r="K17" s="291"/>
      <c r="L17" s="291"/>
      <c r="M17" s="146">
        <f>ROUND(INDEX($A$1:$Q$10,MATCH($A17,$C$1:$C$10,0),MATCH($B17,$A$1:$Q$1,0)),2)</f>
        <v>41644.31</v>
      </c>
      <c r="N17" s="147"/>
      <c r="O17" s="31">
        <f>SUM(M$15:M17)-SUM(N$15:N17)</f>
        <v>41644.31</v>
      </c>
      <c r="R17" s="549" t="s">
        <v>147</v>
      </c>
      <c r="S17" s="549" t="s">
        <v>148</v>
      </c>
    </row>
    <row r="18" ht="14.25" spans="1:15">
      <c r="A18" t="s">
        <v>18</v>
      </c>
      <c r="B18" s="148" t="s">
        <v>7</v>
      </c>
      <c r="C18" s="149" t="str">
        <f>$A$12&amp;$A$13&amp;"("&amp;$A18&amp;")："&amp;B18</f>
        <v>2021.09月Mano(镜柜)：不含税</v>
      </c>
      <c r="D18" s="457"/>
      <c r="E18" s="457"/>
      <c r="F18" s="457"/>
      <c r="G18" s="37" t="str">
        <f>INDEX($R:$R,MATCH($A18,$R:$R,0)+1)</f>
        <v>1221.86</v>
      </c>
      <c r="H18" s="37" t="str">
        <f>INDEX($S:$S,MATCH($A18,$R:$R,0)+1)</f>
        <v>其他应收款 - 事业部</v>
      </c>
      <c r="I18" s="470"/>
      <c r="J18" s="471"/>
      <c r="K18" s="471"/>
      <c r="L18" s="471"/>
      <c r="M18" s="71"/>
      <c r="N18" s="151">
        <f>ROUND(INDEX($A$1:$Q$10,MATCH($A18,$C$1:$C$10,0),MATCH($B18,$A$3:$Q$3,0)),2)</f>
        <v>33654.12</v>
      </c>
      <c r="O18" s="31">
        <f>SUM(M$15:M18)-SUM(N$15:N18)</f>
        <v>7990.19</v>
      </c>
    </row>
    <row r="19" ht="14.25" spans="1:18">
      <c r="A19" t="s">
        <v>18</v>
      </c>
      <c r="B19" s="148" t="s">
        <v>31</v>
      </c>
      <c r="C19" s="149" t="str">
        <f>$A$12&amp;$A$13&amp;"("&amp;$A19&amp;")："&amp;B19</f>
        <v>2021.09月Mano(镜柜)：税金</v>
      </c>
      <c r="D19" s="457"/>
      <c r="E19" s="457"/>
      <c r="F19" s="457"/>
      <c r="G19" s="149" t="s">
        <v>32</v>
      </c>
      <c r="H19" s="149" t="s">
        <v>33</v>
      </c>
      <c r="I19" s="457"/>
      <c r="J19" s="472"/>
      <c r="K19" s="472"/>
      <c r="L19" s="472"/>
      <c r="M19" s="73"/>
      <c r="N19" s="151">
        <f>ROUND(N18*0.2,2)-0.01</f>
        <v>6730.81</v>
      </c>
      <c r="O19" s="31">
        <f>SUM(M$15:M19)-SUM(N$15:N19)</f>
        <v>1259.38</v>
      </c>
      <c r="R19" t="s">
        <v>18</v>
      </c>
    </row>
    <row r="20" ht="14.25" spans="1:19">
      <c r="A20" t="s">
        <v>18</v>
      </c>
      <c r="B20" s="148" t="s">
        <v>138</v>
      </c>
      <c r="C20" s="149" t="str">
        <f>$A$12&amp;$A$13&amp;"("&amp;$A20&amp;")："&amp;B20</f>
        <v>2021.09月Mano(镜柜)：Remboursement</v>
      </c>
      <c r="D20" s="457"/>
      <c r="E20" s="457"/>
      <c r="F20" s="457"/>
      <c r="G20" s="472" t="str">
        <f>INDEX($R:$R,MATCH($A$13,$R:$R,0)+1)</f>
        <v>1122.001.003</v>
      </c>
      <c r="H20" s="472" t="str">
        <f>INDEX($S:$S,MATCH($A$13,$R:$R,0)+1)</f>
        <v>应收账款 - 应收销售平台款 - 应收 Mano</v>
      </c>
      <c r="I20" s="457"/>
      <c r="J20" s="472"/>
      <c r="K20" s="472"/>
      <c r="L20" s="472"/>
      <c r="M20" s="73"/>
      <c r="N20" s="151">
        <f>-ROUND(INDEX($A$1:$Q$10,MATCH($A20,$C$1:$C$10,0),MATCH($B20,$A$1:$Q$1,0)),2)+0.01</f>
        <v>1259.38</v>
      </c>
      <c r="O20" s="31">
        <f>SUM(M$15:M20)-SUM(N$15:N20)</f>
        <v>0</v>
      </c>
      <c r="R20" s="37" t="s">
        <v>59</v>
      </c>
      <c r="S20" s="37" t="s">
        <v>60</v>
      </c>
    </row>
    <row r="21" ht="14.25" hidden="1" spans="1:19">
      <c r="A21" t="s">
        <v>18</v>
      </c>
      <c r="B21" s="148" t="s">
        <v>138</v>
      </c>
      <c r="C21" s="149" t="str">
        <f t="shared" ref="C21:C61" si="0">$A$12&amp;$A$13&amp;"("&amp;$A21&amp;")："&amp;B21</f>
        <v>2021.09月Mano(镜柜)：Remboursement</v>
      </c>
      <c r="D21" s="457"/>
      <c r="E21" s="457"/>
      <c r="F21" s="457"/>
      <c r="G21" s="149" t="s">
        <v>149</v>
      </c>
      <c r="H21" s="149" t="s">
        <v>150</v>
      </c>
      <c r="I21" s="457"/>
      <c r="J21" s="472"/>
      <c r="K21" s="472"/>
      <c r="L21" s="472"/>
      <c r="M21" s="73"/>
      <c r="N21" s="151"/>
      <c r="O21" s="31">
        <f>SUM(M$15:M21)-SUM(N$15:N21)</f>
        <v>0</v>
      </c>
      <c r="R21" s="149" t="s">
        <v>151</v>
      </c>
      <c r="S21" s="149" t="s">
        <v>152</v>
      </c>
    </row>
    <row r="22" ht="14.25" spans="1:19">
      <c r="A22" t="s">
        <v>18</v>
      </c>
      <c r="B22" s="148" t="s">
        <v>143</v>
      </c>
      <c r="C22" s="149" t="str">
        <f t="shared" si="0"/>
        <v>2021.09月Mano(镜柜)：平台费</v>
      </c>
      <c r="D22" s="457"/>
      <c r="E22" s="457"/>
      <c r="F22" s="457"/>
      <c r="G22" s="37" t="str">
        <f>INDEX($R:$R,MATCH($A22,$R:$R,0)+2)</f>
        <v>6601.002.004.003</v>
      </c>
      <c r="H22" s="37" t="str">
        <f>INDEX($S:$S,MATCH($A22,$R:$R,0)+2)</f>
        <v>销售费用 - 销售平台费用 - Manomano平台费 - 镜柜事业部-manomano平台费</v>
      </c>
      <c r="I22" s="470"/>
      <c r="J22" s="472"/>
      <c r="K22" s="472"/>
      <c r="L22" s="472"/>
      <c r="M22" s="73">
        <f>ROUND(INDEX($A$1:$Q$10,MATCH($A22,$C$1:$C$10,0),MATCH($B22,$A$3:$Q$3,0)),2)</f>
        <v>-5047.99</v>
      </c>
      <c r="N22" s="151"/>
      <c r="O22" s="31">
        <f>SUM(M$15:M22)-SUM(N$15:N22)</f>
        <v>-5047.98999999999</v>
      </c>
      <c r="R22" s="149" t="s">
        <v>63</v>
      </c>
      <c r="S22" s="149" t="s">
        <v>64</v>
      </c>
    </row>
    <row r="23" ht="14.25" spans="1:15">
      <c r="A23" t="s">
        <v>18</v>
      </c>
      <c r="B23" s="148" t="s">
        <v>143</v>
      </c>
      <c r="C23" s="149" t="str">
        <f t="shared" si="0"/>
        <v>2021.09月Mano(镜柜)：平台费</v>
      </c>
      <c r="D23" s="457"/>
      <c r="E23" s="457"/>
      <c r="F23" s="457"/>
      <c r="G23" s="37" t="str">
        <f>INDEX($R:$R,MATCH($A23,$R:$R,0)+1)</f>
        <v>1221.86</v>
      </c>
      <c r="H23" s="37" t="str">
        <f>INDEX($S:$S,MATCH($A23,$R:$R,0)+1)</f>
        <v>其他应收款 - 事业部</v>
      </c>
      <c r="I23" s="457"/>
      <c r="J23" s="472"/>
      <c r="K23" s="472"/>
      <c r="L23" s="472"/>
      <c r="M23" s="71">
        <f>-M22</f>
        <v>5047.99</v>
      </c>
      <c r="N23" s="151"/>
      <c r="O23" s="31">
        <f>SUM(M$15:M23)-SUM(N$15:N23)</f>
        <v>0</v>
      </c>
    </row>
    <row r="24" ht="14.25" spans="1:15">
      <c r="A24" t="s">
        <v>18</v>
      </c>
      <c r="B24" s="148" t="s">
        <v>79</v>
      </c>
      <c r="C24" s="149" t="str">
        <f t="shared" si="0"/>
        <v>2021.09月Mano(镜柜)：营运费5%：</v>
      </c>
      <c r="D24" s="457"/>
      <c r="E24" s="457"/>
      <c r="F24" s="457"/>
      <c r="G24" s="37" t="str">
        <f>INDEX($R:$R,MATCH($A24,$R:$R,0)+3)</f>
        <v>6601.006.002</v>
      </c>
      <c r="H24" s="37" t="str">
        <f>INDEX($S:$S,MATCH($A24,$R:$R,0)+3)</f>
        <v>销售费用 - 事业部营运费 - 镜柜事业部-营运费</v>
      </c>
      <c r="I24" s="457"/>
      <c r="J24" s="472"/>
      <c r="K24" s="472"/>
      <c r="L24" s="472"/>
      <c r="M24" s="73">
        <f>ROUND(INDEX($A$1:$Q$10,MATCH($A24,$C$1:$C$10,0),MATCH($B24,$A$3:$Q$3,0)),2)</f>
        <v>-1682.71</v>
      </c>
      <c r="N24" s="151"/>
      <c r="O24" s="31">
        <f>SUM(M$15:M24)-SUM(N$15:N24)</f>
        <v>-1682.70999999999</v>
      </c>
    </row>
    <row r="25" ht="15" spans="1:18">
      <c r="A25" t="s">
        <v>18</v>
      </c>
      <c r="B25" s="458" t="s">
        <v>79</v>
      </c>
      <c r="C25" s="162" t="str">
        <f t="shared" si="0"/>
        <v>2021.09月Mano(镜柜)：营运费5%：</v>
      </c>
      <c r="D25" s="459"/>
      <c r="E25" s="459"/>
      <c r="F25" s="459"/>
      <c r="G25" s="185" t="str">
        <f>INDEX($R:$R,MATCH($A25,$R:$R,0)+1)</f>
        <v>1221.86</v>
      </c>
      <c r="H25" s="185" t="str">
        <f>INDEX($S:$S,MATCH($A25,$R:$R,0)+1)</f>
        <v>其他应收款 - 事业部</v>
      </c>
      <c r="I25" s="459"/>
      <c r="J25" s="294"/>
      <c r="K25" s="294"/>
      <c r="L25" s="294"/>
      <c r="M25" s="404">
        <f>-M24</f>
        <v>1682.71</v>
      </c>
      <c r="N25" s="207"/>
      <c r="O25" s="31">
        <f>SUM(M$15:M25)-SUM(N$15:N25)</f>
        <v>0</v>
      </c>
      <c r="R25" t="s">
        <v>20</v>
      </c>
    </row>
    <row r="26" ht="14.25" spans="1:19">
      <c r="A26" t="s">
        <v>20</v>
      </c>
      <c r="B26" s="144" t="s">
        <v>137</v>
      </c>
      <c r="C26" s="145" t="str">
        <f t="shared" si="0"/>
        <v>2021.09月Mano(五金)：Commande</v>
      </c>
      <c r="D26" s="291"/>
      <c r="E26" s="291"/>
      <c r="F26" s="291"/>
      <c r="G26" s="145" t="str">
        <f>INDEX($R:$R,MATCH($A$13,$R:$R,0)+2)</f>
        <v>2203.07.003</v>
      </c>
      <c r="H26" s="291" t="str">
        <f>INDEX($S:$S,MATCH($A$13,$R:$R,0)+2)</f>
        <v>预收账款 - 预收销售平台款 - 预收 Mano</v>
      </c>
      <c r="I26" s="469"/>
      <c r="J26" s="291"/>
      <c r="K26" s="291"/>
      <c r="L26" s="291"/>
      <c r="M26" s="146">
        <f>ROUND(INDEX($A$1:$Q$10,MATCH($A26,$C$1:$C$10,0),MATCH($B26,$A$1:$Q$1,0)),2)</f>
        <v>16967.81</v>
      </c>
      <c r="N26" s="147"/>
      <c r="O26" s="31">
        <f>SUM(M$15:M26)-SUM(N$15:N26)</f>
        <v>16967.81</v>
      </c>
      <c r="R26" s="37" t="s">
        <v>65</v>
      </c>
      <c r="S26" s="37" t="s">
        <v>66</v>
      </c>
    </row>
    <row r="27" ht="14.25" spans="1:19">
      <c r="A27" t="s">
        <v>20</v>
      </c>
      <c r="B27" s="148" t="s">
        <v>7</v>
      </c>
      <c r="C27" s="149" t="str">
        <f t="shared" si="0"/>
        <v>2021.09月Mano(五金)：不含税</v>
      </c>
      <c r="D27" s="457"/>
      <c r="E27" s="457"/>
      <c r="F27" s="457"/>
      <c r="G27" s="37" t="str">
        <f>INDEX($R:$R,MATCH($A27,$R:$R,0)+1)</f>
        <v>1221.60</v>
      </c>
      <c r="H27" s="37" t="str">
        <f>INDEX($S:$S,MATCH($A27,$R:$R,0)+1)</f>
        <v>其他应收款 - 拓展部五金部</v>
      </c>
      <c r="I27" s="470"/>
      <c r="J27" s="471"/>
      <c r="K27" s="471"/>
      <c r="L27" s="471"/>
      <c r="M27" s="71"/>
      <c r="N27" s="151">
        <f>ROUND(INDEX($A$1:$Q$10,MATCH($A27,$C$1:$C$10,0),MATCH($B27,$A$3:$Q$3,0)),2)</f>
        <v>14002.56</v>
      </c>
      <c r="O27" s="31">
        <f>SUM(M$15:M27)-SUM(N$15:N27)</f>
        <v>2965.25</v>
      </c>
      <c r="R27" s="149" t="s">
        <v>153</v>
      </c>
      <c r="S27" s="149" t="s">
        <v>154</v>
      </c>
    </row>
    <row r="28" ht="14.25" spans="1:19">
      <c r="A28" t="s">
        <v>20</v>
      </c>
      <c r="B28" s="148" t="s">
        <v>31</v>
      </c>
      <c r="C28" s="149" t="str">
        <f t="shared" si="0"/>
        <v>2021.09月Mano(五金)：税金</v>
      </c>
      <c r="D28" s="457"/>
      <c r="E28" s="457"/>
      <c r="F28" s="457"/>
      <c r="G28" s="149" t="s">
        <v>32</v>
      </c>
      <c r="H28" s="149" t="s">
        <v>33</v>
      </c>
      <c r="I28" s="457"/>
      <c r="J28" s="472"/>
      <c r="K28" s="472"/>
      <c r="L28" s="472"/>
      <c r="M28" s="73"/>
      <c r="N28" s="151">
        <f>ROUND(N27*0.2,2)</f>
        <v>2800.51</v>
      </c>
      <c r="O28" s="31">
        <f>SUM(M$15:M28)-SUM(N$15:N28)</f>
        <v>164.739999999991</v>
      </c>
      <c r="R28" s="149" t="s">
        <v>69</v>
      </c>
      <c r="S28" s="149" t="s">
        <v>70</v>
      </c>
    </row>
    <row r="29" ht="14.25" spans="1:15">
      <c r="A29" t="s">
        <v>20</v>
      </c>
      <c r="B29" s="148" t="s">
        <v>138</v>
      </c>
      <c r="C29" s="149" t="str">
        <f t="shared" si="0"/>
        <v>2021.09月Mano(五金)：Remboursement</v>
      </c>
      <c r="D29" s="457"/>
      <c r="E29" s="457"/>
      <c r="F29" s="457"/>
      <c r="G29" s="472" t="str">
        <f>INDEX($R:$R,MATCH($A$13,$R:$R,0)+1)</f>
        <v>1122.001.003</v>
      </c>
      <c r="H29" s="472" t="str">
        <f>INDEX($S:$S,MATCH($A$13,$R:$R,0)+1)</f>
        <v>应收账款 - 应收销售平台款 - 应收 Mano</v>
      </c>
      <c r="I29" s="457"/>
      <c r="J29" s="472"/>
      <c r="K29" s="472"/>
      <c r="L29" s="472"/>
      <c r="M29" s="73"/>
      <c r="N29" s="151">
        <f>-ROUND(INDEX($A$1:$Q$10,MATCH($A29,$C$1:$C$10,0),MATCH($B29,$A$1:$Q$1,0)),2)</f>
        <v>164.74</v>
      </c>
      <c r="O29" s="31">
        <f>SUM(M$15:M29)-SUM(N$15:N29)</f>
        <v>0</v>
      </c>
    </row>
    <row r="30" ht="14.25" hidden="1" spans="1:15">
      <c r="A30" t="s">
        <v>20</v>
      </c>
      <c r="B30" s="148" t="s">
        <v>138</v>
      </c>
      <c r="C30" s="149" t="str">
        <f t="shared" si="0"/>
        <v>2021.09月Mano(五金)：Remboursement</v>
      </c>
      <c r="D30" s="457"/>
      <c r="E30" s="457"/>
      <c r="F30" s="457"/>
      <c r="G30" s="149" t="s">
        <v>149</v>
      </c>
      <c r="H30" s="149" t="s">
        <v>150</v>
      </c>
      <c r="I30" s="457"/>
      <c r="J30" s="472"/>
      <c r="K30" s="472"/>
      <c r="L30" s="472"/>
      <c r="M30" s="73"/>
      <c r="N30" s="151"/>
      <c r="O30" s="31">
        <f>SUM(M$15:M30)-SUM(N$15:N30)</f>
        <v>0</v>
      </c>
    </row>
    <row r="31" ht="14.25" spans="1:15">
      <c r="A31" t="s">
        <v>20</v>
      </c>
      <c r="B31" s="148" t="s">
        <v>143</v>
      </c>
      <c r="C31" s="149" t="str">
        <f t="shared" si="0"/>
        <v>2021.09月Mano(五金)：平台费</v>
      </c>
      <c r="D31" s="457"/>
      <c r="E31" s="457"/>
      <c r="F31" s="457"/>
      <c r="G31" s="37" t="str">
        <f>INDEX($R:$R,MATCH($A31,$R:$R,0)+2)</f>
        <v>6601.002.004.002</v>
      </c>
      <c r="H31" s="37" t="str">
        <f>INDEX($S:$S,MATCH($A31,$R:$R,0)+2)</f>
        <v>销售费用 - 销售平台费用 - Manomano平台费 - 五金事业部-manomano平台费</v>
      </c>
      <c r="I31" s="470"/>
      <c r="J31" s="472"/>
      <c r="K31" s="472"/>
      <c r="L31" s="472"/>
      <c r="M31" s="73">
        <f>ROUND(INDEX($A$1:$Q$10,MATCH($A31,$C$1:$C$10,0),MATCH($B31,$A$3:$Q$3,0)),2)</f>
        <v>-2100.46</v>
      </c>
      <c r="N31" s="151"/>
      <c r="O31" s="31">
        <f>SUM(M$15:M31)-SUM(N$15:N31)</f>
        <v>-2100.45999999999</v>
      </c>
    </row>
    <row r="32" ht="14.25" spans="1:18">
      <c r="A32" t="s">
        <v>20</v>
      </c>
      <c r="B32" s="148" t="s">
        <v>143</v>
      </c>
      <c r="C32" s="149" t="str">
        <f t="shared" si="0"/>
        <v>2021.09月Mano(五金)：平台费</v>
      </c>
      <c r="D32" s="457"/>
      <c r="E32" s="457"/>
      <c r="F32" s="457"/>
      <c r="G32" s="37" t="str">
        <f>INDEX($R:$R,MATCH($A32,$R:$R,0)+1)</f>
        <v>1221.60</v>
      </c>
      <c r="H32" s="37" t="str">
        <f>INDEX($S:$S,MATCH($A32,$R:$R,0)+1)</f>
        <v>其他应收款 - 拓展部五金部</v>
      </c>
      <c r="I32" s="457"/>
      <c r="J32" s="472"/>
      <c r="K32" s="472"/>
      <c r="L32" s="472"/>
      <c r="M32" s="71">
        <f>-M31</f>
        <v>2100.46</v>
      </c>
      <c r="N32" s="151"/>
      <c r="O32" s="31">
        <f>SUM(M$15:M32)-SUM(N$15:N32)</f>
        <v>0</v>
      </c>
      <c r="R32" t="s">
        <v>19</v>
      </c>
    </row>
    <row r="33" ht="14.25" spans="1:19">
      <c r="A33" t="s">
        <v>20</v>
      </c>
      <c r="B33" s="148" t="s">
        <v>79</v>
      </c>
      <c r="C33" s="149" t="str">
        <f t="shared" si="0"/>
        <v>2021.09月Mano(五金)：营运费5%：</v>
      </c>
      <c r="D33" s="457"/>
      <c r="E33" s="457"/>
      <c r="F33" s="457"/>
      <c r="G33" s="37" t="str">
        <f>INDEX($R:$R,MATCH($A33,$R:$R,0)+3)</f>
        <v>6601.006.001</v>
      </c>
      <c r="H33" s="37" t="str">
        <f>INDEX($S:$S,MATCH($A33,$R:$R,0)+3)</f>
        <v>销售费用 - 事业部营运费 - 五金事业部-营运费</v>
      </c>
      <c r="I33" s="457"/>
      <c r="J33" s="472"/>
      <c r="K33" s="472"/>
      <c r="L33" s="472"/>
      <c r="M33" s="73">
        <f>ROUND(INDEX($A$1:$Q$10,MATCH($A33,$C$1:$C$10,0),MATCH($B33,$A$3:$Q$3,0)),2)</f>
        <v>-700.13</v>
      </c>
      <c r="N33" s="151"/>
      <c r="O33" s="31">
        <f>SUM(M$15:M33)-SUM(N$15:N33)</f>
        <v>-700.130000000005</v>
      </c>
      <c r="R33" s="37" t="s">
        <v>71</v>
      </c>
      <c r="S33" s="37" t="s">
        <v>72</v>
      </c>
    </row>
    <row r="34" ht="15" spans="1:19">
      <c r="A34" t="s">
        <v>20</v>
      </c>
      <c r="B34" s="458" t="s">
        <v>79</v>
      </c>
      <c r="C34" s="162" t="str">
        <f t="shared" si="0"/>
        <v>2021.09月Mano(五金)：营运费5%：</v>
      </c>
      <c r="D34" s="459"/>
      <c r="E34" s="459"/>
      <c r="F34" s="459"/>
      <c r="G34" s="185" t="str">
        <f>INDEX($R:$R,MATCH($A34,$R:$R,0)+1)</f>
        <v>1221.60</v>
      </c>
      <c r="H34" s="185" t="str">
        <f>INDEX($S:$S,MATCH($A34,$R:$R,0)+1)</f>
        <v>其他应收款 - 拓展部五金部</v>
      </c>
      <c r="I34" s="459"/>
      <c r="J34" s="294"/>
      <c r="K34" s="294"/>
      <c r="L34" s="294"/>
      <c r="M34" s="404">
        <f>-M33</f>
        <v>700.13</v>
      </c>
      <c r="N34" s="207"/>
      <c r="O34" s="31">
        <f>SUM(M$15:M34)-SUM(N$15:N34)</f>
        <v>0</v>
      </c>
      <c r="R34" s="149" t="s">
        <v>155</v>
      </c>
      <c r="S34" s="149" t="s">
        <v>156</v>
      </c>
    </row>
    <row r="35" customFormat="1" ht="14.25" spans="1:19">
      <c r="A35" t="s">
        <v>19</v>
      </c>
      <c r="B35" s="144" t="s">
        <v>137</v>
      </c>
      <c r="C35" s="145" t="str">
        <f t="shared" si="0"/>
        <v>2021.09月Mano(水龙头)：Commande</v>
      </c>
      <c r="D35" s="291"/>
      <c r="E35" s="291"/>
      <c r="F35" s="291"/>
      <c r="G35" s="145" t="str">
        <f>INDEX($R:$R,MATCH($A$13,$R:$R,0)+2)</f>
        <v>2203.07.003</v>
      </c>
      <c r="H35" s="291" t="str">
        <f>INDEX($S:$S,MATCH($A$13,$R:$R,0)+2)</f>
        <v>预收账款 - 预收销售平台款 - 预收 Mano</v>
      </c>
      <c r="I35" s="469"/>
      <c r="J35" s="291"/>
      <c r="K35" s="291"/>
      <c r="L35" s="291"/>
      <c r="M35" s="146">
        <f>ROUND(INDEX($A$1:$Q$10,MATCH($A35,$C$1:$C$10,0),MATCH($B35,$A$1:$Q$1,0)),2)</f>
        <v>4223.56</v>
      </c>
      <c r="N35" s="147"/>
      <c r="O35" s="31">
        <f>SUM(M$15:M35)-SUM(N$15:N35)</f>
        <v>4223.56</v>
      </c>
      <c r="R35" s="149" t="s">
        <v>75</v>
      </c>
      <c r="S35" s="149" t="s">
        <v>76</v>
      </c>
    </row>
    <row r="36" customFormat="1" ht="14.25" spans="1:15">
      <c r="A36" t="s">
        <v>19</v>
      </c>
      <c r="B36" s="148" t="s">
        <v>7</v>
      </c>
      <c r="C36" s="149" t="str">
        <f t="shared" si="0"/>
        <v>2021.09月Mano(水龙头)：不含税</v>
      </c>
      <c r="D36" s="457"/>
      <c r="E36" s="457"/>
      <c r="F36" s="457"/>
      <c r="G36" s="37" t="str">
        <f>INDEX($R:$R,MATCH($A36,$R:$R,0)+1)</f>
        <v>1221.100</v>
      </c>
      <c r="H36" s="37" t="str">
        <f>INDEX($S:$S,MATCH($A36,$R:$R,0)+1)</f>
        <v>其他应收款 - 拓展部-水龙头</v>
      </c>
      <c r="I36" s="470"/>
      <c r="J36" s="471"/>
      <c r="K36" s="471"/>
      <c r="L36" s="471"/>
      <c r="M36" s="71"/>
      <c r="N36" s="151">
        <f>ROUND(INDEX($A$1:$Q$10,MATCH($A36,$C$1:$C$10,0),MATCH($B36,$A$3:$Q$3,0)),2)</f>
        <v>3456.31</v>
      </c>
      <c r="O36" s="31">
        <f>SUM(M$15:M36)-SUM(N$15:N36)</f>
        <v>767.25</v>
      </c>
    </row>
    <row r="37" customFormat="1" ht="14.25" spans="1:15">
      <c r="A37" t="s">
        <v>19</v>
      </c>
      <c r="B37" s="148" t="s">
        <v>31</v>
      </c>
      <c r="C37" s="149" t="str">
        <f t="shared" si="0"/>
        <v>2021.09月Mano(水龙头)：税金</v>
      </c>
      <c r="D37" s="457"/>
      <c r="E37" s="457"/>
      <c r="F37" s="457"/>
      <c r="G37" s="149" t="s">
        <v>32</v>
      </c>
      <c r="H37" s="149" t="s">
        <v>33</v>
      </c>
      <c r="I37" s="457"/>
      <c r="J37" s="472"/>
      <c r="K37" s="472"/>
      <c r="L37" s="472"/>
      <c r="M37" s="73"/>
      <c r="N37" s="151">
        <f>ROUND(N36*0.2,2)</f>
        <v>691.26</v>
      </c>
      <c r="O37" s="31">
        <f>SUM(M$15:M37)-SUM(N$15:N37)</f>
        <v>75.9899999999907</v>
      </c>
    </row>
    <row r="38" customFormat="1" ht="14.25" spans="1:18">
      <c r="A38" t="s">
        <v>19</v>
      </c>
      <c r="B38" s="148" t="s">
        <v>138</v>
      </c>
      <c r="C38" s="149" t="str">
        <f t="shared" si="0"/>
        <v>2021.09月Mano(水龙头)：Remboursement</v>
      </c>
      <c r="D38" s="457"/>
      <c r="E38" s="457"/>
      <c r="F38" s="457"/>
      <c r="G38" s="472" t="str">
        <f>INDEX($R:$R,MATCH($A$13,$R:$R,0)+1)</f>
        <v>1122.001.003</v>
      </c>
      <c r="H38" s="472" t="str">
        <f>INDEX($S:$S,MATCH($A$13,$R:$R,0)+1)</f>
        <v>应收账款 - 应收销售平台款 - 应收 Mano</v>
      </c>
      <c r="I38" s="457"/>
      <c r="J38" s="472"/>
      <c r="K38" s="472"/>
      <c r="L38" s="472"/>
      <c r="M38" s="73"/>
      <c r="N38" s="151">
        <f>-ROUND(INDEX($A$1:$Q$10,MATCH($A38,$C$1:$C$10,0),MATCH($B38,$A$1:$Q$1,0)),2)</f>
        <v>75.99</v>
      </c>
      <c r="O38" s="31">
        <f>SUM(M$15:M38)-SUM(N$15:N38)</f>
        <v>0</v>
      </c>
      <c r="R38" t="s">
        <v>83</v>
      </c>
    </row>
    <row r="39" customFormat="1" ht="14.25" hidden="1" spans="1:19">
      <c r="A39" t="s">
        <v>19</v>
      </c>
      <c r="B39" s="148" t="s">
        <v>138</v>
      </c>
      <c r="C39" s="149" t="str">
        <f t="shared" si="0"/>
        <v>2021.09月Mano(水龙头)：Remboursement</v>
      </c>
      <c r="D39" s="457"/>
      <c r="E39" s="457"/>
      <c r="F39" s="457"/>
      <c r="G39" s="149" t="s">
        <v>149</v>
      </c>
      <c r="H39" s="149" t="s">
        <v>150</v>
      </c>
      <c r="I39" s="457"/>
      <c r="J39" s="472"/>
      <c r="K39" s="472"/>
      <c r="L39" s="472"/>
      <c r="M39" s="73"/>
      <c r="N39" s="151"/>
      <c r="O39" s="31">
        <f>SUM(M$15:M39)-SUM(N$15:N39)</f>
        <v>0</v>
      </c>
      <c r="R39" s="37" t="s">
        <v>121</v>
      </c>
      <c r="S39" s="584" t="s">
        <v>122</v>
      </c>
    </row>
    <row r="40" customFormat="1" ht="14.25" spans="1:19">
      <c r="A40" t="s">
        <v>19</v>
      </c>
      <c r="B40" s="148" t="s">
        <v>143</v>
      </c>
      <c r="C40" s="149" t="str">
        <f t="shared" si="0"/>
        <v>2021.09月Mano(水龙头)：平台费</v>
      </c>
      <c r="D40" s="457"/>
      <c r="E40" s="457"/>
      <c r="F40" s="457"/>
      <c r="G40" s="37" t="str">
        <f>INDEX($R:$R,MATCH($A40,$R:$R,0)+2)</f>
        <v>6601.002.004.004</v>
      </c>
      <c r="H40" s="37" t="str">
        <f>INDEX($S:$S,MATCH($A40,$R:$R,0)+2)</f>
        <v>销售费用 - 销售平台费用 - Manomano平台费 - 水龙头事业部-manomano平台费</v>
      </c>
      <c r="I40" s="470"/>
      <c r="J40" s="472"/>
      <c r="K40" s="472"/>
      <c r="L40" s="472"/>
      <c r="M40" s="73">
        <f>ROUND(INDEX($A$1:$Q$10,MATCH($A40,$C$1:$C$10,0),MATCH($B40,$A$3:$Q$3,0)),2)</f>
        <v>-518.47</v>
      </c>
      <c r="N40" s="151"/>
      <c r="O40" s="31">
        <f>SUM(M$15:M40)-SUM(N$15:N40)</f>
        <v>-518.470000000001</v>
      </c>
      <c r="R40" s="149" t="s">
        <v>157</v>
      </c>
      <c r="S40" s="585" t="s">
        <v>158</v>
      </c>
    </row>
    <row r="41" customFormat="1" ht="14.25" spans="1:19">
      <c r="A41" t="s">
        <v>19</v>
      </c>
      <c r="B41" s="148" t="s">
        <v>143</v>
      </c>
      <c r="C41" s="149" t="str">
        <f t="shared" si="0"/>
        <v>2021.09月Mano(水龙头)：平台费</v>
      </c>
      <c r="D41" s="457"/>
      <c r="E41" s="457"/>
      <c r="F41" s="457"/>
      <c r="G41" s="37" t="str">
        <f>INDEX($R:$R,MATCH($A41,$R:$R,0)+1)</f>
        <v>1221.100</v>
      </c>
      <c r="H41" s="37" t="str">
        <f>INDEX($S:$S,MATCH($A41,$R:$R,0)+1)</f>
        <v>其他应收款 - 拓展部-水龙头</v>
      </c>
      <c r="I41" s="457"/>
      <c r="J41" s="472"/>
      <c r="K41" s="472"/>
      <c r="L41" s="472"/>
      <c r="M41" s="71">
        <f>-M40</f>
        <v>518.47</v>
      </c>
      <c r="N41" s="151"/>
      <c r="O41" s="31">
        <f>SUM(M$15:M41)-SUM(N$15:N41)</f>
        <v>0</v>
      </c>
      <c r="R41" s="149" t="s">
        <v>125</v>
      </c>
      <c r="S41" s="585" t="s">
        <v>126</v>
      </c>
    </row>
    <row r="42" customFormat="1" ht="14.25" spans="1:15">
      <c r="A42" t="s">
        <v>19</v>
      </c>
      <c r="B42" s="148" t="s">
        <v>79</v>
      </c>
      <c r="C42" s="149" t="str">
        <f t="shared" si="0"/>
        <v>2021.09月Mano(水龙头)：营运费5%：</v>
      </c>
      <c r="D42" s="457"/>
      <c r="E42" s="457"/>
      <c r="F42" s="457"/>
      <c r="G42" s="37" t="str">
        <f>INDEX($R:$R,MATCH($A42,$R:$R,0)+3)</f>
        <v>6601.006.003</v>
      </c>
      <c r="H42" s="37" t="str">
        <f>INDEX($S:$S,MATCH($A42,$R:$R,0)+3)</f>
        <v>销售费用 - 事业部营运费 - 水龙头事业部-营运费</v>
      </c>
      <c r="I42" s="457"/>
      <c r="J42" s="472"/>
      <c r="K42" s="472"/>
      <c r="L42" s="472"/>
      <c r="M42" s="73">
        <f>ROUND(INDEX($A$1:$Q$10,MATCH($A42,$C$1:$C$10,0),MATCH($B42,$A$3:$Q$3,0)),2)</f>
        <v>-172.82</v>
      </c>
      <c r="N42" s="151"/>
      <c r="O42" s="31">
        <f>SUM(M$15:M42)-SUM(N$15:N42)</f>
        <v>-172.820000000007</v>
      </c>
    </row>
    <row r="43" customFormat="1" ht="15" spans="1:15">
      <c r="A43" t="s">
        <v>19</v>
      </c>
      <c r="B43" s="458" t="s">
        <v>79</v>
      </c>
      <c r="C43" s="162" t="str">
        <f t="shared" si="0"/>
        <v>2021.09月Mano(水龙头)：营运费5%：</v>
      </c>
      <c r="D43" s="459"/>
      <c r="E43" s="459"/>
      <c r="F43" s="459"/>
      <c r="G43" s="185" t="str">
        <f>INDEX($R:$R,MATCH($A43,$R:$R,0)+1)</f>
        <v>1221.100</v>
      </c>
      <c r="H43" s="185" t="str">
        <f>INDEX($S:$S,MATCH($A43,$R:$R,0)+1)</f>
        <v>其他应收款 - 拓展部-水龙头</v>
      </c>
      <c r="I43" s="459"/>
      <c r="J43" s="294"/>
      <c r="K43" s="294"/>
      <c r="L43" s="294"/>
      <c r="M43" s="404">
        <f>-M42</f>
        <v>172.82</v>
      </c>
      <c r="N43" s="207"/>
      <c r="O43" s="31">
        <f>SUM(M$15:M43)-SUM(N$15:N43)</f>
        <v>0</v>
      </c>
    </row>
    <row r="44" customFormat="1" ht="14.25" spans="1:18">
      <c r="A44" t="s">
        <v>83</v>
      </c>
      <c r="B44" s="144" t="s">
        <v>137</v>
      </c>
      <c r="C44" s="145" t="str">
        <f t="shared" si="0"/>
        <v>2021.09月Mano(陶瓷)：Commande</v>
      </c>
      <c r="D44" s="291"/>
      <c r="E44" s="291"/>
      <c r="F44" s="291"/>
      <c r="G44" s="145" t="str">
        <f>INDEX($R:$R,MATCH($A$13,$R:$R,0)+2)</f>
        <v>2203.07.003</v>
      </c>
      <c r="H44" s="291" t="str">
        <f>INDEX($S:$S,MATCH($A$13,$R:$R,0)+2)</f>
        <v>预收账款 - 预收销售平台款 - 预收 Mano</v>
      </c>
      <c r="I44" s="469"/>
      <c r="J44" s="291"/>
      <c r="K44" s="291"/>
      <c r="L44" s="291"/>
      <c r="M44" s="146">
        <f>ROUND(INDEX($A$1:$Q$10,MATCH($A44,$C$1:$C$10,0),MATCH($B44,$A$1:$Q$1,0)),2)</f>
        <v>1694.89</v>
      </c>
      <c r="N44" s="147"/>
      <c r="O44" s="31">
        <f>SUM(M$15:M44)-SUM(N$15:N44)</f>
        <v>1694.89000000001</v>
      </c>
      <c r="R44" t="s">
        <v>84</v>
      </c>
    </row>
    <row r="45" customFormat="1" ht="14.25" spans="1:19">
      <c r="A45" t="s">
        <v>83</v>
      </c>
      <c r="B45" s="148" t="s">
        <v>7</v>
      </c>
      <c r="C45" s="149" t="str">
        <f t="shared" si="0"/>
        <v>2021.09月Mano(陶瓷)：不含税</v>
      </c>
      <c r="D45" s="457"/>
      <c r="E45" s="457"/>
      <c r="F45" s="457"/>
      <c r="G45" s="37" t="str">
        <f>INDEX($R:$R,MATCH($A45,$R:$R,0)+1)</f>
        <v>1221.103</v>
      </c>
      <c r="H45" s="37" t="str">
        <f>INDEX($S:$S,MATCH($A45,$R:$R,0)+1)</f>
        <v>拓展部-陶瓷部</v>
      </c>
      <c r="I45" s="470"/>
      <c r="J45" s="471"/>
      <c r="K45" s="471"/>
      <c r="L45" s="471"/>
      <c r="M45" s="71"/>
      <c r="N45" s="151">
        <f>ROUND(INDEX($A$1:$Q$10,MATCH($A45,$C$1:$C$10,0),MATCH($B45,$A$3:$Q$3,0)),2)</f>
        <v>1299.92</v>
      </c>
      <c r="O45" s="31">
        <f>SUM(M$15:M45)-SUM(N$15:N45)</f>
        <v>394.970000000001</v>
      </c>
      <c r="R45" t="s">
        <v>129</v>
      </c>
      <c r="S45" t="s">
        <v>130</v>
      </c>
    </row>
    <row r="46" customFormat="1" ht="14.25" spans="1:19">
      <c r="A46" t="s">
        <v>83</v>
      </c>
      <c r="B46" s="148" t="s">
        <v>31</v>
      </c>
      <c r="C46" s="149" t="str">
        <f t="shared" si="0"/>
        <v>2021.09月Mano(陶瓷)：税金</v>
      </c>
      <c r="D46" s="457"/>
      <c r="E46" s="457"/>
      <c r="F46" s="457"/>
      <c r="G46" s="149" t="s">
        <v>32</v>
      </c>
      <c r="H46" s="149" t="s">
        <v>33</v>
      </c>
      <c r="I46" s="457"/>
      <c r="J46" s="472"/>
      <c r="K46" s="472"/>
      <c r="L46" s="472"/>
      <c r="M46" s="73"/>
      <c r="N46" s="151">
        <f>ROUND(N45*0.2,2)</f>
        <v>259.98</v>
      </c>
      <c r="O46" s="31">
        <f>SUM(M$15:M46)-SUM(N$15:N46)</f>
        <v>134.989999999991</v>
      </c>
      <c r="R46" t="s">
        <v>159</v>
      </c>
      <c r="S46" t="s">
        <v>160</v>
      </c>
    </row>
    <row r="47" customFormat="1" ht="14.25" spans="1:19">
      <c r="A47" t="s">
        <v>83</v>
      </c>
      <c r="B47" s="148" t="s">
        <v>138</v>
      </c>
      <c r="C47" s="149" t="str">
        <f t="shared" si="0"/>
        <v>2021.09月Mano(陶瓷)：Remboursement</v>
      </c>
      <c r="D47" s="457"/>
      <c r="E47" s="457"/>
      <c r="F47" s="457"/>
      <c r="G47" s="472" t="str">
        <f>INDEX($R:$R,MATCH($A$13,$R:$R,0)+1)</f>
        <v>1122.001.003</v>
      </c>
      <c r="H47" s="472" t="str">
        <f>INDEX($S:$S,MATCH($A$13,$R:$R,0)+1)</f>
        <v>应收账款 - 应收销售平台款 - 应收 Mano</v>
      </c>
      <c r="I47" s="457"/>
      <c r="J47" s="472"/>
      <c r="K47" s="472"/>
      <c r="L47" s="472"/>
      <c r="M47" s="73"/>
      <c r="N47" s="151">
        <f>-ROUND(INDEX($A$1:$Q$10,MATCH($A47,$C$1:$C$10,0),MATCH($B47,$A$1:$Q$1,0)),2)</f>
        <v>134.99</v>
      </c>
      <c r="O47" s="31">
        <f>SUM(M$15:M47)-SUM(N$15:N47)</f>
        <v>0</v>
      </c>
      <c r="R47" t="s">
        <v>133</v>
      </c>
      <c r="S47" t="s">
        <v>134</v>
      </c>
    </row>
    <row r="48" customFormat="1" ht="14.25" hidden="1" spans="1:15">
      <c r="A48" t="s">
        <v>83</v>
      </c>
      <c r="B48" s="148" t="s">
        <v>138</v>
      </c>
      <c r="C48" s="149" t="str">
        <f t="shared" si="0"/>
        <v>2021.09月Mano(陶瓷)：Remboursement</v>
      </c>
      <c r="D48" s="457"/>
      <c r="E48" s="457"/>
      <c r="F48" s="457"/>
      <c r="G48" s="149" t="s">
        <v>149</v>
      </c>
      <c r="H48" s="149" t="s">
        <v>150</v>
      </c>
      <c r="I48" s="457"/>
      <c r="J48" s="472"/>
      <c r="K48" s="472"/>
      <c r="L48" s="472"/>
      <c r="M48" s="73"/>
      <c r="N48" s="151"/>
      <c r="O48" s="31">
        <f>SUM(M$15:M48)-SUM(N$15:N48)</f>
        <v>0</v>
      </c>
    </row>
    <row r="49" customFormat="1" ht="14.25" spans="1:15">
      <c r="A49" t="s">
        <v>83</v>
      </c>
      <c r="B49" s="148" t="s">
        <v>143</v>
      </c>
      <c r="C49" s="149" t="str">
        <f t="shared" si="0"/>
        <v>2021.09月Mano(陶瓷)：平台费</v>
      </c>
      <c r="D49" s="457"/>
      <c r="E49" s="457"/>
      <c r="F49" s="457"/>
      <c r="G49" s="37" t="str">
        <f>INDEX($R:$R,MATCH($A49,$R:$R,0)+2)</f>
        <v>6601.002.004.005</v>
      </c>
      <c r="H49" s="37" t="str">
        <f>INDEX($S:$S,MATCH($A49,$R:$R,0)+2)</f>
        <v>陶瓷部事业部-manomano平台费</v>
      </c>
      <c r="I49" s="470"/>
      <c r="J49" s="472"/>
      <c r="K49" s="472"/>
      <c r="L49" s="472"/>
      <c r="M49" s="73">
        <f>ROUND(INDEX($A$1:$Q$10,MATCH($A49,$C$1:$C$10,0),MATCH($B49,$A$3:$Q$3,0)),2)</f>
        <v>-194.96</v>
      </c>
      <c r="N49" s="151"/>
      <c r="O49" s="31">
        <f>SUM(M$15:M49)-SUM(N$15:N49)</f>
        <v>-194.959999999992</v>
      </c>
    </row>
    <row r="50" customFormat="1" ht="14.25" spans="1:15">
      <c r="A50" t="s">
        <v>83</v>
      </c>
      <c r="B50" s="148" t="s">
        <v>143</v>
      </c>
      <c r="C50" s="149" t="str">
        <f t="shared" si="0"/>
        <v>2021.09月Mano(陶瓷)：平台费</v>
      </c>
      <c r="D50" s="457"/>
      <c r="E50" s="457"/>
      <c r="F50" s="457"/>
      <c r="G50" s="37" t="str">
        <f>INDEX($R:$R,MATCH($A50,$R:$R,0)+1)</f>
        <v>1221.103</v>
      </c>
      <c r="H50" s="37" t="str">
        <f>INDEX($S:$S,MATCH($A50,$R:$R,0)+1)</f>
        <v>拓展部-陶瓷部</v>
      </c>
      <c r="I50" s="457"/>
      <c r="J50" s="472"/>
      <c r="K50" s="472"/>
      <c r="L50" s="472"/>
      <c r="M50" s="71">
        <f>-M49</f>
        <v>194.96</v>
      </c>
      <c r="N50" s="151"/>
      <c r="O50" s="31">
        <f>SUM(M$15:M50)-SUM(N$15:N50)</f>
        <v>0</v>
      </c>
    </row>
    <row r="51" customFormat="1" ht="14.25" spans="1:15">
      <c r="A51" t="s">
        <v>83</v>
      </c>
      <c r="B51" s="148" t="s">
        <v>79</v>
      </c>
      <c r="C51" s="149" t="str">
        <f t="shared" si="0"/>
        <v>2021.09月Mano(陶瓷)：营运费5%：</v>
      </c>
      <c r="D51" s="457"/>
      <c r="E51" s="457"/>
      <c r="F51" s="457"/>
      <c r="G51" s="37" t="str">
        <f>INDEX($R:$R,MATCH($A51,$R:$R,0)+3)</f>
        <v>6601.006.004</v>
      </c>
      <c r="H51" s="37" t="str">
        <f>INDEX($S:$S,MATCH($A51,$R:$R,0)+3)</f>
        <v>陶瓷事业部-营运费</v>
      </c>
      <c r="I51" s="457"/>
      <c r="J51" s="472"/>
      <c r="K51" s="472"/>
      <c r="L51" s="472"/>
      <c r="M51" s="73">
        <f>ROUND(INDEX($A$1:$Q$10,MATCH($A51,$C$1:$C$10,0),MATCH($B51,$A$3:$Q$3,0)),2)</f>
        <v>-65</v>
      </c>
      <c r="N51" s="151"/>
      <c r="O51" s="31">
        <f>SUM(M$15:M51)-SUM(N$15:N51)</f>
        <v>-65</v>
      </c>
    </row>
    <row r="52" customFormat="1" ht="15" spans="1:15">
      <c r="A52" t="s">
        <v>83</v>
      </c>
      <c r="B52" s="458" t="s">
        <v>79</v>
      </c>
      <c r="C52" s="162" t="str">
        <f t="shared" si="0"/>
        <v>2021.09月Mano(陶瓷)：营运费5%：</v>
      </c>
      <c r="D52" s="459"/>
      <c r="E52" s="459"/>
      <c r="F52" s="459"/>
      <c r="G52" s="185" t="str">
        <f>INDEX($R:$R,MATCH($A52,$R:$R,0)+1)</f>
        <v>1221.103</v>
      </c>
      <c r="H52" s="185" t="str">
        <f>INDEX($S:$S,MATCH($A52,$R:$R,0)+1)</f>
        <v>拓展部-陶瓷部</v>
      </c>
      <c r="I52" s="459"/>
      <c r="J52" s="294"/>
      <c r="K52" s="294"/>
      <c r="L52" s="294"/>
      <c r="M52" s="404">
        <f>-M51</f>
        <v>65</v>
      </c>
      <c r="N52" s="207"/>
      <c r="O52" s="31">
        <f>SUM(M$15:M52)-SUM(N$15:N52)</f>
        <v>0</v>
      </c>
    </row>
    <row r="53" ht="14.25" spans="1:15">
      <c r="A53" t="s">
        <v>84</v>
      </c>
      <c r="B53" s="144" t="s">
        <v>137</v>
      </c>
      <c r="C53" s="145" t="str">
        <f t="shared" si="0"/>
        <v>2021.09月Mano(防火板)：Commande</v>
      </c>
      <c r="D53" s="291"/>
      <c r="E53" s="291"/>
      <c r="F53" s="291"/>
      <c r="G53" s="145" t="str">
        <f>INDEX($R:$R,MATCH($A$13,$R:$R,0)+2)</f>
        <v>2203.07.003</v>
      </c>
      <c r="H53" s="291" t="str">
        <f>INDEX($S:$S,MATCH($A$13,$R:$R,0)+2)</f>
        <v>预收账款 - 预收销售平台款 - 预收 Mano</v>
      </c>
      <c r="I53" s="469"/>
      <c r="J53" s="291"/>
      <c r="K53" s="291"/>
      <c r="L53" s="291"/>
      <c r="M53" s="146">
        <f>ROUND(INDEX($A$1:$Q$10,MATCH($A53,$C$1:$C$10,0),MATCH($B53,$A$1:$Q$1,0)),2)</f>
        <v>0</v>
      </c>
      <c r="N53" s="147"/>
      <c r="O53" s="484">
        <f>M65-N65</f>
        <v>0</v>
      </c>
    </row>
    <row r="54" ht="14.25" spans="1:14">
      <c r="A54" t="s">
        <v>84</v>
      </c>
      <c r="B54" s="148" t="s">
        <v>7</v>
      </c>
      <c r="C54" s="149" t="str">
        <f t="shared" si="0"/>
        <v>2021.09月Mano(防火板)：不含税</v>
      </c>
      <c r="D54" s="457"/>
      <c r="E54" s="457"/>
      <c r="F54" s="457"/>
      <c r="G54" s="37" t="str">
        <f>INDEX($R:$R,MATCH($A54,$R:$R,0)+1)</f>
        <v>1221.107</v>
      </c>
      <c r="H54" s="37" t="str">
        <f>INDEX($S:$S,MATCH($A54,$R:$R,0)+1)</f>
        <v>拓展部-防火底板</v>
      </c>
      <c r="I54" s="470"/>
      <c r="J54" s="471"/>
      <c r="K54" s="471"/>
      <c r="L54" s="471"/>
      <c r="M54" s="71"/>
      <c r="N54" s="151">
        <f>ROUND(INDEX($A$1:$Q$10,MATCH($A54,$C$1:$C$10,0),MATCH($B54,$A$3:$Q$3,0)),2)</f>
        <v>0</v>
      </c>
    </row>
    <row r="55" ht="14.25" spans="1:14">
      <c r="A55" t="s">
        <v>84</v>
      </c>
      <c r="B55" s="148" t="s">
        <v>31</v>
      </c>
      <c r="C55" s="149" t="str">
        <f t="shared" si="0"/>
        <v>2021.09月Mano(防火板)：税金</v>
      </c>
      <c r="D55" s="457"/>
      <c r="E55" s="457"/>
      <c r="F55" s="457"/>
      <c r="G55" s="149" t="s">
        <v>32</v>
      </c>
      <c r="H55" s="149" t="s">
        <v>33</v>
      </c>
      <c r="I55" s="457"/>
      <c r="J55" s="472"/>
      <c r="K55" s="472"/>
      <c r="L55" s="472"/>
      <c r="M55" s="73"/>
      <c r="N55" s="151">
        <f>ROUND(N54*0.2,2)</f>
        <v>0</v>
      </c>
    </row>
    <row r="56" ht="14.25" spans="1:14">
      <c r="A56" t="s">
        <v>84</v>
      </c>
      <c r="B56" s="148" t="s">
        <v>138</v>
      </c>
      <c r="C56" s="149" t="str">
        <f t="shared" si="0"/>
        <v>2021.09月Mano(防火板)：Remboursement</v>
      </c>
      <c r="D56" s="457"/>
      <c r="E56" s="457"/>
      <c r="F56" s="457"/>
      <c r="G56" s="472" t="str">
        <f>INDEX($R:$R,MATCH($A$13,$R:$R,0)+1)</f>
        <v>1122.001.003</v>
      </c>
      <c r="H56" s="472" t="str">
        <f>INDEX($S:$S,MATCH($A$13,$R:$R,0)+1)</f>
        <v>应收账款 - 应收销售平台款 - 应收 Mano</v>
      </c>
      <c r="I56" s="457"/>
      <c r="J56" s="472"/>
      <c r="K56" s="472"/>
      <c r="L56" s="472"/>
      <c r="M56" s="73"/>
      <c r="N56" s="151">
        <f>-ROUND(INDEX($A$1:$Q$10,MATCH($A56,$C$1:$C$10,0),MATCH($B56,$A$1:$Q$1,0)),2)</f>
        <v>0</v>
      </c>
    </row>
    <row r="57" ht="14.25" spans="1:14">
      <c r="A57" t="s">
        <v>84</v>
      </c>
      <c r="B57" s="148" t="s">
        <v>138</v>
      </c>
      <c r="C57" s="149" t="str">
        <f t="shared" si="0"/>
        <v>2021.09月Mano(防火板)：Remboursement</v>
      </c>
      <c r="D57" s="457"/>
      <c r="E57" s="457"/>
      <c r="F57" s="457"/>
      <c r="G57" s="149" t="s">
        <v>149</v>
      </c>
      <c r="H57" s="149" t="s">
        <v>150</v>
      </c>
      <c r="I57" s="457"/>
      <c r="J57" s="472"/>
      <c r="K57" s="472"/>
      <c r="L57" s="472"/>
      <c r="M57" s="73"/>
      <c r="N57" s="151"/>
    </row>
    <row r="58" ht="14.25" spans="1:14">
      <c r="A58" t="s">
        <v>84</v>
      </c>
      <c r="B58" s="148" t="s">
        <v>143</v>
      </c>
      <c r="C58" s="149" t="str">
        <f t="shared" si="0"/>
        <v>2021.09月Mano(防火板)：平台费</v>
      </c>
      <c r="D58" s="457"/>
      <c r="E58" s="457"/>
      <c r="F58" s="457"/>
      <c r="G58" s="37" t="str">
        <f>INDEX($R:$R,MATCH($A58,$R:$R,0)+2)</f>
        <v>6601.002.004.006</v>
      </c>
      <c r="H58" s="37" t="str">
        <f>INDEX($S:$S,MATCH($A58,$R:$R,0)+2)</f>
        <v>防火底板事业部-manomano平台费</v>
      </c>
      <c r="I58" s="470"/>
      <c r="J58" s="472"/>
      <c r="K58" s="472"/>
      <c r="L58" s="472"/>
      <c r="M58" s="73">
        <f>ROUND(INDEX($A$1:$Q$10,MATCH($A58,$C$1:$C$10,0),MATCH($B58,$A$3:$Q$3,0)),2)</f>
        <v>0</v>
      </c>
      <c r="N58" s="151"/>
    </row>
    <row r="59" ht="14.25" spans="1:14">
      <c r="A59" t="s">
        <v>84</v>
      </c>
      <c r="B59" s="148" t="s">
        <v>143</v>
      </c>
      <c r="C59" s="149" t="str">
        <f t="shared" si="0"/>
        <v>2021.09月Mano(防火板)：平台费</v>
      </c>
      <c r="D59" s="457"/>
      <c r="E59" s="457"/>
      <c r="F59" s="457"/>
      <c r="G59" s="37" t="str">
        <f>INDEX($R:$R,MATCH($A59,$R:$R,0)+1)</f>
        <v>1221.107</v>
      </c>
      <c r="H59" s="37" t="str">
        <f>INDEX($S:$S,MATCH($A59,$R:$R,0)+1)</f>
        <v>拓展部-防火底板</v>
      </c>
      <c r="I59" s="457"/>
      <c r="J59" s="472"/>
      <c r="K59" s="472"/>
      <c r="L59" s="472"/>
      <c r="M59" s="71">
        <f>-M58</f>
        <v>0</v>
      </c>
      <c r="N59" s="151"/>
    </row>
    <row r="60" ht="14.25" spans="1:14">
      <c r="A60" t="s">
        <v>84</v>
      </c>
      <c r="B60" s="148" t="s">
        <v>79</v>
      </c>
      <c r="C60" s="149" t="str">
        <f t="shared" si="0"/>
        <v>2021.09月Mano(防火板)：营运费5%：</v>
      </c>
      <c r="D60" s="457"/>
      <c r="E60" s="457"/>
      <c r="F60" s="457"/>
      <c r="G60" s="37" t="str">
        <f>INDEX($R:$R,MATCH($A60,$R:$R,0)+3)</f>
        <v>6601.006.005</v>
      </c>
      <c r="H60" s="37" t="str">
        <f>INDEX($S:$S,MATCH($A60,$R:$R,0)+3)</f>
        <v>防火底板事业部-营运费</v>
      </c>
      <c r="I60" s="457"/>
      <c r="J60" s="472"/>
      <c r="K60" s="472"/>
      <c r="L60" s="472"/>
      <c r="M60" s="73">
        <f>ROUND(INDEX($A$1:$Q$10,MATCH($A60,$C$1:$C$10,0),MATCH($B60,$A$3:$Q$3,0)),2)</f>
        <v>0</v>
      </c>
      <c r="N60" s="151"/>
    </row>
    <row r="61" ht="15" spans="1:14">
      <c r="A61" t="s">
        <v>84</v>
      </c>
      <c r="B61" s="458" t="s">
        <v>79</v>
      </c>
      <c r="C61" s="162" t="str">
        <f t="shared" si="0"/>
        <v>2021.09月Mano(防火板)：营运费5%：</v>
      </c>
      <c r="D61" s="459"/>
      <c r="E61" s="459"/>
      <c r="F61" s="459"/>
      <c r="G61" s="185" t="str">
        <f>INDEX($R:$R,MATCH($A61,$R:$R,0)+1)</f>
        <v>1221.107</v>
      </c>
      <c r="H61" s="185" t="str">
        <f>INDEX($S:$S,MATCH($A61,$R:$R,0)+1)</f>
        <v>拓展部-防火底板</v>
      </c>
      <c r="I61" s="459"/>
      <c r="J61" s="294"/>
      <c r="K61" s="294"/>
      <c r="L61" s="294"/>
      <c r="M61" s="404">
        <f>-M60</f>
        <v>0</v>
      </c>
      <c r="N61" s="207"/>
    </row>
    <row r="65" spans="13:15">
      <c r="M65">
        <f>SUBTOTAL(9,M15:M52)</f>
        <v>165002.67</v>
      </c>
      <c r="N65">
        <f>SUBTOTAL(9,N15:N52)</f>
        <v>165002.67</v>
      </c>
      <c r="O65" s="31">
        <f>M65-N65</f>
        <v>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U73"/>
  <sheetViews>
    <sheetView topLeftCell="A31" workbookViewId="0">
      <selection activeCell="P64" sqref="P64"/>
    </sheetView>
  </sheetViews>
  <sheetFormatPr defaultColWidth="9" defaultRowHeight="13.5"/>
  <cols>
    <col min="1" max="1" width="8.125" customWidth="1"/>
    <col min="2" max="2" width="10.625" customWidth="1"/>
    <col min="3" max="3" width="11.125" customWidth="1"/>
    <col min="4" max="4" width="11.625" customWidth="1"/>
    <col min="5" max="5" width="9.625" customWidth="1"/>
    <col min="6" max="6" width="11.625" customWidth="1"/>
    <col min="7" max="7" width="17.625" customWidth="1"/>
    <col min="8" max="8" width="9.375" customWidth="1"/>
    <col min="9" max="9" width="6.375" customWidth="1"/>
    <col min="10" max="12" width="11.625" customWidth="1"/>
    <col min="13" max="13" width="14.125" customWidth="1"/>
    <col min="14" max="14" width="14.25" customWidth="1"/>
    <col min="15" max="15" width="13.625" customWidth="1"/>
    <col min="16" max="16" width="13.875" customWidth="1"/>
    <col min="17" max="17" width="10.75" customWidth="1"/>
    <col min="19" max="19" width="10.375"/>
    <col min="20" max="20" width="9.25"/>
  </cols>
  <sheetData>
    <row r="1" spans="15:18">
      <c r="O1" s="425" t="s">
        <v>161</v>
      </c>
      <c r="P1" s="425" t="s">
        <v>161</v>
      </c>
      <c r="Q1" s="425" t="s">
        <v>3</v>
      </c>
      <c r="R1" s="425" t="s">
        <v>3</v>
      </c>
    </row>
    <row r="2" ht="18.75" spans="3:20">
      <c r="C2" s="573" t="s">
        <v>162</v>
      </c>
      <c r="D2" s="140"/>
      <c r="E2" s="140"/>
      <c r="F2" s="140"/>
      <c r="G2" s="140"/>
      <c r="H2" s="140"/>
      <c r="I2" s="140"/>
      <c r="J2" s="140"/>
      <c r="K2" s="140"/>
      <c r="M2" s="478" t="s">
        <v>141</v>
      </c>
      <c r="N2" s="478" t="s">
        <v>14</v>
      </c>
      <c r="O2" s="478" t="s">
        <v>141</v>
      </c>
      <c r="P2" s="478" t="s">
        <v>14</v>
      </c>
      <c r="Q2" s="478" t="s">
        <v>141</v>
      </c>
      <c r="R2" s="478" t="s">
        <v>14</v>
      </c>
      <c r="T2" t="s">
        <v>163</v>
      </c>
    </row>
    <row r="3" spans="1:20">
      <c r="A3" t="s">
        <v>162</v>
      </c>
      <c r="B3" s="643" t="s">
        <v>164</v>
      </c>
      <c r="C3" s="574" t="s">
        <v>4</v>
      </c>
      <c r="D3" s="425" t="s">
        <v>5</v>
      </c>
      <c r="E3" s="450" t="s">
        <v>165</v>
      </c>
      <c r="F3" s="425" t="s">
        <v>7</v>
      </c>
      <c r="G3" s="450" t="s">
        <v>166</v>
      </c>
      <c r="H3" s="450" t="s">
        <v>167</v>
      </c>
      <c r="I3" s="438"/>
      <c r="J3" s="425" t="s">
        <v>168</v>
      </c>
      <c r="K3" s="438" t="s">
        <v>11</v>
      </c>
      <c r="L3" s="575" t="s">
        <v>163</v>
      </c>
      <c r="M3" s="425" t="s">
        <v>169</v>
      </c>
      <c r="N3" s="425" t="s">
        <v>169</v>
      </c>
      <c r="O3" s="425" t="s">
        <v>3</v>
      </c>
      <c r="P3" s="425" t="s">
        <v>3</v>
      </c>
      <c r="Q3" s="425" t="s">
        <v>3</v>
      </c>
      <c r="R3" s="425" t="s">
        <v>3</v>
      </c>
      <c r="S3" s="526" t="s">
        <v>12</v>
      </c>
      <c r="T3" t="s">
        <v>170</v>
      </c>
    </row>
    <row r="4" spans="1:21">
      <c r="A4" s="422" t="s">
        <v>162</v>
      </c>
      <c r="B4" s="644" t="s">
        <v>88</v>
      </c>
      <c r="C4" s="427" t="s">
        <v>17</v>
      </c>
      <c r="D4" s="141">
        <v>18904.98</v>
      </c>
      <c r="E4" s="141">
        <v>2425.25</v>
      </c>
      <c r="F4" s="141">
        <v>17775.1916666667</v>
      </c>
      <c r="G4" s="141">
        <v>-344.28</v>
      </c>
      <c r="H4" s="428">
        <v>-39.88</v>
      </c>
      <c r="I4" s="143"/>
      <c r="J4" s="141">
        <v>-888.759583333333</v>
      </c>
      <c r="K4" s="141">
        <v>16502.2720833333</v>
      </c>
      <c r="L4" s="143">
        <v>19640.49</v>
      </c>
      <c r="M4" s="576">
        <v>0</v>
      </c>
      <c r="N4" s="143">
        <v>0</v>
      </c>
      <c r="O4" s="143">
        <v>0</v>
      </c>
      <c r="P4" s="143">
        <v>0</v>
      </c>
      <c r="Q4" s="576">
        <v>-735.51</v>
      </c>
      <c r="R4" s="143">
        <v>0</v>
      </c>
      <c r="S4" s="143">
        <v>18904.98</v>
      </c>
      <c r="T4" s="143">
        <v>2425.25</v>
      </c>
      <c r="U4" t="s">
        <v>171</v>
      </c>
    </row>
    <row r="5" spans="1:21">
      <c r="A5" s="422" t="s">
        <v>162</v>
      </c>
      <c r="B5" s="644" t="s">
        <v>88</v>
      </c>
      <c r="C5" s="427" t="s">
        <v>18</v>
      </c>
      <c r="D5" s="141">
        <v>4587.6</v>
      </c>
      <c r="E5" s="141">
        <v>546.94</v>
      </c>
      <c r="F5" s="141">
        <v>4278.78333333333</v>
      </c>
      <c r="G5" s="141">
        <v>-84.19</v>
      </c>
      <c r="H5" s="428">
        <v>-9.04</v>
      </c>
      <c r="I5" s="143"/>
      <c r="J5" s="141">
        <v>-213.939166666667</v>
      </c>
      <c r="K5" s="141">
        <v>3971.61416666667</v>
      </c>
      <c r="L5" s="143">
        <v>4872.58</v>
      </c>
      <c r="M5" s="143">
        <v>0</v>
      </c>
      <c r="N5" s="143">
        <v>0</v>
      </c>
      <c r="O5" s="143">
        <v>0</v>
      </c>
      <c r="P5" s="143">
        <v>0</v>
      </c>
      <c r="Q5" s="143">
        <v>-284.98</v>
      </c>
      <c r="R5" s="143">
        <v>0</v>
      </c>
      <c r="S5" s="143">
        <v>4587.6</v>
      </c>
      <c r="T5" s="143">
        <v>546.94</v>
      </c>
      <c r="U5" t="s">
        <v>172</v>
      </c>
    </row>
    <row r="6" spans="1:21">
      <c r="A6" s="422" t="s">
        <v>162</v>
      </c>
      <c r="B6" s="644" t="s">
        <v>88</v>
      </c>
      <c r="C6" s="427" t="s">
        <v>19</v>
      </c>
      <c r="D6" s="141">
        <v>119.88</v>
      </c>
      <c r="E6" s="141">
        <v>507.93</v>
      </c>
      <c r="F6" s="141">
        <v>523.175</v>
      </c>
      <c r="G6" s="141">
        <v>-2.32</v>
      </c>
      <c r="H6" s="428">
        <v>-8.36</v>
      </c>
      <c r="I6" s="143"/>
      <c r="J6" s="141">
        <v>-26.15875</v>
      </c>
      <c r="K6" s="141">
        <v>486.33625</v>
      </c>
      <c r="L6" s="143">
        <v>119.88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119.88</v>
      </c>
      <c r="T6" s="143">
        <v>507.93</v>
      </c>
      <c r="U6" t="s">
        <v>173</v>
      </c>
    </row>
    <row r="7" spans="1:21">
      <c r="A7" s="422" t="s">
        <v>162</v>
      </c>
      <c r="B7" s="644" t="s">
        <v>88</v>
      </c>
      <c r="C7" s="427" t="s">
        <v>20</v>
      </c>
      <c r="D7" s="141">
        <v>18444.02</v>
      </c>
      <c r="E7" s="141">
        <v>1811.46</v>
      </c>
      <c r="F7" s="141">
        <v>16879.5666666667</v>
      </c>
      <c r="G7" s="141">
        <v>-319.4</v>
      </c>
      <c r="H7" s="428">
        <v>-29.74</v>
      </c>
      <c r="I7" s="143"/>
      <c r="J7" s="141">
        <v>-843.978333333333</v>
      </c>
      <c r="K7" s="141">
        <v>15686.4483333333</v>
      </c>
      <c r="L7" s="143">
        <v>19086.57</v>
      </c>
      <c r="M7" s="143">
        <v>0</v>
      </c>
      <c r="N7" s="143">
        <v>0</v>
      </c>
      <c r="O7" s="143">
        <v>0</v>
      </c>
      <c r="P7" s="143">
        <v>0</v>
      </c>
      <c r="Q7" s="143">
        <v>-642.55</v>
      </c>
      <c r="R7" s="143">
        <v>0</v>
      </c>
      <c r="S7" s="143">
        <v>18444.02</v>
      </c>
      <c r="T7" s="143">
        <v>1811.46</v>
      </c>
      <c r="U7" t="s">
        <v>174</v>
      </c>
    </row>
    <row r="8" spans="1:21">
      <c r="A8" s="422" t="s">
        <v>162</v>
      </c>
      <c r="B8" s="644" t="s">
        <v>88</v>
      </c>
      <c r="C8" s="427" t="s">
        <v>83</v>
      </c>
      <c r="D8" s="141">
        <v>674.98</v>
      </c>
      <c r="E8" s="141">
        <v>239.99</v>
      </c>
      <c r="F8" s="141">
        <v>762.475</v>
      </c>
      <c r="G8" s="141">
        <v>-12</v>
      </c>
      <c r="H8" s="428">
        <v>-3.94</v>
      </c>
      <c r="I8" s="143"/>
      <c r="J8" s="141">
        <v>-38.12375</v>
      </c>
      <c r="K8" s="141">
        <v>708.41125</v>
      </c>
      <c r="L8" s="143">
        <v>674.98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674.98</v>
      </c>
      <c r="T8" s="143">
        <v>239.99</v>
      </c>
      <c r="U8" t="s">
        <v>175</v>
      </c>
    </row>
    <row r="9" customFormat="1" spans="1:20">
      <c r="A9" s="422" t="s">
        <v>162</v>
      </c>
      <c r="B9" s="644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>
        <v>0</v>
      </c>
      <c r="H9" s="428">
        <v>0</v>
      </c>
      <c r="I9" s="143"/>
      <c r="J9" s="141">
        <v>0</v>
      </c>
      <c r="K9" s="141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43">
        <v>0</v>
      </c>
    </row>
    <row r="10" customFormat="1" spans="1:20">
      <c r="A10" s="422" t="s">
        <v>162</v>
      </c>
      <c r="B10" s="644" t="s">
        <v>88</v>
      </c>
      <c r="C10" s="386" t="s">
        <v>21</v>
      </c>
      <c r="D10" s="428">
        <v>42731.46</v>
      </c>
      <c r="E10" s="428">
        <v>5531.57</v>
      </c>
      <c r="F10" s="428">
        <v>40219.1916666667</v>
      </c>
      <c r="G10" s="428">
        <v>-762.19</v>
      </c>
      <c r="H10" s="428">
        <v>-90.96</v>
      </c>
      <c r="I10" s="143">
        <v>0</v>
      </c>
      <c r="J10" s="428">
        <v>-2010.95958333333</v>
      </c>
      <c r="K10" s="428">
        <v>37355.0820833333</v>
      </c>
      <c r="L10" s="428">
        <v>44394.5</v>
      </c>
      <c r="M10" s="428">
        <v>0</v>
      </c>
      <c r="N10" s="428">
        <v>0</v>
      </c>
      <c r="O10" s="428">
        <v>0</v>
      </c>
      <c r="P10" s="428">
        <v>0</v>
      </c>
      <c r="Q10" s="428">
        <v>-1663.04</v>
      </c>
      <c r="R10" s="428">
        <v>0</v>
      </c>
      <c r="S10" s="543">
        <v>42731.46</v>
      </c>
      <c r="T10" s="543">
        <v>5531.57</v>
      </c>
    </row>
    <row r="11" customFormat="1" spans="1:20">
      <c r="A11" s="422" t="s">
        <v>162</v>
      </c>
      <c r="B11" s="644" t="s">
        <v>88</v>
      </c>
      <c r="C11" s="451" t="s">
        <v>165</v>
      </c>
      <c r="D11" s="141"/>
      <c r="E11" s="141"/>
      <c r="F11" s="141"/>
      <c r="G11" s="141"/>
      <c r="H11" s="141"/>
      <c r="I11" s="465">
        <v>0</v>
      </c>
      <c r="J11" s="645" t="s">
        <v>13</v>
      </c>
      <c r="K11" s="466" t="s">
        <v>165</v>
      </c>
      <c r="L11" s="143">
        <v>5531.57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5531.57</v>
      </c>
      <c r="T11" s="143"/>
    </row>
    <row r="12" s="142" customFormat="1" spans="1:20">
      <c r="A12" s="422"/>
      <c r="B12" s="422"/>
      <c r="C12" s="451"/>
      <c r="D12" s="141"/>
      <c r="E12" s="141"/>
      <c r="F12" s="141"/>
      <c r="G12" s="141"/>
      <c r="H12" s="141"/>
      <c r="I12" s="141"/>
      <c r="J12" s="466"/>
      <c r="K12" s="466"/>
      <c r="L12" s="143"/>
      <c r="M12" s="143"/>
      <c r="N12" s="143"/>
      <c r="O12" s="143"/>
      <c r="P12" s="143"/>
      <c r="Q12" s="143"/>
      <c r="R12" s="143"/>
      <c r="S12" s="143"/>
      <c r="T12" s="143"/>
    </row>
    <row r="13" s="142" customFormat="1" spans="1:20">
      <c r="A13" s="422"/>
      <c r="B13" s="422"/>
      <c r="C13" s="451"/>
      <c r="D13" s="141"/>
      <c r="E13" s="141"/>
      <c r="F13" s="141"/>
      <c r="G13" s="141"/>
      <c r="H13" s="141"/>
      <c r="I13" s="141"/>
      <c r="J13" s="466"/>
      <c r="K13" s="466"/>
      <c r="L13" s="143"/>
      <c r="M13" s="143"/>
      <c r="N13" s="143"/>
      <c r="O13" s="143"/>
      <c r="P13" s="143"/>
      <c r="Q13" s="143"/>
      <c r="R13" s="143"/>
      <c r="S13" s="143"/>
      <c r="T13" s="143"/>
    </row>
    <row r="14" spans="6:17">
      <c r="F14" s="545">
        <f ca="1">SUM(F5:F9)-SUMIFS($N$22:$N$68,$B$22:$B$68,F3)</f>
        <v>-0.00999999996929546</v>
      </c>
      <c r="G14" s="545">
        <f ca="1">SUM(G5:H9)+SUMIFS($M$22:$M$68,$B$22:$B$68,G3,$M$22:$M$68,"&gt;0")</f>
        <v>0</v>
      </c>
      <c r="J14" s="545">
        <f ca="1">SUM(J5:J9)+SUMIFS($M$22:$M$68,$B$22:$B$68,J3,$M$22:$M$68,"&gt;0")</f>
        <v>0</v>
      </c>
      <c r="L14" s="545">
        <f ca="1">SUM(L5:L9,E5:E9)-SUMIFS($M$22:$M$68,$B$22:$B$68,L3)</f>
        <v>0</v>
      </c>
      <c r="Q14" s="545">
        <f ca="1">SUM(Q5:Q9)+SUMIFS($N$22:$N$68,$B$22:$B$68,Q3)</f>
        <v>0</v>
      </c>
    </row>
    <row r="15" customFormat="1" spans="1:1">
      <c r="A15" s="643" t="str">
        <f>B7</f>
        <v>2021.09月</v>
      </c>
    </row>
    <row r="16" customFormat="1" spans="1:1">
      <c r="A16" t="s">
        <v>176</v>
      </c>
    </row>
    <row r="17" ht="14.25" spans="16:16">
      <c r="P17" t="s">
        <v>176</v>
      </c>
    </row>
    <row r="18" customFormat="1" ht="14.25" spans="2:17">
      <c r="B18" s="452" t="s">
        <v>163</v>
      </c>
      <c r="C18" s="453" t="str">
        <f>$A$15&amp;$A$16&amp;"："&amp;B18</f>
        <v>2021.09月shopify：charge</v>
      </c>
      <c r="D18" s="453"/>
      <c r="E18" s="453"/>
      <c r="F18" s="453"/>
      <c r="G18" s="546" t="str">
        <f>INDEX($P:$P,MATCH($A$16,$P:$P,0)+1)</f>
        <v>1122.001.004</v>
      </c>
      <c r="H18" s="546" t="str">
        <f ca="1">INDEX($Q:$Q,MATCH($A$16,$P:$P,0)+1)</f>
        <v>应收账款 - 应收销售平台款 - 应收 Shopify</v>
      </c>
      <c r="I18" s="467"/>
      <c r="J18" s="453"/>
      <c r="K18" s="453"/>
      <c r="L18" s="453"/>
      <c r="M18" s="315">
        <f>ROUND(L10+L11,2)</f>
        <v>49926.07</v>
      </c>
      <c r="N18" s="316"/>
      <c r="O18" s="31">
        <f>SUM(M$18:M18)-SUM(N$18:N18)</f>
        <v>49926.07</v>
      </c>
      <c r="P18" t="s">
        <v>177</v>
      </c>
      <c r="Q18" t="s">
        <v>178</v>
      </c>
    </row>
    <row r="19" customFormat="1" ht="15" spans="2:17">
      <c r="B19" s="454" t="s">
        <v>163</v>
      </c>
      <c r="C19" s="455" t="str">
        <f>$A$15&amp;$A$16&amp;"："&amp;B19</f>
        <v>2021.09月shopify：charge</v>
      </c>
      <c r="D19" s="455"/>
      <c r="E19" s="455"/>
      <c r="F19" s="455"/>
      <c r="G19" s="180" t="str">
        <f>INDEX($P:$P,MATCH($A$16,$P:$P,0)+2)</f>
        <v>2203.07.004</v>
      </c>
      <c r="H19" s="180" t="str">
        <f ca="1">INDEX($Q:$Q,MATCH($A$16,$P:$P,0)+2)</f>
        <v>预收账款 - 预收销售平台款 - 预收 Shopify</v>
      </c>
      <c r="I19" s="468"/>
      <c r="J19" s="455"/>
      <c r="K19" s="455"/>
      <c r="L19" s="455"/>
      <c r="M19" s="54"/>
      <c r="N19" s="206">
        <f>M18</f>
        <v>49926.07</v>
      </c>
      <c r="O19" s="31">
        <f>SUM(M$18:M19)-SUM(N$18:N19)</f>
        <v>0</v>
      </c>
      <c r="P19" t="s">
        <v>179</v>
      </c>
      <c r="Q19" t="s">
        <v>180</v>
      </c>
    </row>
    <row r="20" customFormat="1" ht="14.25" hidden="1" spans="2:17">
      <c r="B20" s="452" t="s">
        <v>181</v>
      </c>
      <c r="C20" s="546" t="str">
        <f>$A$15&amp;$A$16&amp;"("&amp;$A20&amp;")："&amp;B20</f>
        <v>2021.09月shopify()：adjusment</v>
      </c>
      <c r="D20" s="546"/>
      <c r="E20" s="546"/>
      <c r="F20" s="453"/>
      <c r="G20" s="546" t="str">
        <f>INDEX($P:$P,MATCH($A$16,$P:$P,0)+1)</f>
        <v>1122.001.004</v>
      </c>
      <c r="H20" s="546" t="str">
        <f ca="1">INDEX($Q:$Q,MATCH($A$16,$P:$P,0)+1)</f>
        <v>应收账款 - 应收销售平台款 - 应收 Shopify</v>
      </c>
      <c r="I20" s="467"/>
      <c r="J20" s="453"/>
      <c r="K20" s="453"/>
      <c r="L20" s="453"/>
      <c r="M20" s="577"/>
      <c r="N20" s="316"/>
      <c r="O20" s="31">
        <f>SUM(M$18:M20)-SUM(N$18:N20)</f>
        <v>0</v>
      </c>
      <c r="P20" s="180" t="s">
        <v>182</v>
      </c>
      <c r="Q20" s="180" t="s">
        <v>183</v>
      </c>
    </row>
    <row r="21" customFormat="1" ht="15" hidden="1" spans="2:15">
      <c r="B21" s="454" t="s">
        <v>181</v>
      </c>
      <c r="C21" s="455" t="str">
        <f>$A$15&amp;$A$16&amp;"("&amp;$A21&amp;")："&amp;B21</f>
        <v>2021.09月shopify()：adjusment</v>
      </c>
      <c r="D21" s="455"/>
      <c r="E21" s="455"/>
      <c r="F21" s="455"/>
      <c r="G21" s="180" t="str">
        <f>INDEX($P:$P,MATCH($A$16,$P:$P,0)+3)</f>
        <v>6603.002.02.01</v>
      </c>
      <c r="H21" s="180" t="str">
        <f ca="1">INDEX($Q:$Q,MATCH($A$16,$P:$P,0)+3)</f>
        <v>财务费用 - 收款平台手续费 - Shopify手续费 - 英国公司-shopify手续费</v>
      </c>
      <c r="I21" s="468"/>
      <c r="J21" s="455"/>
      <c r="K21" s="455"/>
      <c r="L21" s="455"/>
      <c r="M21" s="578">
        <f>-M20</f>
        <v>0</v>
      </c>
      <c r="N21" s="206"/>
      <c r="O21" s="31">
        <f>SUM(M$18:M21)-SUM(N$18:N21)</f>
        <v>0</v>
      </c>
    </row>
    <row r="22" customFormat="1" ht="14.25" spans="1:16">
      <c r="A22" t="s">
        <v>18</v>
      </c>
      <c r="B22" s="144" t="s">
        <v>163</v>
      </c>
      <c r="C22" s="145" t="str">
        <f>$A$15&amp;$A$16&amp;"("&amp;$A22&amp;")："&amp;B22</f>
        <v>2021.09月shopify(镜柜)：charge</v>
      </c>
      <c r="D22" s="291"/>
      <c r="E22" s="291"/>
      <c r="F22" s="291"/>
      <c r="G22" s="145" t="str">
        <f>INDEX($P:$P,MATCH($A$16,$P:$P,0)+2)</f>
        <v>2203.07.004</v>
      </c>
      <c r="H22" s="145" t="str">
        <f ca="1">INDEX($Q:$Q,MATCH($A$16,$P:$P,0)+2)</f>
        <v>预收账款 - 预收销售平台款 - 预收 Shopify</v>
      </c>
      <c r="I22" s="469"/>
      <c r="J22" s="291"/>
      <c r="K22" s="291"/>
      <c r="L22" s="291"/>
      <c r="M22" s="146">
        <f ca="1">ROUND(INDEX($A$1:$T$14,MATCH($A22,$C$1:$C$14,0),MATCH($B22,$3:$3,0))+INDEX($A$1:$T$14,MATCH($A22,$C$1:$C$14,0),MATCH("拼单下单",$3:$3,0)),2)</f>
        <v>5419.52</v>
      </c>
      <c r="N22" s="147"/>
      <c r="O22" s="31">
        <f ca="1">SUM(M$18:M22)-SUM(N$18:N22)</f>
        <v>5419.52</v>
      </c>
      <c r="P22" t="s">
        <v>18</v>
      </c>
    </row>
    <row r="23" customFormat="1" ht="14.25" spans="1:17">
      <c r="A23" t="s">
        <v>18</v>
      </c>
      <c r="B23" s="148" t="s">
        <v>7</v>
      </c>
      <c r="C23" s="149" t="str">
        <f t="shared" ref="C23:C66" si="0">$A$15&amp;$A$16&amp;"("&amp;$A23&amp;")："&amp;B23</f>
        <v>2021.09月shopify(镜柜)：不含税</v>
      </c>
      <c r="D23" s="457"/>
      <c r="E23" s="457"/>
      <c r="F23" s="457"/>
      <c r="G23" s="149" t="str">
        <f>INDEX($P:$P,MATCH($A23,$P:$P,0)+1)</f>
        <v>1221.86</v>
      </c>
      <c r="H23" s="149" t="str">
        <f ca="1">INDEX($Q:$Q,MATCH($A23,$P:$P,0)+1)</f>
        <v>其他应收款 - 事业部</v>
      </c>
      <c r="I23" s="470"/>
      <c r="J23" s="471"/>
      <c r="K23" s="471"/>
      <c r="L23" s="471"/>
      <c r="M23" s="71"/>
      <c r="N23" s="151">
        <f ca="1">ROUND(INDEX($A$1:$T$14,MATCH($A23,$C$1:$C$14,0),MATCH($B23,$3:$3,0)),2)</f>
        <v>4278.78</v>
      </c>
      <c r="O23" s="31">
        <f ca="1">SUM(M$18:M23)-SUM(N$18:N23)</f>
        <v>1140.74</v>
      </c>
      <c r="P23" t="s">
        <v>59</v>
      </c>
      <c r="Q23" t="s">
        <v>60</v>
      </c>
    </row>
    <row r="24" customFormat="1" ht="14.25" spans="1:17">
      <c r="A24" t="s">
        <v>18</v>
      </c>
      <c r="B24" s="148" t="s">
        <v>31</v>
      </c>
      <c r="C24" s="149" t="str">
        <f t="shared" si="0"/>
        <v>2021.09月shopify(镜柜)：税金</v>
      </c>
      <c r="D24" s="457"/>
      <c r="E24" s="457"/>
      <c r="F24" s="457"/>
      <c r="G24" s="149" t="s">
        <v>32</v>
      </c>
      <c r="H24" s="149" t="s">
        <v>33</v>
      </c>
      <c r="I24" s="457"/>
      <c r="J24" s="472"/>
      <c r="K24" s="472"/>
      <c r="L24" s="472"/>
      <c r="M24" s="73"/>
      <c r="N24" s="151">
        <f ca="1">ROUND(N23*0.2,2)</f>
        <v>855.76</v>
      </c>
      <c r="O24" s="31">
        <f ca="1">SUM(M$18:M24)-SUM(N$18:N24)</f>
        <v>284.979999999996</v>
      </c>
      <c r="P24" t="s">
        <v>184</v>
      </c>
      <c r="Q24" t="s">
        <v>185</v>
      </c>
    </row>
    <row r="25" customFormat="1" ht="14.25" spans="1:17">
      <c r="A25" t="s">
        <v>18</v>
      </c>
      <c r="B25" s="148" t="s">
        <v>3</v>
      </c>
      <c r="C25" s="149" t="str">
        <f t="shared" si="0"/>
        <v>2021.09月shopify(镜柜)：refund</v>
      </c>
      <c r="D25" s="457"/>
      <c r="E25" s="457"/>
      <c r="F25" s="457"/>
      <c r="G25" s="149" t="str">
        <f>INDEX($P:$P,MATCH($A$16,$P:$P,0)+1)</f>
        <v>1122.001.004</v>
      </c>
      <c r="H25" s="149" t="str">
        <f ca="1">INDEX($Q:$Q,MATCH($A$16,$P:$P,0)+1)</f>
        <v>应收账款 - 应收销售平台款 - 应收 Shopify</v>
      </c>
      <c r="I25" s="457"/>
      <c r="J25" s="472"/>
      <c r="K25" s="472"/>
      <c r="L25" s="472"/>
      <c r="M25" s="73"/>
      <c r="N25" s="151">
        <f ca="1">-ROUND(SUM(OFFSET($A$1,MATCH($A25,$C$1:$C$14,0)-1,MATCH($B25,$3:$3,0)-1,,4)),2)</f>
        <v>284.98</v>
      </c>
      <c r="O25" s="31">
        <f ca="1">SUM(M$18:M25)-SUM(N$18:N25)</f>
        <v>0</v>
      </c>
      <c r="P25" t="s">
        <v>63</v>
      </c>
      <c r="Q25" t="s">
        <v>64</v>
      </c>
    </row>
    <row r="26" customFormat="1" ht="14.25" hidden="1" spans="1:15">
      <c r="A26" t="s">
        <v>18</v>
      </c>
      <c r="B26" s="148" t="s">
        <v>3</v>
      </c>
      <c r="C26" s="149" t="str">
        <f t="shared" si="0"/>
        <v>2021.09月shopify(镜柜)：refund</v>
      </c>
      <c r="D26" s="457"/>
      <c r="E26" s="457"/>
      <c r="F26" s="457"/>
      <c r="G26" s="149" t="s">
        <v>149</v>
      </c>
      <c r="H26" s="149" t="s">
        <v>150</v>
      </c>
      <c r="I26" s="457"/>
      <c r="J26" s="472"/>
      <c r="K26" s="472"/>
      <c r="L26" s="472"/>
      <c r="M26" s="73"/>
      <c r="N26" s="151"/>
      <c r="O26" s="31">
        <f ca="1">SUM(M$18:M26)-SUM(N$18:N26)</f>
        <v>0</v>
      </c>
    </row>
    <row r="27" customFormat="1" ht="14.25" spans="1:15">
      <c r="A27" t="s">
        <v>18</v>
      </c>
      <c r="B27" s="148" t="s">
        <v>166</v>
      </c>
      <c r="C27" s="149" t="str">
        <f t="shared" si="0"/>
        <v>2021.09月shopify(镜柜)：手续费</v>
      </c>
      <c r="D27" s="457"/>
      <c r="E27" s="457"/>
      <c r="F27" s="457"/>
      <c r="G27" s="149" t="str">
        <f>INDEX($P:$P,MATCH($A27,$P:$P,0)+2)</f>
        <v>6603.002.02.03</v>
      </c>
      <c r="H27" s="149" t="str">
        <f ca="1">INDEX($Q:$Q,MATCH($A27,$P:$P,0)+2)</f>
        <v>财务费用 - 收款平台手续费 - Shopify手续费 - 镜柜事业部-shopify手续费</v>
      </c>
      <c r="I27" s="457"/>
      <c r="J27" s="472"/>
      <c r="K27" s="472"/>
      <c r="L27" s="472"/>
      <c r="M27" s="73">
        <f ca="1">ROUND(INDEX($A$1:$T$14,MATCH($A27,$C$1:$C$14,0),MATCH($B27,$3:$3,0))+INDEX($A$1:$T$14,MATCH($A27,$C$1:$C$14,0),MATCH("拼单手续费",$3:$3,0)),2)</f>
        <v>-93.23</v>
      </c>
      <c r="N27" s="151"/>
      <c r="O27" s="31">
        <f ca="1">SUM(M$18:M27)-SUM(N$18:N27)</f>
        <v>-93.2300000000105</v>
      </c>
    </row>
    <row r="28" customFormat="1" ht="14.25" spans="1:15">
      <c r="A28" t="s">
        <v>18</v>
      </c>
      <c r="B28" s="148" t="s">
        <v>166</v>
      </c>
      <c r="C28" s="149" t="str">
        <f t="shared" si="0"/>
        <v>2021.09月shopify(镜柜)：手续费</v>
      </c>
      <c r="D28" s="457"/>
      <c r="E28" s="457"/>
      <c r="F28" s="457"/>
      <c r="G28" s="149" t="str">
        <f>INDEX($P:$P,MATCH($A28,$P:$P,0)+1)</f>
        <v>1221.86</v>
      </c>
      <c r="H28" s="149" t="str">
        <f ca="1">INDEX($Q:$Q,MATCH($A28,$P:$P,0)+1)</f>
        <v>其他应收款 - 事业部</v>
      </c>
      <c r="I28" s="457"/>
      <c r="J28" s="472"/>
      <c r="K28" s="472"/>
      <c r="L28" s="472"/>
      <c r="M28" s="71">
        <f ca="1">-M27</f>
        <v>93.23</v>
      </c>
      <c r="N28" s="151"/>
      <c r="O28" s="31">
        <f ca="1">SUM(M$18:M28)-SUM(N$18:N28)</f>
        <v>0</v>
      </c>
    </row>
    <row r="29" customFormat="1" ht="14.25" spans="1:16">
      <c r="A29" t="s">
        <v>18</v>
      </c>
      <c r="B29" s="148" t="s">
        <v>168</v>
      </c>
      <c r="C29" s="149" t="str">
        <f t="shared" si="0"/>
        <v>2021.09月shopify(镜柜)：营运费5%</v>
      </c>
      <c r="D29" s="457"/>
      <c r="E29" s="457"/>
      <c r="F29" s="457"/>
      <c r="G29" s="149" t="str">
        <f>INDEX($P:$P,MATCH($A29,$P:$P,0)+3)</f>
        <v>6601.006.002</v>
      </c>
      <c r="H29" s="149" t="str">
        <f ca="1">INDEX($Q:$Q,MATCH($A29,$P:$P,0)+3)</f>
        <v>销售费用 - 事业部营运费 - 镜柜事业部-营运费</v>
      </c>
      <c r="I29" s="457"/>
      <c r="J29" s="472"/>
      <c r="K29" s="472"/>
      <c r="L29" s="472"/>
      <c r="M29" s="73">
        <f ca="1">ROUND(INDEX($A$1:$T$14,MATCH($A29,$C$1:$C$14,0),MATCH($B29,$3:$3,0)),2)</f>
        <v>-213.94</v>
      </c>
      <c r="N29" s="151"/>
      <c r="O29" s="31">
        <f ca="1">SUM(M$18:M29)-SUM(N$18:N29)</f>
        <v>-213.94000000001</v>
      </c>
      <c r="P29" t="s">
        <v>20</v>
      </c>
    </row>
    <row r="30" customFormat="1" ht="15" spans="1:17">
      <c r="A30" t="s">
        <v>18</v>
      </c>
      <c r="B30" s="458" t="s">
        <v>168</v>
      </c>
      <c r="C30" s="162" t="str">
        <f t="shared" si="0"/>
        <v>2021.09月shopify(镜柜)：营运费5%</v>
      </c>
      <c r="D30" s="459"/>
      <c r="E30" s="459"/>
      <c r="F30" s="459"/>
      <c r="G30" s="162" t="str">
        <f>INDEX($P:$P,MATCH($A30,$P:$P,0)+1)</f>
        <v>1221.86</v>
      </c>
      <c r="H30" s="162" t="str">
        <f ca="1">INDEX($Q:$Q,MATCH($A30,$P:$P,0)+1)</f>
        <v>其他应收款 - 事业部</v>
      </c>
      <c r="I30" s="459"/>
      <c r="J30" s="294"/>
      <c r="K30" s="294"/>
      <c r="L30" s="294"/>
      <c r="M30" s="404">
        <f ca="1">-M29</f>
        <v>213.94</v>
      </c>
      <c r="N30" s="207"/>
      <c r="O30" s="31">
        <f ca="1">SUM(M$18:M30)-SUM(N$18:N30)</f>
        <v>0</v>
      </c>
      <c r="P30" s="37" t="s">
        <v>65</v>
      </c>
      <c r="Q30" s="37" t="s">
        <v>66</v>
      </c>
    </row>
    <row r="31" customFormat="1" ht="14.25" spans="1:17">
      <c r="A31" t="s">
        <v>20</v>
      </c>
      <c r="B31" s="144" t="s">
        <v>163</v>
      </c>
      <c r="C31" s="145" t="str">
        <f t="shared" si="0"/>
        <v>2021.09月shopify(五金)：charge</v>
      </c>
      <c r="D31" s="291"/>
      <c r="E31" s="291"/>
      <c r="F31" s="291"/>
      <c r="G31" s="145" t="str">
        <f>INDEX($P:$P,MATCH($A$16,$P:$P,0)+2)</f>
        <v>2203.07.004</v>
      </c>
      <c r="H31" s="145" t="str">
        <f ca="1">INDEX($Q:$Q,MATCH($A$16,$P:$P,0)+2)</f>
        <v>预收账款 - 预收销售平台款 - 预收 Shopify</v>
      </c>
      <c r="I31" s="469"/>
      <c r="J31" s="291"/>
      <c r="K31" s="291"/>
      <c r="L31" s="291"/>
      <c r="M31" s="146">
        <f ca="1">ROUND(INDEX($A$1:$T$14,MATCH($A31,$C$1:$C$14,0),MATCH($B31,$3:$3,0))+INDEX($A$1:$T$14,MATCH($A31,$C$1:$C$14,0),MATCH("拼单下单",$3:$3,0)),2)</f>
        <v>20898.03</v>
      </c>
      <c r="N31" s="147"/>
      <c r="O31" s="31">
        <f ca="1">SUM(M$18:M31)-SUM(N$18:N31)</f>
        <v>20898.03</v>
      </c>
      <c r="P31" s="149" t="s">
        <v>186</v>
      </c>
      <c r="Q31" s="149" t="s">
        <v>187</v>
      </c>
    </row>
    <row r="32" customFormat="1" ht="14.25" spans="1:17">
      <c r="A32" t="s">
        <v>20</v>
      </c>
      <c r="B32" s="148" t="s">
        <v>7</v>
      </c>
      <c r="C32" s="149" t="str">
        <f t="shared" si="0"/>
        <v>2021.09月shopify(五金)：不含税</v>
      </c>
      <c r="D32" s="457"/>
      <c r="E32" s="457"/>
      <c r="F32" s="457"/>
      <c r="G32" s="149" t="str">
        <f>INDEX($P:$P,MATCH($A32,$P:$P,0)+1)</f>
        <v>1221.60</v>
      </c>
      <c r="H32" s="149" t="str">
        <f ca="1">INDEX($Q:$Q,MATCH($A32,$P:$P,0)+1)</f>
        <v>其他应收款 - 拓展部五金部</v>
      </c>
      <c r="I32" s="470"/>
      <c r="J32" s="471"/>
      <c r="K32" s="471"/>
      <c r="L32" s="471"/>
      <c r="M32" s="71"/>
      <c r="N32" s="151">
        <f ca="1">ROUND(INDEX($A$1:$T$14,MATCH($A32,$C$1:$C$14,0),MATCH($B32,$3:$3,0)),2)</f>
        <v>16879.57</v>
      </c>
      <c r="O32" s="31">
        <f ca="1">SUM(M$18:M32)-SUM(N$18:N32)</f>
        <v>4018.45999999999</v>
      </c>
      <c r="P32" s="149" t="s">
        <v>69</v>
      </c>
      <c r="Q32" s="149" t="s">
        <v>70</v>
      </c>
    </row>
    <row r="33" customFormat="1" ht="14.25" spans="1:15">
      <c r="A33" t="s">
        <v>20</v>
      </c>
      <c r="B33" s="148" t="s">
        <v>31</v>
      </c>
      <c r="C33" s="149" t="str">
        <f t="shared" si="0"/>
        <v>2021.09月shopify(五金)：税金</v>
      </c>
      <c r="D33" s="457"/>
      <c r="E33" s="457"/>
      <c r="F33" s="457"/>
      <c r="G33" s="149" t="s">
        <v>32</v>
      </c>
      <c r="H33" s="149" t="s">
        <v>33</v>
      </c>
      <c r="I33" s="457"/>
      <c r="J33" s="472"/>
      <c r="K33" s="472"/>
      <c r="L33" s="472"/>
      <c r="M33" s="73"/>
      <c r="N33" s="151">
        <f ca="1">ROUND(N32*0.2,2)</f>
        <v>3375.91</v>
      </c>
      <c r="O33" s="31">
        <f ca="1">SUM(M$18:M33)-SUM(N$18:N33)</f>
        <v>642.549999999988</v>
      </c>
    </row>
    <row r="34" customFormat="1" ht="14.25" spans="1:16">
      <c r="A34" t="s">
        <v>20</v>
      </c>
      <c r="B34" s="148" t="s">
        <v>3</v>
      </c>
      <c r="C34" s="149" t="str">
        <f t="shared" si="0"/>
        <v>2021.09月shopify(五金)：refund</v>
      </c>
      <c r="D34" s="457"/>
      <c r="E34" s="457"/>
      <c r="F34" s="457"/>
      <c r="G34" s="149" t="str">
        <f>INDEX($P:$P,MATCH($A$16,$P:$P,0)+1)</f>
        <v>1122.001.004</v>
      </c>
      <c r="H34" s="149" t="str">
        <f ca="1">INDEX($Q:$Q,MATCH($A$16,$P:$P,0)+1)</f>
        <v>应收账款 - 应收销售平台款 - 应收 Shopify</v>
      </c>
      <c r="I34" s="457"/>
      <c r="J34" s="472"/>
      <c r="K34" s="472"/>
      <c r="L34" s="472"/>
      <c r="M34" s="73"/>
      <c r="N34" s="151">
        <f ca="1">-ROUND(SUM(OFFSET($A$1,MATCH($A34,$C$1:$C$14,0)-1,MATCH($B34,$3:$3,0)-1,,4)),2)</f>
        <v>642.55</v>
      </c>
      <c r="O34" s="31">
        <f ca="1">SUM(M$18:M34)-SUM(N$18:N34)</f>
        <v>0</v>
      </c>
      <c r="P34" t="s">
        <v>19</v>
      </c>
    </row>
    <row r="35" customFormat="1" ht="14.25" hidden="1" spans="1:17">
      <c r="A35" t="s">
        <v>20</v>
      </c>
      <c r="B35" s="148" t="s">
        <v>161</v>
      </c>
      <c r="C35" s="149" t="str">
        <f t="shared" si="0"/>
        <v>2021.09月shopify(五金)：chargeback</v>
      </c>
      <c r="D35" s="457"/>
      <c r="E35" s="457"/>
      <c r="F35" s="457"/>
      <c r="G35" s="149" t="str">
        <f>INDEX($P:$P,MATCH($A$16,$P:$P,0)+1)</f>
        <v>1122.001.004</v>
      </c>
      <c r="H35" s="149" t="str">
        <f ca="1">INDEX($Q:$Q,MATCH($A$16,$P:$P,0)+1)</f>
        <v>应收账款 - 应收销售平台款 - 应收 Shopify</v>
      </c>
      <c r="I35" s="457"/>
      <c r="J35" s="472"/>
      <c r="K35" s="472"/>
      <c r="L35" s="472"/>
      <c r="M35" s="73"/>
      <c r="N35" s="151"/>
      <c r="O35" s="31">
        <f ca="1">SUM(M$18:M35)-SUM(N$18:N35)</f>
        <v>0</v>
      </c>
      <c r="P35" s="37" t="s">
        <v>71</v>
      </c>
      <c r="Q35" s="37" t="s">
        <v>72</v>
      </c>
    </row>
    <row r="36" customFormat="1" ht="14.25" spans="1:17">
      <c r="A36" t="s">
        <v>20</v>
      </c>
      <c r="B36" s="148" t="s">
        <v>166</v>
      </c>
      <c r="C36" s="149" t="str">
        <f t="shared" si="0"/>
        <v>2021.09月shopify(五金)：手续费</v>
      </c>
      <c r="D36" s="457"/>
      <c r="E36" s="457"/>
      <c r="F36" s="457"/>
      <c r="G36" s="149" t="str">
        <f>INDEX($P:$P,MATCH($A36,$P:$P,0)+2)</f>
        <v>6603.002.02.02</v>
      </c>
      <c r="H36" s="149" t="str">
        <f ca="1">INDEX($Q:$Q,MATCH($A36,$P:$P,0)+2)</f>
        <v>财务费用 - 收款平台手续费 - Shopify手续费 - 五金事业部-shopify手续费</v>
      </c>
      <c r="I36" s="457"/>
      <c r="J36" s="472"/>
      <c r="K36" s="472"/>
      <c r="L36" s="472"/>
      <c r="M36" s="73">
        <f ca="1">ROUND(INDEX($A$1:$T$14,MATCH($A36,$C$1:$C$14,0),MATCH($B36,$3:$3,0))+INDEX($A$1:$T$14,MATCH($A36,$C$1:$C$14,0),MATCH("拼单手续费",$3:$3,0)),2)</f>
        <v>-349.14</v>
      </c>
      <c r="N36" s="151"/>
      <c r="O36" s="31">
        <f ca="1">SUM(M$18:M36)-SUM(N$18:N36)</f>
        <v>-349.140000000014</v>
      </c>
      <c r="P36" s="149" t="s">
        <v>188</v>
      </c>
      <c r="Q36" s="149" t="s">
        <v>189</v>
      </c>
    </row>
    <row r="37" customFormat="1" ht="14.25" spans="1:17">
      <c r="A37" t="s">
        <v>20</v>
      </c>
      <c r="B37" s="148" t="s">
        <v>166</v>
      </c>
      <c r="C37" s="149" t="str">
        <f t="shared" si="0"/>
        <v>2021.09月shopify(五金)：手续费</v>
      </c>
      <c r="D37" s="457"/>
      <c r="E37" s="457"/>
      <c r="F37" s="457"/>
      <c r="G37" s="149" t="str">
        <f>INDEX($P:$P,MATCH($A37,$P:$P,0)+1)</f>
        <v>1221.60</v>
      </c>
      <c r="H37" s="149" t="str">
        <f ca="1">INDEX($Q:$Q,MATCH($A37,$P:$P,0)+1)</f>
        <v>其他应收款 - 拓展部五金部</v>
      </c>
      <c r="I37" s="457"/>
      <c r="J37" s="472"/>
      <c r="K37" s="472"/>
      <c r="L37" s="472"/>
      <c r="M37" s="71">
        <f ca="1">-M36</f>
        <v>349.14</v>
      </c>
      <c r="N37" s="151"/>
      <c r="O37" s="31">
        <f ca="1">SUM(M$18:M37)-SUM(N$18:N37)</f>
        <v>0</v>
      </c>
      <c r="P37" s="149" t="s">
        <v>75</v>
      </c>
      <c r="Q37" s="149" t="s">
        <v>76</v>
      </c>
    </row>
    <row r="38" customFormat="1" ht="14.25" spans="1:15">
      <c r="A38" t="s">
        <v>20</v>
      </c>
      <c r="B38" s="148" t="s">
        <v>168</v>
      </c>
      <c r="C38" s="149" t="str">
        <f t="shared" si="0"/>
        <v>2021.09月shopify(五金)：营运费5%</v>
      </c>
      <c r="D38" s="457"/>
      <c r="E38" s="457"/>
      <c r="F38" s="457"/>
      <c r="G38" s="149" t="str">
        <f>INDEX($P:$P,MATCH($A38,$P:$P,0)+3)</f>
        <v>6601.006.001</v>
      </c>
      <c r="H38" s="149" t="str">
        <f ca="1">INDEX($Q:$Q,MATCH($A38,$P:$P,0)+3)</f>
        <v>销售费用 - 事业部营运费 - 五金事业部-营运费</v>
      </c>
      <c r="I38" s="457"/>
      <c r="J38" s="472"/>
      <c r="K38" s="472"/>
      <c r="L38" s="472"/>
      <c r="M38" s="73">
        <f ca="1">ROUND(INDEX($A$1:$T$14,MATCH($A38,$C$1:$C$14,0),MATCH($B38,$3:$3,0)),2)</f>
        <v>-843.98</v>
      </c>
      <c r="N38" s="151"/>
      <c r="O38" s="31">
        <f ca="1">SUM(M$18:M38)-SUM(N$18:N38)</f>
        <v>-843.98000000001</v>
      </c>
    </row>
    <row r="39" customFormat="1" ht="15" spans="1:15">
      <c r="A39" s="550" t="s">
        <v>20</v>
      </c>
      <c r="B39" s="458" t="s">
        <v>168</v>
      </c>
      <c r="C39" s="162" t="str">
        <f t="shared" si="0"/>
        <v>2021.09月shopify(五金)：营运费5%</v>
      </c>
      <c r="D39" s="459"/>
      <c r="E39" s="459"/>
      <c r="F39" s="459"/>
      <c r="G39" s="162" t="str">
        <f>INDEX($P:$P,MATCH($A39,$P:$P,0)+1)</f>
        <v>1221.60</v>
      </c>
      <c r="H39" s="162" t="str">
        <f ca="1">INDEX($Q:$Q,MATCH($A39,$P:$P,0)+1)</f>
        <v>其他应收款 - 拓展部五金部</v>
      </c>
      <c r="I39" s="459"/>
      <c r="J39" s="294"/>
      <c r="K39" s="294"/>
      <c r="L39" s="294"/>
      <c r="M39" s="404">
        <f ca="1">-M38</f>
        <v>843.98</v>
      </c>
      <c r="N39" s="207"/>
      <c r="O39" s="31">
        <f ca="1">SUM(M$18:M39)-SUM(N$18:N39)</f>
        <v>0</v>
      </c>
    </row>
    <row r="40" customFormat="1" ht="15" spans="1:16">
      <c r="A40" t="s">
        <v>19</v>
      </c>
      <c r="B40" s="144" t="s">
        <v>163</v>
      </c>
      <c r="C40" s="145" t="str">
        <f t="shared" si="0"/>
        <v>2021.09月shopify(水龙头)：charge</v>
      </c>
      <c r="D40" s="291"/>
      <c r="E40" s="291"/>
      <c r="F40" s="291"/>
      <c r="G40" s="145" t="str">
        <f>INDEX($P:$P,MATCH($A$16,$P:$P,0)+2)</f>
        <v>2203.07.004</v>
      </c>
      <c r="H40" s="145" t="str">
        <f ca="1">INDEX($Q:$Q,MATCH($A$16,$P:$P,0)+2)</f>
        <v>预收账款 - 预收销售平台款 - 预收 Shopify</v>
      </c>
      <c r="I40" s="469"/>
      <c r="J40" s="291"/>
      <c r="K40" s="291"/>
      <c r="L40" s="291"/>
      <c r="M40" s="146">
        <f ca="1">ROUND(INDEX($A$1:$T$14,MATCH($A40,$C$1:$C$14,0),MATCH($B40,$3:$3,0))+INDEX($A$1:$T$14,MATCH($A40,$C$1:$C$14,0),MATCH("拼单下单",$3:$3,0)),2)</f>
        <v>627.81</v>
      </c>
      <c r="N40" s="147"/>
      <c r="O40" s="31">
        <f ca="1">SUM(M$18:M40)-SUM(N$18:N40)</f>
        <v>627.809999999983</v>
      </c>
      <c r="P40" t="s">
        <v>83</v>
      </c>
    </row>
    <row r="41" customFormat="1" ht="14.25" spans="1:17">
      <c r="A41" t="s">
        <v>19</v>
      </c>
      <c r="B41" s="148" t="s">
        <v>7</v>
      </c>
      <c r="C41" s="149" t="str">
        <f t="shared" si="0"/>
        <v>2021.09月shopify(水龙头)：不含税</v>
      </c>
      <c r="D41" s="457"/>
      <c r="E41" s="457"/>
      <c r="F41" s="457"/>
      <c r="G41" s="149" t="str">
        <f>INDEX($P:$P,MATCH($A41,$P:$P,0)+1)</f>
        <v>1221.100</v>
      </c>
      <c r="H41" s="149" t="str">
        <f ca="1">INDEX($Q:$Q,MATCH($A41,$P:$P,0)+1)</f>
        <v>其他应收款 - 拓展部-水龙头</v>
      </c>
      <c r="I41" s="470"/>
      <c r="J41" s="471"/>
      <c r="K41" s="471"/>
      <c r="L41" s="471"/>
      <c r="M41" s="71"/>
      <c r="N41" s="151">
        <f ca="1">ROUND(INDEX($A$1:$T$14,MATCH($A41,$C$1:$C$14,0),MATCH($B41,$3:$3,0)),2)</f>
        <v>523.18</v>
      </c>
      <c r="O41" s="31">
        <f ca="1">SUM(M$18:M41)-SUM(N$18:N41)</f>
        <v>104.62999999999</v>
      </c>
      <c r="P41" s="579" t="s">
        <v>121</v>
      </c>
      <c r="Q41" s="580" t="s">
        <v>122</v>
      </c>
    </row>
    <row r="42" customFormat="1" ht="14.25" spans="1:17">
      <c r="A42" t="s">
        <v>19</v>
      </c>
      <c r="B42" s="148" t="s">
        <v>31</v>
      </c>
      <c r="C42" s="149" t="str">
        <f t="shared" si="0"/>
        <v>2021.09月shopify(水龙头)：税金</v>
      </c>
      <c r="D42" s="457"/>
      <c r="E42" s="457"/>
      <c r="F42" s="457"/>
      <c r="G42" s="149" t="s">
        <v>32</v>
      </c>
      <c r="H42" s="149" t="s">
        <v>33</v>
      </c>
      <c r="I42" s="457"/>
      <c r="J42" s="472"/>
      <c r="K42" s="472"/>
      <c r="L42" s="472"/>
      <c r="M42" s="73"/>
      <c r="N42" s="151">
        <f ca="1">ROUND(N41*0.2,2)-0.01</f>
        <v>104.63</v>
      </c>
      <c r="O42" s="31">
        <f ca="1">SUM(M$18:M42)-SUM(N$18:N42)</f>
        <v>0</v>
      </c>
      <c r="P42" s="579" t="s">
        <v>190</v>
      </c>
      <c r="Q42" s="580" t="s">
        <v>191</v>
      </c>
    </row>
    <row r="43" customFormat="1" ht="14.25" hidden="1" spans="1:17">
      <c r="A43" t="s">
        <v>19</v>
      </c>
      <c r="B43" s="148" t="s">
        <v>3</v>
      </c>
      <c r="C43" s="149" t="str">
        <f t="shared" si="0"/>
        <v>2021.09月shopify(水龙头)：refund</v>
      </c>
      <c r="D43" s="457"/>
      <c r="E43" s="457"/>
      <c r="F43" s="457"/>
      <c r="G43" s="149" t="str">
        <f>INDEX($P:$P,MATCH($A$16,$P:$P,0)+1)</f>
        <v>1122.001.004</v>
      </c>
      <c r="H43" s="149" t="str">
        <f ca="1">INDEX($Q:$Q,MATCH($A$16,$P:$P,0)+1)</f>
        <v>应收账款 - 应收销售平台款 - 应收 Shopify</v>
      </c>
      <c r="I43" s="457"/>
      <c r="J43" s="472"/>
      <c r="K43" s="472"/>
      <c r="L43" s="472"/>
      <c r="M43" s="73"/>
      <c r="N43" s="151">
        <f ca="1">-ROUND(SUM(OFFSET($A$1,MATCH($A43,$C$1:$C$14,0)-1,MATCH($B43,$3:$3,0)-1,,4)),2)</f>
        <v>0</v>
      </c>
      <c r="O43" s="31">
        <f ca="1">SUM(M$18:M43)-SUM(N$18:N43)</f>
        <v>0</v>
      </c>
      <c r="P43" s="579" t="s">
        <v>125</v>
      </c>
      <c r="Q43" s="580" t="s">
        <v>126</v>
      </c>
    </row>
    <row r="44" customFormat="1" ht="14.25" hidden="1" spans="1:15">
      <c r="A44" t="s">
        <v>19</v>
      </c>
      <c r="B44" s="148" t="s">
        <v>3</v>
      </c>
      <c r="C44" s="149" t="str">
        <f t="shared" si="0"/>
        <v>2021.09月shopify(水龙头)：refund</v>
      </c>
      <c r="D44" s="457"/>
      <c r="E44" s="457"/>
      <c r="F44" s="457"/>
      <c r="G44" s="149" t="s">
        <v>149</v>
      </c>
      <c r="H44" s="149" t="s">
        <v>150</v>
      </c>
      <c r="I44" s="457"/>
      <c r="J44" s="472"/>
      <c r="K44" s="472"/>
      <c r="L44" s="472"/>
      <c r="M44" s="73"/>
      <c r="N44" s="151"/>
      <c r="O44" s="31">
        <f ca="1">SUM(M$18:M44)-SUM(N$18:N44)</f>
        <v>0</v>
      </c>
    </row>
    <row r="45" customFormat="1" ht="14.25" spans="1:16">
      <c r="A45" t="s">
        <v>19</v>
      </c>
      <c r="B45" s="148" t="s">
        <v>166</v>
      </c>
      <c r="C45" s="149" t="str">
        <f t="shared" si="0"/>
        <v>2021.09月shopify(水龙头)：手续费</v>
      </c>
      <c r="D45" s="457"/>
      <c r="E45" s="457"/>
      <c r="F45" s="457"/>
      <c r="G45" s="149" t="str">
        <f>INDEX($P:$P,MATCH($A45,$P:$P,0)+2)</f>
        <v>6603.002.02.04</v>
      </c>
      <c r="H45" s="149" t="str">
        <f ca="1">INDEX($Q:$Q,MATCH($A45,$P:$P,0)+2)</f>
        <v>财务费用 - 收款平台手续费 - Shopify手续费 - 水龙头事业部-shopify手续费</v>
      </c>
      <c r="I45" s="457"/>
      <c r="J45" s="472"/>
      <c r="K45" s="472"/>
      <c r="L45" s="472"/>
      <c r="M45" s="73">
        <f ca="1">ROUND(INDEX($A$1:$T$14,MATCH($A45,$C$1:$C$14,0),MATCH($B45,$3:$3,0))+INDEX($A$1:$T$14,MATCH($A45,$C$1:$C$14,0),MATCH("拼单手续费",$3:$3,0)),2)</f>
        <v>-10.68</v>
      </c>
      <c r="N45" s="151"/>
      <c r="O45" s="31">
        <f ca="1">SUM(M$18:M45)-SUM(N$18:N45)</f>
        <v>-10.6800000000076</v>
      </c>
      <c r="P45" t="s">
        <v>84</v>
      </c>
    </row>
    <row r="46" customFormat="1" ht="14.25" spans="1:17">
      <c r="A46" t="s">
        <v>19</v>
      </c>
      <c r="B46" s="148" t="s">
        <v>166</v>
      </c>
      <c r="C46" s="149" t="str">
        <f t="shared" si="0"/>
        <v>2021.09月shopify(水龙头)：手续费</v>
      </c>
      <c r="D46" s="457"/>
      <c r="E46" s="457"/>
      <c r="F46" s="457"/>
      <c r="G46" s="149" t="str">
        <f>INDEX($P:$P,MATCH($A46,$P:$P,0)+1)</f>
        <v>1221.100</v>
      </c>
      <c r="H46" s="149" t="str">
        <f ca="1">INDEX($Q:$Q,MATCH($A46,$P:$P,0)+1)</f>
        <v>其他应收款 - 拓展部-水龙头</v>
      </c>
      <c r="I46" s="457"/>
      <c r="J46" s="472"/>
      <c r="K46" s="472"/>
      <c r="L46" s="472"/>
      <c r="M46" s="71">
        <f ca="1">-M45</f>
        <v>10.68</v>
      </c>
      <c r="N46" s="151"/>
      <c r="O46" s="31">
        <f ca="1">SUM(M$18:M46)-SUM(N$18:N46)</f>
        <v>0</v>
      </c>
      <c r="P46" t="s">
        <v>129</v>
      </c>
      <c r="Q46" t="s">
        <v>130</v>
      </c>
    </row>
    <row r="47" customFormat="1" ht="14.25" spans="1:17">
      <c r="A47" t="s">
        <v>19</v>
      </c>
      <c r="B47" s="148" t="s">
        <v>168</v>
      </c>
      <c r="C47" s="149" t="str">
        <f t="shared" si="0"/>
        <v>2021.09月shopify(水龙头)：营运费5%</v>
      </c>
      <c r="D47" s="457"/>
      <c r="E47" s="457"/>
      <c r="F47" s="457"/>
      <c r="G47" s="149" t="str">
        <f>INDEX($P:$P,MATCH($A47,$P:$P,0)+3)</f>
        <v>6601.006.003</v>
      </c>
      <c r="H47" s="149" t="str">
        <f ca="1">INDEX($Q:$Q,MATCH($A47,$P:$P,0)+3)</f>
        <v>销售费用 - 事业部营运费 - 水龙头事业部-营运费</v>
      </c>
      <c r="I47" s="457"/>
      <c r="J47" s="472"/>
      <c r="K47" s="472"/>
      <c r="L47" s="472"/>
      <c r="M47" s="73">
        <f ca="1">ROUND(INDEX($A$1:$T$14,MATCH($A47,$C$1:$C$14,0),MATCH($B47,$3:$3,0)),2)</f>
        <v>-26.16</v>
      </c>
      <c r="N47" s="151"/>
      <c r="O47" s="31">
        <f ca="1">SUM(M$18:M47)-SUM(N$18:N47)</f>
        <v>-26.160000000018</v>
      </c>
      <c r="P47" t="s">
        <v>192</v>
      </c>
      <c r="Q47" t="s">
        <v>193</v>
      </c>
    </row>
    <row r="48" customFormat="1" ht="15" spans="1:17">
      <c r="A48" t="s">
        <v>19</v>
      </c>
      <c r="B48" s="458" t="s">
        <v>168</v>
      </c>
      <c r="C48" s="162" t="str">
        <f t="shared" si="0"/>
        <v>2021.09月shopify(水龙头)：营运费5%</v>
      </c>
      <c r="D48" s="459"/>
      <c r="E48" s="459"/>
      <c r="F48" s="459"/>
      <c r="G48" s="162" t="str">
        <f>INDEX($P:$P,MATCH($A48,$P:$P,0)+1)</f>
        <v>1221.100</v>
      </c>
      <c r="H48" s="162" t="str">
        <f ca="1">INDEX($Q:$Q,MATCH($A48,$P:$P,0)+1)</f>
        <v>其他应收款 - 拓展部-水龙头</v>
      </c>
      <c r="I48" s="459"/>
      <c r="J48" s="294"/>
      <c r="K48" s="294"/>
      <c r="L48" s="294"/>
      <c r="M48" s="404">
        <f ca="1">-M47</f>
        <v>26.16</v>
      </c>
      <c r="N48" s="207"/>
      <c r="O48" s="31">
        <f ca="1">SUM(M$18:M48)-SUM(N$18:N48)</f>
        <v>0</v>
      </c>
      <c r="P48" t="s">
        <v>133</v>
      </c>
      <c r="Q48" t="s">
        <v>134</v>
      </c>
    </row>
    <row r="49" ht="14.25" spans="1:15">
      <c r="A49" t="s">
        <v>83</v>
      </c>
      <c r="B49" s="144" t="s">
        <v>163</v>
      </c>
      <c r="C49" s="145" t="str">
        <f t="shared" si="0"/>
        <v>2021.09月shopify(陶瓷)：charge</v>
      </c>
      <c r="D49" s="291"/>
      <c r="E49" s="291"/>
      <c r="F49" s="291"/>
      <c r="G49" s="145" t="str">
        <f>INDEX($P:$P,MATCH($A$16,$P:$P,0)+2)</f>
        <v>2203.07.004</v>
      </c>
      <c r="H49" s="145" t="str">
        <f ca="1">INDEX($Q:$Q,MATCH($A$16,$P:$P,0)+2)</f>
        <v>预收账款 - 预收销售平台款 - 预收 Shopify</v>
      </c>
      <c r="I49" s="469"/>
      <c r="J49" s="291"/>
      <c r="K49" s="291"/>
      <c r="L49" s="291"/>
      <c r="M49" s="146">
        <f ca="1">ROUND(INDEX($A$1:$T$14,MATCH($A49,$C$1:$C$14,0),MATCH($B49,$3:$3,0))+INDEX($A$1:$T$14,MATCH($A49,$C$1:$C$14,0),MATCH("拼单下单",$3:$3,0)),2)</f>
        <v>914.97</v>
      </c>
      <c r="N49" s="147"/>
      <c r="O49" s="31">
        <f ca="1">SUM(M$18:M49)-SUM(N$18:N49)</f>
        <v>914.969999999987</v>
      </c>
    </row>
    <row r="50" ht="14.25" spans="1:15">
      <c r="A50" t="s">
        <v>83</v>
      </c>
      <c r="B50" s="148" t="s">
        <v>7</v>
      </c>
      <c r="C50" s="149" t="str">
        <f t="shared" si="0"/>
        <v>2021.09月shopify(陶瓷)：不含税</v>
      </c>
      <c r="D50" s="457"/>
      <c r="E50" s="457"/>
      <c r="F50" s="457"/>
      <c r="G50" s="149" t="str">
        <f>INDEX($P:$P,MATCH($A50,$P:$P,0)+1)</f>
        <v>1221.103</v>
      </c>
      <c r="H50" s="149" t="str">
        <f ca="1">INDEX($Q:$Q,MATCH($A50,$P:$P,0)+1)</f>
        <v>拓展部-陶瓷部</v>
      </c>
      <c r="I50" s="470"/>
      <c r="J50" s="471"/>
      <c r="K50" s="471"/>
      <c r="L50" s="471"/>
      <c r="M50" s="71"/>
      <c r="N50" s="151">
        <f ca="1">ROUND(INDEX($A$1:$T$14,MATCH($A50,$C$1:$C$14,0),MATCH($B50,$3:$3,0)),2)</f>
        <v>762.48</v>
      </c>
      <c r="O50" s="31">
        <f ca="1">SUM(M$18:M50)-SUM(N$18:N50)</f>
        <v>152.489999999991</v>
      </c>
    </row>
    <row r="51" ht="14.25" spans="1:15">
      <c r="A51" t="s">
        <v>83</v>
      </c>
      <c r="B51" s="148" t="s">
        <v>31</v>
      </c>
      <c r="C51" s="149" t="str">
        <f t="shared" si="0"/>
        <v>2021.09月shopify(陶瓷)：税金</v>
      </c>
      <c r="D51" s="457"/>
      <c r="E51" s="457"/>
      <c r="F51" s="457"/>
      <c r="G51" s="149" t="s">
        <v>32</v>
      </c>
      <c r="H51" s="149" t="s">
        <v>33</v>
      </c>
      <c r="I51" s="457"/>
      <c r="J51" s="472"/>
      <c r="K51" s="472"/>
      <c r="L51" s="472"/>
      <c r="M51" s="73"/>
      <c r="N51" s="151">
        <f ca="1">ROUND(N50*0.2,2)-0.01</f>
        <v>152.49</v>
      </c>
      <c r="O51" s="31">
        <f ca="1">SUM(M$18:M51)-SUM(N$18:N51)</f>
        <v>0</v>
      </c>
    </row>
    <row r="52" ht="14.25" hidden="1" spans="1:15">
      <c r="A52" t="s">
        <v>83</v>
      </c>
      <c r="B52" s="148" t="s">
        <v>3</v>
      </c>
      <c r="C52" s="149" t="str">
        <f t="shared" si="0"/>
        <v>2021.09月shopify(陶瓷)：refund</v>
      </c>
      <c r="D52" s="457"/>
      <c r="E52" s="457"/>
      <c r="F52" s="457"/>
      <c r="G52" s="149" t="str">
        <f>INDEX($P:$P,MATCH($A$16,$P:$P,0)+1)</f>
        <v>1122.001.004</v>
      </c>
      <c r="H52" s="149" t="str">
        <f ca="1">INDEX($Q:$Q,MATCH($A$16,$P:$P,0)+1)</f>
        <v>应收账款 - 应收销售平台款 - 应收 Shopify</v>
      </c>
      <c r="I52" s="457"/>
      <c r="J52" s="472"/>
      <c r="K52" s="472"/>
      <c r="L52" s="472"/>
      <c r="M52" s="73"/>
      <c r="N52" s="151">
        <f ca="1">-ROUND(SUM(OFFSET($A$1,MATCH($A52,$C$1:$C$14,0)-1,MATCH($B52,$3:$3,0)-1,,4)),2)</f>
        <v>0</v>
      </c>
      <c r="O52" s="31">
        <f ca="1">SUM(M$18:M52)-SUM(N$18:N52)</f>
        <v>0</v>
      </c>
    </row>
    <row r="53" ht="14.25" hidden="1" spans="1:15">
      <c r="A53" t="s">
        <v>83</v>
      </c>
      <c r="B53" s="148" t="s">
        <v>3</v>
      </c>
      <c r="C53" s="149" t="str">
        <f t="shared" si="0"/>
        <v>2021.09月shopify(陶瓷)：refund</v>
      </c>
      <c r="D53" s="457"/>
      <c r="E53" s="457"/>
      <c r="F53" s="457"/>
      <c r="G53" s="149" t="s">
        <v>149</v>
      </c>
      <c r="H53" s="149" t="s">
        <v>150</v>
      </c>
      <c r="I53" s="457"/>
      <c r="J53" s="472"/>
      <c r="K53" s="472"/>
      <c r="L53" s="472"/>
      <c r="M53" s="73"/>
      <c r="N53" s="151"/>
      <c r="O53" s="31">
        <f ca="1">SUM(M$18:M53)-SUM(N$18:N53)</f>
        <v>0</v>
      </c>
    </row>
    <row r="54" ht="14.25" spans="1:15">
      <c r="A54" t="s">
        <v>83</v>
      </c>
      <c r="B54" s="148" t="s">
        <v>166</v>
      </c>
      <c r="C54" s="149" t="str">
        <f t="shared" si="0"/>
        <v>2021.09月shopify(陶瓷)：手续费</v>
      </c>
      <c r="D54" s="457"/>
      <c r="E54" s="457"/>
      <c r="F54" s="457"/>
      <c r="G54" s="149" t="str">
        <f>INDEX($P:$P,MATCH($A54,$P:$P,0)+2)</f>
        <v>6603.002.02.05</v>
      </c>
      <c r="H54" s="149" t="str">
        <f ca="1">INDEX($Q:$Q,MATCH($A54,$P:$P,0)+2)</f>
        <v>陶瓷部事业部-shopify手续费</v>
      </c>
      <c r="I54" s="457"/>
      <c r="J54" s="472"/>
      <c r="K54" s="472"/>
      <c r="L54" s="472"/>
      <c r="M54" s="73">
        <f ca="1">ROUND(INDEX($A$1:$T$14,MATCH($A54,$C$1:$C$14,0),MATCH($B54,$3:$3,0))+INDEX($A$1:$T$14,MATCH($A54,$C$1:$C$14,0),MATCH("拼单手续费",$3:$3,0)),2)</f>
        <v>-15.94</v>
      </c>
      <c r="N54" s="151"/>
      <c r="O54" s="31">
        <f ca="1">SUM(M$18:M54)-SUM(N$18:N54)</f>
        <v>-15.9400000000169</v>
      </c>
    </row>
    <row r="55" ht="14.25" spans="1:15">
      <c r="A55" t="s">
        <v>83</v>
      </c>
      <c r="B55" s="148" t="s">
        <v>166</v>
      </c>
      <c r="C55" s="149" t="str">
        <f t="shared" si="0"/>
        <v>2021.09月shopify(陶瓷)：手续费</v>
      </c>
      <c r="D55" s="457"/>
      <c r="E55" s="457"/>
      <c r="F55" s="457"/>
      <c r="G55" s="149" t="str">
        <f>INDEX($P:$P,MATCH($A55,$P:$P,0)+1)</f>
        <v>1221.103</v>
      </c>
      <c r="H55" s="149" t="str">
        <f ca="1">INDEX($Q:$Q,MATCH($A55,$P:$P,0)+1)</f>
        <v>拓展部-陶瓷部</v>
      </c>
      <c r="I55" s="457"/>
      <c r="J55" s="472"/>
      <c r="K55" s="472"/>
      <c r="L55" s="472"/>
      <c r="M55" s="71">
        <f ca="1">-M54</f>
        <v>15.94</v>
      </c>
      <c r="N55" s="151"/>
      <c r="O55" s="31">
        <f ca="1">SUM(M$18:M55)-SUM(N$18:N55)</f>
        <v>0</v>
      </c>
    </row>
    <row r="56" ht="14.25" spans="1:15">
      <c r="A56" t="s">
        <v>83</v>
      </c>
      <c r="B56" s="148" t="s">
        <v>168</v>
      </c>
      <c r="C56" s="149" t="str">
        <f t="shared" si="0"/>
        <v>2021.09月shopify(陶瓷)：营运费5%</v>
      </c>
      <c r="D56" s="457"/>
      <c r="E56" s="457"/>
      <c r="F56" s="457"/>
      <c r="G56" s="149" t="str">
        <f>INDEX($P:$P,MATCH($A56,$P:$P,0)+3)</f>
        <v>6601.006.004</v>
      </c>
      <c r="H56" s="149" t="str">
        <f ca="1">INDEX($Q:$Q,MATCH($A56,$P:$P,0)+3)</f>
        <v>陶瓷事业部-营运费</v>
      </c>
      <c r="I56" s="457"/>
      <c r="J56" s="472"/>
      <c r="K56" s="472"/>
      <c r="L56" s="472"/>
      <c r="M56" s="73">
        <f ca="1">ROUND(INDEX($A$1:$T$14,MATCH($A56,$C$1:$C$14,0),MATCH($B56,$3:$3,0)),2)</f>
        <v>-38.12</v>
      </c>
      <c r="N56" s="151"/>
      <c r="O56" s="31">
        <f ca="1">SUM(M$18:M56)-SUM(N$18:N56)</f>
        <v>-38.1200000000099</v>
      </c>
    </row>
    <row r="57" ht="15" spans="1:15">
      <c r="A57" t="s">
        <v>83</v>
      </c>
      <c r="B57" s="458" t="s">
        <v>168</v>
      </c>
      <c r="C57" s="162" t="str">
        <f t="shared" si="0"/>
        <v>2021.09月shopify(陶瓷)：营运费5%</v>
      </c>
      <c r="D57" s="459"/>
      <c r="E57" s="459"/>
      <c r="F57" s="459"/>
      <c r="G57" s="162" t="str">
        <f>INDEX($P:$P,MATCH($A57,$P:$P,0)+1)</f>
        <v>1221.103</v>
      </c>
      <c r="H57" s="162" t="str">
        <f ca="1">INDEX($Q:$Q,MATCH($A57,$P:$P,0)+1)</f>
        <v>拓展部-陶瓷部</v>
      </c>
      <c r="I57" s="459"/>
      <c r="J57" s="294"/>
      <c r="K57" s="294"/>
      <c r="L57" s="294"/>
      <c r="M57" s="404">
        <f ca="1">-M56</f>
        <v>38.12</v>
      </c>
      <c r="N57" s="207"/>
      <c r="O57" s="31">
        <f ca="1">SUM(M$18:M57)-SUM(N$18:N57)</f>
        <v>0</v>
      </c>
    </row>
    <row r="58" ht="14.25" spans="1:15">
      <c r="A58" t="s">
        <v>84</v>
      </c>
      <c r="B58" s="144" t="s">
        <v>163</v>
      </c>
      <c r="C58" s="145" t="str">
        <f t="shared" si="0"/>
        <v>2021.09月shopify(防火板)：charge</v>
      </c>
      <c r="D58" s="291"/>
      <c r="E58" s="291"/>
      <c r="F58" s="291"/>
      <c r="G58" s="145" t="str">
        <f>INDEX($P:$P,MATCH($A$16,$P:$P,0)+2)</f>
        <v>2203.07.004</v>
      </c>
      <c r="H58" s="145" t="str">
        <f ca="1">INDEX($Q:$Q,MATCH($A$16,$P:$P,0)+2)</f>
        <v>预收账款 - 预收销售平台款 - 预收 Shopify</v>
      </c>
      <c r="I58" s="469"/>
      <c r="J58" s="291"/>
      <c r="K58" s="291"/>
      <c r="L58" s="291"/>
      <c r="M58" s="146">
        <f ca="1">ROUND(INDEX($A$1:$T$14,MATCH($A58,$C$1:$C$14,0),MATCH($B58,$3:$3,0))+INDEX($A$1:$T$14,MATCH($A58,$C$1:$C$14,0),MATCH("拼单下单",$3:$3,0)),2)</f>
        <v>0</v>
      </c>
      <c r="N58" s="147"/>
      <c r="O58" s="31">
        <f ca="1">M73-N73</f>
        <v>0</v>
      </c>
    </row>
    <row r="59" ht="14.25" spans="1:14">
      <c r="A59" t="s">
        <v>84</v>
      </c>
      <c r="B59" s="148" t="s">
        <v>7</v>
      </c>
      <c r="C59" s="149" t="str">
        <f t="shared" si="0"/>
        <v>2021.09月shopify(防火板)：不含税</v>
      </c>
      <c r="D59" s="457"/>
      <c r="E59" s="457"/>
      <c r="F59" s="457"/>
      <c r="G59" s="149" t="str">
        <f>INDEX($P:$P,MATCH($A59,$P:$P,0)+1)</f>
        <v>1221.107</v>
      </c>
      <c r="H59" s="149" t="str">
        <f ca="1">INDEX($Q:$Q,MATCH($A59,$P:$P,0)+1)</f>
        <v>拓展部-防火底板</v>
      </c>
      <c r="I59" s="470"/>
      <c r="J59" s="471"/>
      <c r="K59" s="471"/>
      <c r="L59" s="471"/>
      <c r="M59" s="71"/>
      <c r="N59" s="151">
        <f ca="1">ROUND(INDEX($A$1:$T$14,MATCH($A59,$C$1:$C$14,0),MATCH($B59,$3:$3,0)),2)</f>
        <v>0</v>
      </c>
    </row>
    <row r="60" ht="14.25" spans="1:14">
      <c r="A60" t="s">
        <v>84</v>
      </c>
      <c r="B60" s="148" t="s">
        <v>31</v>
      </c>
      <c r="C60" s="149" t="str">
        <f t="shared" si="0"/>
        <v>2021.09月shopify(防火板)：税金</v>
      </c>
      <c r="D60" s="457"/>
      <c r="E60" s="457"/>
      <c r="F60" s="457"/>
      <c r="G60" s="149" t="s">
        <v>32</v>
      </c>
      <c r="H60" s="149" t="s">
        <v>33</v>
      </c>
      <c r="I60" s="457"/>
      <c r="J60" s="472"/>
      <c r="K60" s="472"/>
      <c r="L60" s="472"/>
      <c r="M60" s="73"/>
      <c r="N60" s="151">
        <f ca="1">ROUND(N59*0.2,2)</f>
        <v>0</v>
      </c>
    </row>
    <row r="61" ht="14.25" spans="1:14">
      <c r="A61" t="s">
        <v>84</v>
      </c>
      <c r="B61" s="148" t="s">
        <v>3</v>
      </c>
      <c r="C61" s="149" t="str">
        <f t="shared" si="0"/>
        <v>2021.09月shopify(防火板)：refund</v>
      </c>
      <c r="D61" s="457"/>
      <c r="E61" s="457"/>
      <c r="F61" s="457"/>
      <c r="G61" s="149" t="str">
        <f>INDEX($P:$P,MATCH($A$16,$P:$P,0)+1)</f>
        <v>1122.001.004</v>
      </c>
      <c r="H61" s="149" t="str">
        <f ca="1">INDEX($Q:$Q,MATCH($A$16,$P:$P,0)+1)</f>
        <v>应收账款 - 应收销售平台款 - 应收 Shopify</v>
      </c>
      <c r="I61" s="457"/>
      <c r="J61" s="472"/>
      <c r="K61" s="472"/>
      <c r="L61" s="472"/>
      <c r="M61" s="73"/>
      <c r="N61" s="151">
        <f ca="1">-ROUND(SUM(OFFSET($A$1,MATCH($A61,$C$1:$C$14,0)-1,MATCH($B61,$3:$3,0)-1,,4)),2)</f>
        <v>0</v>
      </c>
    </row>
    <row r="62" ht="14.25" hidden="1" spans="1:14">
      <c r="A62" t="s">
        <v>84</v>
      </c>
      <c r="B62" s="148" t="s">
        <v>3</v>
      </c>
      <c r="C62" s="149" t="str">
        <f t="shared" si="0"/>
        <v>2021.09月shopify(防火板)：refund</v>
      </c>
      <c r="D62" s="457"/>
      <c r="E62" s="457"/>
      <c r="F62" s="457"/>
      <c r="G62" s="149" t="s">
        <v>149</v>
      </c>
      <c r="H62" s="149" t="s">
        <v>150</v>
      </c>
      <c r="I62" s="457"/>
      <c r="J62" s="472"/>
      <c r="K62" s="472"/>
      <c r="L62" s="472"/>
      <c r="M62" s="73"/>
      <c r="N62" s="151"/>
    </row>
    <row r="63" ht="14.25" spans="1:14">
      <c r="A63" t="s">
        <v>84</v>
      </c>
      <c r="B63" s="148" t="s">
        <v>166</v>
      </c>
      <c r="C63" s="149" t="str">
        <f t="shared" si="0"/>
        <v>2021.09月shopify(防火板)：手续费</v>
      </c>
      <c r="D63" s="457"/>
      <c r="E63" s="457"/>
      <c r="F63" s="457"/>
      <c r="G63" s="149" t="str">
        <f>INDEX($P:$P,MATCH($A63,$P:$P,0)+2)</f>
        <v>6603.002.02.06</v>
      </c>
      <c r="H63" s="149" t="str">
        <f ca="1">INDEX($Q:$Q,MATCH($A63,$P:$P,0)+2)</f>
        <v>防火底板事业部-shopify手续费</v>
      </c>
      <c r="I63" s="457"/>
      <c r="J63" s="472"/>
      <c r="K63" s="472"/>
      <c r="L63" s="472"/>
      <c r="M63" s="73">
        <f ca="1">ROUND(INDEX($A$1:$T$14,MATCH($A63,$C$1:$C$14,0),MATCH($B63,$3:$3,0))+INDEX($A$1:$T$14,MATCH($A63,$C$1:$C$14,0),MATCH("拼单手续费",$3:$3,0)),2)</f>
        <v>0</v>
      </c>
      <c r="N63" s="151"/>
    </row>
    <row r="64" ht="14.25" spans="1:14">
      <c r="A64" t="s">
        <v>84</v>
      </c>
      <c r="B64" s="148" t="s">
        <v>166</v>
      </c>
      <c r="C64" s="149" t="str">
        <f t="shared" si="0"/>
        <v>2021.09月shopify(防火板)：手续费</v>
      </c>
      <c r="D64" s="457"/>
      <c r="E64" s="457"/>
      <c r="F64" s="457"/>
      <c r="G64" s="149" t="str">
        <f>INDEX($P:$P,MATCH($A64,$P:$P,0)+1)</f>
        <v>1221.107</v>
      </c>
      <c r="H64" s="149" t="str">
        <f ca="1">INDEX($Q:$Q,MATCH($A64,$P:$P,0)+1)</f>
        <v>拓展部-防火底板</v>
      </c>
      <c r="I64" s="457"/>
      <c r="J64" s="472"/>
      <c r="K64" s="472"/>
      <c r="L64" s="472"/>
      <c r="M64" s="71">
        <f ca="1">-M63</f>
        <v>0</v>
      </c>
      <c r="N64" s="151"/>
    </row>
    <row r="65" ht="14.25" spans="1:14">
      <c r="A65" t="s">
        <v>84</v>
      </c>
      <c r="B65" s="148" t="s">
        <v>168</v>
      </c>
      <c r="C65" s="149" t="str">
        <f t="shared" si="0"/>
        <v>2021.09月shopify(防火板)：营运费5%</v>
      </c>
      <c r="D65" s="457"/>
      <c r="E65" s="457"/>
      <c r="F65" s="457"/>
      <c r="G65" s="149" t="str">
        <f>INDEX($P:$P,MATCH($A65,$P:$P,0)+3)</f>
        <v>6601.006.005</v>
      </c>
      <c r="H65" s="149" t="str">
        <f ca="1">INDEX($Q:$Q,MATCH($A65,$P:$P,0)+3)</f>
        <v>防火底板事业部-营运费</v>
      </c>
      <c r="I65" s="457"/>
      <c r="J65" s="472"/>
      <c r="K65" s="472"/>
      <c r="L65" s="472"/>
      <c r="M65" s="73">
        <f ca="1">ROUND(INDEX($A$1:$T$14,MATCH($A65,$C$1:$C$14,0),MATCH($B65,$3:$3,0)),2)</f>
        <v>0</v>
      </c>
      <c r="N65" s="151"/>
    </row>
    <row r="66" ht="15" spans="1:14">
      <c r="A66" t="s">
        <v>84</v>
      </c>
      <c r="B66" s="458" t="s">
        <v>168</v>
      </c>
      <c r="C66" s="162" t="str">
        <f t="shared" si="0"/>
        <v>2021.09月shopify(防火板)：营运费5%</v>
      </c>
      <c r="D66" s="459"/>
      <c r="E66" s="459"/>
      <c r="F66" s="459"/>
      <c r="G66" s="162" t="str">
        <f>INDEX($P:$P,MATCH($A66,$P:$P,0)+1)</f>
        <v>1221.107</v>
      </c>
      <c r="H66" s="162" t="str">
        <f ca="1">INDEX($Q:$Q,MATCH($A66,$P:$P,0)+1)</f>
        <v>拓展部-防火底板</v>
      </c>
      <c r="I66" s="459"/>
      <c r="J66" s="294"/>
      <c r="K66" s="294"/>
      <c r="L66" s="294"/>
      <c r="M66" s="404">
        <f ca="1">-M65</f>
        <v>0</v>
      </c>
      <c r="N66" s="207"/>
    </row>
    <row r="73" spans="13:14">
      <c r="M73">
        <f ca="1">SUBTOTAL(9,M18:M57)</f>
        <v>77786.4</v>
      </c>
      <c r="N73">
        <f ca="1">SUBTOTAL(9,N18:N57)</f>
        <v>77786.4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AD119"/>
  <sheetViews>
    <sheetView topLeftCell="A13" workbookViewId="0">
      <selection activeCell="M71" sqref="M71:N104"/>
    </sheetView>
  </sheetViews>
  <sheetFormatPr defaultColWidth="9" defaultRowHeight="13.5"/>
  <cols>
    <col min="2" max="2" width="11.125" customWidth="1"/>
    <col min="4" max="4" width="12.875" customWidth="1"/>
    <col min="5" max="5" width="10.375" customWidth="1"/>
    <col min="6" max="6" width="10.875" customWidth="1"/>
    <col min="7" max="7" width="16.625" customWidth="1"/>
    <col min="8" max="8" width="11.5" customWidth="1"/>
    <col min="9" max="9" width="11.875" customWidth="1"/>
    <col min="10" max="10" width="11.625" customWidth="1"/>
    <col min="11" max="12" width="12.875" customWidth="1"/>
    <col min="13" max="13" width="12.625" customWidth="1"/>
    <col min="14" max="14" width="11.75" customWidth="1"/>
    <col min="15" max="15" width="10" customWidth="1"/>
    <col min="16" max="16" width="18.75" customWidth="1"/>
    <col min="17" max="17" width="11.375" customWidth="1"/>
    <col min="19" max="19" width="12" customWidth="1"/>
    <col min="20" max="20" width="13" customWidth="1"/>
    <col min="21" max="21" width="12.5" customWidth="1"/>
    <col min="22" max="22" width="10.375" customWidth="1"/>
    <col min="23" max="23" width="10.375"/>
  </cols>
  <sheetData>
    <row r="1" spans="5:19">
      <c r="E1" t="s">
        <v>165</v>
      </c>
      <c r="F1" t="s">
        <v>7</v>
      </c>
      <c r="G1" t="s">
        <v>166</v>
      </c>
      <c r="J1" t="s">
        <v>79</v>
      </c>
      <c r="M1" t="s">
        <v>15</v>
      </c>
      <c r="S1" t="s">
        <v>3</v>
      </c>
    </row>
    <row r="2" ht="76.5" spans="3:29">
      <c r="C2" s="544" t="s">
        <v>194</v>
      </c>
      <c r="D2" s="484"/>
      <c r="E2" s="484"/>
      <c r="F2" s="484"/>
      <c r="G2" s="484"/>
      <c r="H2" s="484"/>
      <c r="I2" s="484"/>
      <c r="J2" s="484"/>
      <c r="K2" s="484"/>
      <c r="L2" s="484"/>
      <c r="N2" s="31"/>
      <c r="O2" s="31"/>
      <c r="P2" s="31"/>
      <c r="Q2" s="31"/>
      <c r="R2" s="31"/>
      <c r="S2" s="460" t="s">
        <v>195</v>
      </c>
      <c r="T2" s="460" t="s">
        <v>195</v>
      </c>
      <c r="U2" s="481" t="s">
        <v>196</v>
      </c>
      <c r="V2" s="481" t="s">
        <v>196</v>
      </c>
      <c r="W2" s="568"/>
      <c r="X2" s="475" t="s">
        <v>197</v>
      </c>
      <c r="Y2" s="475" t="s">
        <v>197</v>
      </c>
      <c r="Z2" s="475" t="s">
        <v>198</v>
      </c>
      <c r="AA2" s="475" t="s">
        <v>198</v>
      </c>
      <c r="AB2" s="475" t="s">
        <v>199</v>
      </c>
      <c r="AC2" s="475" t="s">
        <v>199</v>
      </c>
    </row>
    <row r="3" ht="38.25" spans="1:30">
      <c r="A3" t="s">
        <v>194</v>
      </c>
      <c r="B3" s="643" t="s">
        <v>142</v>
      </c>
      <c r="C3" s="424" t="s">
        <v>4</v>
      </c>
      <c r="D3" s="425" t="s">
        <v>5</v>
      </c>
      <c r="E3" s="450" t="s">
        <v>165</v>
      </c>
      <c r="F3" s="425" t="s">
        <v>7</v>
      </c>
      <c r="G3" s="450" t="s">
        <v>166</v>
      </c>
      <c r="H3" s="450" t="s">
        <v>167</v>
      </c>
      <c r="I3" s="438" t="s">
        <v>200</v>
      </c>
      <c r="J3" s="438" t="s">
        <v>79</v>
      </c>
      <c r="K3" s="425" t="s">
        <v>11</v>
      </c>
      <c r="L3" s="438" t="s">
        <v>12</v>
      </c>
      <c r="M3" s="461" t="s">
        <v>201</v>
      </c>
      <c r="N3" s="462" t="s">
        <v>195</v>
      </c>
      <c r="O3" s="463" t="s">
        <v>202</v>
      </c>
      <c r="P3" s="461" t="s">
        <v>203</v>
      </c>
      <c r="Q3" s="463" t="s">
        <v>204</v>
      </c>
      <c r="R3" s="463" t="s">
        <v>205</v>
      </c>
      <c r="S3" s="440" t="s">
        <v>141</v>
      </c>
      <c r="T3" s="476" t="s">
        <v>14</v>
      </c>
      <c r="U3" s="440" t="s">
        <v>141</v>
      </c>
      <c r="V3" s="440" t="s">
        <v>14</v>
      </c>
      <c r="W3" s="477" t="s">
        <v>12</v>
      </c>
      <c r="X3" s="478" t="s">
        <v>141</v>
      </c>
      <c r="Y3" s="479" t="s">
        <v>14</v>
      </c>
      <c r="Z3" s="478" t="s">
        <v>141</v>
      </c>
      <c r="AA3" s="479" t="s">
        <v>14</v>
      </c>
      <c r="AB3" s="478" t="s">
        <v>141</v>
      </c>
      <c r="AC3" s="479" t="s">
        <v>14</v>
      </c>
      <c r="AD3" s="477" t="s">
        <v>12</v>
      </c>
    </row>
    <row r="4" spans="1:30">
      <c r="A4" t="s">
        <v>194</v>
      </c>
      <c r="B4" s="643" t="s">
        <v>88</v>
      </c>
      <c r="C4" s="427" t="s">
        <v>17</v>
      </c>
      <c r="D4" s="141">
        <v>17867.03</v>
      </c>
      <c r="E4" s="141">
        <v>1062.56</v>
      </c>
      <c r="F4" s="141">
        <v>15774.6583333333</v>
      </c>
      <c r="G4" s="141">
        <v>-412.42</v>
      </c>
      <c r="H4" s="141">
        <v>-21.0443584380961</v>
      </c>
      <c r="I4" s="141"/>
      <c r="J4" s="141">
        <v>-788.732916666667</v>
      </c>
      <c r="K4" s="141">
        <v>14552.4610582286</v>
      </c>
      <c r="L4" s="428"/>
      <c r="M4" s="143">
        <v>0</v>
      </c>
      <c r="N4" s="143">
        <v>1614.42</v>
      </c>
      <c r="O4" s="143">
        <v>1715.74</v>
      </c>
      <c r="P4" s="143">
        <v>3415.74</v>
      </c>
      <c r="Q4" s="143">
        <v>13550.23</v>
      </c>
      <c r="R4" s="143">
        <v>0</v>
      </c>
      <c r="S4" s="464">
        <v>-1084.43</v>
      </c>
      <c r="T4" s="569">
        <v>0</v>
      </c>
      <c r="U4" s="570">
        <v>-1344.67</v>
      </c>
      <c r="V4" s="571">
        <v>0</v>
      </c>
      <c r="W4" s="466">
        <v>17867.03</v>
      </c>
      <c r="X4" s="417">
        <v>0</v>
      </c>
      <c r="Y4" s="417">
        <v>0</v>
      </c>
      <c r="Z4" s="417">
        <v>0</v>
      </c>
      <c r="AA4" s="417">
        <v>0</v>
      </c>
      <c r="AB4" s="417">
        <v>0</v>
      </c>
      <c r="AC4" s="417">
        <v>0</v>
      </c>
      <c r="AD4" s="466">
        <v>0</v>
      </c>
    </row>
    <row r="5" spans="1:30">
      <c r="A5" t="s">
        <v>194</v>
      </c>
      <c r="B5" s="643" t="s">
        <v>88</v>
      </c>
      <c r="C5" s="427" t="s">
        <v>18</v>
      </c>
      <c r="D5" s="141">
        <v>979.87</v>
      </c>
      <c r="E5" s="141">
        <v>84.99</v>
      </c>
      <c r="F5" s="141">
        <v>887.383333333333</v>
      </c>
      <c r="G5" s="141">
        <v>-28.28</v>
      </c>
      <c r="H5" s="141">
        <v>-1.70767427582743</v>
      </c>
      <c r="I5" s="141"/>
      <c r="J5" s="141">
        <v>-44.3691666666667</v>
      </c>
      <c r="K5" s="141">
        <v>813.026492390839</v>
      </c>
      <c r="L5" s="428"/>
      <c r="M5" s="143">
        <v>0</v>
      </c>
      <c r="N5" s="143">
        <v>15</v>
      </c>
      <c r="O5" s="143">
        <v>50</v>
      </c>
      <c r="P5" s="143">
        <v>0</v>
      </c>
      <c r="Q5" s="143">
        <v>1265.89</v>
      </c>
      <c r="R5" s="143">
        <v>0</v>
      </c>
      <c r="S5" s="464">
        <v>-266.03</v>
      </c>
      <c r="T5" s="464">
        <v>0</v>
      </c>
      <c r="U5" s="417">
        <v>-84.99</v>
      </c>
      <c r="V5" s="417">
        <v>0</v>
      </c>
      <c r="W5" s="466">
        <v>979.87</v>
      </c>
      <c r="X5" s="417">
        <v>0</v>
      </c>
      <c r="Y5" s="417">
        <v>0</v>
      </c>
      <c r="Z5" s="417">
        <v>0</v>
      </c>
      <c r="AA5" s="417">
        <v>0</v>
      </c>
      <c r="AB5" s="417">
        <v>0</v>
      </c>
      <c r="AC5" s="417">
        <v>0</v>
      </c>
      <c r="AD5" s="466">
        <v>0</v>
      </c>
    </row>
    <row r="6" spans="1:30">
      <c r="A6" t="s">
        <v>194</v>
      </c>
      <c r="B6" s="643" t="s">
        <v>88</v>
      </c>
      <c r="C6" s="427" t="s">
        <v>19</v>
      </c>
      <c r="D6" s="141">
        <v>92.78</v>
      </c>
      <c r="E6" s="141">
        <v>228.97</v>
      </c>
      <c r="F6" s="141">
        <v>268.125</v>
      </c>
      <c r="G6" s="141">
        <v>-2.16</v>
      </c>
      <c r="H6" s="141">
        <v>-4.50765084791813</v>
      </c>
      <c r="I6" s="141"/>
      <c r="J6" s="141">
        <v>-13.40625</v>
      </c>
      <c r="K6" s="141">
        <v>248.051099152082</v>
      </c>
      <c r="L6" s="428"/>
      <c r="M6" s="143">
        <v>0</v>
      </c>
      <c r="N6" s="143">
        <v>0</v>
      </c>
      <c r="O6" s="143">
        <v>0</v>
      </c>
      <c r="P6" s="143">
        <v>0</v>
      </c>
      <c r="Q6" s="143">
        <v>92.78</v>
      </c>
      <c r="R6" s="143">
        <v>0</v>
      </c>
      <c r="S6" s="464">
        <v>0</v>
      </c>
      <c r="T6" s="464">
        <v>0</v>
      </c>
      <c r="U6" s="417">
        <v>0</v>
      </c>
      <c r="V6" s="417">
        <v>0</v>
      </c>
      <c r="W6" s="466">
        <v>92.78</v>
      </c>
      <c r="X6" s="417">
        <v>0</v>
      </c>
      <c r="Y6" s="417">
        <v>0</v>
      </c>
      <c r="Z6" s="417">
        <v>0</v>
      </c>
      <c r="AA6" s="417">
        <v>0</v>
      </c>
      <c r="AB6" s="417">
        <v>0</v>
      </c>
      <c r="AC6" s="417">
        <v>0</v>
      </c>
      <c r="AD6" s="466">
        <v>0</v>
      </c>
    </row>
    <row r="7" spans="1:30">
      <c r="A7" t="s">
        <v>194</v>
      </c>
      <c r="B7" s="643" t="s">
        <v>88</v>
      </c>
      <c r="C7" s="427" t="s">
        <v>20</v>
      </c>
      <c r="D7" s="141">
        <v>49106.68</v>
      </c>
      <c r="E7" s="141">
        <v>283.92</v>
      </c>
      <c r="F7" s="141">
        <v>41158.8333333333</v>
      </c>
      <c r="G7" s="141">
        <v>-968.01</v>
      </c>
      <c r="H7" s="141">
        <v>-5.60268431553847</v>
      </c>
      <c r="I7" s="141"/>
      <c r="J7" s="141">
        <v>-2057.94166666667</v>
      </c>
      <c r="K7" s="141">
        <v>38127.2789823511</v>
      </c>
      <c r="L7" s="428"/>
      <c r="M7" s="143">
        <v>0</v>
      </c>
      <c r="N7" s="143">
        <v>36048.31</v>
      </c>
      <c r="O7" s="143">
        <v>4471.23</v>
      </c>
      <c r="P7" s="143">
        <v>0</v>
      </c>
      <c r="Q7" s="143">
        <v>9861.39</v>
      </c>
      <c r="R7" s="143">
        <v>0</v>
      </c>
      <c r="S7" s="464">
        <v>-1087.59</v>
      </c>
      <c r="T7" s="464">
        <v>0</v>
      </c>
      <c r="U7" s="417">
        <v>-186.66</v>
      </c>
      <c r="V7" s="417">
        <v>0</v>
      </c>
      <c r="W7" s="466">
        <v>49106.68</v>
      </c>
      <c r="X7" s="417">
        <v>0</v>
      </c>
      <c r="Y7" s="417">
        <v>0</v>
      </c>
      <c r="Z7" s="417">
        <v>0</v>
      </c>
      <c r="AA7" s="417">
        <v>0</v>
      </c>
      <c r="AB7" s="417">
        <v>0</v>
      </c>
      <c r="AC7" s="417">
        <v>0</v>
      </c>
      <c r="AD7" s="466">
        <v>0</v>
      </c>
    </row>
    <row r="8" spans="1:30">
      <c r="A8" t="s">
        <v>194</v>
      </c>
      <c r="B8" s="643" t="s">
        <v>88</v>
      </c>
      <c r="C8" s="427" t="s">
        <v>83</v>
      </c>
      <c r="D8" s="141">
        <v>384.98</v>
      </c>
      <c r="E8" s="141">
        <v>80</v>
      </c>
      <c r="F8" s="141">
        <v>387.483333333333</v>
      </c>
      <c r="G8" s="141">
        <v>-7.92</v>
      </c>
      <c r="H8" s="141">
        <v>-1.57586512866016</v>
      </c>
      <c r="I8" s="141"/>
      <c r="J8" s="141">
        <v>-19.3741666666667</v>
      </c>
      <c r="K8" s="141">
        <v>358.613301538007</v>
      </c>
      <c r="L8" s="428"/>
      <c r="M8" s="143">
        <v>0</v>
      </c>
      <c r="N8" s="143">
        <v>0</v>
      </c>
      <c r="O8" s="143">
        <v>139.99</v>
      </c>
      <c r="P8" s="143">
        <v>0</v>
      </c>
      <c r="Q8" s="143">
        <v>244.99</v>
      </c>
      <c r="R8" s="143">
        <v>0</v>
      </c>
      <c r="S8" s="464">
        <v>0</v>
      </c>
      <c r="T8" s="464">
        <v>0</v>
      </c>
      <c r="U8" s="417">
        <v>0</v>
      </c>
      <c r="V8" s="417">
        <v>0</v>
      </c>
      <c r="W8" s="466">
        <v>384.98</v>
      </c>
      <c r="X8" s="417">
        <v>0</v>
      </c>
      <c r="Y8" s="417">
        <v>0</v>
      </c>
      <c r="Z8" s="417">
        <v>0</v>
      </c>
      <c r="AA8" s="417">
        <v>0</v>
      </c>
      <c r="AB8" s="417">
        <v>0</v>
      </c>
      <c r="AC8" s="417">
        <v>0</v>
      </c>
      <c r="AD8" s="466">
        <v>0</v>
      </c>
    </row>
    <row r="9" spans="1:30">
      <c r="A9" t="s">
        <v>194</v>
      </c>
      <c r="B9" s="643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/>
      <c r="J9" s="141">
        <v>0</v>
      </c>
      <c r="K9" s="141">
        <v>0</v>
      </c>
      <c r="L9" s="428"/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464">
        <v>0</v>
      </c>
      <c r="T9" s="464">
        <v>0</v>
      </c>
      <c r="U9" s="417">
        <v>0</v>
      </c>
      <c r="V9" s="417">
        <v>0</v>
      </c>
      <c r="W9" s="466">
        <v>0</v>
      </c>
      <c r="X9" s="417">
        <v>0</v>
      </c>
      <c r="Y9" s="417">
        <v>0</v>
      </c>
      <c r="Z9" s="417">
        <v>0</v>
      </c>
      <c r="AA9" s="417">
        <v>0</v>
      </c>
      <c r="AB9" s="417">
        <v>0</v>
      </c>
      <c r="AC9" s="417">
        <v>0</v>
      </c>
      <c r="AD9" s="466">
        <v>0</v>
      </c>
    </row>
    <row r="10" spans="1:30">
      <c r="A10" t="s">
        <v>194</v>
      </c>
      <c r="B10" s="643" t="s">
        <v>88</v>
      </c>
      <c r="C10" s="386" t="s">
        <v>21</v>
      </c>
      <c r="D10" s="428">
        <v>68431.34</v>
      </c>
      <c r="E10" s="428">
        <v>1740.44</v>
      </c>
      <c r="F10" s="428">
        <v>58476.4833333333</v>
      </c>
      <c r="G10" s="428">
        <v>-1418.79</v>
      </c>
      <c r="H10" s="428">
        <v>-34.4382330060403</v>
      </c>
      <c r="I10" s="428"/>
      <c r="J10" s="428">
        <v>-2923.82416666667</v>
      </c>
      <c r="K10" s="428">
        <v>54099.4309336606</v>
      </c>
      <c r="L10" s="428"/>
      <c r="M10" s="428">
        <v>0</v>
      </c>
      <c r="N10" s="428">
        <v>37677.73</v>
      </c>
      <c r="O10" s="428">
        <v>6376.96</v>
      </c>
      <c r="P10" s="428">
        <v>3415.74</v>
      </c>
      <c r="Q10" s="428">
        <v>25015.28</v>
      </c>
      <c r="R10" s="428">
        <v>0</v>
      </c>
      <c r="S10" s="428">
        <v>-2438.05</v>
      </c>
      <c r="T10" s="428">
        <v>0</v>
      </c>
      <c r="U10" s="428">
        <v>-1616.32</v>
      </c>
      <c r="V10" s="428">
        <v>0</v>
      </c>
      <c r="W10" s="466">
        <v>68431.34</v>
      </c>
      <c r="X10" s="417">
        <v>0</v>
      </c>
      <c r="Y10" s="417">
        <v>0</v>
      </c>
      <c r="Z10" s="417">
        <v>110.04</v>
      </c>
      <c r="AA10" s="417">
        <v>0</v>
      </c>
      <c r="AB10" s="417">
        <v>-255.83</v>
      </c>
      <c r="AC10" s="417">
        <v>0</v>
      </c>
      <c r="AD10" s="466">
        <v>-145.79</v>
      </c>
    </row>
    <row r="11" spans="1:30">
      <c r="A11" t="s">
        <v>194</v>
      </c>
      <c r="B11" s="643" t="s">
        <v>88</v>
      </c>
      <c r="C11" s="451" t="s">
        <v>165</v>
      </c>
      <c r="D11" s="141"/>
      <c r="E11" s="141"/>
      <c r="K11" s="645" t="s">
        <v>13</v>
      </c>
      <c r="L11" s="466" t="s">
        <v>165</v>
      </c>
      <c r="M11" s="143">
        <v>0</v>
      </c>
      <c r="N11" s="143">
        <v>0</v>
      </c>
      <c r="O11" s="143">
        <v>0</v>
      </c>
      <c r="P11" s="143">
        <v>0</v>
      </c>
      <c r="Q11" s="143">
        <v>1740.44</v>
      </c>
      <c r="R11" s="143">
        <v>0</v>
      </c>
      <c r="S11" s="464">
        <v>0</v>
      </c>
      <c r="T11" s="464">
        <v>0</v>
      </c>
      <c r="U11" s="417">
        <v>0</v>
      </c>
      <c r="V11" s="417">
        <v>0</v>
      </c>
      <c r="W11" s="466">
        <v>1740.44</v>
      </c>
      <c r="X11" s="417">
        <v>0</v>
      </c>
      <c r="Y11" s="417">
        <v>0</v>
      </c>
      <c r="Z11" s="417">
        <v>0</v>
      </c>
      <c r="AA11" s="417">
        <v>0</v>
      </c>
      <c r="AB11" s="417">
        <v>0</v>
      </c>
      <c r="AC11" s="417">
        <v>0</v>
      </c>
      <c r="AD11" s="466">
        <v>0</v>
      </c>
    </row>
    <row r="12" customFormat="1"/>
    <row r="13" customFormat="1"/>
    <row r="14" s="140" customFormat="1" spans="1:19">
      <c r="A14" s="646" t="str">
        <f>B6</f>
        <v>2021.09月</v>
      </c>
      <c r="F14" s="545">
        <f ca="1">SUM(F5:F9)-SUMIFS($N$73:$N$118,$B$73:$B$118,F1)</f>
        <v>0.00499999996100087</v>
      </c>
      <c r="G14" s="545">
        <f ca="1">SUM(G5:H9)+SUMIFS($M$73:$M$118,$B$73:$B$118,G1,$M$73:$M$118,"&gt;0")</f>
        <v>0.00612543205579641</v>
      </c>
      <c r="H14" s="141"/>
      <c r="I14" s="141"/>
      <c r="J14" s="545">
        <f ca="1">SUM(J5:J9)+SUMIFS($M$73:$M$118,$B$73:$B$118,J1,$M$73:$M$118,"&gt;0")</f>
        <v>-0.00125000000343789</v>
      </c>
      <c r="M14" s="545">
        <f ca="1">-SUM(M5:R9,E5:E9)+SUMIFS($M$73:$M$118,$B$73:$B$118,M1)</f>
        <v>0</v>
      </c>
      <c r="S14" s="545">
        <f ca="1">SUM(S5:V9)+SUMIFS($N$73:$N$118,$B$73:$B$118,S1)</f>
        <v>0</v>
      </c>
    </row>
    <row r="15" spans="1:1">
      <c r="A15" t="s">
        <v>194</v>
      </c>
    </row>
    <row r="17" ht="14.25" hidden="1" spans="2:14">
      <c r="B17" s="452" t="s">
        <v>15</v>
      </c>
      <c r="C17" s="453" t="str">
        <f t="shared" ref="C17:C20" si="0">$A$14&amp;$A$15&amp;"："&amp;B17</f>
        <v>2021.09月Aica paypal流水：order</v>
      </c>
      <c r="D17" s="453"/>
      <c r="E17" s="453"/>
      <c r="F17" s="453"/>
      <c r="G17" s="546" t="s">
        <v>206</v>
      </c>
      <c r="H17" s="546" t="s">
        <v>207</v>
      </c>
      <c r="I17" s="467"/>
      <c r="J17" s="453"/>
      <c r="K17" s="453"/>
      <c r="L17" s="453"/>
      <c r="M17" s="315">
        <f>ROUND(SUM(M10:R11),2)</f>
        <v>74226.15</v>
      </c>
      <c r="N17" s="316"/>
    </row>
    <row r="18" ht="15" hidden="1" spans="2:14">
      <c r="B18" s="547" t="s">
        <v>15</v>
      </c>
      <c r="C18" s="548" t="str">
        <f t="shared" si="0"/>
        <v>2021.09月Aica paypal流水：order</v>
      </c>
      <c r="D18" s="548"/>
      <c r="E18" s="548"/>
      <c r="F18" s="548"/>
      <c r="G18" s="549" t="s">
        <v>208</v>
      </c>
      <c r="H18" s="549" t="s">
        <v>209</v>
      </c>
      <c r="I18" s="553"/>
      <c r="J18" s="548"/>
      <c r="K18" s="548"/>
      <c r="L18" s="548"/>
      <c r="M18" s="241"/>
      <c r="N18" s="246">
        <f>M17</f>
        <v>74226.15</v>
      </c>
    </row>
    <row r="19" ht="15" hidden="1" spans="2:14">
      <c r="B19" s="452" t="s">
        <v>2</v>
      </c>
      <c r="C19" s="453" t="str">
        <f t="shared" si="0"/>
        <v>2021.09月Aica paypal流水：hold</v>
      </c>
      <c r="D19" s="453"/>
      <c r="E19" s="455"/>
      <c r="F19" s="455"/>
      <c r="G19" s="180" t="s">
        <v>210</v>
      </c>
      <c r="H19" s="180" t="s">
        <v>211</v>
      </c>
      <c r="I19" s="468"/>
      <c r="J19" s="455"/>
      <c r="K19" s="455"/>
      <c r="L19" s="455"/>
      <c r="M19" s="54">
        <v>84.94</v>
      </c>
      <c r="N19" s="206"/>
    </row>
    <row r="20" ht="15" hidden="1" spans="2:14">
      <c r="B20" s="547" t="s">
        <v>2</v>
      </c>
      <c r="C20" s="548" t="str">
        <f t="shared" si="0"/>
        <v>2021.09月Aica paypal流水：hold</v>
      </c>
      <c r="D20" s="548"/>
      <c r="E20" s="455"/>
      <c r="F20" s="455"/>
      <c r="G20" s="546" t="s">
        <v>206</v>
      </c>
      <c r="H20" s="546" t="s">
        <v>207</v>
      </c>
      <c r="I20" s="468"/>
      <c r="J20" s="455"/>
      <c r="K20" s="455"/>
      <c r="L20" s="455"/>
      <c r="M20" s="54"/>
      <c r="N20" s="206">
        <f>M19</f>
        <v>84.94</v>
      </c>
    </row>
    <row r="21" ht="14.25" hidden="1" spans="1:14">
      <c r="A21" t="s">
        <v>18</v>
      </c>
      <c r="B21" s="144" t="s">
        <v>15</v>
      </c>
      <c r="C21" s="145" t="str">
        <f t="shared" ref="C21:C33" si="1">$A$14&amp;$A$15&amp;"("&amp;$A21&amp;")："&amp;B21</f>
        <v>2021.09月Aica paypal流水(镜柜)：order</v>
      </c>
      <c r="D21" s="291"/>
      <c r="E21" s="291"/>
      <c r="F21" s="291"/>
      <c r="G21" s="145" t="s">
        <v>208</v>
      </c>
      <c r="H21" s="145" t="s">
        <v>209</v>
      </c>
      <c r="I21" s="469"/>
      <c r="J21" s="291"/>
      <c r="K21" s="291"/>
      <c r="L21" s="291"/>
      <c r="M21" s="146">
        <f>SUM(N22:N25)</f>
        <v>1415.88</v>
      </c>
      <c r="N21" s="147"/>
    </row>
    <row r="22" ht="14.25" hidden="1" spans="1:14">
      <c r="A22" t="s">
        <v>18</v>
      </c>
      <c r="B22" s="148" t="s">
        <v>7</v>
      </c>
      <c r="C22" s="149" t="str">
        <f t="shared" si="1"/>
        <v>2021.09月Aica paypal流水(镜柜)：不含税</v>
      </c>
      <c r="D22" s="457"/>
      <c r="E22" s="457"/>
      <c r="F22" s="457"/>
      <c r="G22" s="37" t="s">
        <v>59</v>
      </c>
      <c r="H22" s="37" t="s">
        <v>60</v>
      </c>
      <c r="I22" s="470"/>
      <c r="J22" s="471"/>
      <c r="K22" s="471"/>
      <c r="L22" s="471"/>
      <c r="M22" s="71"/>
      <c r="N22" s="150">
        <f>ROUND(F5,2)</f>
        <v>887.38</v>
      </c>
    </row>
    <row r="23" ht="14.25" hidden="1" spans="1:14">
      <c r="A23" t="s">
        <v>18</v>
      </c>
      <c r="B23" s="148" t="s">
        <v>31</v>
      </c>
      <c r="C23" s="149" t="str">
        <f t="shared" si="1"/>
        <v>2021.09月Aica paypal流水(镜柜)：税金</v>
      </c>
      <c r="D23" s="457"/>
      <c r="E23" s="457"/>
      <c r="F23" s="457"/>
      <c r="G23" s="149" t="s">
        <v>32</v>
      </c>
      <c r="H23" s="149" t="s">
        <v>33</v>
      </c>
      <c r="I23" s="457"/>
      <c r="J23" s="472"/>
      <c r="K23" s="472"/>
      <c r="L23" s="472"/>
      <c r="M23" s="73"/>
      <c r="N23" s="151">
        <f>ROUND(N22*0.2,2)</f>
        <v>177.48</v>
      </c>
    </row>
    <row r="24" ht="14.25" hidden="1" spans="1:14">
      <c r="A24" t="s">
        <v>18</v>
      </c>
      <c r="B24" s="148" t="s">
        <v>3</v>
      </c>
      <c r="C24" s="149" t="str">
        <f t="shared" si="1"/>
        <v>2021.09月Aica paypal流水(镜柜)：refund</v>
      </c>
      <c r="D24" s="457"/>
      <c r="E24" s="457"/>
      <c r="F24" s="457"/>
      <c r="G24" s="149" t="s">
        <v>206</v>
      </c>
      <c r="H24" s="457" t="s">
        <v>207</v>
      </c>
      <c r="I24" s="457"/>
      <c r="J24" s="472"/>
      <c r="K24" s="472"/>
      <c r="L24" s="472"/>
      <c r="M24" s="73"/>
      <c r="N24" s="151">
        <f>-ROUND(S5+U5,2)</f>
        <v>351.02</v>
      </c>
    </row>
    <row r="25" ht="14.25" hidden="1" spans="1:14">
      <c r="A25" t="s">
        <v>18</v>
      </c>
      <c r="B25" s="148" t="s">
        <v>3</v>
      </c>
      <c r="C25" s="149" t="str">
        <f t="shared" si="1"/>
        <v>2021.09月Aica paypal流水(镜柜)：refund</v>
      </c>
      <c r="D25" s="457"/>
      <c r="E25" s="457"/>
      <c r="F25" s="457"/>
      <c r="G25" s="149" t="s">
        <v>149</v>
      </c>
      <c r="H25" s="149" t="s">
        <v>150</v>
      </c>
      <c r="I25" s="457"/>
      <c r="J25" s="472"/>
      <c r="K25" s="472"/>
      <c r="L25" s="472"/>
      <c r="M25" s="73"/>
      <c r="N25" s="151">
        <f>-ROUND(T5+V5,2)</f>
        <v>0</v>
      </c>
    </row>
    <row r="26" ht="14.25" hidden="1" spans="1:14">
      <c r="A26" t="s">
        <v>18</v>
      </c>
      <c r="B26" s="148" t="s">
        <v>212</v>
      </c>
      <c r="C26" s="149" t="str">
        <f t="shared" si="1"/>
        <v>2021.09月Aica paypal流水(镜柜)：ebay费</v>
      </c>
      <c r="D26" s="457"/>
      <c r="E26" s="457"/>
      <c r="F26" s="457"/>
      <c r="G26" s="149" t="s">
        <v>61</v>
      </c>
      <c r="H26" s="149" t="s">
        <v>62</v>
      </c>
      <c r="I26" s="457"/>
      <c r="J26" s="472"/>
      <c r="K26" s="472"/>
      <c r="L26" s="472"/>
      <c r="M26" s="73">
        <f>ROUND(I5,2)</f>
        <v>0</v>
      </c>
      <c r="N26" s="151"/>
    </row>
    <row r="27" ht="14.25" hidden="1" spans="1:14">
      <c r="A27" t="s">
        <v>18</v>
      </c>
      <c r="B27" s="148" t="s">
        <v>212</v>
      </c>
      <c r="C27" s="149" t="str">
        <f t="shared" si="1"/>
        <v>2021.09月Aica paypal流水(镜柜)：ebay费</v>
      </c>
      <c r="D27" s="457"/>
      <c r="E27" s="457"/>
      <c r="F27" s="457"/>
      <c r="G27" s="37" t="s">
        <v>59</v>
      </c>
      <c r="H27" s="37" t="s">
        <v>60</v>
      </c>
      <c r="I27" s="457"/>
      <c r="J27" s="472"/>
      <c r="K27" s="472"/>
      <c r="L27" s="472"/>
      <c r="M27" s="71">
        <f>-M26</f>
        <v>0</v>
      </c>
      <c r="N27" s="151"/>
    </row>
    <row r="28" ht="14.25" hidden="1" spans="1:14">
      <c r="A28" t="s">
        <v>18</v>
      </c>
      <c r="B28" s="148" t="s">
        <v>166</v>
      </c>
      <c r="C28" s="149" t="str">
        <f t="shared" si="1"/>
        <v>2021.09月Aica paypal流水(镜柜)：手续费</v>
      </c>
      <c r="D28" s="457"/>
      <c r="E28" s="457"/>
      <c r="F28" s="457"/>
      <c r="G28" s="149" t="s">
        <v>213</v>
      </c>
      <c r="H28" s="149" t="s">
        <v>214</v>
      </c>
      <c r="I28" s="457"/>
      <c r="J28" s="472"/>
      <c r="K28" s="472"/>
      <c r="L28" s="472"/>
      <c r="M28" s="71">
        <f>ROUND(G5+H5,2)</f>
        <v>-29.99</v>
      </c>
      <c r="N28" s="151"/>
    </row>
    <row r="29" ht="14.25" hidden="1" spans="1:14">
      <c r="A29" t="s">
        <v>18</v>
      </c>
      <c r="B29" s="148" t="s">
        <v>166</v>
      </c>
      <c r="C29" s="149" t="str">
        <f t="shared" si="1"/>
        <v>2021.09月Aica paypal流水(镜柜)：手续费</v>
      </c>
      <c r="D29" s="457"/>
      <c r="E29" s="457"/>
      <c r="F29" s="457"/>
      <c r="G29" s="37" t="s">
        <v>59</v>
      </c>
      <c r="H29" s="37" t="s">
        <v>60</v>
      </c>
      <c r="I29" s="457"/>
      <c r="J29" s="472"/>
      <c r="K29" s="472"/>
      <c r="L29" s="472"/>
      <c r="M29" s="71">
        <f>-M28</f>
        <v>29.99</v>
      </c>
      <c r="N29" s="151"/>
    </row>
    <row r="30" ht="14.25" hidden="1" spans="1:14">
      <c r="A30" t="s">
        <v>18</v>
      </c>
      <c r="B30" s="148" t="s">
        <v>44</v>
      </c>
      <c r="C30" s="149" t="str">
        <f t="shared" si="1"/>
        <v>2021.09月Aica paypal流水(镜柜)：计提营运费</v>
      </c>
      <c r="D30" s="457"/>
      <c r="E30" s="457"/>
      <c r="F30" s="457"/>
      <c r="G30" s="149" t="s">
        <v>63</v>
      </c>
      <c r="H30" s="149" t="s">
        <v>64</v>
      </c>
      <c r="I30" s="457"/>
      <c r="J30" s="472"/>
      <c r="K30" s="472"/>
      <c r="L30" s="472"/>
      <c r="M30" s="73">
        <f>ROUND(J5,2)</f>
        <v>-44.37</v>
      </c>
      <c r="N30" s="151"/>
    </row>
    <row r="31" ht="15" hidden="1" spans="1:14">
      <c r="A31" t="s">
        <v>18</v>
      </c>
      <c r="B31" s="458" t="s">
        <v>44</v>
      </c>
      <c r="C31" s="162" t="str">
        <f t="shared" si="1"/>
        <v>2021.09月Aica paypal流水(镜柜)：计提营运费</v>
      </c>
      <c r="D31" s="459"/>
      <c r="E31" s="459"/>
      <c r="F31" s="459"/>
      <c r="G31" s="185" t="s">
        <v>59</v>
      </c>
      <c r="H31" s="185" t="s">
        <v>60</v>
      </c>
      <c r="I31" s="459"/>
      <c r="J31" s="294"/>
      <c r="K31" s="294"/>
      <c r="L31" s="294"/>
      <c r="M31" s="404">
        <f>-M30</f>
        <v>44.37</v>
      </c>
      <c r="N31" s="207"/>
    </row>
    <row r="32" ht="14.25" hidden="1" spans="1:14">
      <c r="A32" t="s">
        <v>20</v>
      </c>
      <c r="B32" s="144" t="s">
        <v>15</v>
      </c>
      <c r="C32" s="145" t="str">
        <f t="shared" si="1"/>
        <v>2021.09月Aica paypal流水(五金)：order</v>
      </c>
      <c r="D32" s="291"/>
      <c r="E32" s="291"/>
      <c r="F32" s="291"/>
      <c r="G32" s="145" t="s">
        <v>208</v>
      </c>
      <c r="H32" s="145" t="s">
        <v>209</v>
      </c>
      <c r="I32" s="469"/>
      <c r="J32" s="291"/>
      <c r="K32" s="291"/>
      <c r="L32" s="291"/>
      <c r="M32" s="146">
        <f>SUM(N33:N36)</f>
        <v>50664.85</v>
      </c>
      <c r="N32" s="147"/>
    </row>
    <row r="33" ht="14.25" hidden="1" spans="1:14">
      <c r="A33" t="s">
        <v>20</v>
      </c>
      <c r="B33" s="148" t="s">
        <v>7</v>
      </c>
      <c r="C33" s="149" t="str">
        <f t="shared" si="1"/>
        <v>2021.09月Aica paypal流水(五金)：不含税</v>
      </c>
      <c r="D33" s="457"/>
      <c r="E33" s="457"/>
      <c r="F33" s="457"/>
      <c r="G33" s="37" t="s">
        <v>65</v>
      </c>
      <c r="H33" s="37" t="s">
        <v>66</v>
      </c>
      <c r="I33" s="470"/>
      <c r="J33" s="471"/>
      <c r="K33" s="471"/>
      <c r="L33" s="471"/>
      <c r="M33" s="71"/>
      <c r="N33" s="150">
        <f>ROUND(F7,2)</f>
        <v>41158.83</v>
      </c>
    </row>
    <row r="34" ht="14.25" hidden="1" spans="1:14">
      <c r="A34" t="s">
        <v>20</v>
      </c>
      <c r="B34" s="148" t="s">
        <v>31</v>
      </c>
      <c r="C34" s="149" t="str">
        <f t="shared" ref="C34:C40" si="2">$A$14&amp;$A$15&amp;"("&amp;$A34&amp;")："&amp;B34</f>
        <v>2021.09月Aica paypal流水(五金)：税金</v>
      </c>
      <c r="D34" s="457"/>
      <c r="E34" s="457"/>
      <c r="F34" s="457"/>
      <c r="G34" s="149" t="s">
        <v>32</v>
      </c>
      <c r="H34" s="149" t="s">
        <v>33</v>
      </c>
      <c r="I34" s="457"/>
      <c r="J34" s="472"/>
      <c r="K34" s="472"/>
      <c r="L34" s="472"/>
      <c r="M34" s="73"/>
      <c r="N34" s="151">
        <f>ROUND(N33*0.2,2)</f>
        <v>8231.77</v>
      </c>
    </row>
    <row r="35" ht="14.25" hidden="1" spans="1:14">
      <c r="A35" t="s">
        <v>20</v>
      </c>
      <c r="B35" s="148" t="s">
        <v>3</v>
      </c>
      <c r="C35" s="149" t="str">
        <f t="shared" si="2"/>
        <v>2021.09月Aica paypal流水(五金)：refund</v>
      </c>
      <c r="D35" s="457"/>
      <c r="E35" s="457"/>
      <c r="F35" s="457"/>
      <c r="G35" s="149" t="s">
        <v>206</v>
      </c>
      <c r="H35" s="457" t="s">
        <v>207</v>
      </c>
      <c r="I35" s="457"/>
      <c r="J35" s="472"/>
      <c r="K35" s="472"/>
      <c r="L35" s="472"/>
      <c r="M35" s="73"/>
      <c r="N35" s="151">
        <f>-ROUND(S7+U7,2)</f>
        <v>1274.25</v>
      </c>
    </row>
    <row r="36" ht="14.25" hidden="1" spans="1:14">
      <c r="A36" t="s">
        <v>20</v>
      </c>
      <c r="B36" s="148" t="s">
        <v>3</v>
      </c>
      <c r="C36" s="149" t="str">
        <f t="shared" si="2"/>
        <v>2021.09月Aica paypal流水(五金)：refund</v>
      </c>
      <c r="D36" s="457"/>
      <c r="E36" s="457"/>
      <c r="F36" s="457"/>
      <c r="G36" s="149" t="s">
        <v>149</v>
      </c>
      <c r="H36" s="149" t="s">
        <v>150</v>
      </c>
      <c r="I36" s="457"/>
      <c r="J36" s="472"/>
      <c r="K36" s="472"/>
      <c r="L36" s="472"/>
      <c r="M36" s="73"/>
      <c r="N36" s="151">
        <f>-ROUND(T7+V7,2)</f>
        <v>0</v>
      </c>
    </row>
    <row r="37" ht="14.25" hidden="1" spans="1:14">
      <c r="A37" t="s">
        <v>20</v>
      </c>
      <c r="B37" s="148" t="s">
        <v>212</v>
      </c>
      <c r="C37" s="149" t="str">
        <f t="shared" si="2"/>
        <v>2021.09月Aica paypal流水(五金)：ebay费</v>
      </c>
      <c r="D37" s="457"/>
      <c r="E37" s="457"/>
      <c r="F37" s="457"/>
      <c r="G37" s="149" t="s">
        <v>67</v>
      </c>
      <c r="H37" s="149" t="s">
        <v>68</v>
      </c>
      <c r="I37" s="457"/>
      <c r="J37" s="472"/>
      <c r="K37" s="472"/>
      <c r="L37" s="472"/>
      <c r="M37" s="73">
        <f>ROUND(I7,2)</f>
        <v>0</v>
      </c>
      <c r="N37" s="151"/>
    </row>
    <row r="38" ht="14.25" hidden="1" spans="1:14">
      <c r="A38" t="s">
        <v>20</v>
      </c>
      <c r="B38" s="148" t="s">
        <v>212</v>
      </c>
      <c r="C38" s="149" t="str">
        <f t="shared" si="2"/>
        <v>2021.09月Aica paypal流水(五金)：ebay费</v>
      </c>
      <c r="D38" s="457"/>
      <c r="E38" s="457"/>
      <c r="F38" s="457"/>
      <c r="G38" s="37" t="s">
        <v>65</v>
      </c>
      <c r="H38" s="37" t="s">
        <v>66</v>
      </c>
      <c r="I38" s="457"/>
      <c r="J38" s="472"/>
      <c r="K38" s="472"/>
      <c r="L38" s="472"/>
      <c r="M38" s="71">
        <f t="shared" ref="M38:M42" si="3">-M37</f>
        <v>0</v>
      </c>
      <c r="N38" s="151"/>
    </row>
    <row r="39" customFormat="1" ht="14.25" hidden="1" spans="1:14">
      <c r="A39" t="s">
        <v>20</v>
      </c>
      <c r="B39" s="148" t="s">
        <v>166</v>
      </c>
      <c r="C39" s="149" t="str">
        <f t="shared" si="2"/>
        <v>2021.09月Aica paypal流水(五金)：手续费</v>
      </c>
      <c r="D39" s="457"/>
      <c r="E39" s="457"/>
      <c r="F39" s="457"/>
      <c r="G39" s="149" t="s">
        <v>215</v>
      </c>
      <c r="H39" s="149" t="s">
        <v>216</v>
      </c>
      <c r="I39" s="457"/>
      <c r="J39" s="472"/>
      <c r="K39" s="472"/>
      <c r="L39" s="472"/>
      <c r="M39" s="71">
        <f>ROUND(G7+H7,2)</f>
        <v>-973.61</v>
      </c>
      <c r="N39" s="151"/>
    </row>
    <row r="40" customFormat="1" ht="14.25" hidden="1" spans="1:14">
      <c r="A40" t="s">
        <v>20</v>
      </c>
      <c r="B40" s="148" t="s">
        <v>166</v>
      </c>
      <c r="C40" s="149" t="str">
        <f t="shared" si="2"/>
        <v>2021.09月Aica paypal流水(五金)：手续费</v>
      </c>
      <c r="D40" s="457"/>
      <c r="E40" s="457"/>
      <c r="F40" s="457"/>
      <c r="G40" s="37" t="s">
        <v>65</v>
      </c>
      <c r="H40" s="37" t="s">
        <v>66</v>
      </c>
      <c r="I40" s="457"/>
      <c r="J40" s="472"/>
      <c r="K40" s="472"/>
      <c r="L40" s="472"/>
      <c r="M40" s="71">
        <f t="shared" si="3"/>
        <v>973.61</v>
      </c>
      <c r="N40" s="151"/>
    </row>
    <row r="41" ht="14.25" hidden="1" spans="1:14">
      <c r="A41" t="s">
        <v>20</v>
      </c>
      <c r="B41" s="148" t="s">
        <v>44</v>
      </c>
      <c r="C41" s="149" t="str">
        <f t="shared" ref="C41:C64" si="4">$A$14&amp;$A$15&amp;"("&amp;$A41&amp;")："&amp;B41</f>
        <v>2021.09月Aica paypal流水(五金)：计提营运费</v>
      </c>
      <c r="D41" s="457"/>
      <c r="E41" s="457"/>
      <c r="F41" s="457"/>
      <c r="G41" s="149" t="s">
        <v>69</v>
      </c>
      <c r="H41" s="149" t="s">
        <v>70</v>
      </c>
      <c r="I41" s="457"/>
      <c r="J41" s="472"/>
      <c r="K41" s="472"/>
      <c r="L41" s="472"/>
      <c r="M41" s="73">
        <f>ROUND(J7,2)</f>
        <v>-2057.94</v>
      </c>
      <c r="N41" s="151"/>
    </row>
    <row r="42" ht="15" hidden="1" spans="1:14">
      <c r="A42" s="550" t="s">
        <v>20</v>
      </c>
      <c r="B42" s="458" t="s">
        <v>44</v>
      </c>
      <c r="C42" s="162" t="str">
        <f t="shared" si="4"/>
        <v>2021.09月Aica paypal流水(五金)：计提营运费</v>
      </c>
      <c r="D42" s="459"/>
      <c r="E42" s="459"/>
      <c r="F42" s="459"/>
      <c r="G42" s="185" t="s">
        <v>65</v>
      </c>
      <c r="H42" s="185" t="s">
        <v>66</v>
      </c>
      <c r="I42" s="459"/>
      <c r="J42" s="294"/>
      <c r="K42" s="294"/>
      <c r="L42" s="294"/>
      <c r="M42" s="404">
        <f t="shared" si="3"/>
        <v>2057.94</v>
      </c>
      <c r="N42" s="207"/>
    </row>
    <row r="43" ht="15" hidden="1" spans="1:14">
      <c r="A43" t="s">
        <v>19</v>
      </c>
      <c r="B43" s="144" t="s">
        <v>15</v>
      </c>
      <c r="C43" s="145" t="str">
        <f t="shared" si="4"/>
        <v>2021.09月Aica paypal流水(水龙头)：order</v>
      </c>
      <c r="D43" s="291"/>
      <c r="E43" s="291"/>
      <c r="F43" s="291"/>
      <c r="G43" s="145" t="s">
        <v>208</v>
      </c>
      <c r="H43" s="145" t="s">
        <v>209</v>
      </c>
      <c r="I43" s="469"/>
      <c r="J43" s="291"/>
      <c r="K43" s="291"/>
      <c r="L43" s="291"/>
      <c r="M43" s="146">
        <f>SUM(N44:N47)</f>
        <v>321.76</v>
      </c>
      <c r="N43" s="147"/>
    </row>
    <row r="44" ht="14.25" hidden="1" spans="1:14">
      <c r="A44" t="s">
        <v>19</v>
      </c>
      <c r="B44" s="148" t="s">
        <v>7</v>
      </c>
      <c r="C44" s="149" t="str">
        <f t="shared" si="4"/>
        <v>2021.09月Aica paypal流水(水龙头)：不含税</v>
      </c>
      <c r="D44" s="457"/>
      <c r="E44" s="457"/>
      <c r="F44" s="457"/>
      <c r="G44" s="37" t="s">
        <v>71</v>
      </c>
      <c r="H44" s="37" t="s">
        <v>72</v>
      </c>
      <c r="I44" s="470"/>
      <c r="J44" s="471"/>
      <c r="K44" s="471"/>
      <c r="L44" s="471"/>
      <c r="M44" s="71"/>
      <c r="N44" s="150">
        <f>ROUND(F6,2)</f>
        <v>268.13</v>
      </c>
    </row>
    <row r="45" ht="14.25" hidden="1" spans="1:14">
      <c r="A45" t="s">
        <v>19</v>
      </c>
      <c r="B45" s="148" t="s">
        <v>31</v>
      </c>
      <c r="C45" s="149" t="str">
        <f t="shared" si="4"/>
        <v>2021.09月Aica paypal流水(水龙头)：税金</v>
      </c>
      <c r="D45" s="457"/>
      <c r="E45" s="457"/>
      <c r="F45" s="457"/>
      <c r="G45" s="149" t="s">
        <v>32</v>
      </c>
      <c r="H45" s="149" t="s">
        <v>33</v>
      </c>
      <c r="I45" s="457"/>
      <c r="J45" s="472"/>
      <c r="K45" s="472"/>
      <c r="L45" s="472"/>
      <c r="M45" s="73"/>
      <c r="N45" s="151">
        <f>ROUND(N44*0.2,2)</f>
        <v>53.63</v>
      </c>
    </row>
    <row r="46" ht="14.25" hidden="1" spans="1:14">
      <c r="A46" t="s">
        <v>19</v>
      </c>
      <c r="B46" s="148" t="s">
        <v>3</v>
      </c>
      <c r="C46" s="149" t="str">
        <f t="shared" si="4"/>
        <v>2021.09月Aica paypal流水(水龙头)：refund</v>
      </c>
      <c r="D46" s="457"/>
      <c r="E46" s="457"/>
      <c r="F46" s="457"/>
      <c r="G46" s="149" t="s">
        <v>206</v>
      </c>
      <c r="H46" s="457" t="s">
        <v>207</v>
      </c>
      <c r="I46" s="457"/>
      <c r="J46" s="472"/>
      <c r="K46" s="472"/>
      <c r="L46" s="472"/>
      <c r="M46" s="73"/>
      <c r="N46" s="151">
        <f>-ROUND(S6+U6,2)</f>
        <v>0</v>
      </c>
    </row>
    <row r="47" ht="14.25" hidden="1" spans="1:14">
      <c r="A47" t="s">
        <v>19</v>
      </c>
      <c r="B47" s="148" t="s">
        <v>3</v>
      </c>
      <c r="C47" s="149" t="str">
        <f t="shared" si="4"/>
        <v>2021.09月Aica paypal流水(水龙头)：refund</v>
      </c>
      <c r="D47" s="457"/>
      <c r="E47" s="457"/>
      <c r="F47" s="457"/>
      <c r="G47" s="149" t="s">
        <v>149</v>
      </c>
      <c r="H47" s="149" t="s">
        <v>150</v>
      </c>
      <c r="I47" s="457"/>
      <c r="J47" s="472"/>
      <c r="K47" s="472"/>
      <c r="L47" s="472"/>
      <c r="M47" s="73"/>
      <c r="N47" s="151">
        <f>-ROUND(T6+V6,2)</f>
        <v>0</v>
      </c>
    </row>
    <row r="48" ht="14.25" hidden="1" spans="1:14">
      <c r="A48" t="s">
        <v>19</v>
      </c>
      <c r="B48" s="148" t="s">
        <v>212</v>
      </c>
      <c r="C48" s="149" t="str">
        <f t="shared" si="4"/>
        <v>2021.09月Aica paypal流水(水龙头)：ebay费</v>
      </c>
      <c r="D48" s="457"/>
      <c r="E48" s="457"/>
      <c r="F48" s="457"/>
      <c r="G48" s="149" t="s">
        <v>73</v>
      </c>
      <c r="H48" s="149" t="s">
        <v>74</v>
      </c>
      <c r="I48" s="457"/>
      <c r="J48" s="472"/>
      <c r="K48" s="472"/>
      <c r="L48" s="472"/>
      <c r="M48" s="73">
        <f>ROUND(I6,2)</f>
        <v>0</v>
      </c>
      <c r="N48" s="151"/>
    </row>
    <row r="49" ht="14.25" hidden="1" spans="1:14">
      <c r="A49" t="s">
        <v>19</v>
      </c>
      <c r="B49" s="148" t="s">
        <v>212</v>
      </c>
      <c r="C49" s="149" t="str">
        <f t="shared" si="4"/>
        <v>2021.09月Aica paypal流水(水龙头)：ebay费</v>
      </c>
      <c r="D49" s="457"/>
      <c r="E49" s="457"/>
      <c r="F49" s="457"/>
      <c r="G49" s="37" t="s">
        <v>71</v>
      </c>
      <c r="H49" s="37" t="s">
        <v>72</v>
      </c>
      <c r="I49" s="457"/>
      <c r="J49" s="472"/>
      <c r="K49" s="472"/>
      <c r="L49" s="472"/>
      <c r="M49" s="71">
        <f t="shared" ref="M49:M53" si="5">-M48</f>
        <v>0</v>
      </c>
      <c r="N49" s="151"/>
    </row>
    <row r="50" customFormat="1" ht="14.25" hidden="1" spans="1:14">
      <c r="A50" t="s">
        <v>19</v>
      </c>
      <c r="B50" s="148" t="s">
        <v>166</v>
      </c>
      <c r="C50" s="149" t="str">
        <f t="shared" si="4"/>
        <v>2021.09月Aica paypal流水(水龙头)：手续费</v>
      </c>
      <c r="D50" s="457"/>
      <c r="E50" s="457"/>
      <c r="F50" s="457"/>
      <c r="G50" s="149" t="s">
        <v>217</v>
      </c>
      <c r="H50" s="149" t="s">
        <v>218</v>
      </c>
      <c r="I50" s="457"/>
      <c r="J50" s="472"/>
      <c r="K50" s="472"/>
      <c r="L50" s="472"/>
      <c r="M50" s="71">
        <f>ROUND(G6+H6,2)</f>
        <v>-6.67</v>
      </c>
      <c r="N50" s="151"/>
    </row>
    <row r="51" customFormat="1" ht="14.25" hidden="1" spans="1:14">
      <c r="A51" t="s">
        <v>19</v>
      </c>
      <c r="B51" s="148" t="s">
        <v>166</v>
      </c>
      <c r="C51" s="149" t="str">
        <f t="shared" si="4"/>
        <v>2021.09月Aica paypal流水(水龙头)：手续费</v>
      </c>
      <c r="D51" s="457"/>
      <c r="E51" s="457"/>
      <c r="F51" s="457"/>
      <c r="G51" s="37" t="s">
        <v>71</v>
      </c>
      <c r="H51" s="37" t="s">
        <v>72</v>
      </c>
      <c r="I51" s="457"/>
      <c r="J51" s="472"/>
      <c r="K51" s="472"/>
      <c r="L51" s="472"/>
      <c r="M51" s="71">
        <f t="shared" si="5"/>
        <v>6.67</v>
      </c>
      <c r="N51" s="151"/>
    </row>
    <row r="52" ht="14.25" hidden="1" spans="1:14">
      <c r="A52" t="s">
        <v>19</v>
      </c>
      <c r="B52" s="148" t="s">
        <v>44</v>
      </c>
      <c r="C52" s="149" t="str">
        <f t="shared" si="4"/>
        <v>2021.09月Aica paypal流水(水龙头)：计提营运费</v>
      </c>
      <c r="D52" s="457"/>
      <c r="E52" s="457"/>
      <c r="F52" s="457"/>
      <c r="G52" s="149" t="s">
        <v>75</v>
      </c>
      <c r="H52" s="149" t="s">
        <v>76</v>
      </c>
      <c r="I52" s="457"/>
      <c r="J52" s="472"/>
      <c r="K52" s="472"/>
      <c r="L52" s="472"/>
      <c r="M52" s="73">
        <f>ROUND(J6,2)</f>
        <v>-13.41</v>
      </c>
      <c r="N52" s="151"/>
    </row>
    <row r="53" customFormat="1" ht="15" hidden="1" spans="1:14">
      <c r="A53" t="s">
        <v>19</v>
      </c>
      <c r="B53" s="458" t="s">
        <v>44</v>
      </c>
      <c r="C53" s="162" t="str">
        <f t="shared" si="4"/>
        <v>2021.09月Aica paypal流水(水龙头)：计提营运费</v>
      </c>
      <c r="D53" s="459"/>
      <c r="E53" s="459"/>
      <c r="F53" s="459"/>
      <c r="G53" s="185" t="s">
        <v>71</v>
      </c>
      <c r="H53" s="185" t="s">
        <v>72</v>
      </c>
      <c r="I53" s="459"/>
      <c r="J53" s="294"/>
      <c r="K53" s="294"/>
      <c r="L53" s="294"/>
      <c r="M53" s="404">
        <f t="shared" si="5"/>
        <v>13.41</v>
      </c>
      <c r="N53" s="207"/>
    </row>
    <row r="54" customFormat="1" ht="14.25" hidden="1" spans="1:14">
      <c r="A54" t="s">
        <v>83</v>
      </c>
      <c r="B54" s="144" t="s">
        <v>15</v>
      </c>
      <c r="C54" s="145" t="str">
        <f t="shared" si="4"/>
        <v>2021.09月Aica paypal流水(陶瓷)：order</v>
      </c>
      <c r="D54" s="291"/>
      <c r="E54" s="291"/>
      <c r="F54" s="291"/>
      <c r="G54" s="145" t="s">
        <v>208</v>
      </c>
      <c r="H54" s="145" t="s">
        <v>209</v>
      </c>
      <c r="I54" s="469"/>
      <c r="J54" s="291"/>
      <c r="K54" s="291"/>
      <c r="L54" s="291"/>
      <c r="M54" s="146">
        <f>SUM(N55:N58)</f>
        <v>464.98</v>
      </c>
      <c r="N54" s="147"/>
    </row>
    <row r="55" customFormat="1" ht="14.25" hidden="1" spans="1:14">
      <c r="A55" t="s">
        <v>83</v>
      </c>
      <c r="B55" s="148" t="s">
        <v>7</v>
      </c>
      <c r="C55" s="149" t="str">
        <f t="shared" si="4"/>
        <v>2021.09月Aica paypal流水(陶瓷)：不含税</v>
      </c>
      <c r="D55" s="457"/>
      <c r="E55" s="457"/>
      <c r="F55" s="457"/>
      <c r="G55" s="37">
        <v>1221.103</v>
      </c>
      <c r="H55" s="37" t="s">
        <v>219</v>
      </c>
      <c r="I55" s="470"/>
      <c r="J55" s="471"/>
      <c r="K55" s="471"/>
      <c r="L55" s="471"/>
      <c r="M55" s="71"/>
      <c r="N55" s="150">
        <f>ROUND(F8,2)</f>
        <v>387.48</v>
      </c>
    </row>
    <row r="56" customFormat="1" ht="14.25" hidden="1" spans="1:14">
      <c r="A56" t="s">
        <v>83</v>
      </c>
      <c r="B56" s="148" t="s">
        <v>31</v>
      </c>
      <c r="C56" s="149" t="str">
        <f t="shared" si="4"/>
        <v>2021.09月Aica paypal流水(陶瓷)：税金</v>
      </c>
      <c r="D56" s="457"/>
      <c r="E56" s="457"/>
      <c r="F56" s="457"/>
      <c r="G56" s="149" t="s">
        <v>32</v>
      </c>
      <c r="H56" s="149" t="s">
        <v>33</v>
      </c>
      <c r="I56" s="457"/>
      <c r="J56" s="472"/>
      <c r="K56" s="472"/>
      <c r="L56" s="472"/>
      <c r="M56" s="73"/>
      <c r="N56" s="151">
        <f>ROUND(N55*0.2,2)</f>
        <v>77.5</v>
      </c>
    </row>
    <row r="57" customFormat="1" ht="14.25" hidden="1" spans="1:14">
      <c r="A57" t="s">
        <v>83</v>
      </c>
      <c r="B57" s="148" t="s">
        <v>3</v>
      </c>
      <c r="C57" s="149" t="str">
        <f t="shared" si="4"/>
        <v>2021.09月Aica paypal流水(陶瓷)：refund</v>
      </c>
      <c r="D57" s="457"/>
      <c r="E57" s="457"/>
      <c r="F57" s="457"/>
      <c r="G57" s="149" t="s">
        <v>206</v>
      </c>
      <c r="H57" s="457" t="s">
        <v>207</v>
      </c>
      <c r="I57" s="457"/>
      <c r="J57" s="472"/>
      <c r="K57" s="472"/>
      <c r="L57" s="472"/>
      <c r="M57" s="73"/>
      <c r="N57" s="151">
        <f>-ROUND(S8+U8,2)</f>
        <v>0</v>
      </c>
    </row>
    <row r="58" customFormat="1" ht="14.25" hidden="1" spans="1:14">
      <c r="A58" t="s">
        <v>83</v>
      </c>
      <c r="B58" s="148" t="s">
        <v>3</v>
      </c>
      <c r="C58" s="149" t="str">
        <f t="shared" si="4"/>
        <v>2021.09月Aica paypal流水(陶瓷)：refund</v>
      </c>
      <c r="D58" s="457"/>
      <c r="E58" s="457"/>
      <c r="F58" s="457"/>
      <c r="G58" s="149" t="s">
        <v>149</v>
      </c>
      <c r="H58" s="149" t="s">
        <v>150</v>
      </c>
      <c r="I58" s="457"/>
      <c r="J58" s="472"/>
      <c r="K58" s="472"/>
      <c r="L58" s="472"/>
      <c r="M58" s="73"/>
      <c r="N58" s="151"/>
    </row>
    <row r="59" customFormat="1" ht="14.25" hidden="1" spans="1:14">
      <c r="A59" t="s">
        <v>83</v>
      </c>
      <c r="B59" s="148" t="s">
        <v>212</v>
      </c>
      <c r="C59" s="149" t="str">
        <f t="shared" si="4"/>
        <v>2021.09月Aica paypal流水(陶瓷)：ebay费</v>
      </c>
      <c r="D59" s="457"/>
      <c r="E59" s="457"/>
      <c r="F59" s="457"/>
      <c r="G59" s="149" t="s">
        <v>123</v>
      </c>
      <c r="H59" s="149" t="s">
        <v>220</v>
      </c>
      <c r="I59" s="457"/>
      <c r="J59" s="472"/>
      <c r="K59" s="472"/>
      <c r="L59" s="472"/>
      <c r="M59" s="73">
        <f>ROUND(I8,2)</f>
        <v>0</v>
      </c>
      <c r="N59" s="151"/>
    </row>
    <row r="60" customFormat="1" ht="14.25" hidden="1" spans="1:14">
      <c r="A60" t="s">
        <v>83</v>
      </c>
      <c r="B60" s="148" t="s">
        <v>212</v>
      </c>
      <c r="C60" s="149" t="str">
        <f t="shared" si="4"/>
        <v>2021.09月Aica paypal流水(陶瓷)：ebay费</v>
      </c>
      <c r="D60" s="457"/>
      <c r="E60" s="457"/>
      <c r="F60" s="457"/>
      <c r="G60" s="37">
        <v>1221.103</v>
      </c>
      <c r="H60" s="37" t="s">
        <v>219</v>
      </c>
      <c r="I60" s="457"/>
      <c r="J60" s="472"/>
      <c r="K60" s="472"/>
      <c r="L60" s="472"/>
      <c r="M60" s="71">
        <f t="shared" ref="M60:M64" si="6">-M59</f>
        <v>0</v>
      </c>
      <c r="N60" s="151"/>
    </row>
    <row r="61" customFormat="1" ht="14.25" hidden="1" spans="1:14">
      <c r="A61" t="s">
        <v>83</v>
      </c>
      <c r="B61" s="148" t="s">
        <v>166</v>
      </c>
      <c r="C61" s="149" t="str">
        <f t="shared" si="4"/>
        <v>2021.09月Aica paypal流水(陶瓷)：手续费</v>
      </c>
      <c r="D61" s="457"/>
      <c r="E61" s="457"/>
      <c r="F61" s="457"/>
      <c r="G61" s="149" t="s">
        <v>221</v>
      </c>
      <c r="H61" s="149" t="s">
        <v>222</v>
      </c>
      <c r="I61" s="457"/>
      <c r="J61" s="472"/>
      <c r="K61" s="472"/>
      <c r="L61" s="472"/>
      <c r="M61" s="71">
        <f>ROUND(G8+H8,2)</f>
        <v>-9.5</v>
      </c>
      <c r="N61" s="151"/>
    </row>
    <row r="62" customFormat="1" ht="14.25" hidden="1" spans="1:14">
      <c r="A62" t="s">
        <v>83</v>
      </c>
      <c r="B62" s="148" t="s">
        <v>166</v>
      </c>
      <c r="C62" s="149" t="str">
        <f t="shared" si="4"/>
        <v>2021.09月Aica paypal流水(陶瓷)：手续费</v>
      </c>
      <c r="D62" s="457"/>
      <c r="E62" s="457"/>
      <c r="F62" s="457"/>
      <c r="G62" s="37">
        <v>1221.103</v>
      </c>
      <c r="H62" s="37" t="s">
        <v>219</v>
      </c>
      <c r="I62" s="457"/>
      <c r="J62" s="472"/>
      <c r="K62" s="472"/>
      <c r="L62" s="472"/>
      <c r="M62" s="71">
        <f t="shared" si="6"/>
        <v>9.5</v>
      </c>
      <c r="N62" s="151"/>
    </row>
    <row r="63" customFormat="1" ht="14.25" hidden="1" spans="1:14">
      <c r="A63" t="s">
        <v>83</v>
      </c>
      <c r="B63" s="148" t="s">
        <v>44</v>
      </c>
      <c r="C63" s="149" t="str">
        <f t="shared" si="4"/>
        <v>2021.09月Aica paypal流水(陶瓷)：计提营运费</v>
      </c>
      <c r="D63" s="457"/>
      <c r="E63" s="457"/>
      <c r="F63" s="457"/>
      <c r="G63" s="149" t="s">
        <v>125</v>
      </c>
      <c r="H63" s="149" t="s">
        <v>223</v>
      </c>
      <c r="I63" s="457"/>
      <c r="J63" s="472"/>
      <c r="K63" s="472"/>
      <c r="L63" s="472"/>
      <c r="M63" s="73">
        <f>ROUND(J8,2)</f>
        <v>-19.37</v>
      </c>
      <c r="N63" s="151"/>
    </row>
    <row r="64" customFormat="1" ht="15" hidden="1" spans="1:14">
      <c r="A64" t="s">
        <v>83</v>
      </c>
      <c r="B64" s="458" t="s">
        <v>44</v>
      </c>
      <c r="C64" s="162" t="str">
        <f t="shared" si="4"/>
        <v>2021.09月Aica paypal流水(陶瓷)：计提营运费</v>
      </c>
      <c r="D64" s="459"/>
      <c r="E64" s="459"/>
      <c r="F64" s="459"/>
      <c r="G64" s="37">
        <v>1221.103</v>
      </c>
      <c r="H64" s="37" t="s">
        <v>219</v>
      </c>
      <c r="I64" s="459"/>
      <c r="J64" s="294"/>
      <c r="K64" s="294"/>
      <c r="L64" s="294"/>
      <c r="M64" s="404">
        <f t="shared" si="6"/>
        <v>19.37</v>
      </c>
      <c r="N64" s="207"/>
    </row>
    <row r="65" hidden="1"/>
    <row r="66" hidden="1"/>
    <row r="67" hidden="1" spans="13:15">
      <c r="M67">
        <f>SUM(M17:M64)</f>
        <v>127178.56</v>
      </c>
      <c r="N67">
        <f>SUM(N17:N64)</f>
        <v>127178.56</v>
      </c>
      <c r="O67" s="572">
        <f>M67-N67</f>
        <v>0</v>
      </c>
    </row>
    <row r="70" ht="14.25"/>
    <row r="71" ht="14.25" spans="2:15">
      <c r="B71" s="452" t="s">
        <v>15</v>
      </c>
      <c r="C71" s="453" t="str">
        <f>$A$14&amp;$A$15&amp;"："&amp;B71</f>
        <v>2021.09月Aica paypal流水：order</v>
      </c>
      <c r="D71" s="453"/>
      <c r="E71" s="453"/>
      <c r="F71" s="453"/>
      <c r="G71" s="431" t="str">
        <f>INDEX(P:P,MATCH("order",$P:$P,0)+1)</f>
        <v>1122.001.006</v>
      </c>
      <c r="H71" s="431" t="str">
        <f>INDEX(Q:Q,MATCH("order",$P:$P,0)+1)</f>
        <v>应收账款 - 应收销售平台款 - Aica paypal流水</v>
      </c>
      <c r="I71" s="467"/>
      <c r="J71" s="453"/>
      <c r="K71" s="453"/>
      <c r="L71" s="453"/>
      <c r="M71" s="315">
        <f>ROUND(SUM(M10:R11),2)</f>
        <v>74226.15</v>
      </c>
      <c r="N71" s="316"/>
      <c r="O71" s="31">
        <f>SUM(M$71:M71)-SUM(N$71:N71)</f>
        <v>74226.15</v>
      </c>
    </row>
    <row r="72" ht="15" spans="2:15">
      <c r="B72" s="454" t="s">
        <v>15</v>
      </c>
      <c r="C72" s="455" t="str">
        <f>$A$14&amp;$A$15&amp;"："&amp;B72</f>
        <v>2021.09月Aica paypal流水：order</v>
      </c>
      <c r="D72" s="455"/>
      <c r="E72" s="455"/>
      <c r="F72" s="455"/>
      <c r="G72" s="456" t="str">
        <f>INDEX(P:P,MATCH("order",$P:$P,0)+2)</f>
        <v>2203.07.006</v>
      </c>
      <c r="H72" s="456" t="str">
        <f>INDEX(Q:Q,MATCH("order",$P:$P,0)+2)</f>
        <v>预收账款 - 预收销售平台款 - 预收 Aica paypal流水</v>
      </c>
      <c r="I72" s="468"/>
      <c r="J72" s="455"/>
      <c r="K72" s="455"/>
      <c r="L72" s="455"/>
      <c r="M72" s="54"/>
      <c r="N72" s="206">
        <f>M71</f>
        <v>74226.15</v>
      </c>
      <c r="O72" s="31">
        <f>SUM(M$71:M72)-SUM(N$71:N72)</f>
        <v>0</v>
      </c>
    </row>
    <row r="73" ht="14.25" spans="1:15">
      <c r="A73" t="s">
        <v>18</v>
      </c>
      <c r="B73" s="144" t="s">
        <v>15</v>
      </c>
      <c r="C73" s="145" t="str">
        <f t="shared" ref="C73:C112" si="7">$A$14&amp;$A$15&amp;"("&amp;$A73&amp;")："&amp;B73</f>
        <v>2021.09月Aica paypal流水(镜柜)：order</v>
      </c>
      <c r="D73" s="291"/>
      <c r="E73" s="291"/>
      <c r="F73" s="291"/>
      <c r="G73" s="431" t="str">
        <f>INDEX(P:P,MATCH("order",$P:$P,0)+2)</f>
        <v>2203.07.006</v>
      </c>
      <c r="H73" s="431" t="str">
        <f>INDEX(Q:Q,MATCH("order",$P:$P,0)+2)</f>
        <v>预收账款 - 预收销售平台款 - 预收 Aica paypal流水</v>
      </c>
      <c r="I73" s="469"/>
      <c r="J73" s="291"/>
      <c r="K73" s="291"/>
      <c r="L73" s="291"/>
      <c r="M73" s="172">
        <f ca="1">ROUND(SUM(OFFSET($A$1,MATCH($A73,$C$1:$C$11,0)-1,MATCH($B73,$1:$1,0)-1,,6))+OFFSET($A$1,MATCH($A73,$C$1:$C$11,0)-1,MATCH($B73,$1:$1,0)-1-8),2)</f>
        <v>1415.88</v>
      </c>
      <c r="N73" s="204"/>
      <c r="O73" s="31">
        <f ca="1">SUM(M$71:M73)-SUM(N$71:N73)</f>
        <v>1415.88</v>
      </c>
    </row>
    <row r="74" ht="14.25" spans="1:16">
      <c r="A74" t="s">
        <v>18</v>
      </c>
      <c r="B74" s="148" t="s">
        <v>7</v>
      </c>
      <c r="C74" s="149" t="str">
        <f t="shared" si="7"/>
        <v>2021.09月Aica paypal流水(镜柜)：不含税</v>
      </c>
      <c r="D74" s="457"/>
      <c r="E74" s="457"/>
      <c r="F74" s="457"/>
      <c r="G74" s="456" t="str">
        <f>INDEX(P:P,MATCH($A74,$P:$P,0)+1)</f>
        <v>1221.86</v>
      </c>
      <c r="H74" s="456" t="str">
        <f>INDEX(Q:Q,MATCH($A74,$P:$P,0)+1)</f>
        <v>其他应收款 - 事业部</v>
      </c>
      <c r="I74" s="470"/>
      <c r="J74" s="471"/>
      <c r="K74" s="471"/>
      <c r="L74" s="471"/>
      <c r="M74" s="456"/>
      <c r="N74" s="150">
        <f ca="1">ROUND(SUM(OFFSET($A$1,MATCH($A74,$C$1:$C$11,0)-1,MATCH($B74,$1:$1,0)-1)),2)</f>
        <v>887.38</v>
      </c>
      <c r="O74" s="31">
        <f ca="1">SUM(M$71:M74)-SUM(N$71:N74)</f>
        <v>528.5</v>
      </c>
      <c r="P74" t="s">
        <v>15</v>
      </c>
    </row>
    <row r="75" ht="14.25" spans="1:17">
      <c r="A75" t="s">
        <v>18</v>
      </c>
      <c r="B75" s="148" t="s">
        <v>31</v>
      </c>
      <c r="C75" s="149" t="str">
        <f t="shared" si="7"/>
        <v>2021.09月Aica paypal流水(镜柜)：税金</v>
      </c>
      <c r="D75" s="457"/>
      <c r="E75" s="457"/>
      <c r="F75" s="457"/>
      <c r="G75" s="456" t="str">
        <f>INDEX(P:P,MATCH("order",$P:$P,0)+3)</f>
        <v>2221</v>
      </c>
      <c r="H75" s="456" t="str">
        <f>INDEX(Q:Q,MATCH("order",$P:$P,0)+3)</f>
        <v>应交税费</v>
      </c>
      <c r="I75" s="457"/>
      <c r="J75" s="472"/>
      <c r="K75" s="472"/>
      <c r="L75" s="472"/>
      <c r="M75" s="456"/>
      <c r="N75" s="151">
        <f ca="1">ROUND(N74*0.2,2)</f>
        <v>177.48</v>
      </c>
      <c r="O75" s="31">
        <f ca="1">SUM(M$71:M75)-SUM(N$71:N75)</f>
        <v>351.020000000004</v>
      </c>
      <c r="P75" t="s">
        <v>206</v>
      </c>
      <c r="Q75" t="s">
        <v>207</v>
      </c>
    </row>
    <row r="76" ht="14.25" spans="1:17">
      <c r="A76" t="s">
        <v>18</v>
      </c>
      <c r="B76" s="148" t="s">
        <v>3</v>
      </c>
      <c r="C76" s="149" t="str">
        <f t="shared" si="7"/>
        <v>2021.09月Aica paypal流水(镜柜)：refund</v>
      </c>
      <c r="D76" s="457"/>
      <c r="E76" s="457"/>
      <c r="F76" s="457"/>
      <c r="G76" s="456" t="str">
        <f>INDEX(P:P,MATCH("order",$P:$P,0)+1)</f>
        <v>1122.001.006</v>
      </c>
      <c r="H76" s="456" t="str">
        <f>INDEX(Q:Q,MATCH("order",$P:$P,0)+1)</f>
        <v>应收账款 - 应收销售平台款 - Aica paypal流水</v>
      </c>
      <c r="I76" s="457"/>
      <c r="J76" s="472"/>
      <c r="K76" s="472"/>
      <c r="L76" s="472"/>
      <c r="M76" s="73"/>
      <c r="N76" s="150">
        <f ca="1">ROUND(-SUM(OFFSET($A$1,MATCH($A76,$C$1:$C$11,0)-1,MATCH($B76,$1:$1,0)-1,,4)),2)</f>
        <v>351.02</v>
      </c>
      <c r="O76" s="31">
        <f ca="1">SUM(M$71:M76)-SUM(N$71:N76)</f>
        <v>0</v>
      </c>
      <c r="P76" t="s">
        <v>208</v>
      </c>
      <c r="Q76" t="s">
        <v>209</v>
      </c>
    </row>
    <row r="77" ht="14.25" spans="1:17">
      <c r="A77" t="s">
        <v>18</v>
      </c>
      <c r="B77" s="148" t="s">
        <v>166</v>
      </c>
      <c r="C77" s="149" t="str">
        <f t="shared" si="7"/>
        <v>2021.09月Aica paypal流水(镜柜)：手续费</v>
      </c>
      <c r="D77" s="457"/>
      <c r="E77" s="457"/>
      <c r="F77" s="457"/>
      <c r="G77" s="456" t="str">
        <f>INDEX(P:P,MATCH($A77,$P:$P,0)+3)</f>
        <v>6603.002.01.03</v>
      </c>
      <c r="H77" s="456" t="str">
        <f>INDEX(Q:Q,MATCH($A77,$P:$P,0)+3)</f>
        <v>财务费用 - 收款平台手续费 - Paypal手续费 - 镜柜事业部-paypal手续费</v>
      </c>
      <c r="I77" s="457"/>
      <c r="J77" s="472"/>
      <c r="K77" s="472"/>
      <c r="L77" s="472"/>
      <c r="M77" s="71">
        <f ca="1">ROUND(SUM(OFFSET($A$1,MATCH($A77,$C$1:$C$11,0)-1,MATCH($B77,$1:$1,0)-1,,2)),2)</f>
        <v>-29.99</v>
      </c>
      <c r="N77" s="151"/>
      <c r="O77" s="31">
        <f ca="1">SUM(M$71:M77)-SUM(N$71:N77)</f>
        <v>-29.9900000000052</v>
      </c>
      <c r="P77" t="s">
        <v>32</v>
      </c>
      <c r="Q77" t="s">
        <v>33</v>
      </c>
    </row>
    <row r="78" ht="14.25" spans="1:15">
      <c r="A78" t="s">
        <v>18</v>
      </c>
      <c r="B78" s="148" t="s">
        <v>166</v>
      </c>
      <c r="C78" s="149" t="str">
        <f t="shared" si="7"/>
        <v>2021.09月Aica paypal流水(镜柜)：手续费</v>
      </c>
      <c r="D78" s="457"/>
      <c r="E78" s="457"/>
      <c r="F78" s="457"/>
      <c r="G78" s="456" t="str">
        <f>INDEX(P:P,MATCH($A78,$P:$P,0)+1)</f>
        <v>1221.86</v>
      </c>
      <c r="H78" s="456" t="str">
        <f>INDEX(Q:Q,MATCH($A78,$P:$P,0)+1)</f>
        <v>其他应收款 - 事业部</v>
      </c>
      <c r="I78" s="457"/>
      <c r="J78" s="472"/>
      <c r="K78" s="472"/>
      <c r="L78" s="472"/>
      <c r="M78" s="73">
        <f ca="1">-M77</f>
        <v>29.99</v>
      </c>
      <c r="N78" s="150"/>
      <c r="O78" s="31">
        <f ca="1">SUM(M$71:M78)-SUM(N$71:N78)</f>
        <v>0</v>
      </c>
    </row>
    <row r="79" ht="14.25" spans="1:16">
      <c r="A79" t="s">
        <v>18</v>
      </c>
      <c r="B79" s="148" t="s">
        <v>79</v>
      </c>
      <c r="C79" s="149" t="str">
        <f t="shared" si="7"/>
        <v>2021.09月Aica paypal流水(镜柜)：营运费5%：</v>
      </c>
      <c r="D79" s="457"/>
      <c r="E79" s="457"/>
      <c r="F79" s="457"/>
      <c r="G79" s="456" t="str">
        <f>INDEX(P:P,MATCH($A79,$P:$P,0)+4)</f>
        <v>6601.006.002</v>
      </c>
      <c r="H79" s="456" t="str">
        <f>INDEX(Q:Q,MATCH($A79,$P:$P,0)+4)</f>
        <v>销售费用 - 事业部营运费 - 镜柜事业部-营运费</v>
      </c>
      <c r="I79" s="457"/>
      <c r="J79" s="472"/>
      <c r="K79" s="472"/>
      <c r="L79" s="472"/>
      <c r="M79" s="71">
        <f ca="1">ROUND(SUM(OFFSET($A$1,MATCH($A79,$C$1:$C$11,0)-1,MATCH($B79,$1:$1,0)-1)),2)</f>
        <v>-44.37</v>
      </c>
      <c r="N79" s="151"/>
      <c r="O79" s="31">
        <f ca="1">SUM(M$71:M79)-SUM(N$71:N79)</f>
        <v>-44.3699999999953</v>
      </c>
      <c r="P79" t="s">
        <v>83</v>
      </c>
    </row>
    <row r="80" ht="15" spans="1:17">
      <c r="A80" t="s">
        <v>18</v>
      </c>
      <c r="B80" s="458" t="s">
        <v>79</v>
      </c>
      <c r="C80" s="162" t="str">
        <f t="shared" si="7"/>
        <v>2021.09月Aica paypal流水(镜柜)：营运费5%：</v>
      </c>
      <c r="D80" s="459"/>
      <c r="E80" s="459"/>
      <c r="F80" s="459"/>
      <c r="G80" s="433" t="str">
        <f>INDEX(P:P,MATCH($A80,$P:$P,0)+1)</f>
        <v>1221.86</v>
      </c>
      <c r="H80" s="433" t="str">
        <f>INDEX(Q:Q,MATCH($A80,$P:$P,0)+1)</f>
        <v>其他应收款 - 事业部</v>
      </c>
      <c r="I80" s="459"/>
      <c r="J80" s="294"/>
      <c r="K80" s="294"/>
      <c r="L80" s="294"/>
      <c r="M80" s="404">
        <f ca="1">-M79</f>
        <v>44.37</v>
      </c>
      <c r="N80" s="445"/>
      <c r="O80" s="31">
        <f ca="1">SUM(M$71:M80)-SUM(N$71:N80)</f>
        <v>0</v>
      </c>
      <c r="P80" t="s">
        <v>121</v>
      </c>
      <c r="Q80" t="s">
        <v>122</v>
      </c>
    </row>
    <row r="81" ht="14.25" spans="1:17">
      <c r="A81" t="s">
        <v>20</v>
      </c>
      <c r="B81" s="144" t="s">
        <v>15</v>
      </c>
      <c r="C81" s="145" t="str">
        <f t="shared" si="7"/>
        <v>2021.09月Aica paypal流水(五金)：order</v>
      </c>
      <c r="D81" s="291"/>
      <c r="E81" s="291"/>
      <c r="F81" s="291"/>
      <c r="G81" s="431" t="str">
        <f>INDEX(P:P,MATCH("order",$P:$P,0)+2)</f>
        <v>2203.07.006</v>
      </c>
      <c r="H81" s="431" t="str">
        <f>INDEX(Q:Q,MATCH("order",$P:$P,0)+2)</f>
        <v>预收账款 - 预收销售平台款 - 预收 Aica paypal流水</v>
      </c>
      <c r="I81" s="469"/>
      <c r="J81" s="291"/>
      <c r="K81" s="291"/>
      <c r="L81" s="291"/>
      <c r="M81" s="172">
        <f ca="1">ROUND(SUM(OFFSET($A$1,MATCH($A81,$C$1:$C$11,0)-1,MATCH($B81,$1:$1,0)-1,,6))+OFFSET($A$1,MATCH($A81,$C$1:$C$11,0)-1,MATCH($B81,$1:$1,0)-1-8),2)</f>
        <v>50664.85</v>
      </c>
      <c r="N81" s="204"/>
      <c r="O81" s="31">
        <f ca="1">SUM(M$71:M81)-SUM(N$71:N81)</f>
        <v>50664.85</v>
      </c>
      <c r="P81" t="s">
        <v>123</v>
      </c>
      <c r="Q81" t="s">
        <v>220</v>
      </c>
    </row>
    <row r="82" ht="14.25" spans="1:17">
      <c r="A82" t="s">
        <v>20</v>
      </c>
      <c r="B82" s="148" t="s">
        <v>7</v>
      </c>
      <c r="C82" s="149" t="str">
        <f t="shared" si="7"/>
        <v>2021.09月Aica paypal流水(五金)：不含税</v>
      </c>
      <c r="D82" s="457"/>
      <c r="E82" s="457"/>
      <c r="F82" s="457"/>
      <c r="G82" s="456" t="str">
        <f>INDEX(P:P,MATCH($A82,$P:$P,0)+1)</f>
        <v>1221.60</v>
      </c>
      <c r="H82" s="456" t="str">
        <f>INDEX(Q:Q,MATCH($A82,$P:$P,0)+1)</f>
        <v>其他应收款 - 拓展部五金部</v>
      </c>
      <c r="I82" s="470"/>
      <c r="J82" s="471"/>
      <c r="K82" s="471"/>
      <c r="L82" s="471"/>
      <c r="M82" s="456"/>
      <c r="N82" s="150">
        <f ca="1">ROUND(SUM(OFFSET($A$1,MATCH($A82,$C$1:$C$11,0)-1,MATCH($B82,$1:$1,0)-1)),2)</f>
        <v>41158.83</v>
      </c>
      <c r="O82" s="31">
        <f ca="1">SUM(M$71:M82)-SUM(N$71:N82)</f>
        <v>9506.02</v>
      </c>
      <c r="P82" t="s">
        <v>221</v>
      </c>
      <c r="Q82" t="s">
        <v>222</v>
      </c>
    </row>
    <row r="83" ht="14.25" spans="1:17">
      <c r="A83" t="s">
        <v>20</v>
      </c>
      <c r="B83" s="148" t="s">
        <v>31</v>
      </c>
      <c r="C83" s="149" t="str">
        <f t="shared" si="7"/>
        <v>2021.09月Aica paypal流水(五金)：税金</v>
      </c>
      <c r="D83" s="457"/>
      <c r="E83" s="457"/>
      <c r="F83" s="457"/>
      <c r="G83" s="456" t="str">
        <f>INDEX(P:P,MATCH("order",$P:$P,0)+3)</f>
        <v>2221</v>
      </c>
      <c r="H83" s="456" t="str">
        <f>INDEX(Q:Q,MATCH("order",$P:$P,0)+3)</f>
        <v>应交税费</v>
      </c>
      <c r="I83" s="457"/>
      <c r="J83" s="472"/>
      <c r="K83" s="472"/>
      <c r="L83" s="472"/>
      <c r="M83" s="456"/>
      <c r="N83" s="151">
        <f ca="1">ROUND(N82*0.2,2)</f>
        <v>8231.77</v>
      </c>
      <c r="O83" s="31">
        <f ca="1">SUM(M$71:M83)-SUM(N$71:N83)</f>
        <v>1274.25</v>
      </c>
      <c r="P83" t="s">
        <v>125</v>
      </c>
      <c r="Q83" t="s">
        <v>223</v>
      </c>
    </row>
    <row r="84" ht="14.25" spans="1:15">
      <c r="A84" t="s">
        <v>20</v>
      </c>
      <c r="B84" s="148" t="s">
        <v>3</v>
      </c>
      <c r="C84" s="149" t="str">
        <f t="shared" si="7"/>
        <v>2021.09月Aica paypal流水(五金)：refund</v>
      </c>
      <c r="D84" s="457"/>
      <c r="E84" s="457"/>
      <c r="F84" s="457"/>
      <c r="G84" s="456" t="str">
        <f>INDEX(P:P,MATCH("order",$P:$P,0)+1)</f>
        <v>1122.001.006</v>
      </c>
      <c r="H84" s="456" t="str">
        <f>INDEX(Q:Q,MATCH("order",$P:$P,0)+1)</f>
        <v>应收账款 - 应收销售平台款 - Aica paypal流水</v>
      </c>
      <c r="I84" s="457"/>
      <c r="J84" s="472"/>
      <c r="K84" s="472"/>
      <c r="L84" s="472"/>
      <c r="M84" s="73"/>
      <c r="N84" s="150">
        <f ca="1">ROUND(-SUM(OFFSET($A$1,MATCH($A84,$C$1:$C$11,0)-1,MATCH($B84,$1:$1,0)-1,,4)),2)</f>
        <v>1274.25</v>
      </c>
      <c r="O84" s="31">
        <f ca="1">SUM(M$71:M84)-SUM(N$71:N84)</f>
        <v>0</v>
      </c>
    </row>
    <row r="85" ht="14.25" spans="1:16">
      <c r="A85" t="s">
        <v>20</v>
      </c>
      <c r="B85" s="148" t="s">
        <v>166</v>
      </c>
      <c r="C85" s="149" t="str">
        <f t="shared" si="7"/>
        <v>2021.09月Aica paypal流水(五金)：手续费</v>
      </c>
      <c r="D85" s="457"/>
      <c r="E85" s="457"/>
      <c r="F85" s="457"/>
      <c r="G85" s="456" t="str">
        <f>INDEX(P:P,MATCH($A85,$P:$P,0)+3)</f>
        <v>6603.002.01.02</v>
      </c>
      <c r="H85" s="456" t="str">
        <f>INDEX(Q:Q,MATCH($A85,$P:$P,0)+3)</f>
        <v>财务费用 - 收款平台手续费 - Paypal手续费 - 五金事业部-paypal手续费</v>
      </c>
      <c r="I85" s="457"/>
      <c r="J85" s="472"/>
      <c r="K85" s="472"/>
      <c r="L85" s="472"/>
      <c r="M85" s="71">
        <f ca="1">ROUND(SUM(OFFSET($A$1,MATCH($A85,$C$1:$C$11,0)-1,MATCH($B85,$1:$1,0)-1,,2)),2)</f>
        <v>-973.61</v>
      </c>
      <c r="N85" s="151"/>
      <c r="O85" s="31">
        <f ca="1">SUM(M$71:M85)-SUM(N$71:N85)</f>
        <v>-973.610000000001</v>
      </c>
      <c r="P85" t="s">
        <v>19</v>
      </c>
    </row>
    <row r="86" ht="14.25" spans="1:17">
      <c r="A86" t="s">
        <v>20</v>
      </c>
      <c r="B86" s="148" t="s">
        <v>166</v>
      </c>
      <c r="C86" s="149" t="str">
        <f t="shared" si="7"/>
        <v>2021.09月Aica paypal流水(五金)：手续费</v>
      </c>
      <c r="D86" s="457"/>
      <c r="E86" s="457"/>
      <c r="F86" s="457"/>
      <c r="G86" s="456" t="str">
        <f>INDEX(P:P,MATCH($A86,$P:$P,0)+1)</f>
        <v>1221.60</v>
      </c>
      <c r="H86" s="456" t="str">
        <f>INDEX(Q:Q,MATCH($A86,$P:$P,0)+1)</f>
        <v>其他应收款 - 拓展部五金部</v>
      </c>
      <c r="I86" s="457"/>
      <c r="J86" s="472"/>
      <c r="K86" s="472"/>
      <c r="L86" s="472"/>
      <c r="M86" s="73">
        <f ca="1">-M85</f>
        <v>973.61</v>
      </c>
      <c r="N86" s="150"/>
      <c r="O86" s="31">
        <f ca="1">SUM(M$71:M86)-SUM(N$71:N86)</f>
        <v>0</v>
      </c>
      <c r="P86" t="s">
        <v>71</v>
      </c>
      <c r="Q86" t="s">
        <v>72</v>
      </c>
    </row>
    <row r="87" ht="14.25" spans="1:17">
      <c r="A87" t="s">
        <v>20</v>
      </c>
      <c r="B87" s="148" t="s">
        <v>79</v>
      </c>
      <c r="C87" s="149" t="str">
        <f t="shared" si="7"/>
        <v>2021.09月Aica paypal流水(五金)：营运费5%：</v>
      </c>
      <c r="D87" s="457"/>
      <c r="E87" s="457"/>
      <c r="F87" s="457"/>
      <c r="G87" s="456" t="str">
        <f>INDEX(P:P,MATCH($A87,$P:$P,0)+4)</f>
        <v>6601.006.001</v>
      </c>
      <c r="H87" s="456" t="str">
        <f>INDEX(Q:Q,MATCH($A87,$P:$P,0)+4)</f>
        <v>销售费用 - 事业部营运费 - 五金事业部-营运费</v>
      </c>
      <c r="I87" s="457"/>
      <c r="J87" s="472"/>
      <c r="K87" s="472"/>
      <c r="L87" s="472"/>
      <c r="M87" s="71">
        <f ca="1">ROUND(SUM(OFFSET($A$1,MATCH($A87,$C$1:$C$11,0)-1,MATCH($B87,$1:$1,0)-1)),2)</f>
        <v>-2057.94</v>
      </c>
      <c r="N87" s="151"/>
      <c r="O87" s="31">
        <f ca="1">SUM(M$71:M87)-SUM(N$71:N87)</f>
        <v>-2057.94</v>
      </c>
      <c r="P87" t="s">
        <v>73</v>
      </c>
      <c r="Q87" t="s">
        <v>74</v>
      </c>
    </row>
    <row r="88" ht="15" spans="1:17">
      <c r="A88" t="s">
        <v>20</v>
      </c>
      <c r="B88" s="458" t="s">
        <v>79</v>
      </c>
      <c r="C88" s="162" t="str">
        <f t="shared" si="7"/>
        <v>2021.09月Aica paypal流水(五金)：营运费5%：</v>
      </c>
      <c r="D88" s="459"/>
      <c r="E88" s="459"/>
      <c r="F88" s="459"/>
      <c r="G88" s="433" t="str">
        <f>INDEX(P:P,MATCH($A88,$P:$P,0)+1)</f>
        <v>1221.60</v>
      </c>
      <c r="H88" s="433" t="str">
        <f>INDEX(Q:Q,MATCH($A88,$P:$P,0)+1)</f>
        <v>其他应收款 - 拓展部五金部</v>
      </c>
      <c r="I88" s="459"/>
      <c r="J88" s="294"/>
      <c r="K88" s="294"/>
      <c r="L88" s="294"/>
      <c r="M88" s="404">
        <f ca="1">-M87</f>
        <v>2057.94</v>
      </c>
      <c r="N88" s="445"/>
      <c r="O88" s="31">
        <f ca="1">SUM(M$71:M88)-SUM(N$71:N88)</f>
        <v>0</v>
      </c>
      <c r="P88" t="s">
        <v>217</v>
      </c>
      <c r="Q88" t="s">
        <v>218</v>
      </c>
    </row>
    <row r="89" ht="14.25" spans="1:17">
      <c r="A89" t="s">
        <v>19</v>
      </c>
      <c r="B89" s="144" t="s">
        <v>15</v>
      </c>
      <c r="C89" s="145" t="str">
        <f t="shared" si="7"/>
        <v>2021.09月Aica paypal流水(水龙头)：order</v>
      </c>
      <c r="D89" s="291"/>
      <c r="E89" s="291"/>
      <c r="F89" s="291"/>
      <c r="G89" s="431" t="str">
        <f>INDEX(P:P,MATCH("order",$P:$P,0)+2)</f>
        <v>2203.07.006</v>
      </c>
      <c r="H89" s="431" t="str">
        <f>INDEX(Q:Q,MATCH("order",$P:$P,0)+2)</f>
        <v>预收账款 - 预收销售平台款 - 预收 Aica paypal流水</v>
      </c>
      <c r="I89" s="469"/>
      <c r="J89" s="291"/>
      <c r="K89" s="291"/>
      <c r="L89" s="291"/>
      <c r="M89" s="172">
        <f ca="1">ROUND(SUM(OFFSET($A$1,MATCH($A89,$C$1:$C$11,0)-1,MATCH($B89,$1:$1,0)-1,,6))+OFFSET($A$1,MATCH($A89,$C$1:$C$11,0)-1,MATCH($B89,$1:$1,0)-1-8),2)</f>
        <v>321.75</v>
      </c>
      <c r="N89" s="204"/>
      <c r="O89" s="31">
        <f ca="1">SUM(M$71:M89)-SUM(N$71:N89)</f>
        <v>321.75</v>
      </c>
      <c r="P89" t="s">
        <v>75</v>
      </c>
      <c r="Q89" t="s">
        <v>76</v>
      </c>
    </row>
    <row r="90" ht="14.25" spans="1:15">
      <c r="A90" t="s">
        <v>19</v>
      </c>
      <c r="B90" s="148" t="s">
        <v>7</v>
      </c>
      <c r="C90" s="149" t="str">
        <f t="shared" si="7"/>
        <v>2021.09月Aica paypal流水(水龙头)：不含税</v>
      </c>
      <c r="D90" s="457"/>
      <c r="E90" s="457"/>
      <c r="F90" s="457"/>
      <c r="G90" s="456" t="str">
        <f>INDEX(P:P,MATCH($A90,$P:$P,0)+1)</f>
        <v>1221.100</v>
      </c>
      <c r="H90" s="456" t="str">
        <f>INDEX(Q:Q,MATCH($A90,$P:$P,0)+1)</f>
        <v>其他应收款 - 拓展部-水龙头</v>
      </c>
      <c r="I90" s="470"/>
      <c r="J90" s="471"/>
      <c r="K90" s="471"/>
      <c r="L90" s="471"/>
      <c r="M90" s="456"/>
      <c r="N90" s="150">
        <f ca="1">ROUND(SUM(OFFSET($A$1,MATCH($A90,$C$1:$C$11,0)-1,MATCH($B90,$1:$1,0)-1)),2)</f>
        <v>268.13</v>
      </c>
      <c r="O90" s="31">
        <f ca="1">SUM(M$71:M90)-SUM(N$71:N90)</f>
        <v>53.6199999999953</v>
      </c>
    </row>
    <row r="91" ht="14.25" spans="1:16">
      <c r="A91" t="s">
        <v>19</v>
      </c>
      <c r="B91" s="148" t="s">
        <v>31</v>
      </c>
      <c r="C91" s="149" t="str">
        <f t="shared" si="7"/>
        <v>2021.09月Aica paypal流水(水龙头)：税金</v>
      </c>
      <c r="D91" s="457"/>
      <c r="E91" s="457"/>
      <c r="F91" s="457"/>
      <c r="G91" s="456" t="str">
        <f>INDEX(P:P,MATCH("order",$P:$P,0)+3)</f>
        <v>2221</v>
      </c>
      <c r="H91" s="456" t="str">
        <f>INDEX(Q:Q,MATCH("order",$P:$P,0)+3)</f>
        <v>应交税费</v>
      </c>
      <c r="I91" s="457"/>
      <c r="J91" s="472"/>
      <c r="K91" s="472"/>
      <c r="L91" s="472"/>
      <c r="M91" s="456"/>
      <c r="N91" s="151">
        <f ca="1">ROUND(N90*0.2,2)-0.01</f>
        <v>53.62</v>
      </c>
      <c r="O91" s="31">
        <f ca="1">SUM(M$71:M91)-SUM(N$71:N91)</f>
        <v>0</v>
      </c>
      <c r="P91" t="s">
        <v>20</v>
      </c>
    </row>
    <row r="92" ht="14.25" hidden="1" spans="1:17">
      <c r="A92" t="s">
        <v>19</v>
      </c>
      <c r="B92" s="148" t="s">
        <v>3</v>
      </c>
      <c r="C92" s="149" t="str">
        <f t="shared" si="7"/>
        <v>2021.09月Aica paypal流水(水龙头)：refund</v>
      </c>
      <c r="D92" s="457"/>
      <c r="E92" s="457"/>
      <c r="F92" s="457"/>
      <c r="G92" s="456" t="str">
        <f>INDEX(P:P,MATCH("order",$P:$P,0)+1)</f>
        <v>1122.001.006</v>
      </c>
      <c r="H92" s="456" t="str">
        <f>INDEX(Q:Q,MATCH("order",$P:$P,0)+1)</f>
        <v>应收账款 - 应收销售平台款 - Aica paypal流水</v>
      </c>
      <c r="I92" s="457"/>
      <c r="J92" s="472"/>
      <c r="K92" s="472"/>
      <c r="L92" s="472"/>
      <c r="M92" s="73"/>
      <c r="N92" s="150">
        <f ca="1">ROUND(-SUM(OFFSET($A$1,MATCH($A92,$C$1:$C$11,0)-1,MATCH($B92,$1:$1,0)-1,,4)),2)</f>
        <v>0</v>
      </c>
      <c r="O92" s="31">
        <f ca="1">SUM(M$71:M92)-SUM(N$71:N92)</f>
        <v>0</v>
      </c>
      <c r="P92" t="s">
        <v>65</v>
      </c>
      <c r="Q92" t="s">
        <v>66</v>
      </c>
    </row>
    <row r="93" ht="14.25" spans="1:17">
      <c r="A93" t="s">
        <v>19</v>
      </c>
      <c r="B93" s="148" t="s">
        <v>166</v>
      </c>
      <c r="C93" s="149" t="str">
        <f t="shared" si="7"/>
        <v>2021.09月Aica paypal流水(水龙头)：手续费</v>
      </c>
      <c r="D93" s="457"/>
      <c r="E93" s="457"/>
      <c r="F93" s="457"/>
      <c r="G93" s="456" t="str">
        <f>INDEX(P:P,MATCH($A93,$P:$P,0)+3)</f>
        <v>6603.002.01.04</v>
      </c>
      <c r="H93" s="456" t="str">
        <f>INDEX(Q:Q,MATCH($A93,$P:$P,0)+3)</f>
        <v>财务费用 - 收款平台手续费 - Paypal手续费 - 水龙头事业部-paypal手续费</v>
      </c>
      <c r="I93" s="457"/>
      <c r="J93" s="472"/>
      <c r="K93" s="472"/>
      <c r="L93" s="472"/>
      <c r="M93" s="71">
        <f ca="1">ROUND(SUM(OFFSET($A$1,MATCH($A93,$C$1:$C$11,0)-1,MATCH($B93,$1:$1,0)-1,,2)),2)</f>
        <v>-6.67</v>
      </c>
      <c r="N93" s="151"/>
      <c r="O93" s="31">
        <f ca="1">SUM(M$71:M93)-SUM(N$71:N93)</f>
        <v>-6.66999999999825</v>
      </c>
      <c r="P93" t="s">
        <v>67</v>
      </c>
      <c r="Q93" t="s">
        <v>68</v>
      </c>
    </row>
    <row r="94" ht="14.25" spans="1:17">
      <c r="A94" t="s">
        <v>19</v>
      </c>
      <c r="B94" s="148" t="s">
        <v>166</v>
      </c>
      <c r="C94" s="149" t="str">
        <f t="shared" si="7"/>
        <v>2021.09月Aica paypal流水(水龙头)：手续费</v>
      </c>
      <c r="D94" s="457"/>
      <c r="E94" s="457"/>
      <c r="F94" s="457"/>
      <c r="G94" s="456" t="str">
        <f>INDEX(P:P,MATCH($A94,$P:$P,0)+1)</f>
        <v>1221.100</v>
      </c>
      <c r="H94" s="456" t="str">
        <f>INDEX(Q:Q,MATCH($A94,$P:$P,0)+1)</f>
        <v>其他应收款 - 拓展部-水龙头</v>
      </c>
      <c r="I94" s="457"/>
      <c r="J94" s="472"/>
      <c r="K94" s="472"/>
      <c r="L94" s="472"/>
      <c r="M94" s="73">
        <f ca="1">-M93</f>
        <v>6.67</v>
      </c>
      <c r="N94" s="150"/>
      <c r="O94" s="31">
        <f ca="1">SUM(M$71:M94)-SUM(N$71:N94)</f>
        <v>0</v>
      </c>
      <c r="P94" t="s">
        <v>215</v>
      </c>
      <c r="Q94" t="s">
        <v>216</v>
      </c>
    </row>
    <row r="95" ht="14.25" spans="1:17">
      <c r="A95" t="s">
        <v>19</v>
      </c>
      <c r="B95" s="148" t="s">
        <v>79</v>
      </c>
      <c r="C95" s="149" t="str">
        <f t="shared" si="7"/>
        <v>2021.09月Aica paypal流水(水龙头)：营运费5%：</v>
      </c>
      <c r="D95" s="457"/>
      <c r="E95" s="457"/>
      <c r="F95" s="457"/>
      <c r="G95" s="456" t="str">
        <f>INDEX(P:P,MATCH($A95,$P:$P,0)+4)</f>
        <v>6601.006.003</v>
      </c>
      <c r="H95" s="456" t="str">
        <f>INDEX(Q:Q,MATCH($A95,$P:$P,0)+4)</f>
        <v>销售费用 - 事业部营运费 - 水龙头事业部-营运费</v>
      </c>
      <c r="I95" s="457"/>
      <c r="J95" s="472"/>
      <c r="K95" s="472"/>
      <c r="L95" s="472"/>
      <c r="M95" s="71">
        <f ca="1">ROUND(SUM(OFFSET($A$1,MATCH($A95,$C$1:$C$11,0)-1,MATCH($B95,$1:$1,0)-1)),2)</f>
        <v>-13.41</v>
      </c>
      <c r="N95" s="151"/>
      <c r="O95" s="31">
        <f ca="1">SUM(M$71:M95)-SUM(N$71:N95)</f>
        <v>-13.4100000000035</v>
      </c>
      <c r="P95" t="s">
        <v>69</v>
      </c>
      <c r="Q95" t="s">
        <v>70</v>
      </c>
    </row>
    <row r="96" ht="15" spans="1:15">
      <c r="A96" t="s">
        <v>19</v>
      </c>
      <c r="B96" s="458" t="s">
        <v>79</v>
      </c>
      <c r="C96" s="162" t="str">
        <f t="shared" si="7"/>
        <v>2021.09月Aica paypal流水(水龙头)：营运费5%：</v>
      </c>
      <c r="D96" s="459"/>
      <c r="E96" s="459"/>
      <c r="F96" s="459"/>
      <c r="G96" s="433" t="str">
        <f>INDEX(P:P,MATCH($A96,$P:$P,0)+1)</f>
        <v>1221.100</v>
      </c>
      <c r="H96" s="433" t="str">
        <f>INDEX(Q:Q,MATCH($A96,$P:$P,0)+1)</f>
        <v>其他应收款 - 拓展部-水龙头</v>
      </c>
      <c r="I96" s="459"/>
      <c r="J96" s="294"/>
      <c r="K96" s="294"/>
      <c r="L96" s="294"/>
      <c r="M96" s="404">
        <f ca="1">-M95</f>
        <v>13.41</v>
      </c>
      <c r="N96" s="445"/>
      <c r="O96" s="31">
        <f ca="1">SUM(M$71:M96)-SUM(N$71:N96)</f>
        <v>0</v>
      </c>
    </row>
    <row r="97" ht="14.25" spans="1:16">
      <c r="A97" t="s">
        <v>83</v>
      </c>
      <c r="B97" s="144" t="s">
        <v>15</v>
      </c>
      <c r="C97" s="145" t="str">
        <f t="shared" si="7"/>
        <v>2021.09月Aica paypal流水(陶瓷)：order</v>
      </c>
      <c r="D97" s="291"/>
      <c r="E97" s="291"/>
      <c r="F97" s="291"/>
      <c r="G97" s="431" t="str">
        <f>INDEX(P:P,MATCH("order",$P:$P,0)+2)</f>
        <v>2203.07.006</v>
      </c>
      <c r="H97" s="431" t="str">
        <f>INDEX(Q:Q,MATCH("order",$P:$P,0)+2)</f>
        <v>预收账款 - 预收销售平台款 - 预收 Aica paypal流水</v>
      </c>
      <c r="I97" s="469"/>
      <c r="J97" s="291"/>
      <c r="K97" s="291"/>
      <c r="L97" s="291"/>
      <c r="M97" s="172">
        <f ca="1">ROUND(SUM(OFFSET($A$1,MATCH($A97,$C$1:$C$11,0)-1,MATCH($B97,$1:$1,0)-1,,6))+OFFSET($A$1,MATCH($A97,$C$1:$C$11,0)-1,MATCH($B97,$1:$1,0)-1-8),2)</f>
        <v>464.98</v>
      </c>
      <c r="N97" s="204"/>
      <c r="O97" s="31">
        <f ca="1">SUM(M$71:M97)-SUM(N$71:N97)</f>
        <v>464.979999999996</v>
      </c>
      <c r="P97" t="s">
        <v>18</v>
      </c>
    </row>
    <row r="98" ht="14.25" spans="1:17">
      <c r="A98" t="s">
        <v>83</v>
      </c>
      <c r="B98" s="148" t="s">
        <v>7</v>
      </c>
      <c r="C98" s="149" t="str">
        <f t="shared" si="7"/>
        <v>2021.09月Aica paypal流水(陶瓷)：不含税</v>
      </c>
      <c r="D98" s="457"/>
      <c r="E98" s="457"/>
      <c r="F98" s="457"/>
      <c r="G98" s="456" t="str">
        <f>INDEX(P:P,MATCH($A98,$P:$P,0)+1)</f>
        <v>1221.103</v>
      </c>
      <c r="H98" s="456" t="str">
        <f>INDEX(Q:Q,MATCH($A98,$P:$P,0)+1)</f>
        <v>拓展部-陶瓷部</v>
      </c>
      <c r="I98" s="470"/>
      <c r="J98" s="471"/>
      <c r="K98" s="471"/>
      <c r="L98" s="471"/>
      <c r="M98" s="456"/>
      <c r="N98" s="150">
        <f ca="1">ROUND(SUM(OFFSET($A$1,MATCH($A98,$C$1:$C$11,0)-1,MATCH($B98,$1:$1,0)-1)),2)</f>
        <v>387.48</v>
      </c>
      <c r="O98" s="31">
        <f ca="1">SUM(M$71:M98)-SUM(N$71:N98)</f>
        <v>77.5</v>
      </c>
      <c r="P98" t="s">
        <v>59</v>
      </c>
      <c r="Q98" t="s">
        <v>60</v>
      </c>
    </row>
    <row r="99" ht="14.25" spans="1:17">
      <c r="A99" t="s">
        <v>83</v>
      </c>
      <c r="B99" s="148" t="s">
        <v>31</v>
      </c>
      <c r="C99" s="149" t="str">
        <f t="shared" si="7"/>
        <v>2021.09月Aica paypal流水(陶瓷)：税金</v>
      </c>
      <c r="D99" s="457"/>
      <c r="E99" s="457"/>
      <c r="F99" s="457"/>
      <c r="G99" s="456" t="str">
        <f>INDEX(P:P,MATCH("order",$P:$P,0)+3)</f>
        <v>2221</v>
      </c>
      <c r="H99" s="456" t="str">
        <f>INDEX(Q:Q,MATCH("order",$P:$P,0)+3)</f>
        <v>应交税费</v>
      </c>
      <c r="I99" s="457"/>
      <c r="J99" s="472"/>
      <c r="K99" s="472"/>
      <c r="L99" s="472"/>
      <c r="M99" s="456"/>
      <c r="N99" s="151">
        <f ca="1">ROUND(N98*0.2,2)</f>
        <v>77.5</v>
      </c>
      <c r="O99" s="31">
        <f ca="1">SUM(M$71:M99)-SUM(N$71:N99)</f>
        <v>0</v>
      </c>
      <c r="P99" t="s">
        <v>61</v>
      </c>
      <c r="Q99" t="s">
        <v>62</v>
      </c>
    </row>
    <row r="100" ht="14.25" hidden="1" spans="1:17">
      <c r="A100" t="s">
        <v>83</v>
      </c>
      <c r="B100" s="148" t="s">
        <v>3</v>
      </c>
      <c r="C100" s="149" t="str">
        <f t="shared" si="7"/>
        <v>2021.09月Aica paypal流水(陶瓷)：refund</v>
      </c>
      <c r="D100" s="457"/>
      <c r="E100" s="457"/>
      <c r="F100" s="457"/>
      <c r="G100" s="456" t="str">
        <f>INDEX(P:P,MATCH("order",$P:$P,0)+1)</f>
        <v>1122.001.006</v>
      </c>
      <c r="H100" s="456" t="str">
        <f>INDEX(Q:Q,MATCH("order",$P:$P,0)+1)</f>
        <v>应收账款 - 应收销售平台款 - Aica paypal流水</v>
      </c>
      <c r="I100" s="457"/>
      <c r="J100" s="472"/>
      <c r="K100" s="472"/>
      <c r="L100" s="472"/>
      <c r="M100" s="73"/>
      <c r="N100" s="150">
        <f ca="1">ROUND(-SUM(OFFSET($A$1,MATCH($A100,$C$1:$C$11,0)-1,MATCH($B100,$1:$1,0)-1,,4)),2)</f>
        <v>0</v>
      </c>
      <c r="O100" s="31">
        <f ca="1">SUM(M$71:M100)-SUM(N$71:N100)</f>
        <v>0</v>
      </c>
      <c r="P100" t="s">
        <v>213</v>
      </c>
      <c r="Q100" t="s">
        <v>214</v>
      </c>
    </row>
    <row r="101" ht="14.25" spans="1:17">
      <c r="A101" t="s">
        <v>83</v>
      </c>
      <c r="B101" s="148" t="s">
        <v>166</v>
      </c>
      <c r="C101" s="149" t="str">
        <f t="shared" si="7"/>
        <v>2021.09月Aica paypal流水(陶瓷)：手续费</v>
      </c>
      <c r="D101" s="457"/>
      <c r="E101" s="457"/>
      <c r="F101" s="457"/>
      <c r="G101" s="456" t="str">
        <f>INDEX(P:P,MATCH($A101,$P:$P,0)+3)</f>
        <v>6603.002.01.05</v>
      </c>
      <c r="H101" s="456" t="str">
        <f>INDEX(Q:Q,MATCH($A101,$P:$P,0)+3)</f>
        <v>财务费用 - 收款平台手续费 - Paypal手续费 - 陶瓷事业部-paypal手续费</v>
      </c>
      <c r="I101" s="457"/>
      <c r="J101" s="472"/>
      <c r="K101" s="472"/>
      <c r="L101" s="472"/>
      <c r="M101" s="71">
        <f ca="1">ROUND(SUM(OFFSET($A$1,MATCH($A101,$C$1:$C$11,0)-1,MATCH($B101,$1:$1,0)-1,,2)),2)</f>
        <v>-9.5</v>
      </c>
      <c r="N101" s="151"/>
      <c r="O101" s="31">
        <f ca="1">SUM(M$71:M101)-SUM(N$71:N101)</f>
        <v>-9.5</v>
      </c>
      <c r="P101" t="s">
        <v>63</v>
      </c>
      <c r="Q101" t="s">
        <v>64</v>
      </c>
    </row>
    <row r="102" ht="14.25" spans="1:15">
      <c r="A102" t="s">
        <v>83</v>
      </c>
      <c r="B102" s="148" t="s">
        <v>166</v>
      </c>
      <c r="C102" s="149" t="str">
        <f t="shared" si="7"/>
        <v>2021.09月Aica paypal流水(陶瓷)：手续费</v>
      </c>
      <c r="D102" s="457"/>
      <c r="E102" s="457"/>
      <c r="F102" s="457"/>
      <c r="G102" s="456" t="str">
        <f>INDEX(P:P,MATCH($A102,$P:$P,0)+1)</f>
        <v>1221.103</v>
      </c>
      <c r="H102" s="456" t="str">
        <f>INDEX(Q:Q,MATCH($A102,$P:$P,0)+1)</f>
        <v>拓展部-陶瓷部</v>
      </c>
      <c r="I102" s="457"/>
      <c r="J102" s="472"/>
      <c r="K102" s="472"/>
      <c r="L102" s="472"/>
      <c r="M102" s="73">
        <f ca="1">-M101</f>
        <v>9.5</v>
      </c>
      <c r="N102" s="150"/>
      <c r="O102" s="31">
        <f ca="1">SUM(M$71:M102)-SUM(N$71:N102)</f>
        <v>0</v>
      </c>
    </row>
    <row r="103" ht="14.25" spans="1:15">
      <c r="A103" t="s">
        <v>83</v>
      </c>
      <c r="B103" s="148" t="s">
        <v>79</v>
      </c>
      <c r="C103" s="149" t="str">
        <f t="shared" si="7"/>
        <v>2021.09月Aica paypal流水(陶瓷)：营运费5%：</v>
      </c>
      <c r="D103" s="457"/>
      <c r="E103" s="457"/>
      <c r="F103" s="457"/>
      <c r="G103" s="456" t="str">
        <f>INDEX(P:P,MATCH($A103,$P:$P,0)+4)</f>
        <v>6601.006.004</v>
      </c>
      <c r="H103" s="456" t="str">
        <f>INDEX(Q:Q,MATCH($A103,$P:$P,0)+4)</f>
        <v>销售费用 - 事业部营运费 - 陶瓷事业部-营运费</v>
      </c>
      <c r="I103" s="457"/>
      <c r="J103" s="472"/>
      <c r="K103" s="472"/>
      <c r="L103" s="472"/>
      <c r="M103" s="71">
        <f ca="1">ROUND(SUM(OFFSET($A$1,MATCH($A103,$C$1:$C$11,0)-1,MATCH($B103,$1:$1,0)-1)),2)</f>
        <v>-19.37</v>
      </c>
      <c r="N103" s="151"/>
      <c r="O103" s="31">
        <f ca="1">SUM(M$71:M103)-SUM(N$71:N103)</f>
        <v>-19.3699999999953</v>
      </c>
    </row>
    <row r="104" ht="15" spans="1:16">
      <c r="A104" t="s">
        <v>83</v>
      </c>
      <c r="B104" s="458" t="s">
        <v>79</v>
      </c>
      <c r="C104" s="162" t="str">
        <f t="shared" si="7"/>
        <v>2021.09月Aica paypal流水(陶瓷)：营运费5%：</v>
      </c>
      <c r="D104" s="459"/>
      <c r="E104" s="459"/>
      <c r="F104" s="459"/>
      <c r="G104" s="433" t="str">
        <f>INDEX(P:P,MATCH($A104,$P:$P,0)+1)</f>
        <v>1221.103</v>
      </c>
      <c r="H104" s="433" t="str">
        <f>INDEX(Q:Q,MATCH($A104,$P:$P,0)+1)</f>
        <v>拓展部-陶瓷部</v>
      </c>
      <c r="I104" s="459"/>
      <c r="J104" s="294"/>
      <c r="K104" s="294"/>
      <c r="L104" s="294"/>
      <c r="M104" s="404">
        <f ca="1">-M103</f>
        <v>19.37</v>
      </c>
      <c r="N104" s="445"/>
      <c r="O104" s="31">
        <f ca="1">SUM(M$71:M104)-SUM(N$71:N104)</f>
        <v>0</v>
      </c>
      <c r="P104" t="s">
        <v>84</v>
      </c>
    </row>
    <row r="105" ht="14.25" spans="1:17">
      <c r="A105" t="s">
        <v>84</v>
      </c>
      <c r="B105" s="144" t="s">
        <v>15</v>
      </c>
      <c r="C105" s="145" t="str">
        <f t="shared" si="7"/>
        <v>2021.09月Aica paypal流水(防火板)：order</v>
      </c>
      <c r="D105" s="291"/>
      <c r="E105" s="291"/>
      <c r="F105" s="291"/>
      <c r="G105" s="431" t="str">
        <f>INDEX(P:P,MATCH("order",$P:$P,0)+2)</f>
        <v>2203.07.006</v>
      </c>
      <c r="H105" s="431" t="str">
        <f>INDEX(Q:Q,MATCH("order",$P:$P,0)+2)</f>
        <v>预收账款 - 预收销售平台款 - 预收 Aica paypal流水</v>
      </c>
      <c r="I105" s="469"/>
      <c r="J105" s="291"/>
      <c r="K105" s="291"/>
      <c r="L105" s="291"/>
      <c r="M105" s="172">
        <f ca="1">ROUND(SUM(OFFSET($A$1,MATCH($A105,$C$1:$C$11,0)-1,MATCH($B105,$1:$1,0)-1,,6))+OFFSET($A$1,MATCH($A105,$C$1:$C$11,0)-1,MATCH($B105,$1:$1,0)-1-8),2)</f>
        <v>0</v>
      </c>
      <c r="N105" s="204"/>
      <c r="O105" s="31">
        <f ca="1">SUM(M$71:M105)-SUM(N$71:N105)</f>
        <v>0</v>
      </c>
      <c r="P105" t="s">
        <v>129</v>
      </c>
      <c r="Q105" t="s">
        <v>130</v>
      </c>
    </row>
    <row r="106" ht="14.25" spans="1:17">
      <c r="A106" t="s">
        <v>84</v>
      </c>
      <c r="B106" s="148" t="s">
        <v>7</v>
      </c>
      <c r="C106" s="149" t="str">
        <f t="shared" si="7"/>
        <v>2021.09月Aica paypal流水(防火板)：不含税</v>
      </c>
      <c r="D106" s="457"/>
      <c r="E106" s="457"/>
      <c r="F106" s="457"/>
      <c r="G106" s="456" t="str">
        <f>INDEX(P:P,MATCH($A106,$P:$P,0)+1)</f>
        <v>1221.107</v>
      </c>
      <c r="H106" s="456" t="str">
        <f>INDEX(Q:Q,MATCH($A106,$P:$P,0)+1)</f>
        <v>拓展部-防火底板</v>
      </c>
      <c r="I106" s="470"/>
      <c r="J106" s="471"/>
      <c r="K106" s="471"/>
      <c r="L106" s="471"/>
      <c r="M106" s="456"/>
      <c r="N106" s="150">
        <f ca="1">ROUND(SUM(OFFSET($A$1,MATCH($A106,$C$1:$C$11,0)-1,MATCH($B106,$1:$1,0)-1)),2)</f>
        <v>0</v>
      </c>
      <c r="O106" s="31">
        <f ca="1">SUM(M$71:M106)-SUM(N$71:N106)</f>
        <v>0</v>
      </c>
      <c r="P106" t="s">
        <v>131</v>
      </c>
      <c r="Q106" t="s">
        <v>132</v>
      </c>
    </row>
    <row r="107" ht="14.25" spans="1:17">
      <c r="A107" t="s">
        <v>84</v>
      </c>
      <c r="B107" s="148" t="s">
        <v>31</v>
      </c>
      <c r="C107" s="149" t="str">
        <f t="shared" si="7"/>
        <v>2021.09月Aica paypal流水(防火板)：税金</v>
      </c>
      <c r="D107" s="457"/>
      <c r="E107" s="457"/>
      <c r="F107" s="457"/>
      <c r="G107" s="456" t="str">
        <f>INDEX(P:P,MATCH("order",$P:$P,0)+3)</f>
        <v>2221</v>
      </c>
      <c r="H107" s="456" t="str">
        <f>INDEX(Q:Q,MATCH("order",$P:$P,0)+3)</f>
        <v>应交税费</v>
      </c>
      <c r="I107" s="457"/>
      <c r="J107" s="472"/>
      <c r="K107" s="472"/>
      <c r="L107" s="472"/>
      <c r="M107" s="456"/>
      <c r="N107" s="151">
        <f ca="1">ROUND(N106*0.2,2)</f>
        <v>0</v>
      </c>
      <c r="O107" s="31">
        <f ca="1">SUM(M$71:M107)-SUM(N$71:N107)</f>
        <v>0</v>
      </c>
      <c r="P107" t="s">
        <v>224</v>
      </c>
      <c r="Q107" t="s">
        <v>225</v>
      </c>
    </row>
    <row r="108" ht="14.25" spans="1:17">
      <c r="A108" t="s">
        <v>84</v>
      </c>
      <c r="B108" s="148" t="s">
        <v>3</v>
      </c>
      <c r="C108" s="149" t="str">
        <f t="shared" si="7"/>
        <v>2021.09月Aica paypal流水(防火板)：refund</v>
      </c>
      <c r="D108" s="457"/>
      <c r="E108" s="457"/>
      <c r="F108" s="457"/>
      <c r="G108" s="456" t="str">
        <f>INDEX(P:P,MATCH("order",$P:$P,0)+1)</f>
        <v>1122.001.006</v>
      </c>
      <c r="H108" s="456" t="str">
        <f>INDEX(Q:Q,MATCH("order",$P:$P,0)+1)</f>
        <v>应收账款 - 应收销售平台款 - Aica paypal流水</v>
      </c>
      <c r="I108" s="457"/>
      <c r="J108" s="472"/>
      <c r="K108" s="472"/>
      <c r="L108" s="472"/>
      <c r="M108" s="73"/>
      <c r="N108" s="150">
        <f ca="1">ROUND(-SUM(OFFSET($A$1,MATCH($A108,$C$1:$C$11,0)-1,MATCH($B108,$1:$1,0)-1,,4)),2)</f>
        <v>0</v>
      </c>
      <c r="O108" s="31">
        <f ca="1">SUM(M$71:M108)-SUM(N$71:N108)</f>
        <v>0</v>
      </c>
      <c r="P108" t="s">
        <v>133</v>
      </c>
      <c r="Q108" t="s">
        <v>134</v>
      </c>
    </row>
    <row r="109" ht="14.25" spans="1:15">
      <c r="A109" t="s">
        <v>84</v>
      </c>
      <c r="B109" s="148" t="s">
        <v>166</v>
      </c>
      <c r="C109" s="149" t="str">
        <f t="shared" si="7"/>
        <v>2021.09月Aica paypal流水(防火板)：手续费</v>
      </c>
      <c r="D109" s="457"/>
      <c r="E109" s="457"/>
      <c r="F109" s="457"/>
      <c r="G109" s="456" t="str">
        <f>INDEX(P:P,MATCH($A109,$P:$P,0)+3)</f>
        <v>6603.002.01.06</v>
      </c>
      <c r="H109" s="456" t="str">
        <f>INDEX(Q:Q,MATCH($A109,$P:$P,0)+3)</f>
        <v>防火底板事业部-paypal手续费</v>
      </c>
      <c r="I109" s="457"/>
      <c r="J109" s="472"/>
      <c r="K109" s="472"/>
      <c r="L109" s="472"/>
      <c r="M109" s="71">
        <f ca="1">ROUND(SUM(OFFSET($A$1,MATCH($A109,$C$1:$C$11,0)-1,MATCH($B109,$1:$1,0)-1,,2)),2)</f>
        <v>0</v>
      </c>
      <c r="N109" s="151"/>
      <c r="O109" s="31">
        <f ca="1">SUM(M$71:M109)-SUM(N$71:N109)</f>
        <v>0</v>
      </c>
    </row>
    <row r="110" ht="14.25" spans="1:15">
      <c r="A110" t="s">
        <v>84</v>
      </c>
      <c r="B110" s="148" t="s">
        <v>166</v>
      </c>
      <c r="C110" s="149" t="str">
        <f t="shared" si="7"/>
        <v>2021.09月Aica paypal流水(防火板)：手续费</v>
      </c>
      <c r="D110" s="457"/>
      <c r="E110" s="457"/>
      <c r="F110" s="457"/>
      <c r="G110" s="456" t="str">
        <f>INDEX(P:P,MATCH($A110,$P:$P,0)+1)</f>
        <v>1221.107</v>
      </c>
      <c r="H110" s="456" t="str">
        <f>INDEX(Q:Q,MATCH($A110,$P:$P,0)+1)</f>
        <v>拓展部-防火底板</v>
      </c>
      <c r="I110" s="457"/>
      <c r="J110" s="472"/>
      <c r="K110" s="472"/>
      <c r="L110" s="472"/>
      <c r="M110" s="73">
        <f ca="1">-M109</f>
        <v>0</v>
      </c>
      <c r="N110" s="150"/>
      <c r="O110" s="31">
        <f ca="1">SUM(M$71:M110)-SUM(N$71:N110)</f>
        <v>0</v>
      </c>
    </row>
    <row r="111" ht="14.25" spans="1:15">
      <c r="A111" t="s">
        <v>84</v>
      </c>
      <c r="B111" s="148" t="s">
        <v>79</v>
      </c>
      <c r="C111" s="149" t="str">
        <f t="shared" si="7"/>
        <v>2021.09月Aica paypal流水(防火板)：营运费5%：</v>
      </c>
      <c r="D111" s="457"/>
      <c r="E111" s="457"/>
      <c r="F111" s="457"/>
      <c r="G111" s="456" t="str">
        <f>INDEX(P:P,MATCH($A111,$P:$P,0)+4)</f>
        <v>6601.006.005</v>
      </c>
      <c r="H111" s="456" t="str">
        <f>INDEX(Q:Q,MATCH($A111,$P:$P,0)+4)</f>
        <v>防火底板事业部-营运费</v>
      </c>
      <c r="I111" s="457"/>
      <c r="J111" s="472"/>
      <c r="K111" s="472"/>
      <c r="L111" s="472"/>
      <c r="M111" s="71">
        <f ca="1">ROUND(SUM(OFFSET($A$1,MATCH($A111,$C$1:$C$11,0)-1,MATCH($B111,$1:$1,0)-1)),2)</f>
        <v>0</v>
      </c>
      <c r="N111" s="151"/>
      <c r="O111" s="31">
        <f ca="1">SUM(M$71:M111)-SUM(N$71:N111)</f>
        <v>0</v>
      </c>
    </row>
    <row r="112" ht="15" spans="1:15">
      <c r="A112" t="s">
        <v>84</v>
      </c>
      <c r="B112" s="458" t="s">
        <v>79</v>
      </c>
      <c r="C112" s="162" t="str">
        <f t="shared" si="7"/>
        <v>2021.09月Aica paypal流水(防火板)：营运费5%：</v>
      </c>
      <c r="D112" s="459"/>
      <c r="E112" s="459"/>
      <c r="F112" s="459"/>
      <c r="G112" s="433" t="str">
        <f>INDEX(P:P,MATCH($A112,$P:$P,0)+1)</f>
        <v>1221.107</v>
      </c>
      <c r="H112" s="433" t="str">
        <f>INDEX(Q:Q,MATCH($A112,$P:$P,0)+1)</f>
        <v>拓展部-防火底板</v>
      </c>
      <c r="I112" s="459"/>
      <c r="J112" s="294"/>
      <c r="K112" s="294"/>
      <c r="L112" s="294"/>
      <c r="M112" s="404">
        <f ca="1">-M111</f>
        <v>0</v>
      </c>
      <c r="N112" s="445"/>
      <c r="O112" s="31">
        <f ca="1">SUM(M$71:M112)-SUM(N$71:N112)</f>
        <v>0</v>
      </c>
    </row>
    <row r="119" spans="13:15">
      <c r="M119">
        <f ca="1">SUBTOTAL(9,M71:M104)</f>
        <v>127093.61</v>
      </c>
      <c r="N119">
        <f ca="1">SUBTOTAL(9,N71:N104)</f>
        <v>127093.61</v>
      </c>
      <c r="O119" s="140">
        <f ca="1">M119-N119</f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93"/>
  <sheetViews>
    <sheetView topLeftCell="A7" workbookViewId="0">
      <selection activeCell="G62" sqref="G62"/>
    </sheetView>
  </sheetViews>
  <sheetFormatPr defaultColWidth="9" defaultRowHeight="13.5"/>
  <cols>
    <col min="4" max="4" width="12.625" customWidth="1"/>
    <col min="6" max="6" width="10.875" customWidth="1"/>
    <col min="7" max="7" width="18.5" customWidth="1"/>
    <col min="8" max="8" width="10.5" customWidth="1"/>
    <col min="9" max="9" width="10.375" customWidth="1"/>
    <col min="10" max="10" width="11.875" customWidth="1"/>
    <col min="11" max="11" width="11.125" customWidth="1"/>
    <col min="12" max="12" width="11.875" customWidth="1"/>
    <col min="13" max="13" width="11.125" customWidth="1"/>
    <col min="14" max="14" width="11.625" customWidth="1"/>
    <col min="15" max="15" width="11.125" customWidth="1"/>
    <col min="16" max="16" width="17.625" customWidth="1"/>
    <col min="17" max="17" width="12.625" customWidth="1"/>
    <col min="18" max="18" width="11.875" customWidth="1"/>
    <col min="19" max="20" width="11" customWidth="1"/>
  </cols>
  <sheetData>
    <row r="1" spans="6:16">
      <c r="F1" t="s">
        <v>7</v>
      </c>
      <c r="G1" t="s">
        <v>166</v>
      </c>
      <c r="J1" t="s">
        <v>79</v>
      </c>
      <c r="M1" t="s">
        <v>15</v>
      </c>
      <c r="P1" t="s">
        <v>3</v>
      </c>
    </row>
    <row r="2" ht="76.5" spans="3:30">
      <c r="C2" s="544" t="s">
        <v>226</v>
      </c>
      <c r="D2" s="484"/>
      <c r="E2" s="484"/>
      <c r="F2" s="484"/>
      <c r="G2" s="484"/>
      <c r="H2" s="484"/>
      <c r="I2" s="484"/>
      <c r="J2" s="484"/>
      <c r="K2" s="484"/>
      <c r="L2" s="484"/>
      <c r="M2" s="31"/>
      <c r="N2" s="31"/>
      <c r="O2" s="31"/>
      <c r="P2" s="460" t="s">
        <v>195</v>
      </c>
      <c r="Q2" s="460" t="s">
        <v>195</v>
      </c>
      <c r="R2" s="473" t="s">
        <v>196</v>
      </c>
      <c r="S2" s="473" t="s">
        <v>196</v>
      </c>
      <c r="T2" s="474"/>
      <c r="U2" s="475" t="s">
        <v>227</v>
      </c>
      <c r="V2" s="475" t="s">
        <v>227</v>
      </c>
      <c r="W2" s="475" t="s">
        <v>228</v>
      </c>
      <c r="X2" s="475" t="s">
        <v>228</v>
      </c>
      <c r="Y2" s="481" t="s">
        <v>197</v>
      </c>
      <c r="Z2" s="475" t="s">
        <v>197</v>
      </c>
      <c r="AA2" s="475" t="s">
        <v>198</v>
      </c>
      <c r="AB2" s="475" t="s">
        <v>198</v>
      </c>
      <c r="AC2" s="475" t="s">
        <v>199</v>
      </c>
      <c r="AD2" s="475" t="s">
        <v>199</v>
      </c>
    </row>
    <row r="3" ht="25.5" spans="1:31">
      <c r="A3" t="s">
        <v>226</v>
      </c>
      <c r="B3" s="643" t="s">
        <v>142</v>
      </c>
      <c r="C3" s="424" t="s">
        <v>4</v>
      </c>
      <c r="D3" s="425" t="s">
        <v>5</v>
      </c>
      <c r="E3" s="450" t="s">
        <v>165</v>
      </c>
      <c r="F3" s="425" t="s">
        <v>7</v>
      </c>
      <c r="G3" s="450" t="s">
        <v>166</v>
      </c>
      <c r="H3" s="450" t="s">
        <v>167</v>
      </c>
      <c r="I3" s="438" t="s">
        <v>200</v>
      </c>
      <c r="J3" s="438" t="s">
        <v>79</v>
      </c>
      <c r="K3" s="425" t="s">
        <v>11</v>
      </c>
      <c r="L3" s="438" t="s">
        <v>12</v>
      </c>
      <c r="M3" s="461" t="s">
        <v>201</v>
      </c>
      <c r="N3" s="462" t="s">
        <v>195</v>
      </c>
      <c r="O3" s="463" t="s">
        <v>202</v>
      </c>
      <c r="P3" s="440" t="s">
        <v>141</v>
      </c>
      <c r="Q3" s="476" t="s">
        <v>14</v>
      </c>
      <c r="R3" s="440" t="s">
        <v>141</v>
      </c>
      <c r="S3" s="440" t="s">
        <v>14</v>
      </c>
      <c r="T3" s="477" t="s">
        <v>12</v>
      </c>
      <c r="U3" s="478" t="s">
        <v>141</v>
      </c>
      <c r="V3" s="479" t="s">
        <v>14</v>
      </c>
      <c r="W3" s="478" t="s">
        <v>141</v>
      </c>
      <c r="X3" s="479" t="s">
        <v>14</v>
      </c>
      <c r="Y3" s="478" t="s">
        <v>141</v>
      </c>
      <c r="Z3" s="479" t="s">
        <v>14</v>
      </c>
      <c r="AA3" s="478" t="s">
        <v>141</v>
      </c>
      <c r="AB3" s="479" t="s">
        <v>14</v>
      </c>
      <c r="AC3" s="478" t="s">
        <v>141</v>
      </c>
      <c r="AD3" s="479" t="s">
        <v>14</v>
      </c>
      <c r="AE3" s="477" t="s">
        <v>12</v>
      </c>
    </row>
    <row r="4" spans="1:31">
      <c r="A4" t="s">
        <v>226</v>
      </c>
      <c r="B4" s="643" t="s">
        <v>88</v>
      </c>
      <c r="C4" s="427" t="s">
        <v>17</v>
      </c>
      <c r="D4" s="141">
        <v>-419.39</v>
      </c>
      <c r="E4" s="141">
        <v>0</v>
      </c>
      <c r="F4" s="141">
        <v>-349.491666666667</v>
      </c>
      <c r="G4" s="141">
        <v>-8.99</v>
      </c>
      <c r="H4" s="141">
        <v>0</v>
      </c>
      <c r="I4" s="141"/>
      <c r="J4" s="141">
        <v>17.4745833333333</v>
      </c>
      <c r="K4" s="141">
        <v>-341.007083333333</v>
      </c>
      <c r="L4" s="428"/>
      <c r="M4" s="143">
        <v>0</v>
      </c>
      <c r="N4" s="143">
        <v>258.02</v>
      </c>
      <c r="O4" s="143">
        <v>0</v>
      </c>
      <c r="P4" s="565">
        <v>-677.41</v>
      </c>
      <c r="Q4" s="464">
        <v>0</v>
      </c>
      <c r="R4" s="567">
        <v>0</v>
      </c>
      <c r="S4" s="551">
        <v>0</v>
      </c>
      <c r="T4" s="466">
        <v>-419.39</v>
      </c>
      <c r="U4" s="480">
        <v>0</v>
      </c>
      <c r="V4" s="480">
        <v>0</v>
      </c>
      <c r="W4" s="464">
        <v>0</v>
      </c>
      <c r="X4" s="480">
        <v>0</v>
      </c>
      <c r="Y4" s="480">
        <v>0</v>
      </c>
      <c r="Z4" s="480">
        <v>0</v>
      </c>
      <c r="AA4" s="464">
        <v>0</v>
      </c>
      <c r="AB4" s="480">
        <v>0</v>
      </c>
      <c r="AC4" s="480">
        <v>0</v>
      </c>
      <c r="AD4" s="480">
        <v>0</v>
      </c>
      <c r="AE4" s="466">
        <v>0</v>
      </c>
    </row>
    <row r="5" spans="1:31">
      <c r="A5" t="s">
        <v>226</v>
      </c>
      <c r="B5" s="643" t="s">
        <v>88</v>
      </c>
      <c r="C5" s="427" t="s">
        <v>18</v>
      </c>
      <c r="D5" s="141">
        <v>-14.99</v>
      </c>
      <c r="E5" s="141">
        <v>0</v>
      </c>
      <c r="F5" s="141">
        <v>-12.4916666666667</v>
      </c>
      <c r="G5" s="141">
        <v>-0.74</v>
      </c>
      <c r="H5" s="141">
        <v>0</v>
      </c>
      <c r="I5" s="141"/>
      <c r="J5" s="141">
        <v>0.624583333333333</v>
      </c>
      <c r="K5" s="141">
        <v>-12.6070833333333</v>
      </c>
      <c r="L5" s="428"/>
      <c r="M5" s="143">
        <v>0</v>
      </c>
      <c r="N5" s="143">
        <v>0</v>
      </c>
      <c r="O5" s="143">
        <v>15</v>
      </c>
      <c r="P5" s="565">
        <v>-29.99</v>
      </c>
      <c r="Q5" s="464">
        <v>0</v>
      </c>
      <c r="R5" s="480">
        <v>0</v>
      </c>
      <c r="S5" s="480">
        <v>0</v>
      </c>
      <c r="T5" s="466">
        <v>-14.99</v>
      </c>
      <c r="U5" s="480">
        <v>0</v>
      </c>
      <c r="V5" s="480">
        <v>0</v>
      </c>
      <c r="W5" s="464">
        <v>0</v>
      </c>
      <c r="X5" s="480">
        <v>0</v>
      </c>
      <c r="Y5" s="480">
        <v>0</v>
      </c>
      <c r="Z5" s="480">
        <v>0</v>
      </c>
      <c r="AA5" s="464">
        <v>0</v>
      </c>
      <c r="AB5" s="480">
        <v>0</v>
      </c>
      <c r="AC5" s="480">
        <v>0</v>
      </c>
      <c r="AD5" s="480">
        <v>0</v>
      </c>
      <c r="AE5" s="466">
        <v>0</v>
      </c>
    </row>
    <row r="6" spans="1:31">
      <c r="A6" t="s">
        <v>226</v>
      </c>
      <c r="B6" s="643" t="s">
        <v>88</v>
      </c>
      <c r="C6" s="427" t="s">
        <v>19</v>
      </c>
      <c r="D6" s="141">
        <v>0</v>
      </c>
      <c r="E6" s="141">
        <v>0</v>
      </c>
      <c r="F6" s="141">
        <v>0</v>
      </c>
      <c r="G6" s="141">
        <v>0</v>
      </c>
      <c r="H6" s="141">
        <v>0</v>
      </c>
      <c r="I6" s="141"/>
      <c r="J6" s="141">
        <v>0</v>
      </c>
      <c r="K6" s="141">
        <v>0</v>
      </c>
      <c r="L6" s="428"/>
      <c r="M6" s="143">
        <v>0</v>
      </c>
      <c r="N6" s="143">
        <v>0</v>
      </c>
      <c r="O6" s="143">
        <v>0</v>
      </c>
      <c r="P6" s="464">
        <v>0</v>
      </c>
      <c r="Q6" s="464">
        <v>0</v>
      </c>
      <c r="R6" s="480">
        <v>0</v>
      </c>
      <c r="S6" s="480">
        <v>0</v>
      </c>
      <c r="T6" s="466">
        <v>0</v>
      </c>
      <c r="U6" s="480">
        <v>0</v>
      </c>
      <c r="V6" s="480">
        <v>0</v>
      </c>
      <c r="W6" s="464">
        <v>0</v>
      </c>
      <c r="X6" s="480">
        <v>0</v>
      </c>
      <c r="Y6" s="480">
        <v>0</v>
      </c>
      <c r="Z6" s="480">
        <v>0</v>
      </c>
      <c r="AA6" s="464">
        <v>0</v>
      </c>
      <c r="AB6" s="480">
        <v>0</v>
      </c>
      <c r="AC6" s="480">
        <v>0</v>
      </c>
      <c r="AD6" s="480">
        <v>0</v>
      </c>
      <c r="AE6" s="466">
        <v>0</v>
      </c>
    </row>
    <row r="7" spans="1:31">
      <c r="A7" t="s">
        <v>226</v>
      </c>
      <c r="B7" s="643" t="s">
        <v>88</v>
      </c>
      <c r="C7" s="427" t="s">
        <v>20</v>
      </c>
      <c r="D7" s="141">
        <v>-20</v>
      </c>
      <c r="E7" s="141">
        <v>0</v>
      </c>
      <c r="F7" s="141">
        <v>-16.6666666666667</v>
      </c>
      <c r="G7" s="141">
        <v>0</v>
      </c>
      <c r="H7" s="141">
        <v>0</v>
      </c>
      <c r="I7" s="141"/>
      <c r="J7" s="141">
        <v>0.833333333333333</v>
      </c>
      <c r="K7" s="141">
        <v>-15.8333333333333</v>
      </c>
      <c r="L7" s="428"/>
      <c r="M7" s="143">
        <v>0</v>
      </c>
      <c r="N7" s="143">
        <v>0</v>
      </c>
      <c r="O7" s="143">
        <v>0</v>
      </c>
      <c r="P7" s="565">
        <v>-20</v>
      </c>
      <c r="Q7" s="464">
        <v>0</v>
      </c>
      <c r="R7" s="480">
        <v>0</v>
      </c>
      <c r="S7" s="480">
        <v>0</v>
      </c>
      <c r="T7" s="466">
        <v>-20</v>
      </c>
      <c r="U7" s="480">
        <v>0</v>
      </c>
      <c r="V7" s="480">
        <v>0</v>
      </c>
      <c r="W7" s="464">
        <v>0</v>
      </c>
      <c r="X7" s="480">
        <v>0</v>
      </c>
      <c r="Y7" s="480">
        <v>0</v>
      </c>
      <c r="Z7" s="480">
        <v>0</v>
      </c>
      <c r="AA7" s="464">
        <v>0</v>
      </c>
      <c r="AB7" s="480">
        <v>0</v>
      </c>
      <c r="AC7" s="480">
        <v>0</v>
      </c>
      <c r="AD7" s="480">
        <v>0</v>
      </c>
      <c r="AE7" s="466">
        <v>0</v>
      </c>
    </row>
    <row r="8" spans="1:31">
      <c r="A8" t="s">
        <v>226</v>
      </c>
      <c r="B8" s="643" t="s">
        <v>88</v>
      </c>
      <c r="C8" s="427" t="s">
        <v>83</v>
      </c>
      <c r="D8" s="141">
        <v>0</v>
      </c>
      <c r="E8" s="141">
        <v>0</v>
      </c>
      <c r="F8" s="141">
        <v>0</v>
      </c>
      <c r="G8" s="141">
        <v>0</v>
      </c>
      <c r="H8" s="141">
        <v>0</v>
      </c>
      <c r="I8" s="141"/>
      <c r="J8" s="141">
        <v>0</v>
      </c>
      <c r="K8" s="141">
        <v>0</v>
      </c>
      <c r="L8" s="428"/>
      <c r="M8" s="143">
        <v>0</v>
      </c>
      <c r="N8" s="143">
        <v>0</v>
      </c>
      <c r="O8" s="143">
        <v>0</v>
      </c>
      <c r="P8" s="565">
        <v>0</v>
      </c>
      <c r="Q8" s="464">
        <v>0</v>
      </c>
      <c r="R8" s="480">
        <v>0</v>
      </c>
      <c r="S8" s="480">
        <v>0</v>
      </c>
      <c r="T8" s="466">
        <v>0</v>
      </c>
      <c r="U8" s="480">
        <v>0</v>
      </c>
      <c r="V8" s="480">
        <v>0</v>
      </c>
      <c r="W8" s="464">
        <v>0</v>
      </c>
      <c r="X8" s="480">
        <v>0</v>
      </c>
      <c r="Y8" s="480">
        <v>0</v>
      </c>
      <c r="Z8" s="480">
        <v>0</v>
      </c>
      <c r="AA8" s="464">
        <v>0</v>
      </c>
      <c r="AB8" s="480">
        <v>0</v>
      </c>
      <c r="AC8" s="480">
        <v>0</v>
      </c>
      <c r="AD8" s="480">
        <v>0</v>
      </c>
      <c r="AE8" s="466">
        <v>0</v>
      </c>
    </row>
    <row r="9" spans="1:31">
      <c r="A9" t="s">
        <v>226</v>
      </c>
      <c r="B9" s="643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/>
      <c r="J9" s="141">
        <v>0</v>
      </c>
      <c r="K9" s="141">
        <v>0</v>
      </c>
      <c r="L9" s="428"/>
      <c r="M9" s="143">
        <v>0</v>
      </c>
      <c r="N9" s="143">
        <v>0</v>
      </c>
      <c r="O9" s="143">
        <v>0</v>
      </c>
      <c r="P9" s="565">
        <v>0</v>
      </c>
      <c r="Q9" s="464">
        <v>0</v>
      </c>
      <c r="R9" s="480">
        <v>0</v>
      </c>
      <c r="S9" s="480">
        <v>0</v>
      </c>
      <c r="T9" s="466">
        <v>0</v>
      </c>
      <c r="U9" s="480">
        <v>0</v>
      </c>
      <c r="V9" s="480">
        <v>0</v>
      </c>
      <c r="W9" s="464">
        <v>0</v>
      </c>
      <c r="X9" s="480">
        <v>0</v>
      </c>
      <c r="Y9" s="480">
        <v>0</v>
      </c>
      <c r="Z9" s="480">
        <v>0</v>
      </c>
      <c r="AA9" s="464">
        <v>0</v>
      </c>
      <c r="AB9" s="480">
        <v>0</v>
      </c>
      <c r="AC9" s="480">
        <v>0</v>
      </c>
      <c r="AD9" s="480">
        <v>0</v>
      </c>
      <c r="AE9" s="466">
        <v>0</v>
      </c>
    </row>
    <row r="10" spans="1:31">
      <c r="A10" t="s">
        <v>226</v>
      </c>
      <c r="B10" s="643" t="s">
        <v>88</v>
      </c>
      <c r="C10" s="386" t="s">
        <v>21</v>
      </c>
      <c r="D10" s="428">
        <v>-454.38</v>
      </c>
      <c r="E10" s="428">
        <v>0</v>
      </c>
      <c r="F10" s="428">
        <v>-378.65</v>
      </c>
      <c r="G10" s="428">
        <v>-9.73</v>
      </c>
      <c r="H10" s="428">
        <v>0</v>
      </c>
      <c r="I10" s="428"/>
      <c r="J10" s="428">
        <v>18.9325</v>
      </c>
      <c r="K10" s="428">
        <v>-369.4475</v>
      </c>
      <c r="L10" s="428"/>
      <c r="M10" s="428">
        <v>0</v>
      </c>
      <c r="N10" s="428">
        <v>258.02</v>
      </c>
      <c r="O10" s="428">
        <v>15</v>
      </c>
      <c r="P10" s="428">
        <v>-727.4</v>
      </c>
      <c r="Q10" s="428">
        <v>0</v>
      </c>
      <c r="R10" s="428">
        <v>0</v>
      </c>
      <c r="S10" s="428">
        <v>0</v>
      </c>
      <c r="T10" s="428">
        <v>-454.38</v>
      </c>
      <c r="U10" s="480">
        <v>0</v>
      </c>
      <c r="V10" s="480">
        <v>0</v>
      </c>
      <c r="W10" s="480">
        <v>0</v>
      </c>
      <c r="X10" s="480">
        <v>0</v>
      </c>
      <c r="Y10" s="480">
        <v>0</v>
      </c>
      <c r="Z10" s="480">
        <v>0</v>
      </c>
      <c r="AA10" s="480">
        <v>0</v>
      </c>
      <c r="AB10" s="480">
        <v>0</v>
      </c>
      <c r="AC10" s="480">
        <v>0</v>
      </c>
      <c r="AD10" s="480">
        <v>0</v>
      </c>
      <c r="AE10" s="466">
        <v>0</v>
      </c>
    </row>
    <row r="11" spans="1:31">
      <c r="A11" t="s">
        <v>226</v>
      </c>
      <c r="B11" s="643" t="s">
        <v>88</v>
      </c>
      <c r="C11" s="564" t="s">
        <v>165</v>
      </c>
      <c r="D11" s="484"/>
      <c r="E11" s="484"/>
      <c r="F11" s="484"/>
      <c r="G11" s="484"/>
      <c r="H11" s="484"/>
      <c r="I11" s="465"/>
      <c r="J11" s="484"/>
      <c r="K11" s="647" t="s">
        <v>13</v>
      </c>
      <c r="L11" s="566" t="s">
        <v>165</v>
      </c>
      <c r="M11" s="143">
        <v>0</v>
      </c>
      <c r="N11" s="143">
        <v>0</v>
      </c>
      <c r="O11" s="143">
        <v>0</v>
      </c>
      <c r="P11" s="464">
        <v>0</v>
      </c>
      <c r="Q11" s="464">
        <v>0</v>
      </c>
      <c r="R11" s="480">
        <v>0</v>
      </c>
      <c r="S11" s="480">
        <v>0</v>
      </c>
      <c r="T11" s="466">
        <v>0</v>
      </c>
      <c r="U11" s="480">
        <v>0</v>
      </c>
      <c r="V11" s="480">
        <v>0</v>
      </c>
      <c r="W11" s="464">
        <v>0</v>
      </c>
      <c r="X11" s="480">
        <v>0</v>
      </c>
      <c r="Y11" s="480">
        <v>0</v>
      </c>
      <c r="Z11" s="480">
        <v>0</v>
      </c>
      <c r="AA11" s="464">
        <v>0</v>
      </c>
      <c r="AB11" s="480">
        <v>0</v>
      </c>
      <c r="AC11" s="480">
        <v>0</v>
      </c>
      <c r="AD11" s="480">
        <v>0</v>
      </c>
      <c r="AE11" s="466">
        <v>0</v>
      </c>
    </row>
    <row r="13" customFormat="1" spans="1:1">
      <c r="A13" s="643" t="str">
        <f>B6</f>
        <v>2021.09月</v>
      </c>
    </row>
    <row r="14" customFormat="1" spans="1:16">
      <c r="A14" t="s">
        <v>226</v>
      </c>
      <c r="F14" s="545">
        <f ca="1">SUM(F5:F9)-SUMIFS($N$58:$N$118,$B$58:$B$118,F1)</f>
        <v>0.00166666666660475</v>
      </c>
      <c r="G14" s="545">
        <f ca="1">SUM(G5:G9)+SUMIFS($M$58:$M$118,$B$58:$B$118,G1,$M$58:$M$118,"&gt;0")</f>
        <v>0</v>
      </c>
      <c r="H14" s="141"/>
      <c r="I14" s="141"/>
      <c r="J14" s="545">
        <f ca="1">SUM(J5:J9)-SUMIFS($M$58:$M$118,$B$58:$B$118,J1,$M$58:$M$118,"&gt;0")</f>
        <v>0.00791666666666613</v>
      </c>
      <c r="K14" s="140"/>
      <c r="L14" s="140"/>
      <c r="M14" s="545">
        <f ca="1">-SUM(M5:O9,E5:E9)+SUMIFS($M$58:$M$118,$B$58:$B$118,M1)</f>
        <v>0</v>
      </c>
      <c r="P14" s="545">
        <f ca="1">SUM(P5:S9)+SUMIFS($N$58:$N$118,$B$58:$B$118,P1)</f>
        <v>0</v>
      </c>
    </row>
    <row r="16" customFormat="1" ht="14.25" hidden="1" spans="2:14">
      <c r="B16" s="452" t="s">
        <v>15</v>
      </c>
      <c r="C16" s="453" t="str">
        <f>$A$13&amp;$A$14&amp;"："&amp;B16</f>
        <v>2021.09月Perfect Paypal流水：order</v>
      </c>
      <c r="D16" s="453"/>
      <c r="E16" s="453"/>
      <c r="F16" s="453"/>
      <c r="G16" s="546" t="s">
        <v>229</v>
      </c>
      <c r="H16" s="546" t="s">
        <v>230</v>
      </c>
      <c r="I16" s="467"/>
      <c r="J16" s="453"/>
      <c r="K16" s="453"/>
      <c r="L16" s="453"/>
      <c r="M16" s="315">
        <f>ROUND(SUM(M10:O11),2)</f>
        <v>273.02</v>
      </c>
      <c r="N16" s="316"/>
    </row>
    <row r="17" customFormat="1" ht="15" hidden="1" spans="2:14">
      <c r="B17" s="454" t="s">
        <v>15</v>
      </c>
      <c r="C17" s="455" t="str">
        <f>$A$13&amp;$A$14&amp;"："&amp;B17</f>
        <v>2021.09月Perfect Paypal流水：order</v>
      </c>
      <c r="D17" s="455"/>
      <c r="E17" s="455"/>
      <c r="F17" s="455"/>
      <c r="G17" s="180" t="s">
        <v>231</v>
      </c>
      <c r="H17" s="180" t="s">
        <v>232</v>
      </c>
      <c r="I17" s="468"/>
      <c r="J17" s="455"/>
      <c r="K17" s="455"/>
      <c r="L17" s="455"/>
      <c r="M17" s="54"/>
      <c r="N17" s="206">
        <f>M16</f>
        <v>273.02</v>
      </c>
    </row>
    <row r="18" customFormat="1" ht="14.25" hidden="1" spans="1:14">
      <c r="A18" t="s">
        <v>18</v>
      </c>
      <c r="B18" s="144" t="s">
        <v>15</v>
      </c>
      <c r="C18" s="145" t="str">
        <f t="shared" ref="C18:C23" si="0">$A$13&amp;$A$14&amp;"("&amp;$A18&amp;")："&amp;B18</f>
        <v>2021.09月Perfect Paypal流水(镜柜)：order</v>
      </c>
      <c r="D18" s="291"/>
      <c r="E18" s="291"/>
      <c r="F18" s="291"/>
      <c r="G18" s="145" t="s">
        <v>231</v>
      </c>
      <c r="H18" s="145" t="s">
        <v>232</v>
      </c>
      <c r="I18" s="469"/>
      <c r="J18" s="291"/>
      <c r="K18" s="291"/>
      <c r="L18" s="291"/>
      <c r="M18" s="172">
        <f>ROUND(SUM(M5:O5),2)</f>
        <v>15</v>
      </c>
      <c r="N18" s="204"/>
    </row>
    <row r="19" customFormat="1" ht="14.25" hidden="1" spans="1:14">
      <c r="A19" t="s">
        <v>18</v>
      </c>
      <c r="B19" s="148" t="s">
        <v>7</v>
      </c>
      <c r="C19" s="149" t="str">
        <f t="shared" si="0"/>
        <v>2021.09月Perfect Paypal流水(镜柜)：不含税</v>
      </c>
      <c r="D19" s="457"/>
      <c r="E19" s="457"/>
      <c r="F19" s="457"/>
      <c r="G19" s="37" t="s">
        <v>59</v>
      </c>
      <c r="H19" s="37" t="s">
        <v>60</v>
      </c>
      <c r="I19" s="470"/>
      <c r="J19" s="471"/>
      <c r="K19" s="471"/>
      <c r="L19" s="471"/>
      <c r="N19" s="71">
        <f>ROUND(F5,2)</f>
        <v>-12.49</v>
      </c>
    </row>
    <row r="20" customFormat="1" ht="14.25" hidden="1" spans="1:14">
      <c r="A20" t="s">
        <v>18</v>
      </c>
      <c r="B20" s="148" t="s">
        <v>31</v>
      </c>
      <c r="C20" s="149" t="str">
        <f t="shared" si="0"/>
        <v>2021.09月Perfect Paypal流水(镜柜)：税金</v>
      </c>
      <c r="D20" s="457"/>
      <c r="E20" s="457"/>
      <c r="F20" s="457"/>
      <c r="G20" s="149" t="s">
        <v>32</v>
      </c>
      <c r="H20" s="149" t="s">
        <v>33</v>
      </c>
      <c r="I20" s="457"/>
      <c r="J20" s="472"/>
      <c r="K20" s="472"/>
      <c r="L20" s="472"/>
      <c r="N20" s="73">
        <f>ROUND(N19*0.2,2)</f>
        <v>-2.5</v>
      </c>
    </row>
    <row r="21" customFormat="1" ht="14.25" hidden="1" spans="1:14">
      <c r="A21" t="s">
        <v>18</v>
      </c>
      <c r="B21" s="148" t="s">
        <v>3</v>
      </c>
      <c r="C21" s="149" t="str">
        <f t="shared" si="0"/>
        <v>2021.09月Perfect Paypal流水(镜柜)：refund</v>
      </c>
      <c r="D21" s="457"/>
      <c r="E21" s="457"/>
      <c r="F21" s="457"/>
      <c r="G21" s="149" t="s">
        <v>229</v>
      </c>
      <c r="H21" s="457" t="s">
        <v>230</v>
      </c>
      <c r="I21" s="457"/>
      <c r="J21" s="472"/>
      <c r="K21" s="472"/>
      <c r="L21" s="472"/>
      <c r="M21" s="73"/>
      <c r="N21" s="151">
        <f>-ROUND(P5+R5,2)</f>
        <v>29.99</v>
      </c>
    </row>
    <row r="22" customFormat="1" ht="14.25" hidden="1" spans="1:14">
      <c r="A22" t="s">
        <v>18</v>
      </c>
      <c r="B22" s="148" t="s">
        <v>3</v>
      </c>
      <c r="C22" s="149" t="str">
        <f t="shared" si="0"/>
        <v>2021.09月Perfect Paypal流水(镜柜)：refund</v>
      </c>
      <c r="D22" s="457"/>
      <c r="E22" s="457"/>
      <c r="F22" s="457"/>
      <c r="G22" s="149" t="s">
        <v>149</v>
      </c>
      <c r="H22" s="457" t="s">
        <v>150</v>
      </c>
      <c r="I22" s="457"/>
      <c r="J22" s="472"/>
      <c r="K22" s="472"/>
      <c r="L22" s="472"/>
      <c r="M22" s="73"/>
      <c r="N22" s="151">
        <f>-ROUND(Q5+S5,2)</f>
        <v>0</v>
      </c>
    </row>
    <row r="23" customFormat="1" ht="14.25" hidden="1" spans="1:14">
      <c r="A23" t="s">
        <v>18</v>
      </c>
      <c r="B23" s="148" t="s">
        <v>15</v>
      </c>
      <c r="C23" s="149" t="str">
        <f t="shared" si="0"/>
        <v>2021.09月Perfect Paypal流水(镜柜)：order</v>
      </c>
      <c r="D23" s="472"/>
      <c r="E23" s="472"/>
      <c r="F23" s="472"/>
      <c r="G23" s="149" t="s">
        <v>231</v>
      </c>
      <c r="H23" s="149" t="s">
        <v>232</v>
      </c>
      <c r="I23" s="457"/>
      <c r="J23" s="472"/>
      <c r="K23" s="472"/>
      <c r="L23" s="472"/>
      <c r="M23" s="73"/>
      <c r="N23" s="151"/>
    </row>
    <row r="24" customFormat="1" ht="14.25" hidden="1" spans="1:14">
      <c r="A24" t="s">
        <v>18</v>
      </c>
      <c r="B24" s="148" t="s">
        <v>212</v>
      </c>
      <c r="C24" s="149" t="str">
        <f t="shared" ref="C19:C51" si="1">$A$13&amp;$A$14&amp;"("&amp;$A24&amp;")："&amp;B24</f>
        <v>2021.09月Perfect Paypal流水(镜柜)：ebay费</v>
      </c>
      <c r="D24" s="457"/>
      <c r="E24" s="457"/>
      <c r="F24" s="457"/>
      <c r="G24" s="149" t="s">
        <v>61</v>
      </c>
      <c r="H24" s="149" t="s">
        <v>62</v>
      </c>
      <c r="I24" s="457"/>
      <c r="J24" s="472"/>
      <c r="K24" s="472"/>
      <c r="L24" s="472"/>
      <c r="M24" s="73">
        <f>ROUND(I5,2)</f>
        <v>0</v>
      </c>
      <c r="N24" s="151"/>
    </row>
    <row r="25" customFormat="1" ht="14.25" hidden="1" spans="1:14">
      <c r="A25" t="s">
        <v>18</v>
      </c>
      <c r="B25" s="148" t="s">
        <v>212</v>
      </c>
      <c r="C25" s="149" t="str">
        <f t="shared" si="1"/>
        <v>2021.09月Perfect Paypal流水(镜柜)：ebay费</v>
      </c>
      <c r="D25" s="457"/>
      <c r="E25" s="457"/>
      <c r="F25" s="457"/>
      <c r="G25" s="37" t="s">
        <v>59</v>
      </c>
      <c r="H25" s="37" t="s">
        <v>60</v>
      </c>
      <c r="I25" s="457"/>
      <c r="J25" s="472"/>
      <c r="K25" s="472"/>
      <c r="L25" s="472"/>
      <c r="M25" s="73"/>
      <c r="N25" s="150">
        <f>M24</f>
        <v>0</v>
      </c>
    </row>
    <row r="26" customFormat="1" ht="14.25" hidden="1" spans="1:14">
      <c r="A26" t="s">
        <v>18</v>
      </c>
      <c r="B26" s="148" t="s">
        <v>166</v>
      </c>
      <c r="C26" s="149" t="str">
        <f t="shared" si="1"/>
        <v>2021.09月Perfect Paypal流水(镜柜)：手续费</v>
      </c>
      <c r="D26" s="457"/>
      <c r="E26" s="457"/>
      <c r="F26" s="457"/>
      <c r="G26" s="149" t="s">
        <v>213</v>
      </c>
      <c r="H26" s="149" t="s">
        <v>214</v>
      </c>
      <c r="I26" s="457"/>
      <c r="J26" s="472"/>
      <c r="K26" s="472"/>
      <c r="L26" s="472"/>
      <c r="M26" s="71">
        <f>ROUND(G5+H5,2)</f>
        <v>-0.74</v>
      </c>
      <c r="N26" s="151"/>
    </row>
    <row r="27" customFormat="1" ht="14.25" hidden="1" spans="1:14">
      <c r="A27" t="s">
        <v>18</v>
      </c>
      <c r="B27" s="148" t="s">
        <v>166</v>
      </c>
      <c r="C27" s="149" t="str">
        <f t="shared" si="1"/>
        <v>2021.09月Perfect Paypal流水(镜柜)：手续费</v>
      </c>
      <c r="D27" s="457"/>
      <c r="E27" s="457"/>
      <c r="F27" s="457"/>
      <c r="G27" s="37" t="s">
        <v>59</v>
      </c>
      <c r="H27" s="37" t="s">
        <v>60</v>
      </c>
      <c r="I27" s="457"/>
      <c r="J27" s="472"/>
      <c r="K27" s="472"/>
      <c r="L27" s="472"/>
      <c r="M27" s="73">
        <f>-M26</f>
        <v>0.74</v>
      </c>
      <c r="N27" s="150"/>
    </row>
    <row r="28" customFormat="1" ht="14.25" hidden="1" spans="1:14">
      <c r="A28" t="s">
        <v>18</v>
      </c>
      <c r="B28" s="148" t="s">
        <v>44</v>
      </c>
      <c r="C28" s="149" t="str">
        <f t="shared" si="1"/>
        <v>2021.09月Perfect Paypal流水(镜柜)：计提营运费</v>
      </c>
      <c r="D28" s="457"/>
      <c r="E28" s="457"/>
      <c r="F28" s="457"/>
      <c r="G28" s="149" t="s">
        <v>63</v>
      </c>
      <c r="H28" s="149" t="s">
        <v>64</v>
      </c>
      <c r="I28" s="457"/>
      <c r="J28" s="472"/>
      <c r="K28" s="472"/>
      <c r="L28" s="472"/>
      <c r="M28" s="73">
        <f>ROUND(J5,2)</f>
        <v>0.62</v>
      </c>
      <c r="N28" s="151"/>
    </row>
    <row r="29" customFormat="1" ht="15" hidden="1" spans="1:13">
      <c r="A29" t="s">
        <v>18</v>
      </c>
      <c r="B29" s="148" t="s">
        <v>44</v>
      </c>
      <c r="C29" s="149" t="str">
        <f t="shared" si="1"/>
        <v>2021.09月Perfect Paypal流水(镜柜)：计提营运费</v>
      </c>
      <c r="D29" s="457"/>
      <c r="E29" s="457"/>
      <c r="F29" s="457"/>
      <c r="G29" s="37" t="s">
        <v>59</v>
      </c>
      <c r="H29" s="37" t="s">
        <v>60</v>
      </c>
      <c r="I29" s="457"/>
      <c r="J29" s="472"/>
      <c r="K29" s="472"/>
      <c r="L29" s="472"/>
      <c r="M29" s="150">
        <f>-M28</f>
        <v>-0.62</v>
      </c>
    </row>
    <row r="30" customFormat="1" ht="14.25" hidden="1" spans="1:14">
      <c r="A30" t="s">
        <v>20</v>
      </c>
      <c r="B30" s="144" t="s">
        <v>15</v>
      </c>
      <c r="C30" s="145" t="str">
        <f t="shared" si="1"/>
        <v>2021.09月Perfect Paypal流水(五金)：order</v>
      </c>
      <c r="D30" s="291"/>
      <c r="E30" s="291"/>
      <c r="F30" s="291"/>
      <c r="G30" s="145" t="s">
        <v>231</v>
      </c>
      <c r="H30" s="145" t="s">
        <v>232</v>
      </c>
      <c r="I30" s="469"/>
      <c r="J30" s="291"/>
      <c r="K30" s="291"/>
      <c r="L30" s="291"/>
      <c r="M30" s="172">
        <f>ROUND(SUM(M7:O7),2)</f>
        <v>0</v>
      </c>
      <c r="N30" s="204"/>
    </row>
    <row r="31" customFormat="1" ht="14.25" hidden="1" spans="1:14">
      <c r="A31" t="s">
        <v>20</v>
      </c>
      <c r="B31" s="148" t="s">
        <v>7</v>
      </c>
      <c r="C31" s="149" t="str">
        <f t="shared" si="1"/>
        <v>2021.09月Perfect Paypal流水(五金)：不含税</v>
      </c>
      <c r="D31" s="457"/>
      <c r="E31" s="457"/>
      <c r="F31" s="457"/>
      <c r="G31" s="37" t="s">
        <v>65</v>
      </c>
      <c r="H31" s="37" t="s">
        <v>66</v>
      </c>
      <c r="I31" s="470"/>
      <c r="J31" s="471"/>
      <c r="K31" s="471"/>
      <c r="L31" s="471"/>
      <c r="M31" s="73">
        <f>-ROUND(F7,2)</f>
        <v>16.67</v>
      </c>
      <c r="N31" s="448"/>
    </row>
    <row r="32" customFormat="1" ht="14.25" hidden="1" spans="1:14">
      <c r="A32" t="s">
        <v>20</v>
      </c>
      <c r="B32" s="148" t="s">
        <v>31</v>
      </c>
      <c r="C32" s="149" t="str">
        <f t="shared" si="1"/>
        <v>2021.09月Perfect Paypal流水(五金)：税金</v>
      </c>
      <c r="D32" s="457"/>
      <c r="E32" s="457"/>
      <c r="F32" s="457"/>
      <c r="G32" s="149" t="s">
        <v>32</v>
      </c>
      <c r="H32" s="149" t="s">
        <v>33</v>
      </c>
      <c r="I32" s="457"/>
      <c r="J32" s="472"/>
      <c r="K32" s="472"/>
      <c r="L32" s="472"/>
      <c r="M32" s="73">
        <f>ROUND(M31*0.2,2)</f>
        <v>3.33</v>
      </c>
      <c r="N32" s="448"/>
    </row>
    <row r="33" customFormat="1" ht="26" hidden="1" customHeight="1" spans="1:14">
      <c r="A33" t="s">
        <v>20</v>
      </c>
      <c r="B33" s="148" t="s">
        <v>3</v>
      </c>
      <c r="C33" s="149" t="str">
        <f t="shared" si="1"/>
        <v>2021.09月Perfect Paypal流水(五金)：refund</v>
      </c>
      <c r="D33" s="457"/>
      <c r="E33" s="457"/>
      <c r="F33" s="457"/>
      <c r="G33" s="149" t="s">
        <v>229</v>
      </c>
      <c r="H33" s="457" t="s">
        <v>230</v>
      </c>
      <c r="I33" s="457"/>
      <c r="J33" s="472"/>
      <c r="K33" s="472"/>
      <c r="L33" s="472"/>
      <c r="M33" s="73"/>
      <c r="N33" s="151">
        <f>-ROUND(P7+R7,2)</f>
        <v>20</v>
      </c>
    </row>
    <row r="34" customFormat="1" ht="14.25" hidden="1" spans="1:14">
      <c r="A34" t="s">
        <v>20</v>
      </c>
      <c r="B34" s="148" t="s">
        <v>3</v>
      </c>
      <c r="C34" s="149" t="str">
        <f t="shared" si="1"/>
        <v>2021.09月Perfect Paypal流水(五金)：refund</v>
      </c>
      <c r="D34" s="457"/>
      <c r="E34" s="457"/>
      <c r="F34" s="457"/>
      <c r="G34" s="149" t="s">
        <v>149</v>
      </c>
      <c r="H34" s="149" t="s">
        <v>150</v>
      </c>
      <c r="I34" s="457"/>
      <c r="J34" s="472"/>
      <c r="K34" s="472"/>
      <c r="L34" s="472"/>
      <c r="M34" s="73"/>
      <c r="N34" s="151">
        <f>-ROUND(Q7+S7,2)</f>
        <v>0</v>
      </c>
    </row>
    <row r="35" customFormat="1" ht="14.25" hidden="1" spans="1:14">
      <c r="A35" t="s">
        <v>20</v>
      </c>
      <c r="B35" s="148" t="s">
        <v>212</v>
      </c>
      <c r="C35" s="149" t="str">
        <f t="shared" si="1"/>
        <v>2021.09月Perfect Paypal流水(五金)：ebay费</v>
      </c>
      <c r="D35" s="457"/>
      <c r="E35" s="457"/>
      <c r="F35" s="457"/>
      <c r="G35" s="149" t="s">
        <v>67</v>
      </c>
      <c r="H35" s="149" t="s">
        <v>68</v>
      </c>
      <c r="I35" s="457"/>
      <c r="J35" s="472"/>
      <c r="K35" s="472"/>
      <c r="L35" s="472"/>
      <c r="M35" s="73">
        <f>ROUND(I7,2)</f>
        <v>0</v>
      </c>
      <c r="N35" s="151"/>
    </row>
    <row r="36" customFormat="1" ht="14.25" hidden="1" spans="1:14">
      <c r="A36" t="s">
        <v>20</v>
      </c>
      <c r="B36" s="148" t="s">
        <v>212</v>
      </c>
      <c r="C36" s="149" t="str">
        <f t="shared" si="1"/>
        <v>2021.09月Perfect Paypal流水(五金)：ebay费</v>
      </c>
      <c r="D36" s="457"/>
      <c r="E36" s="457"/>
      <c r="F36" s="457"/>
      <c r="G36" s="37" t="s">
        <v>65</v>
      </c>
      <c r="H36" s="37" t="s">
        <v>66</v>
      </c>
      <c r="I36" s="457"/>
      <c r="J36" s="472"/>
      <c r="K36" s="472"/>
      <c r="L36" s="472"/>
      <c r="M36" s="71"/>
      <c r="N36" s="151">
        <f>M35</f>
        <v>0</v>
      </c>
    </row>
    <row r="37" customFormat="1" ht="14.25" hidden="1" spans="1:14">
      <c r="A37" t="s">
        <v>20</v>
      </c>
      <c r="B37" s="148" t="s">
        <v>166</v>
      </c>
      <c r="C37" s="149" t="str">
        <f t="shared" si="1"/>
        <v>2021.09月Perfect Paypal流水(五金)：手续费</v>
      </c>
      <c r="D37" s="457"/>
      <c r="E37" s="457"/>
      <c r="F37" s="457"/>
      <c r="G37" s="149" t="s">
        <v>215</v>
      </c>
      <c r="H37" s="149" t="s">
        <v>216</v>
      </c>
      <c r="I37" s="457"/>
      <c r="J37" s="472"/>
      <c r="K37" s="472"/>
      <c r="L37" s="472"/>
      <c r="M37" s="71">
        <f>ROUND(G7+H7,2)</f>
        <v>0</v>
      </c>
      <c r="N37" s="151"/>
    </row>
    <row r="38" customFormat="1" ht="14.25" hidden="1" spans="1:14">
      <c r="A38" t="s">
        <v>20</v>
      </c>
      <c r="B38" s="148" t="s">
        <v>166</v>
      </c>
      <c r="C38" s="149" t="str">
        <f t="shared" si="1"/>
        <v>2021.09月Perfect Paypal流水(五金)：手续费</v>
      </c>
      <c r="D38" s="457"/>
      <c r="E38" s="457"/>
      <c r="F38" s="457"/>
      <c r="G38" s="37" t="s">
        <v>65</v>
      </c>
      <c r="H38" s="37" t="s">
        <v>66</v>
      </c>
      <c r="I38" s="457"/>
      <c r="J38" s="472"/>
      <c r="K38" s="472"/>
      <c r="L38" s="472"/>
      <c r="M38" s="71">
        <f>-M37</f>
        <v>0</v>
      </c>
      <c r="N38" s="151"/>
    </row>
    <row r="39" customFormat="1" ht="14.25" hidden="1" spans="1:14">
      <c r="A39" t="s">
        <v>20</v>
      </c>
      <c r="B39" s="148" t="s">
        <v>44</v>
      </c>
      <c r="C39" s="149" t="str">
        <f t="shared" si="1"/>
        <v>2021.09月Perfect Paypal流水(五金)：计提营运费</v>
      </c>
      <c r="D39" s="457"/>
      <c r="E39" s="457"/>
      <c r="F39" s="457"/>
      <c r="G39" s="149" t="s">
        <v>69</v>
      </c>
      <c r="H39" s="149" t="s">
        <v>70</v>
      </c>
      <c r="I39" s="457"/>
      <c r="J39" s="472"/>
      <c r="K39" s="472"/>
      <c r="L39" s="472"/>
      <c r="M39" s="73">
        <f>ROUND(J7,2)</f>
        <v>0.83</v>
      </c>
      <c r="N39" s="151"/>
    </row>
    <row r="40" customFormat="1" ht="15" hidden="1" spans="1:14">
      <c r="A40" s="550" t="s">
        <v>20</v>
      </c>
      <c r="B40" s="458" t="s">
        <v>44</v>
      </c>
      <c r="C40" s="162" t="str">
        <f t="shared" si="1"/>
        <v>2021.09月Perfect Paypal流水(五金)：计提营运费</v>
      </c>
      <c r="D40" s="459"/>
      <c r="E40" s="459"/>
      <c r="F40" s="459"/>
      <c r="G40" s="185" t="s">
        <v>65</v>
      </c>
      <c r="H40" s="185" t="s">
        <v>66</v>
      </c>
      <c r="I40" s="459"/>
      <c r="J40" s="294"/>
      <c r="K40" s="294"/>
      <c r="L40" s="294"/>
      <c r="M40" s="404"/>
      <c r="N40" s="207">
        <f>M39</f>
        <v>0.83</v>
      </c>
    </row>
    <row r="41" customFormat="1" ht="15" hidden="1" spans="1:14">
      <c r="A41" t="s">
        <v>19</v>
      </c>
      <c r="B41" s="148" t="s">
        <v>15</v>
      </c>
      <c r="C41" s="149" t="str">
        <f t="shared" si="1"/>
        <v>2021.09月Perfect Paypal流水(水龙头)：order</v>
      </c>
      <c r="D41" s="472"/>
      <c r="E41" s="472"/>
      <c r="F41" s="472"/>
      <c r="G41" s="149" t="s">
        <v>231</v>
      </c>
      <c r="H41" s="149" t="s">
        <v>232</v>
      </c>
      <c r="I41" s="457"/>
      <c r="J41" s="472"/>
      <c r="K41" s="472"/>
      <c r="L41" s="472"/>
      <c r="M41" s="73"/>
      <c r="N41" s="151"/>
    </row>
    <row r="42" customFormat="1" ht="14.25" hidden="1" spans="1:13">
      <c r="A42" t="s">
        <v>19</v>
      </c>
      <c r="B42" s="148" t="s">
        <v>7</v>
      </c>
      <c r="C42" s="149" t="str">
        <f t="shared" si="1"/>
        <v>2021.09月Perfect Paypal流水(水龙头)：不含税</v>
      </c>
      <c r="D42" s="457"/>
      <c r="E42" s="457"/>
      <c r="F42" s="457"/>
      <c r="G42" s="37" t="s">
        <v>71</v>
      </c>
      <c r="H42" s="37" t="s">
        <v>72</v>
      </c>
      <c r="I42" s="470"/>
      <c r="J42" s="471"/>
      <c r="K42" s="471"/>
      <c r="L42" s="471"/>
      <c r="M42" s="150">
        <f>-ROUND(F6,2)</f>
        <v>0</v>
      </c>
    </row>
    <row r="43" customFormat="1" ht="14.25" hidden="1" spans="1:13">
      <c r="A43" t="s">
        <v>19</v>
      </c>
      <c r="B43" s="148" t="s">
        <v>31</v>
      </c>
      <c r="C43" s="149" t="str">
        <f t="shared" si="1"/>
        <v>2021.09月Perfect Paypal流水(水龙头)：税金</v>
      </c>
      <c r="D43" s="457"/>
      <c r="E43" s="457"/>
      <c r="F43" s="457"/>
      <c r="G43" s="149" t="s">
        <v>32</v>
      </c>
      <c r="H43" s="149" t="s">
        <v>33</v>
      </c>
      <c r="I43" s="457"/>
      <c r="J43" s="472"/>
      <c r="K43" s="472"/>
      <c r="L43" s="472"/>
      <c r="M43" s="151">
        <f>ROUND(M42*0.2,2)</f>
        <v>0</v>
      </c>
    </row>
    <row r="44" customFormat="1" ht="14.25" hidden="1" spans="1:14">
      <c r="A44" t="s">
        <v>19</v>
      </c>
      <c r="B44" s="148" t="s">
        <v>3</v>
      </c>
      <c r="C44" s="149" t="str">
        <f t="shared" si="1"/>
        <v>2021.09月Perfect Paypal流水(水龙头)：refund</v>
      </c>
      <c r="D44" s="457"/>
      <c r="E44" s="457"/>
      <c r="F44" s="457"/>
      <c r="G44" s="149" t="s">
        <v>229</v>
      </c>
      <c r="H44" s="457" t="s">
        <v>230</v>
      </c>
      <c r="I44" s="457"/>
      <c r="J44" s="472"/>
      <c r="K44" s="472"/>
      <c r="L44" s="472"/>
      <c r="M44" s="73"/>
      <c r="N44" s="151">
        <f>-ROUND(T6+V6,2)</f>
        <v>0</v>
      </c>
    </row>
    <row r="45" customFormat="1" ht="14.25" hidden="1" spans="1:13">
      <c r="A45" t="s">
        <v>19</v>
      </c>
      <c r="B45" s="148" t="s">
        <v>3</v>
      </c>
      <c r="C45" s="149" t="str">
        <f t="shared" si="1"/>
        <v>2021.09月Perfect Paypal流水(水龙头)：refund</v>
      </c>
      <c r="D45" s="457"/>
      <c r="E45" s="457"/>
      <c r="F45" s="457"/>
      <c r="G45" s="149" t="s">
        <v>149</v>
      </c>
      <c r="H45" s="149" t="s">
        <v>150</v>
      </c>
      <c r="I45" s="457"/>
      <c r="J45" s="472"/>
      <c r="K45" s="472"/>
      <c r="L45" s="472"/>
      <c r="M45" s="73"/>
    </row>
    <row r="46" customFormat="1" ht="14.25" hidden="1" spans="1:14">
      <c r="A46" t="s">
        <v>19</v>
      </c>
      <c r="B46" s="148" t="s">
        <v>212</v>
      </c>
      <c r="C46" s="149" t="str">
        <f t="shared" si="1"/>
        <v>2021.09月Perfect Paypal流水(水龙头)：ebay费</v>
      </c>
      <c r="D46" s="457"/>
      <c r="E46" s="457"/>
      <c r="F46" s="457"/>
      <c r="G46" s="149" t="s">
        <v>73</v>
      </c>
      <c r="H46" s="149" t="s">
        <v>74</v>
      </c>
      <c r="I46" s="457"/>
      <c r="J46" s="472"/>
      <c r="K46" s="472"/>
      <c r="L46" s="472"/>
      <c r="M46" s="73">
        <f>ROUND(I6,2)</f>
        <v>0</v>
      </c>
      <c r="N46" s="151"/>
    </row>
    <row r="47" customFormat="1" ht="14.25" hidden="1" spans="1:14">
      <c r="A47" t="s">
        <v>19</v>
      </c>
      <c r="B47" s="148" t="s">
        <v>212</v>
      </c>
      <c r="C47" s="149" t="str">
        <f t="shared" si="1"/>
        <v>2021.09月Perfect Paypal流水(水龙头)：ebay费</v>
      </c>
      <c r="D47" s="457"/>
      <c r="E47" s="457"/>
      <c r="F47" s="457"/>
      <c r="G47" s="37" t="s">
        <v>71</v>
      </c>
      <c r="H47" s="37" t="s">
        <v>72</v>
      </c>
      <c r="I47" s="457"/>
      <c r="J47" s="472"/>
      <c r="K47" s="472"/>
      <c r="L47" s="472"/>
      <c r="M47" s="71"/>
      <c r="N47" s="151">
        <f>M46</f>
        <v>0</v>
      </c>
    </row>
    <row r="48" customFormat="1" ht="14.25" hidden="1" spans="1:14">
      <c r="A48" t="s">
        <v>19</v>
      </c>
      <c r="B48" s="148" t="s">
        <v>166</v>
      </c>
      <c r="C48" s="149" t="str">
        <f t="shared" si="1"/>
        <v>2021.09月Perfect Paypal流水(水龙头)：手续费</v>
      </c>
      <c r="D48" s="457"/>
      <c r="E48" s="457"/>
      <c r="F48" s="457"/>
      <c r="G48" s="149" t="s">
        <v>217</v>
      </c>
      <c r="H48" s="149" t="s">
        <v>218</v>
      </c>
      <c r="I48" s="457"/>
      <c r="J48" s="472"/>
      <c r="K48" s="472"/>
      <c r="L48" s="472"/>
      <c r="M48" s="71">
        <f>ROUND(G6+H6,2)</f>
        <v>0</v>
      </c>
      <c r="N48" s="151"/>
    </row>
    <row r="49" customFormat="1" ht="14.25" hidden="1" spans="1:14">
      <c r="A49" t="s">
        <v>19</v>
      </c>
      <c r="B49" s="148" t="s">
        <v>166</v>
      </c>
      <c r="C49" s="149" t="str">
        <f t="shared" si="1"/>
        <v>2021.09月Perfect Paypal流水(水龙头)：手续费</v>
      </c>
      <c r="D49" s="457"/>
      <c r="E49" s="457"/>
      <c r="F49" s="457"/>
      <c r="G49" s="37" t="s">
        <v>71</v>
      </c>
      <c r="H49" s="37" t="s">
        <v>72</v>
      </c>
      <c r="I49" s="457"/>
      <c r="J49" s="472"/>
      <c r="K49" s="472"/>
      <c r="L49" s="472"/>
      <c r="M49" s="71">
        <f>-M48</f>
        <v>0</v>
      </c>
      <c r="N49" s="151"/>
    </row>
    <row r="50" customFormat="1" ht="14.25" hidden="1" spans="1:14">
      <c r="A50" t="s">
        <v>19</v>
      </c>
      <c r="B50" s="148" t="s">
        <v>44</v>
      </c>
      <c r="C50" s="149" t="str">
        <f t="shared" si="1"/>
        <v>2021.09月Perfect Paypal流水(水龙头)：计提营运费</v>
      </c>
      <c r="D50" s="457"/>
      <c r="E50" s="457"/>
      <c r="F50" s="457"/>
      <c r="G50" s="149" t="s">
        <v>75</v>
      </c>
      <c r="H50" s="149" t="s">
        <v>76</v>
      </c>
      <c r="I50" s="457"/>
      <c r="J50" s="472"/>
      <c r="K50" s="472"/>
      <c r="L50" s="472"/>
      <c r="M50" s="73">
        <f>ROUND(J6,2)</f>
        <v>0</v>
      </c>
      <c r="N50" s="151"/>
    </row>
    <row r="51" customFormat="1" ht="15" hidden="1" spans="1:13">
      <c r="A51" t="s">
        <v>19</v>
      </c>
      <c r="B51" s="458" t="s">
        <v>44</v>
      </c>
      <c r="C51" s="162" t="str">
        <f t="shared" si="1"/>
        <v>2021.09月Perfect Paypal流水(水龙头)：计提营运费</v>
      </c>
      <c r="D51" s="459"/>
      <c r="E51" s="459"/>
      <c r="F51" s="459"/>
      <c r="G51" s="185" t="s">
        <v>71</v>
      </c>
      <c r="H51" s="185" t="s">
        <v>72</v>
      </c>
      <c r="I51" s="459"/>
      <c r="J51" s="294"/>
      <c r="K51" s="294"/>
      <c r="L51" s="294"/>
      <c r="M51" s="207">
        <f>-M50</f>
        <v>0</v>
      </c>
    </row>
    <row r="52" ht="29" customHeight="1" spans="13:15">
      <c r="M52">
        <f>SUM(M16:M51)</f>
        <v>308.85</v>
      </c>
      <c r="N52">
        <f>SUM(N16:N51)</f>
        <v>308.85</v>
      </c>
      <c r="O52">
        <f>M52-N52</f>
        <v>0</v>
      </c>
    </row>
    <row r="55" ht="14.25"/>
    <row r="56" ht="14.25" spans="2:15">
      <c r="B56" s="452" t="s">
        <v>15</v>
      </c>
      <c r="C56" s="453" t="str">
        <f>$A$13&amp;$A$14&amp;"："&amp;B56</f>
        <v>2021.09月Perfect Paypal流水：order</v>
      </c>
      <c r="D56" s="453"/>
      <c r="E56" s="453"/>
      <c r="F56" s="453"/>
      <c r="G56" s="431" t="str">
        <f ca="1">INDEX(P:P,MATCH("order",$P:$P,0)+1)</f>
        <v>1122.001.007</v>
      </c>
      <c r="H56" s="431" t="str">
        <f ca="1">INDEX(Q:Q,MATCH("order",$P:$P,0)+1)</f>
        <v>应收账款 - 应收销售平台款 - Perfect Paypal流水</v>
      </c>
      <c r="I56" s="467"/>
      <c r="J56" s="453"/>
      <c r="K56" s="453"/>
      <c r="L56" s="453"/>
      <c r="M56" s="315">
        <f>ROUND(SUM(M10:O11),2)</f>
        <v>273.02</v>
      </c>
      <c r="N56" s="316"/>
      <c r="O56" s="31">
        <f ca="1">SUM(M56:M$70)-SUM(N56:N$70)</f>
        <v>0</v>
      </c>
    </row>
    <row r="57" ht="15" spans="2:15">
      <c r="B57" s="454" t="s">
        <v>15</v>
      </c>
      <c r="C57" s="455" t="str">
        <f>$A$13&amp;$A$14&amp;"："&amp;B57</f>
        <v>2021.09月Perfect Paypal流水：order</v>
      </c>
      <c r="D57" s="455"/>
      <c r="E57" s="455"/>
      <c r="F57" s="455"/>
      <c r="G57" s="456" t="str">
        <f ca="1">INDEX(P:P,MATCH("order",$P:$P,0)+2)</f>
        <v>2203.07.007</v>
      </c>
      <c r="H57" s="456" t="str">
        <f ca="1">INDEX(Q:Q,MATCH("order",$P:$P,0)+2)</f>
        <v>预收账款 - 预收销售平台款 - 预收 Perfect paypal流水</v>
      </c>
      <c r="I57" s="468"/>
      <c r="J57" s="455"/>
      <c r="K57" s="455"/>
      <c r="L57" s="455"/>
      <c r="M57" s="54"/>
      <c r="N57" s="206">
        <f>M56</f>
        <v>273.02</v>
      </c>
      <c r="O57" s="31">
        <f ca="1">SUM(M57:M$70)-SUM(N57:N$70)</f>
        <v>-273.02</v>
      </c>
    </row>
    <row r="58" ht="14.25" spans="1:15">
      <c r="A58" t="s">
        <v>18</v>
      </c>
      <c r="B58" s="144" t="s">
        <v>15</v>
      </c>
      <c r="C58" s="145" t="str">
        <f t="shared" ref="C58:C89" si="2">$A$13&amp;$A$14&amp;"("&amp;$A58&amp;")："&amp;B58</f>
        <v>2021.09月Perfect Paypal流水(镜柜)：order</v>
      </c>
      <c r="D58" s="291"/>
      <c r="E58" s="291"/>
      <c r="F58" s="291"/>
      <c r="G58" s="431" t="str">
        <f ca="1">INDEX(P:P,MATCH("order",$P:$P,0)+2)</f>
        <v>2203.07.007</v>
      </c>
      <c r="H58" s="431" t="str">
        <f ca="1">INDEX(Q:Q,MATCH("order",$P:$P,0)+2)</f>
        <v>预收账款 - 预收销售平台款 - 预收 Perfect paypal流水</v>
      </c>
      <c r="I58" s="469"/>
      <c r="J58" s="291"/>
      <c r="K58" s="291"/>
      <c r="L58" s="291"/>
      <c r="M58" s="172">
        <f ca="1">ROUND(SUM(OFFSET($A$1,MATCH($A58,$C$1:$C$11,0)-1,MATCH($B58,$1:$1,0)-1,,3))+OFFSET($A$1,MATCH($A58,$C$1:$C$11,0)-1,MATCH($B58,$1:$1,0)-1-8),2)</f>
        <v>15</v>
      </c>
      <c r="N58" s="204"/>
      <c r="O58" s="31">
        <f ca="1">SUM(M58:M$70)-SUM(N58:N$70)</f>
        <v>0</v>
      </c>
    </row>
    <row r="59" ht="14.25" spans="1:16">
      <c r="A59" t="s">
        <v>18</v>
      </c>
      <c r="B59" s="148" t="s">
        <v>7</v>
      </c>
      <c r="C59" s="149" t="str">
        <f t="shared" si="2"/>
        <v>2021.09月Perfect Paypal流水(镜柜)：不含税</v>
      </c>
      <c r="D59" s="457"/>
      <c r="E59" s="457"/>
      <c r="F59" s="457"/>
      <c r="G59" s="456" t="str">
        <f ca="1">INDEX(P:P,MATCH($A59,$P:$P,0)+1)</f>
        <v>1221.86</v>
      </c>
      <c r="H59" s="456" t="str">
        <f ca="1">INDEX(Q:Q,MATCH($A59,$P:$P,0)+1)</f>
        <v>其他应收款 - 事业部</v>
      </c>
      <c r="I59" s="470"/>
      <c r="J59" s="471"/>
      <c r="K59" s="471"/>
      <c r="L59" s="471"/>
      <c r="M59" s="456"/>
      <c r="N59" s="150">
        <f ca="1">ROUND(SUM(OFFSET($A$1,MATCH($A59,$C$1:$C$11,0)-1,MATCH($B59,$1:$1,0)-1)),2)</f>
        <v>-12.49</v>
      </c>
      <c r="O59" s="31">
        <f ca="1">SUM(M59:M$70)-SUM(N59:N$70)</f>
        <v>-15</v>
      </c>
      <c r="P59" t="s">
        <v>15</v>
      </c>
    </row>
    <row r="60" ht="14.25" spans="1:17">
      <c r="A60" t="s">
        <v>18</v>
      </c>
      <c r="B60" s="148" t="s">
        <v>31</v>
      </c>
      <c r="C60" s="149" t="str">
        <f t="shared" si="2"/>
        <v>2021.09月Perfect Paypal流水(镜柜)：税金</v>
      </c>
      <c r="D60" s="457"/>
      <c r="E60" s="457"/>
      <c r="F60" s="457"/>
      <c r="G60" s="456" t="str">
        <f ca="1">INDEX(P:P,MATCH("order",$P:$P,0)+3)</f>
        <v>2221</v>
      </c>
      <c r="H60" s="456" t="str">
        <f ca="1">INDEX(Q:Q,MATCH("order",$P:$P,0)+3)</f>
        <v>应交税费</v>
      </c>
      <c r="I60" s="457"/>
      <c r="J60" s="472"/>
      <c r="K60" s="472"/>
      <c r="L60" s="472"/>
      <c r="M60" s="456"/>
      <c r="N60" s="151">
        <f ca="1">ROUND(N59*0.2,2)</f>
        <v>-2.5</v>
      </c>
      <c r="O60" s="31">
        <f ca="1">SUM(M60:M$70)-SUM(N60:N$70)</f>
        <v>-27.49</v>
      </c>
      <c r="P60" t="s">
        <v>229</v>
      </c>
      <c r="Q60" t="s">
        <v>230</v>
      </c>
    </row>
    <row r="61" ht="14.25" spans="1:17">
      <c r="A61" t="s">
        <v>18</v>
      </c>
      <c r="B61" s="148" t="s">
        <v>3</v>
      </c>
      <c r="C61" s="149" t="str">
        <f t="shared" si="2"/>
        <v>2021.09月Perfect Paypal流水(镜柜)：refund</v>
      </c>
      <c r="D61" s="457"/>
      <c r="E61" s="457"/>
      <c r="F61" s="457"/>
      <c r="G61" s="456" t="str">
        <f ca="1">INDEX(P:P,MATCH("order",$P:$P,0)+1)</f>
        <v>1122.001.007</v>
      </c>
      <c r="H61" s="456" t="str">
        <f ca="1">INDEX(Q:Q,MATCH("order",$P:$P,0)+1)</f>
        <v>应收账款 - 应收销售平台款 - Perfect Paypal流水</v>
      </c>
      <c r="I61" s="457"/>
      <c r="J61" s="472"/>
      <c r="K61" s="472"/>
      <c r="L61" s="472"/>
      <c r="M61" s="73"/>
      <c r="N61" s="150">
        <f ca="1">ROUND(-SUM(OFFSET($A$1,MATCH($A61,$C$1:$C$11,0)-1,MATCH($B61,$1:$1,0)-1,,4)),2)</f>
        <v>29.99</v>
      </c>
      <c r="O61" s="31">
        <f ca="1">SUM(M61:M$70)-SUM(N61:N$70)</f>
        <v>-29.99</v>
      </c>
      <c r="P61" t="s">
        <v>231</v>
      </c>
      <c r="Q61" t="s">
        <v>232</v>
      </c>
    </row>
    <row r="62" ht="14.25" spans="1:17">
      <c r="A62" t="s">
        <v>18</v>
      </c>
      <c r="B62" s="148" t="s">
        <v>166</v>
      </c>
      <c r="C62" s="149" t="str">
        <f t="shared" si="2"/>
        <v>2021.09月Perfect Paypal流水(镜柜)：手续费</v>
      </c>
      <c r="D62" s="457"/>
      <c r="E62" s="457"/>
      <c r="F62" s="457"/>
      <c r="G62" s="456" t="str">
        <f ca="1">INDEX(P:P,MATCH($A62,$P:$P,0)+3)</f>
        <v>6603.002.01.03</v>
      </c>
      <c r="H62" s="456" t="str">
        <f ca="1">INDEX(Q:Q,MATCH($A62,$P:$P,0)+3)</f>
        <v>财务费用 - 收款平台手续费 - Paypal手续费 - 镜柜事业部-paypal手续费</v>
      </c>
      <c r="I62" s="457"/>
      <c r="J62" s="472"/>
      <c r="K62" s="472"/>
      <c r="L62" s="472"/>
      <c r="M62" s="71">
        <f ca="1">ROUND(SUM(OFFSET($A$1,MATCH($A62,$C$1:$C$11,0)-1,MATCH($B62,$1:$1,0)-1,,2)),2)</f>
        <v>-0.74</v>
      </c>
      <c r="N62" s="151"/>
      <c r="O62" s="31">
        <f ca="1">SUM(M62:M$70)-SUM(N62:N$70)</f>
        <v>0</v>
      </c>
      <c r="P62" t="s">
        <v>32</v>
      </c>
      <c r="Q62" t="s">
        <v>33</v>
      </c>
    </row>
    <row r="63" ht="14.25" spans="1:15">
      <c r="A63" t="s">
        <v>18</v>
      </c>
      <c r="B63" s="148" t="s">
        <v>166</v>
      </c>
      <c r="C63" s="149" t="str">
        <f t="shared" si="2"/>
        <v>2021.09月Perfect Paypal流水(镜柜)：手续费</v>
      </c>
      <c r="D63" s="457"/>
      <c r="E63" s="457"/>
      <c r="F63" s="457"/>
      <c r="G63" s="456" t="str">
        <f ca="1">INDEX(P:P,MATCH($A63,$P:$P,0)+1)</f>
        <v>1221.86</v>
      </c>
      <c r="H63" s="456" t="str">
        <f ca="1">INDEX(Q:Q,MATCH($A63,$P:$P,0)+1)</f>
        <v>其他应收款 - 事业部</v>
      </c>
      <c r="I63" s="457"/>
      <c r="J63" s="472"/>
      <c r="K63" s="472"/>
      <c r="L63" s="472"/>
      <c r="M63" s="73">
        <f ca="1">-M62</f>
        <v>0.74</v>
      </c>
      <c r="N63" s="150"/>
      <c r="O63" s="31">
        <f ca="1">SUM(M63:M$70)-SUM(N63:N$70)</f>
        <v>0.74</v>
      </c>
    </row>
    <row r="64" ht="14.25" spans="1:16">
      <c r="A64" t="s">
        <v>18</v>
      </c>
      <c r="B64" s="148" t="s">
        <v>79</v>
      </c>
      <c r="C64" s="149" t="str">
        <f t="shared" si="2"/>
        <v>2021.09月Perfect Paypal流水(镜柜)：营运费5%：</v>
      </c>
      <c r="D64" s="457"/>
      <c r="E64" s="457"/>
      <c r="F64" s="457"/>
      <c r="G64" s="456" t="str">
        <f ca="1">INDEX(P:P,MATCH($A64,$P:$P,0)+4)</f>
        <v>6601.006.002</v>
      </c>
      <c r="H64" s="456" t="str">
        <f ca="1">INDEX(Q:Q,MATCH($A64,$P:$P,0)+4)</f>
        <v>销售费用 - 事业部营运费 - 镜柜事业部-营运费</v>
      </c>
      <c r="I64" s="457"/>
      <c r="J64" s="472"/>
      <c r="K64" s="472"/>
      <c r="L64" s="472"/>
      <c r="M64" s="71">
        <f ca="1">ROUND(SUM(OFFSET($A$1,MATCH($A64,$C$1:$C$11,0)-1,MATCH($B64,$1:$1,0)-1)),2)</f>
        <v>0.62</v>
      </c>
      <c r="N64" s="151"/>
      <c r="O64" s="31">
        <f ca="1">SUM(M64:M$70)-SUM(N64:N$70)</f>
        <v>0</v>
      </c>
      <c r="P64" t="s">
        <v>83</v>
      </c>
    </row>
    <row r="65" ht="15" spans="1:17">
      <c r="A65" t="s">
        <v>18</v>
      </c>
      <c r="B65" s="458" t="s">
        <v>79</v>
      </c>
      <c r="C65" s="162" t="str">
        <f t="shared" si="2"/>
        <v>2021.09月Perfect Paypal流水(镜柜)：营运费5%：</v>
      </c>
      <c r="D65" s="459"/>
      <c r="E65" s="459"/>
      <c r="F65" s="459"/>
      <c r="G65" s="433" t="str">
        <f ca="1">INDEX(P:P,MATCH($A65,$P:$P,0)+1)</f>
        <v>1221.86</v>
      </c>
      <c r="H65" s="433" t="str">
        <f ca="1">INDEX(Q:Q,MATCH($A65,$P:$P,0)+1)</f>
        <v>其他应收款 - 事业部</v>
      </c>
      <c r="I65" s="459"/>
      <c r="J65" s="294"/>
      <c r="K65" s="294"/>
      <c r="L65" s="294"/>
      <c r="M65" s="404">
        <f ca="1">-M64</f>
        <v>-0.62</v>
      </c>
      <c r="N65" s="445"/>
      <c r="O65" s="31">
        <f ca="1">SUM(M65:M$70)-SUM(N65:N$70)</f>
        <v>-0.62</v>
      </c>
      <c r="P65" t="s">
        <v>121</v>
      </c>
      <c r="Q65" t="s">
        <v>122</v>
      </c>
    </row>
    <row r="66" ht="14.25" hidden="1" spans="1:17">
      <c r="A66" t="s">
        <v>20</v>
      </c>
      <c r="B66" s="144" t="s">
        <v>15</v>
      </c>
      <c r="C66" s="145" t="str">
        <f t="shared" si="2"/>
        <v>2021.09月Perfect Paypal流水(五金)：order</v>
      </c>
      <c r="D66" s="291"/>
      <c r="E66" s="291"/>
      <c r="F66" s="291"/>
      <c r="G66" s="431" t="str">
        <f ca="1">INDEX(P:P,MATCH("order",$P:$P,0)+2)</f>
        <v>2203.07.007</v>
      </c>
      <c r="H66" s="431" t="str">
        <f ca="1">INDEX(Q:Q,MATCH("order",$P:$P,0)+2)</f>
        <v>预收账款 - 预收销售平台款 - 预收 Perfect paypal流水</v>
      </c>
      <c r="I66" s="469"/>
      <c r="J66" s="291"/>
      <c r="K66" s="291"/>
      <c r="L66" s="291"/>
      <c r="M66" s="172">
        <f ca="1">ROUND(SUM(OFFSET($A$1,MATCH($A66,$C$1:$C$11,0)-1,MATCH($B66,$1:$1,0)-1,,3))+OFFSET($A$1,MATCH($A66,$C$1:$C$11,0)-1,MATCH($B66,$1:$1,0)-1-8),2)</f>
        <v>0</v>
      </c>
      <c r="N66" s="204"/>
      <c r="O66" s="31">
        <f ca="1">SUM(M66:M$70)-SUM(N66:N$70)</f>
        <v>0</v>
      </c>
      <c r="P66" t="s">
        <v>123</v>
      </c>
      <c r="Q66" t="s">
        <v>220</v>
      </c>
    </row>
    <row r="67" ht="14.25" spans="1:17">
      <c r="A67" t="s">
        <v>20</v>
      </c>
      <c r="B67" s="148" t="s">
        <v>7</v>
      </c>
      <c r="C67" s="149" t="str">
        <f t="shared" si="2"/>
        <v>2021.09月Perfect Paypal流水(五金)：不含税</v>
      </c>
      <c r="D67" s="457"/>
      <c r="E67" s="457"/>
      <c r="F67" s="457"/>
      <c r="G67" s="456" t="str">
        <f ca="1">INDEX(P:P,MATCH($A67,$P:$P,0)+1)</f>
        <v>1221.60</v>
      </c>
      <c r="H67" s="456" t="str">
        <f ca="1">INDEX(Q:Q,MATCH($A67,$P:$P,0)+1)</f>
        <v>其他应收款 - 拓展部五金部</v>
      </c>
      <c r="I67" s="470"/>
      <c r="J67" s="471"/>
      <c r="K67" s="471"/>
      <c r="L67" s="471"/>
      <c r="M67" s="456"/>
      <c r="N67" s="150">
        <f ca="1">ROUND(SUM(OFFSET($A$1,MATCH($A67,$C$1:$C$11,0)-1,MATCH($B67,$1:$1,0)-1)),2)</f>
        <v>-16.67</v>
      </c>
      <c r="O67" s="31">
        <f ca="1">SUM(M67:M$70)-SUM(N67:N$70)</f>
        <v>0</v>
      </c>
      <c r="P67" t="s">
        <v>221</v>
      </c>
      <c r="Q67" t="s">
        <v>222</v>
      </c>
    </row>
    <row r="68" ht="14.25" spans="1:17">
      <c r="A68" t="s">
        <v>20</v>
      </c>
      <c r="B68" s="148" t="s">
        <v>31</v>
      </c>
      <c r="C68" s="149" t="str">
        <f t="shared" si="2"/>
        <v>2021.09月Perfect Paypal流水(五金)：税金</v>
      </c>
      <c r="D68" s="457"/>
      <c r="E68" s="457"/>
      <c r="F68" s="457"/>
      <c r="G68" s="456" t="str">
        <f ca="1">INDEX(P:P,MATCH("order",$P:$P,0)+3)</f>
        <v>2221</v>
      </c>
      <c r="H68" s="456" t="str">
        <f ca="1">INDEX(Q:Q,MATCH("order",$P:$P,0)+3)</f>
        <v>应交税费</v>
      </c>
      <c r="I68" s="457"/>
      <c r="J68" s="472"/>
      <c r="K68" s="472"/>
      <c r="L68" s="472"/>
      <c r="M68" s="456"/>
      <c r="N68" s="151">
        <f ca="1">ROUND(N67*0.2,2)</f>
        <v>-3.33</v>
      </c>
      <c r="O68" s="31">
        <f ca="1">SUM(M68:M$70)-SUM(N68:N$70)</f>
        <v>-16.67</v>
      </c>
      <c r="P68" t="s">
        <v>125</v>
      </c>
      <c r="Q68" t="s">
        <v>223</v>
      </c>
    </row>
    <row r="69" ht="14.25" spans="1:15">
      <c r="A69" t="s">
        <v>20</v>
      </c>
      <c r="B69" s="148" t="s">
        <v>3</v>
      </c>
      <c r="C69" s="149" t="str">
        <f t="shared" si="2"/>
        <v>2021.09月Perfect Paypal流水(五金)：refund</v>
      </c>
      <c r="D69" s="457"/>
      <c r="E69" s="457"/>
      <c r="F69" s="457"/>
      <c r="G69" s="456" t="str">
        <f ca="1">INDEX(P:P,MATCH("order",$P:$P,0)+1)</f>
        <v>1122.001.007</v>
      </c>
      <c r="H69" s="456" t="str">
        <f ca="1">INDEX(Q:Q,MATCH("order",$P:$P,0)+1)</f>
        <v>应收账款 - 应收销售平台款 - Perfect Paypal流水</v>
      </c>
      <c r="I69" s="457"/>
      <c r="J69" s="472"/>
      <c r="K69" s="472"/>
      <c r="L69" s="472"/>
      <c r="M69" s="73"/>
      <c r="N69" s="150">
        <f ca="1">ROUND(-SUM(OFFSET($A$1,MATCH($A69,$C$1:$C$11,0)-1,MATCH($B69,$1:$1,0)-1,,4)),2)</f>
        <v>20</v>
      </c>
      <c r="O69" s="31">
        <f ca="1">SUM(M69:M$70)-SUM(N69:N$70)</f>
        <v>-20</v>
      </c>
    </row>
    <row r="70" ht="14.25" hidden="1" spans="1:16">
      <c r="A70" t="s">
        <v>20</v>
      </c>
      <c r="B70" s="148" t="s">
        <v>166</v>
      </c>
      <c r="C70" s="149" t="str">
        <f t="shared" si="2"/>
        <v>2021.09月Perfect Paypal流水(五金)：手续费</v>
      </c>
      <c r="D70" s="457"/>
      <c r="E70" s="457"/>
      <c r="F70" s="457"/>
      <c r="G70" s="456" t="str">
        <f ca="1">INDEX(P:P,MATCH($A70,$P:$P,0)+3)</f>
        <v>6603.002.01.02</v>
      </c>
      <c r="H70" s="456" t="str">
        <f ca="1">INDEX(Q:Q,MATCH($A70,$P:$P,0)+3)</f>
        <v>财务费用 - 收款平台手续费 - Paypal手续费 - 五金事业部-paypal手续费</v>
      </c>
      <c r="I70" s="457"/>
      <c r="J70" s="472"/>
      <c r="K70" s="472"/>
      <c r="L70" s="472"/>
      <c r="M70" s="71">
        <f ca="1">ROUND(SUM(OFFSET($A$1,MATCH($A70,$C$1:$C$11,0)-1,MATCH($B70,$1:$1,0)-1,,2)),2)</f>
        <v>0</v>
      </c>
      <c r="N70" s="151"/>
      <c r="O70" s="31">
        <f ca="1">SUM(M$70:M70)-SUM(N$70:N70)</f>
        <v>0</v>
      </c>
      <c r="P70" t="s">
        <v>19</v>
      </c>
    </row>
    <row r="71" ht="14.25" hidden="1" spans="1:17">
      <c r="A71" t="s">
        <v>20</v>
      </c>
      <c r="B71" s="148" t="s">
        <v>166</v>
      </c>
      <c r="C71" s="149" t="str">
        <f t="shared" si="2"/>
        <v>2021.09月Perfect Paypal流水(五金)：手续费</v>
      </c>
      <c r="D71" s="457"/>
      <c r="E71" s="457"/>
      <c r="F71" s="457"/>
      <c r="G71" s="456" t="str">
        <f ca="1">INDEX(P:P,MATCH($A71,$P:$P,0)+1)</f>
        <v>1221.60</v>
      </c>
      <c r="H71" s="456" t="str">
        <f ca="1">INDEX(Q:Q,MATCH($A71,$P:$P,0)+1)</f>
        <v>其他应收款 - 拓展部五金部</v>
      </c>
      <c r="I71" s="457"/>
      <c r="J71" s="472"/>
      <c r="K71" s="472"/>
      <c r="L71" s="472"/>
      <c r="M71" s="73">
        <f ca="1">-M70</f>
        <v>0</v>
      </c>
      <c r="N71" s="150"/>
      <c r="O71" s="31">
        <f ca="1">SUM(M$70:M71)-SUM(N$70:N71)</f>
        <v>0</v>
      </c>
      <c r="P71" t="s">
        <v>71</v>
      </c>
      <c r="Q71" t="s">
        <v>72</v>
      </c>
    </row>
    <row r="72" ht="14.25" spans="1:17">
      <c r="A72" t="s">
        <v>20</v>
      </c>
      <c r="B72" s="148" t="s">
        <v>79</v>
      </c>
      <c r="C72" s="149" t="str">
        <f t="shared" si="2"/>
        <v>2021.09月Perfect Paypal流水(五金)：营运费5%：</v>
      </c>
      <c r="D72" s="457"/>
      <c r="E72" s="457"/>
      <c r="F72" s="457"/>
      <c r="G72" s="456" t="str">
        <f ca="1">INDEX(P:P,MATCH($A72,$P:$P,0)+4)</f>
        <v>6601.006.001</v>
      </c>
      <c r="H72" s="456" t="str">
        <f ca="1">INDEX(Q:Q,MATCH($A72,$P:$P,0)+4)</f>
        <v>销售费用 - 事业部营运费 - 五金事业部-营运费</v>
      </c>
      <c r="I72" s="457"/>
      <c r="J72" s="472"/>
      <c r="K72" s="472"/>
      <c r="L72" s="472"/>
      <c r="M72" s="71">
        <f ca="1">ROUND(SUM(OFFSET($A$1,MATCH($A72,$C$1:$C$11,0)-1,MATCH($B72,$1:$1,0)-1)),2)</f>
        <v>0.83</v>
      </c>
      <c r="N72" s="151"/>
      <c r="O72" s="31">
        <f ca="1">SUM(M$70:M72)-SUM(N$70:N72)</f>
        <v>0.83</v>
      </c>
      <c r="P72" t="s">
        <v>73</v>
      </c>
      <c r="Q72" t="s">
        <v>74</v>
      </c>
    </row>
    <row r="73" ht="15" spans="1:17">
      <c r="A73" t="s">
        <v>20</v>
      </c>
      <c r="B73" s="458" t="s">
        <v>79</v>
      </c>
      <c r="C73" s="162" t="str">
        <f t="shared" si="2"/>
        <v>2021.09月Perfect Paypal流水(五金)：营运费5%：</v>
      </c>
      <c r="D73" s="459"/>
      <c r="E73" s="459"/>
      <c r="F73" s="459"/>
      <c r="G73" s="433" t="str">
        <f ca="1">INDEX(P:P,MATCH($A73,$P:$P,0)+1)</f>
        <v>1221.60</v>
      </c>
      <c r="H73" s="433" t="str">
        <f ca="1">INDEX(Q:Q,MATCH($A73,$P:$P,0)+1)</f>
        <v>其他应收款 - 拓展部五金部</v>
      </c>
      <c r="I73" s="459"/>
      <c r="J73" s="294"/>
      <c r="K73" s="294"/>
      <c r="L73" s="294"/>
      <c r="M73" s="404">
        <f ca="1">-M72</f>
        <v>-0.83</v>
      </c>
      <c r="N73" s="445"/>
      <c r="O73" s="31">
        <f ca="1">SUM(M$70:M73)-SUM(N$70:N73)</f>
        <v>0</v>
      </c>
      <c r="P73" t="s">
        <v>217</v>
      </c>
      <c r="Q73" t="s">
        <v>218</v>
      </c>
    </row>
    <row r="74" ht="14.25" hidden="1" spans="1:17">
      <c r="A74" t="s">
        <v>19</v>
      </c>
      <c r="B74" s="144" t="s">
        <v>15</v>
      </c>
      <c r="C74" s="145" t="str">
        <f t="shared" si="2"/>
        <v>2021.09月Perfect Paypal流水(水龙头)：order</v>
      </c>
      <c r="D74" s="291"/>
      <c r="E74" s="291"/>
      <c r="F74" s="291"/>
      <c r="G74" s="431" t="str">
        <f ca="1">INDEX(P:P,MATCH("order",$P:$P,0)+2)</f>
        <v>2203.07.007</v>
      </c>
      <c r="H74" s="431" t="str">
        <f ca="1">INDEX(Q:Q,MATCH("order",$P:$P,0)+2)</f>
        <v>预收账款 - 预收销售平台款 - 预收 Perfect paypal流水</v>
      </c>
      <c r="I74" s="469"/>
      <c r="J74" s="291"/>
      <c r="K74" s="291"/>
      <c r="L74" s="291"/>
      <c r="M74" s="172">
        <f ca="1">ROUND(SUM(OFFSET($A$1,MATCH($A74,$C$1:$C$11,0)-1,MATCH($B74,$1:$1,0)-1,,3))+OFFSET($A$1,MATCH($A74,$C$1:$C$11,0)-1,MATCH($B74,$1:$1,0)-1-8),2)</f>
        <v>0</v>
      </c>
      <c r="N74" s="204"/>
      <c r="O74" s="31">
        <f ca="1">SUM(M$70:M74)-SUM(N$70:N74)</f>
        <v>0</v>
      </c>
      <c r="P74" t="s">
        <v>75</v>
      </c>
      <c r="Q74" t="s">
        <v>76</v>
      </c>
    </row>
    <row r="75" ht="14.25" spans="1:15">
      <c r="A75" t="s">
        <v>19</v>
      </c>
      <c r="B75" s="148" t="s">
        <v>7</v>
      </c>
      <c r="C75" s="149" t="str">
        <f t="shared" si="2"/>
        <v>2021.09月Perfect Paypal流水(水龙头)：不含税</v>
      </c>
      <c r="D75" s="457"/>
      <c r="E75" s="457"/>
      <c r="F75" s="457"/>
      <c r="G75" s="456" t="str">
        <f ca="1">INDEX(P:P,MATCH($A75,$P:$P,0)+1)</f>
        <v>1221.100</v>
      </c>
      <c r="H75" s="456" t="str">
        <f ca="1">INDEX(Q:Q,MATCH($A75,$P:$P,0)+1)</f>
        <v>其他应收款 - 拓展部-水龙头</v>
      </c>
      <c r="I75" s="470"/>
      <c r="J75" s="471"/>
      <c r="K75" s="471"/>
      <c r="L75" s="471"/>
      <c r="M75" s="456"/>
      <c r="N75" s="150">
        <f ca="1">ROUND(SUM(OFFSET($A$1,MATCH($A75,$C$1:$C$11,0)-1,MATCH($B75,$1:$1,0)-1)),2)</f>
        <v>0</v>
      </c>
      <c r="O75" s="31">
        <f ca="1">SUM(M$70:M75)-SUM(N$70:N75)</f>
        <v>0</v>
      </c>
    </row>
    <row r="76" ht="14.25" spans="1:16">
      <c r="A76" t="s">
        <v>19</v>
      </c>
      <c r="B76" s="148" t="s">
        <v>31</v>
      </c>
      <c r="C76" s="149" t="str">
        <f t="shared" si="2"/>
        <v>2021.09月Perfect Paypal流水(水龙头)：税金</v>
      </c>
      <c r="D76" s="457"/>
      <c r="E76" s="457"/>
      <c r="F76" s="457"/>
      <c r="G76" s="456" t="str">
        <f ca="1">INDEX(P:P,MATCH("order",$P:$P,0)+3)</f>
        <v>2221</v>
      </c>
      <c r="H76" s="456" t="str">
        <f ca="1">INDEX(Q:Q,MATCH("order",$P:$P,0)+3)</f>
        <v>应交税费</v>
      </c>
      <c r="I76" s="457"/>
      <c r="J76" s="472"/>
      <c r="K76" s="472"/>
      <c r="L76" s="472"/>
      <c r="M76" s="456"/>
      <c r="N76" s="151">
        <f ca="1">ROUND(N75*0.2,2)</f>
        <v>0</v>
      </c>
      <c r="O76" s="31">
        <f ca="1">SUM(M$70:M76)-SUM(N$70:N76)</f>
        <v>0</v>
      </c>
      <c r="P76" t="s">
        <v>20</v>
      </c>
    </row>
    <row r="77" ht="14.25" spans="1:17">
      <c r="A77" t="s">
        <v>19</v>
      </c>
      <c r="B77" s="148" t="s">
        <v>3</v>
      </c>
      <c r="C77" s="149" t="str">
        <f t="shared" si="2"/>
        <v>2021.09月Perfect Paypal流水(水龙头)：refund</v>
      </c>
      <c r="D77" s="457"/>
      <c r="E77" s="457"/>
      <c r="F77" s="457"/>
      <c r="G77" s="456" t="str">
        <f ca="1">INDEX(P:P,MATCH("order",$P:$P,0)+1)</f>
        <v>1122.001.007</v>
      </c>
      <c r="H77" s="456" t="str">
        <f ca="1">INDEX(Q:Q,MATCH("order",$P:$P,0)+1)</f>
        <v>应收账款 - 应收销售平台款 - Perfect Paypal流水</v>
      </c>
      <c r="I77" s="457"/>
      <c r="J77" s="472"/>
      <c r="K77" s="472"/>
      <c r="L77" s="472"/>
      <c r="M77" s="73"/>
      <c r="N77" s="150">
        <f ca="1">ROUND(-SUM(OFFSET($A$1,MATCH($A77,$C$1:$C$11,0)-1,MATCH($B77,$1:$1,0)-1,,4)),2)</f>
        <v>0</v>
      </c>
      <c r="O77" s="31">
        <f ca="1">SUM(M$70:M77)-SUM(N$70:N77)</f>
        <v>0</v>
      </c>
      <c r="P77" t="s">
        <v>65</v>
      </c>
      <c r="Q77" t="s">
        <v>66</v>
      </c>
    </row>
    <row r="78" ht="14.25" hidden="1" spans="1:17">
      <c r="A78" t="s">
        <v>19</v>
      </c>
      <c r="B78" s="148" t="s">
        <v>166</v>
      </c>
      <c r="C78" s="149" t="str">
        <f t="shared" si="2"/>
        <v>2021.09月Perfect Paypal流水(水龙头)：手续费</v>
      </c>
      <c r="D78" s="457"/>
      <c r="E78" s="457"/>
      <c r="F78" s="457"/>
      <c r="G78" s="456" t="str">
        <f ca="1">INDEX(P:P,MATCH($A78,$P:$P,0)+3)</f>
        <v>6603.002.01.04</v>
      </c>
      <c r="H78" s="456" t="str">
        <f ca="1">INDEX(Q:Q,MATCH($A78,$P:$P,0)+3)</f>
        <v>财务费用 - 收款平台手续费 - Paypal手续费 - 水龙头事业部-paypal手续费</v>
      </c>
      <c r="I78" s="457"/>
      <c r="J78" s="472"/>
      <c r="K78" s="472"/>
      <c r="L78" s="472"/>
      <c r="M78" s="71">
        <f ca="1">ROUND(SUM(OFFSET($A$1,MATCH($A78,$C$1:$C$11,0)-1,MATCH($B78,$1:$1,0)-1,,2)),2)</f>
        <v>0</v>
      </c>
      <c r="N78" s="151"/>
      <c r="O78" s="31">
        <f ca="1">SUM(M$70:M78)-SUM(N$70:N78)</f>
        <v>0</v>
      </c>
      <c r="P78" t="s">
        <v>67</v>
      </c>
      <c r="Q78" t="s">
        <v>68</v>
      </c>
    </row>
    <row r="79" ht="14.25" hidden="1" spans="1:17">
      <c r="A79" t="s">
        <v>19</v>
      </c>
      <c r="B79" s="148" t="s">
        <v>166</v>
      </c>
      <c r="C79" s="149" t="str">
        <f t="shared" si="2"/>
        <v>2021.09月Perfect Paypal流水(水龙头)：手续费</v>
      </c>
      <c r="D79" s="457"/>
      <c r="E79" s="457"/>
      <c r="F79" s="457"/>
      <c r="G79" s="456" t="str">
        <f ca="1">INDEX(P:P,MATCH($A79,$P:$P,0)+1)</f>
        <v>1221.100</v>
      </c>
      <c r="H79" s="456" t="str">
        <f ca="1">INDEX(Q:Q,MATCH($A79,$P:$P,0)+1)</f>
        <v>其他应收款 - 拓展部-水龙头</v>
      </c>
      <c r="I79" s="457"/>
      <c r="J79" s="472"/>
      <c r="K79" s="472"/>
      <c r="L79" s="472"/>
      <c r="M79" s="73">
        <f ca="1">-M78</f>
        <v>0</v>
      </c>
      <c r="N79" s="150"/>
      <c r="O79" s="31">
        <f ca="1">SUM(M$70:M79)-SUM(N$70:N79)</f>
        <v>0</v>
      </c>
      <c r="P79" t="s">
        <v>215</v>
      </c>
      <c r="Q79" t="s">
        <v>216</v>
      </c>
    </row>
    <row r="80" ht="14.25" spans="1:17">
      <c r="A80" t="s">
        <v>19</v>
      </c>
      <c r="B80" s="148" t="s">
        <v>79</v>
      </c>
      <c r="C80" s="149" t="str">
        <f t="shared" si="2"/>
        <v>2021.09月Perfect Paypal流水(水龙头)：营运费5%：</v>
      </c>
      <c r="D80" s="457"/>
      <c r="E80" s="457"/>
      <c r="F80" s="457"/>
      <c r="G80" s="456" t="str">
        <f ca="1">INDEX(P:P,MATCH($A80,$P:$P,0)+4)</f>
        <v>6601.006.003</v>
      </c>
      <c r="H80" s="456" t="str">
        <f ca="1">INDEX(Q:Q,MATCH($A80,$P:$P,0)+4)</f>
        <v>销售费用 - 事业部营运费 - 水龙头事业部-营运费</v>
      </c>
      <c r="I80" s="457"/>
      <c r="J80" s="472"/>
      <c r="K80" s="472"/>
      <c r="L80" s="472"/>
      <c r="M80" s="71">
        <f ca="1">ROUND(SUM(OFFSET($A$1,MATCH($A80,$C$1:$C$11,0)-1,MATCH($B80,$1:$1,0)-1)),2)</f>
        <v>0</v>
      </c>
      <c r="N80" s="151"/>
      <c r="O80" s="31">
        <f ca="1">SUM(M$70:M80)-SUM(N$70:N80)</f>
        <v>0</v>
      </c>
      <c r="P80" t="s">
        <v>69</v>
      </c>
      <c r="Q80" t="s">
        <v>70</v>
      </c>
    </row>
    <row r="81" ht="15" spans="1:15">
      <c r="A81" t="s">
        <v>19</v>
      </c>
      <c r="B81" s="458" t="s">
        <v>79</v>
      </c>
      <c r="C81" s="162" t="str">
        <f t="shared" si="2"/>
        <v>2021.09月Perfect Paypal流水(水龙头)：营运费5%：</v>
      </c>
      <c r="D81" s="459"/>
      <c r="E81" s="459"/>
      <c r="F81" s="459"/>
      <c r="G81" s="433" t="str">
        <f ca="1">INDEX(P:P,MATCH($A81,$P:$P,0)+1)</f>
        <v>1221.100</v>
      </c>
      <c r="H81" s="433" t="str">
        <f ca="1">INDEX(Q:Q,MATCH($A81,$P:$P,0)+1)</f>
        <v>其他应收款 - 拓展部-水龙头</v>
      </c>
      <c r="I81" s="459"/>
      <c r="J81" s="294"/>
      <c r="K81" s="294"/>
      <c r="L81" s="294"/>
      <c r="M81" s="404">
        <f ca="1">-M80</f>
        <v>0</v>
      </c>
      <c r="N81" s="445"/>
      <c r="O81" s="31">
        <f ca="1">SUM(M$70:M81)-SUM(N$70:N81)</f>
        <v>0</v>
      </c>
    </row>
    <row r="82" ht="14.25" spans="1:16">
      <c r="A82" t="s">
        <v>83</v>
      </c>
      <c r="B82" s="144" t="s">
        <v>15</v>
      </c>
      <c r="C82" s="145" t="str">
        <f t="shared" si="2"/>
        <v>2021.09月Perfect Paypal流水(陶瓷)：order</v>
      </c>
      <c r="D82" s="291"/>
      <c r="E82" s="291"/>
      <c r="F82" s="291"/>
      <c r="G82" s="431" t="str">
        <f ca="1">INDEX(P:P,MATCH("order",$P:$P,0)+2)</f>
        <v>2203.07.007</v>
      </c>
      <c r="H82" s="431" t="str">
        <f ca="1">INDEX(Q:Q,MATCH("order",$P:$P,0)+2)</f>
        <v>预收账款 - 预收销售平台款 - 预收 Perfect paypal流水</v>
      </c>
      <c r="I82" s="469"/>
      <c r="J82" s="291"/>
      <c r="K82" s="291"/>
      <c r="L82" s="291"/>
      <c r="M82" s="172">
        <f ca="1">ROUND(SUM(OFFSET($A$1,MATCH($A82,$C$1:$C$11,0)-1,MATCH($B82,$1:$1,0)-1,,3))+OFFSET($A$1,MATCH($A82,$C$1:$C$11,0)-1,MATCH($B82,$1:$1,0)-1-8),2)</f>
        <v>0</v>
      </c>
      <c r="N82" s="204"/>
      <c r="O82" s="31">
        <f ca="1">SUM(M$70:M82)-SUM(N$70:N82)</f>
        <v>0</v>
      </c>
      <c r="P82" t="s">
        <v>18</v>
      </c>
    </row>
    <row r="83" ht="14.25" spans="1:17">
      <c r="A83" t="s">
        <v>83</v>
      </c>
      <c r="B83" s="148" t="s">
        <v>7</v>
      </c>
      <c r="C83" s="149" t="str">
        <f t="shared" si="2"/>
        <v>2021.09月Perfect Paypal流水(陶瓷)：不含税</v>
      </c>
      <c r="D83" s="457"/>
      <c r="E83" s="457"/>
      <c r="F83" s="457"/>
      <c r="G83" s="456" t="str">
        <f ca="1">INDEX(P:P,MATCH($A83,$P:$P,0)+1)</f>
        <v>1221.103</v>
      </c>
      <c r="H83" s="456" t="str">
        <f ca="1">INDEX(Q:Q,MATCH($A83,$P:$P,0)+1)</f>
        <v>拓展部-陶瓷部</v>
      </c>
      <c r="I83" s="470"/>
      <c r="J83" s="471"/>
      <c r="K83" s="471"/>
      <c r="L83" s="471"/>
      <c r="M83" s="456"/>
      <c r="N83" s="150">
        <f ca="1">ROUND(SUM(OFFSET($A$1,MATCH($A83,$C$1:$C$11,0)-1,MATCH($B83,$1:$1,0)-1)),2)</f>
        <v>0</v>
      </c>
      <c r="O83" s="31">
        <f ca="1">SUM(M$70:M83)-SUM(N$70:N83)</f>
        <v>0</v>
      </c>
      <c r="P83" t="s">
        <v>59</v>
      </c>
      <c r="Q83" t="s">
        <v>60</v>
      </c>
    </row>
    <row r="84" ht="14.25" spans="1:17">
      <c r="A84" t="s">
        <v>83</v>
      </c>
      <c r="B84" s="148" t="s">
        <v>31</v>
      </c>
      <c r="C84" s="149" t="str">
        <f t="shared" si="2"/>
        <v>2021.09月Perfect Paypal流水(陶瓷)：税金</v>
      </c>
      <c r="D84" s="457"/>
      <c r="E84" s="457"/>
      <c r="F84" s="457"/>
      <c r="G84" s="456" t="str">
        <f ca="1">INDEX(P:P,MATCH("order",$P:$P,0)+3)</f>
        <v>2221</v>
      </c>
      <c r="H84" s="456" t="str">
        <f ca="1">INDEX(Q:Q,MATCH("order",$P:$P,0)+3)</f>
        <v>应交税费</v>
      </c>
      <c r="I84" s="457"/>
      <c r="J84" s="472"/>
      <c r="K84" s="472"/>
      <c r="L84" s="472"/>
      <c r="M84" s="456"/>
      <c r="N84" s="151">
        <f ca="1">ROUND(N83*0.2,2)</f>
        <v>0</v>
      </c>
      <c r="O84" s="31">
        <f ca="1">SUM(M$70:M84)-SUM(N$70:N84)</f>
        <v>0</v>
      </c>
      <c r="P84" t="s">
        <v>61</v>
      </c>
      <c r="Q84" t="s">
        <v>62</v>
      </c>
    </row>
    <row r="85" ht="14.25" spans="1:17">
      <c r="A85" t="s">
        <v>83</v>
      </c>
      <c r="B85" s="148" t="s">
        <v>3</v>
      </c>
      <c r="C85" s="149" t="str">
        <f t="shared" si="2"/>
        <v>2021.09月Perfect Paypal流水(陶瓷)：refund</v>
      </c>
      <c r="D85" s="457"/>
      <c r="E85" s="457"/>
      <c r="F85" s="457"/>
      <c r="G85" s="456" t="str">
        <f ca="1">INDEX(P:P,MATCH("order",$P:$P,0)+1)</f>
        <v>1122.001.007</v>
      </c>
      <c r="H85" s="456" t="str">
        <f ca="1">INDEX(Q:Q,MATCH("order",$P:$P,0)+1)</f>
        <v>应收账款 - 应收销售平台款 - Perfect Paypal流水</v>
      </c>
      <c r="I85" s="457"/>
      <c r="J85" s="472"/>
      <c r="K85" s="472"/>
      <c r="L85" s="472"/>
      <c r="M85" s="73"/>
      <c r="N85" s="150">
        <f ca="1">ROUND(-SUM(OFFSET($A$1,MATCH($A85,$C$1:$C$11,0)-1,MATCH($B85,$1:$1,0)-1,,4)),2)</f>
        <v>0</v>
      </c>
      <c r="O85" s="31">
        <f ca="1">SUM(M$70:M85)-SUM(N$70:N85)</f>
        <v>0</v>
      </c>
      <c r="P85" t="s">
        <v>213</v>
      </c>
      <c r="Q85" t="s">
        <v>214</v>
      </c>
    </row>
    <row r="86" ht="14.25" spans="1:17">
      <c r="A86" t="s">
        <v>83</v>
      </c>
      <c r="B86" s="148" t="s">
        <v>166</v>
      </c>
      <c r="C86" s="149" t="str">
        <f t="shared" si="2"/>
        <v>2021.09月Perfect Paypal流水(陶瓷)：手续费</v>
      </c>
      <c r="D86" s="457"/>
      <c r="E86" s="457"/>
      <c r="F86" s="457"/>
      <c r="G86" s="456" t="str">
        <f ca="1">INDEX(P:P,MATCH($A86,$P:$P,0)+3)</f>
        <v>6603.002.01.05</v>
      </c>
      <c r="H86" s="456" t="str">
        <f ca="1">INDEX(Q:Q,MATCH($A86,$P:$P,0)+3)</f>
        <v>财务费用 - 收款平台手续费 - Paypal手续费 - 陶瓷事业部-paypal手续费</v>
      </c>
      <c r="I86" s="457"/>
      <c r="J86" s="472"/>
      <c r="K86" s="472"/>
      <c r="L86" s="472"/>
      <c r="M86" s="71">
        <f ca="1">ROUND(SUM(OFFSET($A$1,MATCH($A86,$C$1:$C$11,0)-1,MATCH($B86,$1:$1,0)-1,,2)),2)</f>
        <v>0</v>
      </c>
      <c r="N86" s="151"/>
      <c r="O86" s="31">
        <f ca="1">SUM(M$70:M86)-SUM(N$70:N86)</f>
        <v>0</v>
      </c>
      <c r="P86" t="s">
        <v>63</v>
      </c>
      <c r="Q86" t="s">
        <v>64</v>
      </c>
    </row>
    <row r="87" ht="14.25" spans="1:15">
      <c r="A87" t="s">
        <v>83</v>
      </c>
      <c r="B87" s="148" t="s">
        <v>166</v>
      </c>
      <c r="C87" s="149" t="str">
        <f t="shared" si="2"/>
        <v>2021.09月Perfect Paypal流水(陶瓷)：手续费</v>
      </c>
      <c r="D87" s="457"/>
      <c r="E87" s="457"/>
      <c r="F87" s="457"/>
      <c r="G87" s="456" t="str">
        <f ca="1">INDEX(P:P,MATCH($A87,$P:$P,0)+1)</f>
        <v>1221.103</v>
      </c>
      <c r="H87" s="456" t="str">
        <f ca="1">INDEX(Q:Q,MATCH($A87,$P:$P,0)+1)</f>
        <v>拓展部-陶瓷部</v>
      </c>
      <c r="I87" s="457"/>
      <c r="J87" s="472"/>
      <c r="K87" s="472"/>
      <c r="L87" s="472"/>
      <c r="M87" s="73">
        <f ca="1">-M86</f>
        <v>0</v>
      </c>
      <c r="N87" s="150"/>
      <c r="O87" s="31">
        <f ca="1">SUM(M$70:M87)-SUM(N$70:N87)</f>
        <v>0</v>
      </c>
    </row>
    <row r="88" ht="14.25" spans="1:15">
      <c r="A88" t="s">
        <v>83</v>
      </c>
      <c r="B88" s="148" t="s">
        <v>79</v>
      </c>
      <c r="C88" s="149" t="str">
        <f t="shared" si="2"/>
        <v>2021.09月Perfect Paypal流水(陶瓷)：营运费5%：</v>
      </c>
      <c r="D88" s="457"/>
      <c r="E88" s="457"/>
      <c r="F88" s="457"/>
      <c r="G88" s="456" t="str">
        <f ca="1">INDEX(P:P,MATCH($A88,$P:$P,0)+4)</f>
        <v>6601.006.004</v>
      </c>
      <c r="H88" s="456" t="str">
        <f ca="1">INDEX(Q:Q,MATCH($A88,$P:$P,0)+4)</f>
        <v>销售费用 - 事业部营运费 - 陶瓷事业部-营运费</v>
      </c>
      <c r="I88" s="457"/>
      <c r="J88" s="472"/>
      <c r="K88" s="472"/>
      <c r="L88" s="472"/>
      <c r="M88" s="71">
        <f ca="1">ROUND(SUM(OFFSET($A$1,MATCH($A88,$C$1:$C$11,0)-1,MATCH($B88,$1:$1,0)-1)),2)</f>
        <v>0</v>
      </c>
      <c r="N88" s="151"/>
      <c r="O88" s="31">
        <f ca="1">SUM(M$70:M88)-SUM(N$70:N88)</f>
        <v>0</v>
      </c>
    </row>
    <row r="89" ht="15" spans="1:16">
      <c r="A89" t="s">
        <v>83</v>
      </c>
      <c r="B89" s="458" t="s">
        <v>79</v>
      </c>
      <c r="C89" s="162" t="str">
        <f t="shared" si="2"/>
        <v>2021.09月Perfect Paypal流水(陶瓷)：营运费5%：</v>
      </c>
      <c r="D89" s="459"/>
      <c r="E89" s="459"/>
      <c r="F89" s="459"/>
      <c r="G89" s="433" t="str">
        <f ca="1">INDEX(P:P,MATCH($A89,$P:$P,0)+1)</f>
        <v>1221.103</v>
      </c>
      <c r="H89" s="433" t="str">
        <f ca="1">INDEX(Q:Q,MATCH($A89,$P:$P,0)+1)</f>
        <v>拓展部-陶瓷部</v>
      </c>
      <c r="I89" s="459"/>
      <c r="J89" s="294"/>
      <c r="K89" s="294"/>
      <c r="L89" s="294"/>
      <c r="M89" s="404">
        <f ca="1">-M88</f>
        <v>0</v>
      </c>
      <c r="N89" s="445"/>
      <c r="O89" s="31">
        <f ca="1">SUM(M$70:M89)-SUM(N$70:N89)</f>
        <v>0</v>
      </c>
      <c r="P89" t="s">
        <v>233</v>
      </c>
    </row>
    <row r="90" spans="16:17">
      <c r="P90" t="s">
        <v>129</v>
      </c>
      <c r="Q90" t="s">
        <v>130</v>
      </c>
    </row>
    <row r="91" spans="13:17">
      <c r="M91" s="140">
        <f ca="1">SUBTOTAL(9,M56:M89)</f>
        <v>288.02</v>
      </c>
      <c r="N91" s="140">
        <f ca="1">SUBTOTAL(9,N56:N89)</f>
        <v>288.02</v>
      </c>
      <c r="O91" s="140">
        <f ca="1">M91-N91</f>
        <v>0</v>
      </c>
      <c r="P91" t="s">
        <v>131</v>
      </c>
      <c r="Q91" t="s">
        <v>132</v>
      </c>
    </row>
    <row r="92" spans="16:17">
      <c r="P92" t="s">
        <v>224</v>
      </c>
      <c r="Q92" t="s">
        <v>225</v>
      </c>
    </row>
    <row r="93" spans="16:17">
      <c r="P93" t="s">
        <v>133</v>
      </c>
      <c r="Q93" t="s">
        <v>134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AE104"/>
  <sheetViews>
    <sheetView topLeftCell="A7" workbookViewId="0">
      <selection activeCell="N80" sqref="N80"/>
    </sheetView>
  </sheetViews>
  <sheetFormatPr defaultColWidth="9" defaultRowHeight="13.5"/>
  <cols>
    <col min="4" max="4" width="11.625" customWidth="1"/>
    <col min="5" max="5" width="10.625" customWidth="1"/>
    <col min="6" max="7" width="10.375" customWidth="1"/>
    <col min="8" max="8" width="9.25"/>
    <col min="9" max="11" width="10.625" customWidth="1"/>
    <col min="12" max="12" width="13" customWidth="1"/>
    <col min="13" max="13" width="12.75" customWidth="1"/>
    <col min="14" max="14" width="12.25" customWidth="1"/>
    <col min="15" max="15" width="10.75" customWidth="1"/>
    <col min="16" max="16" width="17.625" customWidth="1"/>
    <col min="17" max="17" width="10.625" customWidth="1"/>
    <col min="18" max="18" width="11.625" customWidth="1"/>
    <col min="19" max="19" width="11.375" customWidth="1"/>
    <col min="20" max="20" width="11.75" customWidth="1"/>
    <col min="23" max="23" width="9.25"/>
    <col min="31" max="31" width="9.25"/>
  </cols>
  <sheetData>
    <row r="1" spans="6:16">
      <c r="F1" t="s">
        <v>7</v>
      </c>
      <c r="G1" t="s">
        <v>166</v>
      </c>
      <c r="J1" t="s">
        <v>79</v>
      </c>
      <c r="M1" t="s">
        <v>15</v>
      </c>
      <c r="P1" t="s">
        <v>3</v>
      </c>
    </row>
    <row r="2" ht="76.5" spans="3:30">
      <c r="C2" s="544" t="s">
        <v>234</v>
      </c>
      <c r="D2" s="484"/>
      <c r="E2" s="484"/>
      <c r="F2" s="484"/>
      <c r="G2" s="484"/>
      <c r="H2" s="484"/>
      <c r="I2" s="484"/>
      <c r="J2" s="141"/>
      <c r="K2" s="141"/>
      <c r="L2" s="141"/>
      <c r="M2" s="142"/>
      <c r="N2" s="143"/>
      <c r="O2" s="142"/>
      <c r="P2" s="460" t="s">
        <v>195</v>
      </c>
      <c r="Q2" s="460" t="s">
        <v>195</v>
      </c>
      <c r="R2" s="557" t="s">
        <v>196</v>
      </c>
      <c r="S2" s="557" t="s">
        <v>196</v>
      </c>
      <c r="T2" s="558"/>
      <c r="U2" s="557" t="s">
        <v>197</v>
      </c>
      <c r="V2" s="460" t="s">
        <v>197</v>
      </c>
      <c r="W2" s="460" t="s">
        <v>227</v>
      </c>
      <c r="X2" s="481" t="s">
        <v>227</v>
      </c>
      <c r="Y2" s="562" t="s">
        <v>228</v>
      </c>
      <c r="Z2" s="562" t="s">
        <v>228</v>
      </c>
      <c r="AA2" s="562" t="s">
        <v>198</v>
      </c>
      <c r="AB2" s="562" t="s">
        <v>198</v>
      </c>
      <c r="AC2" s="562" t="s">
        <v>199</v>
      </c>
      <c r="AD2" s="562" t="s">
        <v>199</v>
      </c>
    </row>
    <row r="3" ht="25.5" spans="1:31">
      <c r="A3" t="s">
        <v>234</v>
      </c>
      <c r="B3" s="643" t="s">
        <v>142</v>
      </c>
      <c r="C3" s="424" t="s">
        <v>4</v>
      </c>
      <c r="D3" s="425" t="s">
        <v>5</v>
      </c>
      <c r="E3" s="450" t="s">
        <v>165</v>
      </c>
      <c r="F3" s="425" t="s">
        <v>7</v>
      </c>
      <c r="G3" s="450" t="s">
        <v>166</v>
      </c>
      <c r="H3" s="450" t="s">
        <v>167</v>
      </c>
      <c r="I3" s="438" t="s">
        <v>200</v>
      </c>
      <c r="J3" s="438" t="s">
        <v>79</v>
      </c>
      <c r="K3" s="425" t="s">
        <v>11</v>
      </c>
      <c r="L3" s="438" t="s">
        <v>12</v>
      </c>
      <c r="M3" s="461" t="s">
        <v>201</v>
      </c>
      <c r="N3" s="462" t="s">
        <v>195</v>
      </c>
      <c r="O3" s="463" t="s">
        <v>202</v>
      </c>
      <c r="P3" s="440" t="s">
        <v>141</v>
      </c>
      <c r="Q3" s="476" t="s">
        <v>14</v>
      </c>
      <c r="R3" s="440" t="s">
        <v>141</v>
      </c>
      <c r="S3" s="440" t="s">
        <v>14</v>
      </c>
      <c r="T3" s="477" t="s">
        <v>12</v>
      </c>
      <c r="U3" s="478" t="s">
        <v>141</v>
      </c>
      <c r="V3" s="559" t="s">
        <v>14</v>
      </c>
      <c r="W3" s="559" t="s">
        <v>141</v>
      </c>
      <c r="X3" s="478" t="s">
        <v>14</v>
      </c>
      <c r="Y3" s="478" t="s">
        <v>141</v>
      </c>
      <c r="Z3" s="563" t="s">
        <v>14</v>
      </c>
      <c r="AA3" s="478" t="s">
        <v>141</v>
      </c>
      <c r="AB3" s="479" t="s">
        <v>14</v>
      </c>
      <c r="AC3" s="559" t="s">
        <v>141</v>
      </c>
      <c r="AD3" s="559" t="s">
        <v>14</v>
      </c>
      <c r="AE3" s="477" t="s">
        <v>12</v>
      </c>
    </row>
    <row r="4" spans="1:31">
      <c r="A4" s="142" t="s">
        <v>234</v>
      </c>
      <c r="B4" s="643" t="s">
        <v>88</v>
      </c>
      <c r="C4" s="427" t="s">
        <v>17</v>
      </c>
      <c r="D4" s="141">
        <v>484.57</v>
      </c>
      <c r="E4" s="141">
        <v>0</v>
      </c>
      <c r="F4" s="141">
        <v>403.808333333333</v>
      </c>
      <c r="G4" s="141">
        <v>-20.93</v>
      </c>
      <c r="H4" s="141">
        <v>0</v>
      </c>
      <c r="I4" s="141"/>
      <c r="J4" s="141">
        <v>-20.1904166666667</v>
      </c>
      <c r="K4" s="141">
        <v>362.687916666667</v>
      </c>
      <c r="L4" s="428"/>
      <c r="M4" s="143">
        <v>0</v>
      </c>
      <c r="N4" s="143">
        <v>513.54</v>
      </c>
      <c r="O4" s="143">
        <v>838.28</v>
      </c>
      <c r="P4" s="551">
        <v>-782.7</v>
      </c>
      <c r="Q4" s="551">
        <v>0</v>
      </c>
      <c r="R4" s="551">
        <v>-84.55</v>
      </c>
      <c r="S4" s="551">
        <v>0</v>
      </c>
      <c r="T4" s="466">
        <v>484.57</v>
      </c>
      <c r="U4" s="480">
        <v>0</v>
      </c>
      <c r="V4" s="464">
        <v>0</v>
      </c>
      <c r="W4" s="464">
        <v>0</v>
      </c>
      <c r="X4" s="480">
        <v>0</v>
      </c>
      <c r="Y4" s="480">
        <v>0</v>
      </c>
      <c r="Z4" s="480">
        <v>0</v>
      </c>
      <c r="AA4" s="480">
        <v>0</v>
      </c>
      <c r="AB4" s="480">
        <v>0</v>
      </c>
      <c r="AC4" s="464">
        <v>0</v>
      </c>
      <c r="AD4" s="464">
        <v>0</v>
      </c>
      <c r="AE4" s="466">
        <v>0</v>
      </c>
    </row>
    <row r="5" spans="1:31">
      <c r="A5" s="142" t="s">
        <v>234</v>
      </c>
      <c r="B5" s="643" t="s">
        <v>88</v>
      </c>
      <c r="C5" s="427" t="s">
        <v>18</v>
      </c>
      <c r="D5" s="141">
        <v>1834.76</v>
      </c>
      <c r="E5" s="141">
        <v>0</v>
      </c>
      <c r="F5" s="141">
        <v>1528.96666666667</v>
      </c>
      <c r="G5" s="141">
        <v>-26.09</v>
      </c>
      <c r="H5" s="141">
        <v>0</v>
      </c>
      <c r="I5" s="141"/>
      <c r="J5" s="141">
        <v>-76.4483333333333</v>
      </c>
      <c r="K5" s="141">
        <v>1426.42833333333</v>
      </c>
      <c r="L5" s="428"/>
      <c r="M5" s="143">
        <v>0</v>
      </c>
      <c r="N5" s="143">
        <v>1754.76</v>
      </c>
      <c r="O5" s="143">
        <v>80</v>
      </c>
      <c r="P5" s="480">
        <v>0</v>
      </c>
      <c r="Q5" s="480">
        <v>0</v>
      </c>
      <c r="R5" s="480">
        <v>0</v>
      </c>
      <c r="S5" s="480">
        <v>0</v>
      </c>
      <c r="T5" s="466">
        <v>1834.76</v>
      </c>
      <c r="U5" s="480">
        <v>0</v>
      </c>
      <c r="V5" s="464">
        <v>0</v>
      </c>
      <c r="W5" s="464">
        <v>0</v>
      </c>
      <c r="X5" s="480">
        <v>0</v>
      </c>
      <c r="Y5" s="480">
        <v>0</v>
      </c>
      <c r="Z5" s="480">
        <v>0</v>
      </c>
      <c r="AA5" s="480">
        <v>0</v>
      </c>
      <c r="AB5" s="480">
        <v>0</v>
      </c>
      <c r="AC5" s="464">
        <v>0</v>
      </c>
      <c r="AD5" s="464">
        <v>0</v>
      </c>
      <c r="AE5" s="466">
        <v>0</v>
      </c>
    </row>
    <row r="6" spans="1:31">
      <c r="A6" s="142" t="s">
        <v>234</v>
      </c>
      <c r="B6" s="643" t="s">
        <v>88</v>
      </c>
      <c r="C6" s="427" t="s">
        <v>19</v>
      </c>
      <c r="D6" s="141">
        <v>0</v>
      </c>
      <c r="E6" s="141">
        <v>0</v>
      </c>
      <c r="F6" s="141">
        <v>0</v>
      </c>
      <c r="G6" s="141">
        <v>0</v>
      </c>
      <c r="H6" s="141">
        <v>0</v>
      </c>
      <c r="I6" s="141"/>
      <c r="J6" s="141">
        <v>0</v>
      </c>
      <c r="K6" s="141">
        <v>0</v>
      </c>
      <c r="L6" s="428"/>
      <c r="M6" s="143">
        <v>0</v>
      </c>
      <c r="N6" s="143">
        <v>0</v>
      </c>
      <c r="O6" s="143">
        <v>0</v>
      </c>
      <c r="P6" s="480">
        <v>0</v>
      </c>
      <c r="Q6" s="480">
        <v>0</v>
      </c>
      <c r="R6" s="480">
        <v>0</v>
      </c>
      <c r="S6" s="480">
        <v>0</v>
      </c>
      <c r="T6" s="466">
        <v>0</v>
      </c>
      <c r="U6" s="480">
        <v>0</v>
      </c>
      <c r="V6" s="464">
        <v>0</v>
      </c>
      <c r="W6" s="464">
        <v>0</v>
      </c>
      <c r="X6" s="480">
        <v>0</v>
      </c>
      <c r="Y6" s="480">
        <v>0</v>
      </c>
      <c r="Z6" s="480">
        <v>0</v>
      </c>
      <c r="AA6" s="480">
        <v>0</v>
      </c>
      <c r="AB6" s="480">
        <v>0</v>
      </c>
      <c r="AC6" s="464">
        <v>0</v>
      </c>
      <c r="AD6" s="464">
        <v>0</v>
      </c>
      <c r="AE6" s="466">
        <v>0</v>
      </c>
    </row>
    <row r="7" spans="1:31">
      <c r="A7" s="142" t="s">
        <v>234</v>
      </c>
      <c r="B7" s="643" t="s">
        <v>88</v>
      </c>
      <c r="C7" s="427" t="s">
        <v>20</v>
      </c>
      <c r="D7" s="141">
        <v>3726.33</v>
      </c>
      <c r="E7" s="141">
        <v>0</v>
      </c>
      <c r="F7" s="141">
        <v>3105.275</v>
      </c>
      <c r="G7" s="141">
        <v>-54</v>
      </c>
      <c r="H7" s="141">
        <v>0</v>
      </c>
      <c r="I7" s="141"/>
      <c r="J7" s="141">
        <v>-155.26375</v>
      </c>
      <c r="K7" s="141">
        <v>2896.01125</v>
      </c>
      <c r="L7" s="428"/>
      <c r="M7" s="143">
        <v>0</v>
      </c>
      <c r="N7" s="143">
        <v>712.69</v>
      </c>
      <c r="O7" s="143">
        <v>3043.64</v>
      </c>
      <c r="P7" s="480">
        <v>-30</v>
      </c>
      <c r="Q7" s="480">
        <v>0</v>
      </c>
      <c r="R7" s="480">
        <v>0</v>
      </c>
      <c r="S7" s="480">
        <v>0</v>
      </c>
      <c r="T7" s="466">
        <v>3726.33</v>
      </c>
      <c r="U7" s="480">
        <v>0</v>
      </c>
      <c r="V7" s="464">
        <v>0</v>
      </c>
      <c r="W7" s="464">
        <v>0</v>
      </c>
      <c r="X7" s="480">
        <v>0</v>
      </c>
      <c r="Y7" s="480">
        <v>0</v>
      </c>
      <c r="Z7" s="480">
        <v>0</v>
      </c>
      <c r="AA7" s="480">
        <v>0</v>
      </c>
      <c r="AB7" s="480">
        <v>0</v>
      </c>
      <c r="AC7" s="464">
        <v>0</v>
      </c>
      <c r="AD7" s="464">
        <v>0</v>
      </c>
      <c r="AE7" s="466">
        <v>0</v>
      </c>
    </row>
    <row r="8" spans="1:31">
      <c r="A8" s="142" t="s">
        <v>234</v>
      </c>
      <c r="B8" s="643" t="s">
        <v>88</v>
      </c>
      <c r="C8" s="427" t="s">
        <v>83</v>
      </c>
      <c r="D8" s="141">
        <v>0</v>
      </c>
      <c r="E8" s="141">
        <v>0</v>
      </c>
      <c r="F8" s="141">
        <v>0</v>
      </c>
      <c r="G8" s="141">
        <v>0</v>
      </c>
      <c r="H8" s="141">
        <v>0</v>
      </c>
      <c r="I8" s="141"/>
      <c r="J8" s="141">
        <v>0</v>
      </c>
      <c r="K8" s="141">
        <v>0</v>
      </c>
      <c r="L8" s="428"/>
      <c r="M8" s="143">
        <v>0</v>
      </c>
      <c r="N8" s="143">
        <v>0</v>
      </c>
      <c r="O8" s="143">
        <v>0</v>
      </c>
      <c r="P8" s="480">
        <v>0</v>
      </c>
      <c r="Q8" s="480">
        <v>0</v>
      </c>
      <c r="R8" s="480">
        <v>0</v>
      </c>
      <c r="S8" s="480">
        <v>0</v>
      </c>
      <c r="T8" s="466">
        <v>0</v>
      </c>
      <c r="U8" s="480">
        <v>0</v>
      </c>
      <c r="V8" s="464">
        <v>0</v>
      </c>
      <c r="W8" s="464">
        <v>0</v>
      </c>
      <c r="X8" s="480">
        <v>0</v>
      </c>
      <c r="Y8" s="480">
        <v>0</v>
      </c>
      <c r="Z8" s="480">
        <v>0</v>
      </c>
      <c r="AA8" s="480">
        <v>0</v>
      </c>
      <c r="AB8" s="480">
        <v>0</v>
      </c>
      <c r="AC8" s="464">
        <v>0</v>
      </c>
      <c r="AD8" s="464">
        <v>0</v>
      </c>
      <c r="AE8" s="466">
        <v>0</v>
      </c>
    </row>
    <row r="9" spans="1:31">
      <c r="A9" s="142" t="s">
        <v>234</v>
      </c>
      <c r="B9" s="643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/>
      <c r="J9" s="141">
        <v>0</v>
      </c>
      <c r="K9" s="141">
        <v>0</v>
      </c>
      <c r="L9" s="428"/>
      <c r="M9" s="143">
        <v>0</v>
      </c>
      <c r="N9" s="143">
        <v>0</v>
      </c>
      <c r="O9" s="143">
        <v>0</v>
      </c>
      <c r="P9" s="480">
        <v>0</v>
      </c>
      <c r="Q9" s="480">
        <v>0</v>
      </c>
      <c r="R9" s="480">
        <v>0</v>
      </c>
      <c r="S9" s="480">
        <v>0</v>
      </c>
      <c r="T9" s="466">
        <v>0</v>
      </c>
      <c r="U9" s="480">
        <v>0</v>
      </c>
      <c r="V9" s="464">
        <v>0</v>
      </c>
      <c r="W9" s="464">
        <v>0</v>
      </c>
      <c r="X9" s="480">
        <v>0</v>
      </c>
      <c r="Y9" s="480">
        <v>0</v>
      </c>
      <c r="Z9" s="480">
        <v>0</v>
      </c>
      <c r="AA9" s="480">
        <v>0</v>
      </c>
      <c r="AB9" s="480">
        <v>0</v>
      </c>
      <c r="AC9" s="464">
        <v>0</v>
      </c>
      <c r="AD9" s="464">
        <v>0</v>
      </c>
      <c r="AE9" s="466">
        <v>0</v>
      </c>
    </row>
    <row r="10" spans="1:31">
      <c r="A10" s="142" t="s">
        <v>234</v>
      </c>
      <c r="B10" s="643" t="s">
        <v>88</v>
      </c>
      <c r="C10" s="386" t="s">
        <v>21</v>
      </c>
      <c r="D10" s="428">
        <v>6045.66</v>
      </c>
      <c r="E10" s="428">
        <v>0</v>
      </c>
      <c r="F10" s="428">
        <v>5038.05</v>
      </c>
      <c r="G10" s="428">
        <v>-101.02</v>
      </c>
      <c r="H10" s="428">
        <v>0</v>
      </c>
      <c r="I10" s="428"/>
      <c r="J10" s="428">
        <v>-251.9025</v>
      </c>
      <c r="K10" s="428">
        <v>4685.1275</v>
      </c>
      <c r="L10" s="428"/>
      <c r="M10" s="428">
        <v>0</v>
      </c>
      <c r="N10" s="428">
        <v>2980.99</v>
      </c>
      <c r="O10" s="428">
        <v>3961.92</v>
      </c>
      <c r="P10" s="552">
        <v>-812.7</v>
      </c>
      <c r="Q10" s="552">
        <v>0</v>
      </c>
      <c r="R10" s="560">
        <v>-84.55</v>
      </c>
      <c r="S10" s="560">
        <v>0</v>
      </c>
      <c r="T10" s="561">
        <v>6045.66</v>
      </c>
      <c r="U10" s="480">
        <v>0</v>
      </c>
      <c r="V10" s="480">
        <v>0</v>
      </c>
      <c r="W10" s="480">
        <v>0</v>
      </c>
      <c r="X10" s="480">
        <v>0</v>
      </c>
      <c r="Y10" s="480">
        <v>0</v>
      </c>
      <c r="Z10" s="480">
        <v>0</v>
      </c>
      <c r="AA10" s="480">
        <v>0</v>
      </c>
      <c r="AB10" s="480">
        <v>0</v>
      </c>
      <c r="AC10" s="480">
        <v>0</v>
      </c>
      <c r="AD10" s="480">
        <v>0</v>
      </c>
      <c r="AE10" s="466">
        <v>0</v>
      </c>
    </row>
    <row r="11" spans="1:31">
      <c r="A11" s="142" t="s">
        <v>234</v>
      </c>
      <c r="B11" s="643" t="s">
        <v>88</v>
      </c>
      <c r="C11" s="451" t="s">
        <v>165</v>
      </c>
      <c r="D11" s="141"/>
      <c r="E11" s="141"/>
      <c r="F11" s="141"/>
      <c r="G11" s="141"/>
      <c r="H11" s="141"/>
      <c r="I11" s="465"/>
      <c r="J11" s="141"/>
      <c r="K11" s="645" t="s">
        <v>13</v>
      </c>
      <c r="L11" s="466" t="s">
        <v>165</v>
      </c>
      <c r="M11" s="143">
        <v>0</v>
      </c>
      <c r="N11" s="143">
        <v>0</v>
      </c>
      <c r="O11" s="143">
        <v>0</v>
      </c>
      <c r="P11" s="480">
        <v>0</v>
      </c>
      <c r="Q11" s="480">
        <v>0</v>
      </c>
      <c r="R11" s="480">
        <v>0</v>
      </c>
      <c r="S11" s="480">
        <v>0</v>
      </c>
      <c r="T11" s="466">
        <v>0</v>
      </c>
      <c r="U11" s="480">
        <v>0</v>
      </c>
      <c r="V11" s="464">
        <v>0</v>
      </c>
      <c r="W11" s="464">
        <v>0</v>
      </c>
      <c r="X11" s="480">
        <v>0</v>
      </c>
      <c r="Y11" s="480">
        <v>0</v>
      </c>
      <c r="Z11" s="480">
        <v>0</v>
      </c>
      <c r="AA11" s="480">
        <v>0</v>
      </c>
      <c r="AB11" s="480">
        <v>0</v>
      </c>
      <c r="AC11" s="464">
        <v>0</v>
      </c>
      <c r="AD11" s="464">
        <v>0</v>
      </c>
      <c r="AE11" s="466">
        <v>0</v>
      </c>
    </row>
    <row r="13" customFormat="1" spans="1:1">
      <c r="A13" s="643" t="str">
        <f>B7</f>
        <v>2021.09月</v>
      </c>
    </row>
    <row r="14" customFormat="1" spans="1:16">
      <c r="A14" t="s">
        <v>234</v>
      </c>
      <c r="F14" s="545">
        <f ca="1">SUM(F5:F9)-SUMIFS($N$69:$N$118,$B$69:$B$118,F1)</f>
        <v>-0.00833333332957409</v>
      </c>
      <c r="G14" s="545">
        <f ca="1">SUM(G5:G9)+SUMIFS($M$69:$M$118,$B$69:$B$118,G1,$M$69:$M$118,"&gt;0")</f>
        <v>0</v>
      </c>
      <c r="H14" s="141"/>
      <c r="I14" s="141"/>
      <c r="J14" s="545">
        <f ca="1">SUM(J5:J9)+SUMIFS($M$69:$M$118,$B$69:$B$118,J1,$M$69:$M$118,"&gt;0")</f>
        <v>-0.00208333333330302</v>
      </c>
      <c r="K14" s="140"/>
      <c r="L14" s="140"/>
      <c r="M14" s="545">
        <f ca="1">-SUM(M5:O9,E5:E9)+SUMIFS($M$69:$M$118,$B$69:$B$118,M1)</f>
        <v>0</v>
      </c>
      <c r="P14" s="545">
        <f ca="1">SUM(P5:S9)+SUMIFS($N$69:$N$118,$B$69:$B$118,P1)</f>
        <v>0</v>
      </c>
    </row>
    <row r="16" ht="14.25" hidden="1"/>
    <row r="17" customFormat="1" ht="14.25" hidden="1" spans="2:14">
      <c r="B17" s="452" t="s">
        <v>15</v>
      </c>
      <c r="C17" s="453" t="str">
        <f>$A$13&amp;$A$14&amp;"："&amp;B17</f>
        <v>2021.09月Homefast paypal流水：order</v>
      </c>
      <c r="D17" s="453"/>
      <c r="E17" s="453"/>
      <c r="F17" s="453"/>
      <c r="G17" s="546" t="s">
        <v>235</v>
      </c>
      <c r="H17" s="546" t="s">
        <v>236</v>
      </c>
      <c r="I17" s="467"/>
      <c r="J17" s="453"/>
      <c r="K17" s="453"/>
      <c r="L17" s="453"/>
      <c r="M17" s="315">
        <f>ROUND(SUM(M10:O11),2)</f>
        <v>6942.91</v>
      </c>
      <c r="N17" s="316"/>
    </row>
    <row r="18" customFormat="1" ht="15" hidden="1" spans="2:14">
      <c r="B18" s="547" t="s">
        <v>15</v>
      </c>
      <c r="C18" s="548" t="str">
        <f>$A$13&amp;$A$14&amp;"："&amp;B18</f>
        <v>2021.09月Homefast paypal流水：order</v>
      </c>
      <c r="D18" s="548"/>
      <c r="E18" s="548"/>
      <c r="F18" s="548"/>
      <c r="G18" s="549" t="s">
        <v>237</v>
      </c>
      <c r="H18" s="549" t="s">
        <v>238</v>
      </c>
      <c r="I18" s="553"/>
      <c r="J18" s="548"/>
      <c r="K18" s="548"/>
      <c r="L18" s="548"/>
      <c r="M18" s="241"/>
      <c r="N18" s="246">
        <f>M17</f>
        <v>6942.91</v>
      </c>
    </row>
    <row r="19" customFormat="1" ht="14.25" hidden="1" spans="1:14">
      <c r="A19" t="s">
        <v>18</v>
      </c>
      <c r="B19" s="148" t="s">
        <v>7</v>
      </c>
      <c r="C19" s="149" t="str">
        <f>$A$13&amp;$A$14&amp;"("&amp;$A19&amp;")："&amp;B19</f>
        <v>2021.09月Homefast paypal流水(镜柜)：不含税</v>
      </c>
      <c r="D19" s="457"/>
      <c r="E19" s="457"/>
      <c r="F19" s="457"/>
      <c r="G19" s="37" t="s">
        <v>237</v>
      </c>
      <c r="H19" s="37" t="s">
        <v>238</v>
      </c>
      <c r="I19" s="470"/>
      <c r="J19" s="471"/>
      <c r="K19" s="471"/>
      <c r="L19" s="471"/>
      <c r="M19" s="71">
        <f>O5</f>
        <v>80</v>
      </c>
      <c r="N19" s="150"/>
    </row>
    <row r="20" customFormat="1" ht="14.25" hidden="1" spans="1:14">
      <c r="A20" t="s">
        <v>18</v>
      </c>
      <c r="B20" s="148" t="s">
        <v>7</v>
      </c>
      <c r="C20" s="149" t="str">
        <f>$A$13&amp;$A$14&amp;"("&amp;$A20&amp;")："&amp;B20</f>
        <v>2021.09月Homefast paypal流水(镜柜)：不含税</v>
      </c>
      <c r="D20" s="457"/>
      <c r="E20" s="457"/>
      <c r="F20" s="457"/>
      <c r="G20" s="37" t="s">
        <v>59</v>
      </c>
      <c r="H20" s="37" t="s">
        <v>60</v>
      </c>
      <c r="I20" s="470"/>
      <c r="J20" s="471"/>
      <c r="K20" s="471"/>
      <c r="L20" s="471"/>
      <c r="N20" s="71">
        <f>ROUND(F5,2)</f>
        <v>1528.97</v>
      </c>
    </row>
    <row r="21" customFormat="1" ht="14.25" hidden="1" spans="1:14">
      <c r="A21" t="s">
        <v>18</v>
      </c>
      <c r="B21" s="148" t="s">
        <v>31</v>
      </c>
      <c r="C21" s="149" t="str">
        <f t="shared" ref="C21:C29" si="0">$A$13&amp;$A$14&amp;"("&amp;$A21&amp;")："&amp;B21</f>
        <v>2021.09月Homefast paypal流水(镜柜)：税金</v>
      </c>
      <c r="D21" s="457"/>
      <c r="E21" s="457"/>
      <c r="F21" s="457"/>
      <c r="G21" s="149" t="s">
        <v>32</v>
      </c>
      <c r="H21" s="149" t="s">
        <v>33</v>
      </c>
      <c r="I21" s="457"/>
      <c r="J21" s="472"/>
      <c r="K21" s="472"/>
      <c r="L21" s="472"/>
      <c r="N21" s="73">
        <f>ROUND(N20*0.2,2)-0.01</f>
        <v>305.78</v>
      </c>
    </row>
    <row r="22" customFormat="1" ht="14.25" hidden="1" spans="1:14">
      <c r="A22" t="s">
        <v>18</v>
      </c>
      <c r="B22" s="148" t="s">
        <v>3</v>
      </c>
      <c r="C22" s="149" t="str">
        <f t="shared" si="0"/>
        <v>2021.09月Homefast paypal流水(镜柜)：refund</v>
      </c>
      <c r="D22" s="457"/>
      <c r="E22" s="457"/>
      <c r="F22" s="457"/>
      <c r="G22" s="149" t="s">
        <v>235</v>
      </c>
      <c r="H22" s="457" t="s">
        <v>236</v>
      </c>
      <c r="I22" s="457"/>
      <c r="J22" s="472"/>
      <c r="K22" s="472"/>
      <c r="L22" s="472"/>
      <c r="M22" s="73"/>
      <c r="N22" s="151">
        <f>-ROUND(P5+R5,2)</f>
        <v>0</v>
      </c>
    </row>
    <row r="23" customFormat="1" ht="14.25" hidden="1" spans="1:14">
      <c r="A23" t="s">
        <v>18</v>
      </c>
      <c r="B23" s="148" t="s">
        <v>3</v>
      </c>
      <c r="C23" s="149" t="str">
        <f t="shared" si="0"/>
        <v>2021.09月Homefast paypal流水(镜柜)：refund</v>
      </c>
      <c r="D23" s="457"/>
      <c r="E23" s="457"/>
      <c r="F23" s="457"/>
      <c r="G23" s="149" t="s">
        <v>149</v>
      </c>
      <c r="H23" s="149" t="s">
        <v>150</v>
      </c>
      <c r="I23" s="457"/>
      <c r="J23" s="472"/>
      <c r="K23" s="472"/>
      <c r="L23" s="472"/>
      <c r="M23" s="73"/>
      <c r="N23" s="151">
        <f>-ROUND(S5,2)</f>
        <v>0</v>
      </c>
    </row>
    <row r="24" customFormat="1" ht="14.25" hidden="1" spans="1:14">
      <c r="A24" t="s">
        <v>18</v>
      </c>
      <c r="B24" s="148" t="s">
        <v>212</v>
      </c>
      <c r="C24" s="149" t="str">
        <f t="shared" si="0"/>
        <v>2021.09月Homefast paypal流水(镜柜)：ebay费</v>
      </c>
      <c r="D24" s="457"/>
      <c r="E24" s="457"/>
      <c r="F24" s="457"/>
      <c r="G24" s="149" t="s">
        <v>61</v>
      </c>
      <c r="H24" s="149" t="s">
        <v>62</v>
      </c>
      <c r="I24" s="457"/>
      <c r="J24" s="472"/>
      <c r="K24" s="472"/>
      <c r="L24" s="472"/>
      <c r="M24" s="73">
        <f>ROUND(I5,2)</f>
        <v>0</v>
      </c>
      <c r="N24" s="151"/>
    </row>
    <row r="25" customFormat="1" ht="14.25" hidden="1" spans="1:14">
      <c r="A25" t="s">
        <v>18</v>
      </c>
      <c r="B25" s="148" t="s">
        <v>212</v>
      </c>
      <c r="C25" s="149" t="str">
        <f t="shared" si="0"/>
        <v>2021.09月Homefast paypal流水(镜柜)：ebay费</v>
      </c>
      <c r="D25" s="457"/>
      <c r="E25" s="457"/>
      <c r="F25" s="457"/>
      <c r="G25" s="37" t="s">
        <v>59</v>
      </c>
      <c r="H25" s="37" t="s">
        <v>60</v>
      </c>
      <c r="I25" s="457"/>
      <c r="J25" s="472"/>
      <c r="K25" s="472"/>
      <c r="L25" s="472"/>
      <c r="M25" s="71"/>
      <c r="N25" s="151">
        <f>M24</f>
        <v>0</v>
      </c>
    </row>
    <row r="26" customFormat="1" ht="14.25" hidden="1" spans="1:14">
      <c r="A26" t="s">
        <v>18</v>
      </c>
      <c r="B26" s="148" t="s">
        <v>166</v>
      </c>
      <c r="C26" s="149" t="str">
        <f t="shared" si="0"/>
        <v>2021.09月Homefast paypal流水(镜柜)：手续费</v>
      </c>
      <c r="D26" s="457"/>
      <c r="E26" s="457"/>
      <c r="F26" s="457"/>
      <c r="G26" s="149" t="s">
        <v>213</v>
      </c>
      <c r="H26" s="149" t="s">
        <v>214</v>
      </c>
      <c r="I26" s="457"/>
      <c r="J26" s="472"/>
      <c r="K26" s="472"/>
      <c r="L26" s="472"/>
      <c r="M26" s="71">
        <f>ROUND(G5+H5,2)</f>
        <v>-26.09</v>
      </c>
      <c r="N26" s="151"/>
    </row>
    <row r="27" customFormat="1" ht="14.25" hidden="1" spans="1:13">
      <c r="A27" t="s">
        <v>18</v>
      </c>
      <c r="B27" s="148" t="s">
        <v>166</v>
      </c>
      <c r="C27" s="149" t="str">
        <f t="shared" si="0"/>
        <v>2021.09月Homefast paypal流水(镜柜)：手续费</v>
      </c>
      <c r="D27" s="457"/>
      <c r="E27" s="457"/>
      <c r="F27" s="457"/>
      <c r="G27" s="37" t="s">
        <v>59</v>
      </c>
      <c r="H27" s="37" t="s">
        <v>60</v>
      </c>
      <c r="I27" s="457"/>
      <c r="J27" s="472"/>
      <c r="K27" s="472"/>
      <c r="L27" s="472"/>
      <c r="M27" s="151">
        <f>-M26</f>
        <v>26.09</v>
      </c>
    </row>
    <row r="28" customFormat="1" ht="14.25" hidden="1" spans="1:14">
      <c r="A28" t="s">
        <v>18</v>
      </c>
      <c r="B28" s="148" t="s">
        <v>44</v>
      </c>
      <c r="C28" s="149" t="str">
        <f t="shared" si="0"/>
        <v>2021.09月Homefast paypal流水(镜柜)：计提营运费</v>
      </c>
      <c r="D28" s="457"/>
      <c r="E28" s="457"/>
      <c r="F28" s="457"/>
      <c r="G28" s="149" t="s">
        <v>63</v>
      </c>
      <c r="H28" s="149" t="s">
        <v>64</v>
      </c>
      <c r="I28" s="457"/>
      <c r="J28" s="472"/>
      <c r="K28" s="472"/>
      <c r="L28" s="472"/>
      <c r="M28" s="73">
        <f>ROUND(J5,2)</f>
        <v>-76.45</v>
      </c>
      <c r="N28" s="151"/>
    </row>
    <row r="29" customFormat="1" ht="15" hidden="1" spans="1:13">
      <c r="A29" t="s">
        <v>18</v>
      </c>
      <c r="B29" s="458" t="s">
        <v>44</v>
      </c>
      <c r="C29" s="162" t="str">
        <f t="shared" si="0"/>
        <v>2021.09月Homefast paypal流水(镜柜)：计提营运费</v>
      </c>
      <c r="D29" s="459"/>
      <c r="E29" s="459"/>
      <c r="F29" s="459"/>
      <c r="G29" s="185" t="s">
        <v>59</v>
      </c>
      <c r="H29" s="185" t="s">
        <v>60</v>
      </c>
      <c r="I29" s="459"/>
      <c r="J29" s="294"/>
      <c r="K29" s="294"/>
      <c r="L29" s="294"/>
      <c r="M29" s="207">
        <f>-M28</f>
        <v>76.45</v>
      </c>
    </row>
    <row r="30" customFormat="1" ht="14.25" hidden="1" spans="1:14">
      <c r="A30" t="s">
        <v>18</v>
      </c>
      <c r="B30" s="144" t="s">
        <v>15</v>
      </c>
      <c r="C30" s="145" t="str">
        <f t="shared" ref="C30:C62" si="1">$A$13&amp;$A$14&amp;"("&amp;$A30&amp;")："&amp;B30</f>
        <v>2021.09月Homefast paypal流水(镜柜)：order</v>
      </c>
      <c r="D30" s="291"/>
      <c r="E30" s="291"/>
      <c r="F30" s="291"/>
      <c r="G30" s="145" t="s">
        <v>237</v>
      </c>
      <c r="H30" s="145" t="s">
        <v>238</v>
      </c>
      <c r="I30" s="469"/>
      <c r="J30" s="291"/>
      <c r="K30" s="291"/>
      <c r="L30" s="291"/>
      <c r="M30" s="146">
        <f>SUM(N31:N34)</f>
        <v>1834.76</v>
      </c>
      <c r="N30" s="147"/>
    </row>
    <row r="31" customFormat="1" ht="14.25" hidden="1" spans="1:14">
      <c r="A31" t="s">
        <v>18</v>
      </c>
      <c r="B31" s="148" t="s">
        <v>7</v>
      </c>
      <c r="C31" s="149" t="str">
        <f t="shared" si="1"/>
        <v>2021.09月Homefast paypal流水(镜柜)：不含税</v>
      </c>
      <c r="D31" s="457"/>
      <c r="E31" s="457"/>
      <c r="F31" s="457"/>
      <c r="G31" s="37" t="s">
        <v>59</v>
      </c>
      <c r="H31" s="37" t="s">
        <v>60</v>
      </c>
      <c r="I31" s="470"/>
      <c r="J31" s="471"/>
      <c r="K31" s="471"/>
      <c r="L31" s="471"/>
      <c r="M31" s="71"/>
      <c r="N31" s="150">
        <f>ROUND(F5,2)</f>
        <v>1528.97</v>
      </c>
    </row>
    <row r="32" customFormat="1" ht="14.25" hidden="1" spans="1:14">
      <c r="A32" t="s">
        <v>18</v>
      </c>
      <c r="B32" s="148" t="s">
        <v>31</v>
      </c>
      <c r="C32" s="149" t="str">
        <f t="shared" si="1"/>
        <v>2021.09月Homefast paypal流水(镜柜)：税金</v>
      </c>
      <c r="D32" s="457"/>
      <c r="E32" s="457"/>
      <c r="F32" s="457"/>
      <c r="G32" s="149" t="s">
        <v>32</v>
      </c>
      <c r="H32" s="149" t="s">
        <v>33</v>
      </c>
      <c r="I32" s="457"/>
      <c r="J32" s="472"/>
      <c r="K32" s="472"/>
      <c r="L32" s="472"/>
      <c r="M32" s="73"/>
      <c r="N32" s="151">
        <f>ROUND(N31*0.2,2)</f>
        <v>305.79</v>
      </c>
    </row>
    <row r="33" customFormat="1" ht="14.25" hidden="1" spans="1:14">
      <c r="A33" t="s">
        <v>18</v>
      </c>
      <c r="B33" s="148" t="s">
        <v>3</v>
      </c>
      <c r="C33" s="149" t="str">
        <f t="shared" si="1"/>
        <v>2021.09月Homefast paypal流水(镜柜)：refund</v>
      </c>
      <c r="D33" s="457"/>
      <c r="E33" s="457"/>
      <c r="F33" s="457"/>
      <c r="G33" s="149" t="s">
        <v>235</v>
      </c>
      <c r="H33" s="457" t="s">
        <v>236</v>
      </c>
      <c r="I33" s="457"/>
      <c r="J33" s="472"/>
      <c r="K33" s="472"/>
      <c r="L33" s="472"/>
      <c r="M33" s="73"/>
      <c r="N33" s="151">
        <f>-ROUND(P5+R5,2)</f>
        <v>0</v>
      </c>
    </row>
    <row r="34" customFormat="1" ht="14.25" hidden="1" spans="1:14">
      <c r="A34" t="s">
        <v>18</v>
      </c>
      <c r="B34" s="148" t="s">
        <v>3</v>
      </c>
      <c r="C34" s="149" t="str">
        <f t="shared" si="1"/>
        <v>2021.09月Homefast paypal流水(镜柜)：refund</v>
      </c>
      <c r="D34" s="457"/>
      <c r="E34" s="457"/>
      <c r="F34" s="457"/>
      <c r="G34" s="149" t="s">
        <v>149</v>
      </c>
      <c r="H34" s="149" t="s">
        <v>150</v>
      </c>
      <c r="I34" s="457"/>
      <c r="J34" s="472"/>
      <c r="K34" s="472"/>
      <c r="L34" s="472"/>
      <c r="M34" s="73"/>
      <c r="N34" s="151">
        <f>-ROUND(Q5+S5,2)</f>
        <v>0</v>
      </c>
    </row>
    <row r="35" customFormat="1" ht="14.25" hidden="1" spans="1:14">
      <c r="A35" t="s">
        <v>18</v>
      </c>
      <c r="B35" s="148" t="s">
        <v>212</v>
      </c>
      <c r="C35" s="149" t="str">
        <f t="shared" si="1"/>
        <v>2021.09月Homefast paypal流水(镜柜)：ebay费</v>
      </c>
      <c r="D35" s="457"/>
      <c r="E35" s="457"/>
      <c r="F35" s="457"/>
      <c r="G35" s="149" t="s">
        <v>61</v>
      </c>
      <c r="H35" s="149" t="s">
        <v>62</v>
      </c>
      <c r="I35" s="457"/>
      <c r="J35" s="472"/>
      <c r="K35" s="472"/>
      <c r="L35" s="472"/>
      <c r="M35" s="73">
        <f>ROUND(J5,2)</f>
        <v>-76.45</v>
      </c>
      <c r="N35" s="151"/>
    </row>
    <row r="36" customFormat="1" ht="14.25" hidden="1" spans="1:14">
      <c r="A36" t="s">
        <v>18</v>
      </c>
      <c r="B36" s="148" t="s">
        <v>212</v>
      </c>
      <c r="C36" s="149" t="str">
        <f t="shared" si="1"/>
        <v>2021.09月Homefast paypal流水(镜柜)：ebay费</v>
      </c>
      <c r="D36" s="457"/>
      <c r="E36" s="457"/>
      <c r="F36" s="457"/>
      <c r="G36" s="37" t="s">
        <v>59</v>
      </c>
      <c r="H36" s="37" t="s">
        <v>60</v>
      </c>
      <c r="I36" s="457"/>
      <c r="J36" s="472"/>
      <c r="K36" s="472"/>
      <c r="L36" s="472"/>
      <c r="M36" s="71">
        <f t="shared" ref="M36:M40" si="2">-M35</f>
        <v>76.45</v>
      </c>
      <c r="N36" s="151"/>
    </row>
    <row r="37" customFormat="1" ht="14.25" hidden="1" spans="1:14">
      <c r="A37" t="s">
        <v>18</v>
      </c>
      <c r="B37" s="148" t="s">
        <v>166</v>
      </c>
      <c r="C37" s="149" t="str">
        <f t="shared" si="1"/>
        <v>2021.09月Homefast paypal流水(镜柜)：手续费</v>
      </c>
      <c r="D37" s="457"/>
      <c r="E37" s="457"/>
      <c r="F37" s="457"/>
      <c r="G37" s="149" t="s">
        <v>213</v>
      </c>
      <c r="H37" s="149" t="s">
        <v>214</v>
      </c>
      <c r="I37" s="457"/>
      <c r="J37" s="472"/>
      <c r="K37" s="472"/>
      <c r="L37" s="472"/>
      <c r="M37" s="71">
        <f>ROUND(G5+H5,2)</f>
        <v>-26.09</v>
      </c>
      <c r="N37" s="151"/>
    </row>
    <row r="38" customFormat="1" ht="14.25" hidden="1" spans="1:14">
      <c r="A38" t="s">
        <v>18</v>
      </c>
      <c r="B38" s="148" t="s">
        <v>166</v>
      </c>
      <c r="C38" s="149" t="str">
        <f t="shared" si="1"/>
        <v>2021.09月Homefast paypal流水(镜柜)：手续费</v>
      </c>
      <c r="D38" s="457"/>
      <c r="E38" s="457"/>
      <c r="F38" s="457"/>
      <c r="G38" s="37" t="s">
        <v>59</v>
      </c>
      <c r="H38" s="37" t="s">
        <v>60</v>
      </c>
      <c r="I38" s="457"/>
      <c r="J38" s="472"/>
      <c r="K38" s="472"/>
      <c r="L38" s="472"/>
      <c r="M38" s="71">
        <f t="shared" si="2"/>
        <v>26.09</v>
      </c>
      <c r="N38" s="151"/>
    </row>
    <row r="39" customFormat="1" ht="14.25" hidden="1" spans="1:14">
      <c r="A39" t="s">
        <v>18</v>
      </c>
      <c r="B39" s="148" t="s">
        <v>44</v>
      </c>
      <c r="C39" s="149" t="str">
        <f t="shared" si="1"/>
        <v>2021.09月Homefast paypal流水(镜柜)：计提营运费</v>
      </c>
      <c r="D39" s="457"/>
      <c r="E39" s="457"/>
      <c r="F39" s="457"/>
      <c r="G39" s="149" t="s">
        <v>63</v>
      </c>
      <c r="H39" s="149" t="s">
        <v>64</v>
      </c>
      <c r="I39" s="457"/>
      <c r="J39" s="472"/>
      <c r="K39" s="472"/>
      <c r="L39" s="472"/>
      <c r="M39" s="73">
        <f>ROUND(I5,2)</f>
        <v>0</v>
      </c>
      <c r="N39" s="151"/>
    </row>
    <row r="40" customFormat="1" ht="15" hidden="1" spans="1:14">
      <c r="A40" t="s">
        <v>18</v>
      </c>
      <c r="B40" s="458" t="s">
        <v>44</v>
      </c>
      <c r="C40" s="162" t="str">
        <f t="shared" si="1"/>
        <v>2021.09月Homefast paypal流水(镜柜)：计提营运费</v>
      </c>
      <c r="D40" s="459"/>
      <c r="E40" s="459"/>
      <c r="F40" s="459"/>
      <c r="G40" s="185" t="s">
        <v>59</v>
      </c>
      <c r="H40" s="185" t="s">
        <v>60</v>
      </c>
      <c r="I40" s="459"/>
      <c r="J40" s="294"/>
      <c r="K40" s="294"/>
      <c r="L40" s="294"/>
      <c r="M40" s="404">
        <f t="shared" si="2"/>
        <v>0</v>
      </c>
      <c r="N40" s="207"/>
    </row>
    <row r="41" customFormat="1" ht="14.25" hidden="1" spans="1:14">
      <c r="A41" t="s">
        <v>20</v>
      </c>
      <c r="B41" s="144" t="s">
        <v>15</v>
      </c>
      <c r="C41" s="145" t="str">
        <f t="shared" si="1"/>
        <v>2021.09月Homefast paypal流水(五金)：order</v>
      </c>
      <c r="D41" s="291"/>
      <c r="E41" s="291"/>
      <c r="F41" s="291"/>
      <c r="G41" s="145" t="s">
        <v>237</v>
      </c>
      <c r="H41" s="145" t="s">
        <v>238</v>
      </c>
      <c r="I41" s="469"/>
      <c r="J41" s="291"/>
      <c r="K41" s="291"/>
      <c r="L41" s="291"/>
      <c r="M41" s="146">
        <f>SUM(N42:N45)</f>
        <v>3756.34</v>
      </c>
      <c r="N41" s="147"/>
    </row>
    <row r="42" customFormat="1" ht="14.25" hidden="1" spans="1:14">
      <c r="A42" t="s">
        <v>20</v>
      </c>
      <c r="B42" s="148" t="s">
        <v>7</v>
      </c>
      <c r="C42" s="149" t="str">
        <f t="shared" si="1"/>
        <v>2021.09月Homefast paypal流水(五金)：不含税</v>
      </c>
      <c r="D42" s="457"/>
      <c r="E42" s="457"/>
      <c r="F42" s="457"/>
      <c r="G42" s="37" t="s">
        <v>65</v>
      </c>
      <c r="H42" s="37" t="s">
        <v>66</v>
      </c>
      <c r="I42" s="470"/>
      <c r="J42" s="471"/>
      <c r="K42" s="471"/>
      <c r="L42" s="471"/>
      <c r="M42" s="71"/>
      <c r="N42" s="150">
        <f>ROUND(F7,2)</f>
        <v>3105.28</v>
      </c>
    </row>
    <row r="43" customFormat="1" ht="14.25" hidden="1" spans="1:14">
      <c r="A43" t="s">
        <v>20</v>
      </c>
      <c r="B43" s="148" t="s">
        <v>31</v>
      </c>
      <c r="C43" s="149" t="str">
        <f t="shared" si="1"/>
        <v>2021.09月Homefast paypal流水(五金)：税金</v>
      </c>
      <c r="D43" s="457"/>
      <c r="E43" s="457"/>
      <c r="F43" s="457"/>
      <c r="G43" s="149" t="s">
        <v>32</v>
      </c>
      <c r="H43" s="149" t="s">
        <v>33</v>
      </c>
      <c r="I43" s="457"/>
      <c r="J43" s="472"/>
      <c r="K43" s="472"/>
      <c r="L43" s="472"/>
      <c r="M43" s="73"/>
      <c r="N43" s="151">
        <f>ROUND(N42*0.2,2)</f>
        <v>621.06</v>
      </c>
    </row>
    <row r="44" customFormat="1" ht="14.25" hidden="1" spans="1:14">
      <c r="A44" t="s">
        <v>20</v>
      </c>
      <c r="B44" s="148" t="s">
        <v>3</v>
      </c>
      <c r="C44" s="149" t="str">
        <f t="shared" si="1"/>
        <v>2021.09月Homefast paypal流水(五金)：refund</v>
      </c>
      <c r="D44" s="457"/>
      <c r="E44" s="457"/>
      <c r="F44" s="457"/>
      <c r="G44" s="149" t="s">
        <v>235</v>
      </c>
      <c r="H44" s="457" t="s">
        <v>236</v>
      </c>
      <c r="I44" s="457"/>
      <c r="J44" s="472"/>
      <c r="K44" s="472"/>
      <c r="L44" s="472"/>
      <c r="M44" s="73"/>
      <c r="N44" s="151">
        <f>-ROUND(P7+R7,2)</f>
        <v>30</v>
      </c>
    </row>
    <row r="45" customFormat="1" ht="14.25" hidden="1" spans="1:14">
      <c r="A45" t="s">
        <v>20</v>
      </c>
      <c r="B45" s="148" t="s">
        <v>3</v>
      </c>
      <c r="C45" s="149" t="str">
        <f t="shared" si="1"/>
        <v>2021.09月Homefast paypal流水(五金)：refund</v>
      </c>
      <c r="D45" s="457"/>
      <c r="E45" s="457"/>
      <c r="F45" s="457"/>
      <c r="G45" s="149" t="s">
        <v>149</v>
      </c>
      <c r="H45" s="149" t="s">
        <v>150</v>
      </c>
      <c r="I45" s="457"/>
      <c r="J45" s="472"/>
      <c r="K45" s="472"/>
      <c r="L45" s="472"/>
      <c r="M45" s="73"/>
      <c r="N45" s="151">
        <f>-ROUND(Q7+S7,2)</f>
        <v>0</v>
      </c>
    </row>
    <row r="46" customFormat="1" ht="14.25" hidden="1" spans="1:14">
      <c r="A46" t="s">
        <v>20</v>
      </c>
      <c r="B46" s="148" t="s">
        <v>212</v>
      </c>
      <c r="C46" s="149" t="str">
        <f t="shared" si="1"/>
        <v>2021.09月Homefast paypal流水(五金)：ebay费</v>
      </c>
      <c r="D46" s="457"/>
      <c r="E46" s="457"/>
      <c r="F46" s="457"/>
      <c r="G46" s="149" t="s">
        <v>67</v>
      </c>
      <c r="H46" s="149" t="s">
        <v>68</v>
      </c>
      <c r="I46" s="457"/>
      <c r="J46" s="472"/>
      <c r="K46" s="472"/>
      <c r="L46" s="472"/>
      <c r="M46" s="73">
        <f>ROUND(I7,2)</f>
        <v>0</v>
      </c>
      <c r="N46" s="151"/>
    </row>
    <row r="47" customFormat="1" ht="14.25" hidden="1" spans="1:14">
      <c r="A47" t="s">
        <v>20</v>
      </c>
      <c r="B47" s="148" t="s">
        <v>212</v>
      </c>
      <c r="C47" s="149" t="str">
        <f t="shared" si="1"/>
        <v>2021.09月Homefast paypal流水(五金)：ebay费</v>
      </c>
      <c r="D47" s="457"/>
      <c r="E47" s="457"/>
      <c r="F47" s="457"/>
      <c r="G47" s="37" t="s">
        <v>65</v>
      </c>
      <c r="H47" s="37" t="s">
        <v>66</v>
      </c>
      <c r="I47" s="457"/>
      <c r="J47" s="472"/>
      <c r="K47" s="472"/>
      <c r="L47" s="472"/>
      <c r="M47" s="71">
        <f t="shared" ref="M47:M51" si="3">-M46</f>
        <v>0</v>
      </c>
      <c r="N47" s="151"/>
    </row>
    <row r="48" customFormat="1" ht="14.25" hidden="1" spans="1:14">
      <c r="A48" t="s">
        <v>20</v>
      </c>
      <c r="B48" s="148" t="s">
        <v>166</v>
      </c>
      <c r="C48" s="149" t="str">
        <f t="shared" si="1"/>
        <v>2021.09月Homefast paypal流水(五金)：手续费</v>
      </c>
      <c r="D48" s="457"/>
      <c r="E48" s="457"/>
      <c r="F48" s="457"/>
      <c r="G48" s="149" t="s">
        <v>215</v>
      </c>
      <c r="H48" s="149" t="s">
        <v>216</v>
      </c>
      <c r="I48" s="457"/>
      <c r="J48" s="472"/>
      <c r="K48" s="472"/>
      <c r="L48" s="472"/>
      <c r="M48" s="71">
        <f>ROUND(G7+H7,2)</f>
        <v>-54</v>
      </c>
      <c r="N48" s="151"/>
    </row>
    <row r="49" customFormat="1" ht="14.25" hidden="1" spans="1:14">
      <c r="A49" t="s">
        <v>20</v>
      </c>
      <c r="B49" s="148" t="s">
        <v>166</v>
      </c>
      <c r="C49" s="149" t="str">
        <f t="shared" si="1"/>
        <v>2021.09月Homefast paypal流水(五金)：手续费</v>
      </c>
      <c r="D49" s="457"/>
      <c r="E49" s="457"/>
      <c r="F49" s="457"/>
      <c r="G49" s="37" t="s">
        <v>65</v>
      </c>
      <c r="H49" s="37" t="s">
        <v>66</v>
      </c>
      <c r="I49" s="457"/>
      <c r="J49" s="472"/>
      <c r="K49" s="472"/>
      <c r="L49" s="472"/>
      <c r="M49" s="71">
        <f t="shared" si="3"/>
        <v>54</v>
      </c>
      <c r="N49" s="151"/>
    </row>
    <row r="50" customFormat="1" ht="14.25" hidden="1" spans="1:14">
      <c r="A50" t="s">
        <v>20</v>
      </c>
      <c r="B50" s="148" t="s">
        <v>44</v>
      </c>
      <c r="C50" s="149" t="str">
        <f t="shared" si="1"/>
        <v>2021.09月Homefast paypal流水(五金)：计提营运费</v>
      </c>
      <c r="D50" s="457"/>
      <c r="E50" s="457"/>
      <c r="F50" s="457"/>
      <c r="G50" s="149" t="s">
        <v>69</v>
      </c>
      <c r="H50" s="149" t="s">
        <v>70</v>
      </c>
      <c r="I50" s="457"/>
      <c r="J50" s="472"/>
      <c r="K50" s="472"/>
      <c r="L50" s="472"/>
      <c r="M50" s="73">
        <f>ROUND(J7,2)</f>
        <v>-155.26</v>
      </c>
      <c r="N50" s="151"/>
    </row>
    <row r="51" customFormat="1" ht="15" hidden="1" spans="1:14">
      <c r="A51" s="550" t="s">
        <v>20</v>
      </c>
      <c r="B51" s="148" t="s">
        <v>44</v>
      </c>
      <c r="C51" s="149" t="str">
        <f t="shared" si="1"/>
        <v>2021.09月Homefast paypal流水(五金)：计提营运费</v>
      </c>
      <c r="D51" s="457"/>
      <c r="E51" s="457"/>
      <c r="F51" s="457"/>
      <c r="G51" s="37" t="s">
        <v>65</v>
      </c>
      <c r="H51" s="37" t="s">
        <v>66</v>
      </c>
      <c r="I51" s="457"/>
      <c r="J51" s="472"/>
      <c r="K51" s="472"/>
      <c r="L51" s="472"/>
      <c r="M51" s="71">
        <f t="shared" si="3"/>
        <v>155.26</v>
      </c>
      <c r="N51" s="151"/>
    </row>
    <row r="52" customFormat="1" ht="15" hidden="1" spans="1:14">
      <c r="A52" t="s">
        <v>19</v>
      </c>
      <c r="B52" s="144" t="s">
        <v>15</v>
      </c>
      <c r="C52" s="145" t="str">
        <f t="shared" si="1"/>
        <v>2021.09月Homefast paypal流水(水龙头)：order</v>
      </c>
      <c r="D52" s="291"/>
      <c r="E52" s="291"/>
      <c r="F52" s="291"/>
      <c r="G52" s="145" t="s">
        <v>237</v>
      </c>
      <c r="H52" s="145" t="s">
        <v>238</v>
      </c>
      <c r="I52" s="469"/>
      <c r="J52" s="291"/>
      <c r="K52" s="291"/>
      <c r="L52" s="291"/>
      <c r="M52" s="146"/>
      <c r="N52" s="147"/>
    </row>
    <row r="53" customFormat="1" ht="14.25" hidden="1" spans="1:14">
      <c r="A53" t="s">
        <v>19</v>
      </c>
      <c r="B53" s="148" t="s">
        <v>7</v>
      </c>
      <c r="C53" s="149" t="str">
        <f t="shared" si="1"/>
        <v>2021.09月Homefast paypal流水(水龙头)：不含税</v>
      </c>
      <c r="D53" s="457"/>
      <c r="E53" s="457"/>
      <c r="F53" s="457"/>
      <c r="G53" s="37" t="s">
        <v>71</v>
      </c>
      <c r="H53" s="37" t="s">
        <v>72</v>
      </c>
      <c r="I53" s="470"/>
      <c r="J53" s="471"/>
      <c r="K53" s="471"/>
      <c r="L53" s="471"/>
      <c r="M53" s="71">
        <f>-ROUND(F6,2)</f>
        <v>0</v>
      </c>
      <c r="N53" s="151"/>
    </row>
    <row r="54" customFormat="1" ht="14.25" hidden="1" spans="1:14">
      <c r="A54" t="s">
        <v>19</v>
      </c>
      <c r="B54" s="148" t="s">
        <v>31</v>
      </c>
      <c r="C54" s="149" t="str">
        <f t="shared" si="1"/>
        <v>2021.09月Homefast paypal流水(水龙头)：税金</v>
      </c>
      <c r="D54" s="457"/>
      <c r="E54" s="457"/>
      <c r="F54" s="457"/>
      <c r="G54" s="149" t="s">
        <v>32</v>
      </c>
      <c r="H54" s="149" t="s">
        <v>33</v>
      </c>
      <c r="I54" s="457"/>
      <c r="J54" s="472"/>
      <c r="K54" s="472"/>
      <c r="L54" s="472"/>
      <c r="M54" s="73">
        <f>ROUND(M53*0.2,2)</f>
        <v>0</v>
      </c>
      <c r="N54" s="448"/>
    </row>
    <row r="55" customFormat="1" ht="14.25" hidden="1" spans="1:14">
      <c r="A55" t="s">
        <v>19</v>
      </c>
      <c r="B55" s="148" t="s">
        <v>3</v>
      </c>
      <c r="C55" s="149" t="str">
        <f t="shared" si="1"/>
        <v>2021.09月Homefast paypal流水(水龙头)：refund</v>
      </c>
      <c r="D55" s="457"/>
      <c r="E55" s="457"/>
      <c r="F55" s="457"/>
      <c r="G55" s="149" t="s">
        <v>235</v>
      </c>
      <c r="H55" s="457" t="s">
        <v>236</v>
      </c>
      <c r="I55" s="457"/>
      <c r="J55" s="472"/>
      <c r="K55" s="472"/>
      <c r="L55" s="472"/>
      <c r="M55" s="73"/>
      <c r="N55" s="151">
        <f>-ROUND(P6+R6,2)</f>
        <v>0</v>
      </c>
    </row>
    <row r="56" customFormat="1" ht="14.25" hidden="1" spans="1:14">
      <c r="A56" t="s">
        <v>19</v>
      </c>
      <c r="B56" s="148" t="s">
        <v>3</v>
      </c>
      <c r="C56" s="149" t="str">
        <f t="shared" si="1"/>
        <v>2021.09月Homefast paypal流水(水龙头)：refund</v>
      </c>
      <c r="D56" s="457"/>
      <c r="E56" s="457"/>
      <c r="F56" s="457"/>
      <c r="G56" s="149" t="s">
        <v>149</v>
      </c>
      <c r="H56" s="149" t="s">
        <v>150</v>
      </c>
      <c r="I56" s="457"/>
      <c r="J56" s="472"/>
      <c r="K56" s="472"/>
      <c r="L56" s="472"/>
      <c r="M56" s="73"/>
      <c r="N56" s="151">
        <f>-ROUND(Q6+S6,2)</f>
        <v>0</v>
      </c>
    </row>
    <row r="57" customFormat="1" ht="14.25" hidden="1" spans="1:14">
      <c r="A57" t="s">
        <v>19</v>
      </c>
      <c r="B57" s="148" t="s">
        <v>212</v>
      </c>
      <c r="C57" s="149" t="str">
        <f t="shared" si="1"/>
        <v>2021.09月Homefast paypal流水(水龙头)：ebay费</v>
      </c>
      <c r="D57" s="457"/>
      <c r="E57" s="457"/>
      <c r="F57" s="457"/>
      <c r="G57" s="149" t="s">
        <v>73</v>
      </c>
      <c r="H57" s="149" t="s">
        <v>74</v>
      </c>
      <c r="I57" s="457"/>
      <c r="J57" s="472"/>
      <c r="K57" s="472"/>
      <c r="L57" s="472"/>
      <c r="M57" s="73">
        <f>ROUND(I6,2)</f>
        <v>0</v>
      </c>
      <c r="N57" s="151"/>
    </row>
    <row r="58" customFormat="1" ht="14.25" hidden="1" spans="1:14">
      <c r="A58" t="s">
        <v>19</v>
      </c>
      <c r="B58" s="148" t="s">
        <v>212</v>
      </c>
      <c r="C58" s="149" t="str">
        <f t="shared" si="1"/>
        <v>2021.09月Homefast paypal流水(水龙头)：ebay费</v>
      </c>
      <c r="D58" s="457"/>
      <c r="E58" s="457"/>
      <c r="F58" s="457"/>
      <c r="G58" s="37" t="s">
        <v>71</v>
      </c>
      <c r="H58" s="37" t="s">
        <v>72</v>
      </c>
      <c r="I58" s="457"/>
      <c r="J58" s="472"/>
      <c r="K58" s="472"/>
      <c r="L58" s="472"/>
      <c r="M58" s="554"/>
      <c r="N58" s="150">
        <f>M57</f>
        <v>0</v>
      </c>
    </row>
    <row r="59" customFormat="1" ht="14.25" hidden="1" spans="1:14">
      <c r="A59" t="s">
        <v>19</v>
      </c>
      <c r="B59" s="148" t="s">
        <v>166</v>
      </c>
      <c r="C59" s="149" t="str">
        <f t="shared" si="1"/>
        <v>2021.09月Homefast paypal流水(水龙头)：手续费</v>
      </c>
      <c r="D59" s="457"/>
      <c r="E59" s="457"/>
      <c r="F59" s="457"/>
      <c r="G59" s="149" t="s">
        <v>217</v>
      </c>
      <c r="H59" s="149" t="s">
        <v>218</v>
      </c>
      <c r="I59" s="457"/>
      <c r="J59" s="472"/>
      <c r="K59" s="472"/>
      <c r="L59" s="472"/>
      <c r="M59" s="71">
        <f>ROUND(G6+H6,2)</f>
        <v>0</v>
      </c>
      <c r="N59" s="151"/>
    </row>
    <row r="60" customFormat="1" ht="14.25" hidden="1" spans="1:14">
      <c r="A60" t="s">
        <v>19</v>
      </c>
      <c r="B60" s="148" t="s">
        <v>166</v>
      </c>
      <c r="C60" s="149" t="str">
        <f t="shared" si="1"/>
        <v>2021.09月Homefast paypal流水(水龙头)：手续费</v>
      </c>
      <c r="D60" s="457"/>
      <c r="E60" s="457"/>
      <c r="F60" s="457"/>
      <c r="G60" s="37" t="s">
        <v>71</v>
      </c>
      <c r="H60" s="37" t="s">
        <v>72</v>
      </c>
      <c r="I60" s="457"/>
      <c r="J60" s="472"/>
      <c r="K60" s="472"/>
      <c r="L60" s="472"/>
      <c r="M60" s="71">
        <f>-M59</f>
        <v>0</v>
      </c>
      <c r="N60" s="151"/>
    </row>
    <row r="61" customFormat="1" ht="14.25" hidden="1" spans="1:14">
      <c r="A61" t="s">
        <v>19</v>
      </c>
      <c r="B61" s="148" t="s">
        <v>44</v>
      </c>
      <c r="C61" s="149" t="str">
        <f t="shared" si="1"/>
        <v>2021.09月Homefast paypal流水(水龙头)：计提营运费</v>
      </c>
      <c r="D61" s="457"/>
      <c r="E61" s="457"/>
      <c r="F61" s="457"/>
      <c r="G61" s="149" t="s">
        <v>75</v>
      </c>
      <c r="H61" s="149" t="s">
        <v>76</v>
      </c>
      <c r="I61" s="457"/>
      <c r="J61" s="472"/>
      <c r="K61" s="472"/>
      <c r="L61" s="472"/>
      <c r="M61" s="73">
        <f>ROUND(J6,2)</f>
        <v>0</v>
      </c>
      <c r="N61" s="151"/>
    </row>
    <row r="62" customFormat="1" ht="15" hidden="1" spans="1:14">
      <c r="A62" t="s">
        <v>19</v>
      </c>
      <c r="B62" s="458" t="s">
        <v>44</v>
      </c>
      <c r="C62" s="162" t="str">
        <f t="shared" si="1"/>
        <v>2021.09月Homefast paypal流水(水龙头)：计提营运费</v>
      </c>
      <c r="D62" s="459"/>
      <c r="E62" s="459"/>
      <c r="F62" s="459"/>
      <c r="G62" s="185" t="s">
        <v>71</v>
      </c>
      <c r="H62" s="185" t="s">
        <v>72</v>
      </c>
      <c r="I62" s="459"/>
      <c r="J62" s="294"/>
      <c r="K62" s="294"/>
      <c r="L62" s="294"/>
      <c r="M62" s="555"/>
      <c r="N62" s="556">
        <f>M61</f>
        <v>0</v>
      </c>
    </row>
    <row r="63" hidden="1"/>
    <row r="64" hidden="1"/>
    <row r="66" ht="14.25"/>
    <row r="67" ht="14.25" spans="2:15">
      <c r="B67" s="452" t="s">
        <v>15</v>
      </c>
      <c r="C67" s="453" t="str">
        <f>$A$13&amp;$A$14&amp;"："&amp;B67</f>
        <v>2021.09月Homefast paypal流水：order</v>
      </c>
      <c r="D67" s="453"/>
      <c r="E67" s="453"/>
      <c r="F67" s="453"/>
      <c r="G67" s="431" t="str">
        <f ca="1">INDEX(P:P,MATCH("order",$P:$P,0)+1)</f>
        <v>1122.001.005</v>
      </c>
      <c r="H67" s="431" t="str">
        <f ca="1">INDEX(Q:Q,MATCH("order",$P:$P,0)+1)</f>
        <v>应收账款 - 应收销售平台款 - 应收 Homefast paypal流水</v>
      </c>
      <c r="I67" s="467"/>
      <c r="J67" s="453"/>
      <c r="K67" s="453"/>
      <c r="L67" s="453"/>
      <c r="M67" s="315">
        <f>SUM(M10:O11)</f>
        <v>6942.91</v>
      </c>
      <c r="N67" s="316"/>
      <c r="O67" s="31">
        <f>SUM(M67:M$67)-SUM(N67:N$67)</f>
        <v>6942.91</v>
      </c>
    </row>
    <row r="68" ht="15" spans="2:15">
      <c r="B68" s="454" t="s">
        <v>15</v>
      </c>
      <c r="C68" s="455" t="str">
        <f>$A$13&amp;$A$14&amp;"："&amp;B68</f>
        <v>2021.09月Homefast paypal流水：order</v>
      </c>
      <c r="D68" s="455"/>
      <c r="E68" s="455"/>
      <c r="F68" s="455"/>
      <c r="G68" s="456" t="str">
        <f ca="1">INDEX(P:P,MATCH("order",$P:$P,0)+2)</f>
        <v>2203.07.005</v>
      </c>
      <c r="H68" s="456" t="str">
        <f ca="1">INDEX(Q:Q,MATCH("order",$P:$P,0)+2)</f>
        <v>预收账款 - 预收销售平台款 - 预收 Homefast paypal流水</v>
      </c>
      <c r="I68" s="468"/>
      <c r="J68" s="455"/>
      <c r="K68" s="455"/>
      <c r="L68" s="455"/>
      <c r="M68" s="54"/>
      <c r="N68" s="206">
        <f>M67</f>
        <v>6942.91</v>
      </c>
      <c r="O68" s="31">
        <f>SUM(M$67:M68)-SUM(N$67:N68)</f>
        <v>0</v>
      </c>
    </row>
    <row r="69" ht="14.25" spans="1:15">
      <c r="A69" t="s">
        <v>18</v>
      </c>
      <c r="B69" s="144" t="s">
        <v>15</v>
      </c>
      <c r="C69" s="145" t="str">
        <f t="shared" ref="C69:C100" si="4">$A$13&amp;$A$14&amp;"("&amp;$A69&amp;")："&amp;B69</f>
        <v>2021.09月Homefast paypal流水(镜柜)：order</v>
      </c>
      <c r="D69" s="291"/>
      <c r="E69" s="291"/>
      <c r="F69" s="291"/>
      <c r="G69" s="431" t="str">
        <f ca="1">INDEX(P:P,MATCH("order",$P:$P,0)+2)</f>
        <v>2203.07.005</v>
      </c>
      <c r="H69" s="431" t="str">
        <f ca="1">INDEX(Q:Q,MATCH("order",$P:$P,0)+2)</f>
        <v>预收账款 - 预收销售平台款 - 预收 Homefast paypal流水</v>
      </c>
      <c r="I69" s="469"/>
      <c r="J69" s="291"/>
      <c r="K69" s="291"/>
      <c r="L69" s="291"/>
      <c r="M69" s="172">
        <f ca="1">ROUND(SUM(OFFSET($A$1,MATCH($A69,$C$1:$C$11,0)-1,MATCH($B69,$1:$1,0)-1,,3))+OFFSET($A$1,MATCH($A69,$C$1:$C$11,0)-1,MATCH($B69,$1:$1,0)-1-8),2)</f>
        <v>1834.76</v>
      </c>
      <c r="N69" s="204"/>
      <c r="O69" s="31">
        <f ca="1">SUM(M$67:M69)-SUM(N$67:N69)</f>
        <v>1834.76</v>
      </c>
    </row>
    <row r="70" ht="14.25" spans="1:16">
      <c r="A70" t="s">
        <v>18</v>
      </c>
      <c r="B70" s="148" t="s">
        <v>7</v>
      </c>
      <c r="C70" s="149" t="str">
        <f t="shared" si="4"/>
        <v>2021.09月Homefast paypal流水(镜柜)：不含税</v>
      </c>
      <c r="D70" s="457"/>
      <c r="E70" s="457"/>
      <c r="F70" s="457"/>
      <c r="G70" s="456" t="str">
        <f ca="1">INDEX(P:P,MATCH($A70,$P:$P,0)+1)</f>
        <v>1221.86</v>
      </c>
      <c r="H70" s="456" t="str">
        <f ca="1">INDEX(Q:Q,MATCH($A70,$P:$P,0)+1)</f>
        <v>其他应收款 - 事业部</v>
      </c>
      <c r="I70" s="470"/>
      <c r="J70" s="471"/>
      <c r="K70" s="471"/>
      <c r="L70" s="471"/>
      <c r="M70" s="456"/>
      <c r="N70" s="150">
        <f ca="1">ROUND(SUM(OFFSET($A$1,MATCH($A70,$C$1:$C$11,0)-1,MATCH($B70,$1:$1,0)-1)),2)</f>
        <v>1528.97</v>
      </c>
      <c r="O70" s="31">
        <f ca="1">SUM(M$67:M70)-SUM(N$67:N70)</f>
        <v>305.790000000001</v>
      </c>
      <c r="P70" t="s">
        <v>15</v>
      </c>
    </row>
    <row r="71" ht="14.25" spans="1:17">
      <c r="A71" t="s">
        <v>18</v>
      </c>
      <c r="B71" s="148" t="s">
        <v>31</v>
      </c>
      <c r="C71" s="149" t="str">
        <f t="shared" si="4"/>
        <v>2021.09月Homefast paypal流水(镜柜)：税金</v>
      </c>
      <c r="D71" s="457"/>
      <c r="E71" s="457"/>
      <c r="F71" s="457"/>
      <c r="G71" s="456" t="str">
        <f ca="1">INDEX(P:P,MATCH("order",$P:$P,0)+3)</f>
        <v>2221</v>
      </c>
      <c r="H71" s="456" t="str">
        <f ca="1">INDEX(Q:Q,MATCH("order",$P:$P,0)+3)</f>
        <v>应交税费</v>
      </c>
      <c r="I71" s="457"/>
      <c r="J71" s="472"/>
      <c r="K71" s="472"/>
      <c r="L71" s="472"/>
      <c r="M71" s="456"/>
      <c r="N71" s="151">
        <f ca="1">ROUND(N70*0.2,2)</f>
        <v>305.79</v>
      </c>
      <c r="O71" s="31">
        <f ca="1">SUM(M$67:M71)-SUM(N$67:N71)</f>
        <v>0</v>
      </c>
      <c r="P71" t="s">
        <v>235</v>
      </c>
      <c r="Q71" t="s">
        <v>236</v>
      </c>
    </row>
    <row r="72" ht="14.25" hidden="1" spans="1:17">
      <c r="A72" t="s">
        <v>18</v>
      </c>
      <c r="B72" s="148" t="s">
        <v>3</v>
      </c>
      <c r="C72" s="149" t="str">
        <f t="shared" si="4"/>
        <v>2021.09月Homefast paypal流水(镜柜)：refund</v>
      </c>
      <c r="D72" s="457"/>
      <c r="E72" s="457"/>
      <c r="F72" s="457"/>
      <c r="G72" s="456" t="str">
        <f ca="1">INDEX(P:P,MATCH("order",$P:$P,0)+1)</f>
        <v>1122.001.005</v>
      </c>
      <c r="H72" s="456" t="str">
        <f ca="1">INDEX(Q:Q,MATCH("order",$P:$P,0)+1)</f>
        <v>应收账款 - 应收销售平台款 - 应收 Homefast paypal流水</v>
      </c>
      <c r="I72" s="457"/>
      <c r="J72" s="472"/>
      <c r="K72" s="472"/>
      <c r="L72" s="472"/>
      <c r="M72" s="73"/>
      <c r="N72" s="150">
        <f ca="1">ROUND(-SUM(OFFSET($A$1,MATCH($A72,$C$1:$C$11,0)-1,MATCH($B72,$1:$1,0)-1,,4)),2)</f>
        <v>0</v>
      </c>
      <c r="O72" s="31">
        <f ca="1">SUM(M$67:M72)-SUM(N$67:N72)</f>
        <v>0</v>
      </c>
      <c r="P72" t="s">
        <v>237</v>
      </c>
      <c r="Q72" t="s">
        <v>238</v>
      </c>
    </row>
    <row r="73" ht="14.25" spans="1:17">
      <c r="A73" t="s">
        <v>18</v>
      </c>
      <c r="B73" s="148" t="s">
        <v>166</v>
      </c>
      <c r="C73" s="149" t="str">
        <f t="shared" si="4"/>
        <v>2021.09月Homefast paypal流水(镜柜)：手续费</v>
      </c>
      <c r="D73" s="457"/>
      <c r="E73" s="457"/>
      <c r="F73" s="457"/>
      <c r="G73" s="456" t="str">
        <f ca="1">INDEX(P:P,MATCH($A73,$P:$P,0)+3)</f>
        <v>6603.002.01.03</v>
      </c>
      <c r="H73" s="456" t="str">
        <f ca="1">INDEX(Q:Q,MATCH($A73,$P:$P,0)+3)</f>
        <v>财务费用 - 收款平台手续费 - Paypal手续费 - 镜柜事业部-paypal手续费</v>
      </c>
      <c r="I73" s="457"/>
      <c r="J73" s="472"/>
      <c r="K73" s="472"/>
      <c r="L73" s="472"/>
      <c r="M73" s="71">
        <f ca="1">ROUND(SUM(OFFSET($A$1,MATCH($A73,$C$1:$C$11,0)-1,MATCH($B73,$1:$1,0)-1,,2)),2)</f>
        <v>-26.09</v>
      </c>
      <c r="N73" s="151"/>
      <c r="O73" s="31">
        <f ca="1">SUM(M$67:M73)-SUM(N$67:N73)</f>
        <v>-26.0900000000001</v>
      </c>
      <c r="P73" t="s">
        <v>32</v>
      </c>
      <c r="Q73" t="s">
        <v>33</v>
      </c>
    </row>
    <row r="74" ht="14.25" spans="1:15">
      <c r="A74" t="s">
        <v>18</v>
      </c>
      <c r="B74" s="148" t="s">
        <v>166</v>
      </c>
      <c r="C74" s="149" t="str">
        <f t="shared" si="4"/>
        <v>2021.09月Homefast paypal流水(镜柜)：手续费</v>
      </c>
      <c r="D74" s="457"/>
      <c r="E74" s="457"/>
      <c r="F74" s="457"/>
      <c r="G74" s="456" t="str">
        <f ca="1">INDEX(P:P,MATCH($A74,$P:$P,0)+1)</f>
        <v>1221.86</v>
      </c>
      <c r="H74" s="456" t="str">
        <f ca="1">INDEX(Q:Q,MATCH($A74,$P:$P,0)+1)</f>
        <v>其他应收款 - 事业部</v>
      </c>
      <c r="I74" s="457"/>
      <c r="J74" s="472"/>
      <c r="K74" s="472"/>
      <c r="L74" s="472"/>
      <c r="M74" s="73">
        <f ca="1">-M73</f>
        <v>26.09</v>
      </c>
      <c r="N74" s="150"/>
      <c r="O74" s="31">
        <f ca="1">SUM(M$67:M74)-SUM(N$67:N74)</f>
        <v>0</v>
      </c>
    </row>
    <row r="75" ht="14.25" spans="1:16">
      <c r="A75" t="s">
        <v>18</v>
      </c>
      <c r="B75" s="148" t="s">
        <v>79</v>
      </c>
      <c r="C75" s="149" t="str">
        <f t="shared" si="4"/>
        <v>2021.09月Homefast paypal流水(镜柜)：营运费5%：</v>
      </c>
      <c r="D75" s="457"/>
      <c r="E75" s="457"/>
      <c r="F75" s="457"/>
      <c r="G75" s="456" t="str">
        <f ca="1">INDEX(P:P,MATCH($A75,$P:$P,0)+4)</f>
        <v>6601.006.002</v>
      </c>
      <c r="H75" s="456" t="str">
        <f ca="1">INDEX(Q:Q,MATCH($A75,$P:$P,0)+4)</f>
        <v>销售费用 - 事业部营运费 - 镜柜事业部-营运费</v>
      </c>
      <c r="I75" s="457"/>
      <c r="J75" s="472"/>
      <c r="K75" s="472"/>
      <c r="L75" s="472"/>
      <c r="M75" s="71">
        <f ca="1">ROUND(SUM(OFFSET($A$1,MATCH($A75,$C$1:$C$11,0)-1,MATCH($B75,$1:$1,0)-1)),2)</f>
        <v>-76.45</v>
      </c>
      <c r="N75" s="151"/>
      <c r="O75" s="31">
        <f ca="1">SUM(M$67:M75)-SUM(N$67:N75)</f>
        <v>-76.4500000000007</v>
      </c>
      <c r="P75" t="s">
        <v>83</v>
      </c>
    </row>
    <row r="76" ht="15" spans="1:17">
      <c r="A76" t="s">
        <v>18</v>
      </c>
      <c r="B76" s="458" t="s">
        <v>79</v>
      </c>
      <c r="C76" s="162" t="str">
        <f t="shared" si="4"/>
        <v>2021.09月Homefast paypal流水(镜柜)：营运费5%：</v>
      </c>
      <c r="D76" s="459"/>
      <c r="E76" s="459"/>
      <c r="F76" s="459"/>
      <c r="G76" s="433" t="str">
        <f ca="1">INDEX(P:P,MATCH($A76,$P:$P,0)+1)</f>
        <v>1221.86</v>
      </c>
      <c r="H76" s="433" t="str">
        <f ca="1">INDEX(Q:Q,MATCH($A76,$P:$P,0)+1)</f>
        <v>其他应收款 - 事业部</v>
      </c>
      <c r="I76" s="459"/>
      <c r="J76" s="294"/>
      <c r="K76" s="294"/>
      <c r="L76" s="294"/>
      <c r="M76" s="404">
        <f ca="1">-M75</f>
        <v>76.45</v>
      </c>
      <c r="N76" s="445"/>
      <c r="O76" s="31">
        <f ca="1">SUM(M$67:M76)-SUM(N$67:N76)</f>
        <v>0</v>
      </c>
      <c r="P76" t="s">
        <v>121</v>
      </c>
      <c r="Q76" t="s">
        <v>122</v>
      </c>
    </row>
    <row r="77" ht="14.25" spans="1:17">
      <c r="A77" t="s">
        <v>20</v>
      </c>
      <c r="B77" s="144" t="s">
        <v>15</v>
      </c>
      <c r="C77" s="145" t="str">
        <f t="shared" si="4"/>
        <v>2021.09月Homefast paypal流水(五金)：order</v>
      </c>
      <c r="D77" s="291"/>
      <c r="E77" s="291"/>
      <c r="F77" s="291"/>
      <c r="G77" s="431" t="str">
        <f ca="1">INDEX(P:P,MATCH("order",$P:$P,0)+2)</f>
        <v>2203.07.005</v>
      </c>
      <c r="H77" s="431" t="str">
        <f ca="1">INDEX(Q:Q,MATCH("order",$P:$P,0)+2)</f>
        <v>预收账款 - 预收销售平台款 - 预收 Homefast paypal流水</v>
      </c>
      <c r="I77" s="469"/>
      <c r="J77" s="291"/>
      <c r="K77" s="291"/>
      <c r="L77" s="291"/>
      <c r="M77" s="172">
        <f ca="1">ROUND(SUM(OFFSET($A$1,MATCH($A77,$C$1:$C$11,0)-1,MATCH($B77,$1:$1,0)-1,,3))+OFFSET($A$1,MATCH($A77,$C$1:$C$11,0)-1,MATCH($B77,$1:$1,0)-1-8),2)</f>
        <v>3756.33</v>
      </c>
      <c r="N77" s="204"/>
      <c r="O77" s="31">
        <f ca="1">SUM(M$67:M77)-SUM(N$67:N77)</f>
        <v>3756.33</v>
      </c>
      <c r="P77" t="s">
        <v>123</v>
      </c>
      <c r="Q77" t="s">
        <v>220</v>
      </c>
    </row>
    <row r="78" ht="14.25" spans="1:17">
      <c r="A78" t="s">
        <v>20</v>
      </c>
      <c r="B78" s="148" t="s">
        <v>7</v>
      </c>
      <c r="C78" s="149" t="str">
        <f t="shared" si="4"/>
        <v>2021.09月Homefast paypal流水(五金)：不含税</v>
      </c>
      <c r="D78" s="457"/>
      <c r="E78" s="457"/>
      <c r="F78" s="457"/>
      <c r="G78" s="456" t="str">
        <f ca="1">INDEX(P:P,MATCH($A78,$P:$P,0)+1)</f>
        <v>1221.60</v>
      </c>
      <c r="H78" s="456" t="str">
        <f ca="1">INDEX(Q:Q,MATCH($A78,$P:$P,0)+1)</f>
        <v>其他应收款 - 拓展部五金部</v>
      </c>
      <c r="I78" s="470"/>
      <c r="J78" s="471"/>
      <c r="K78" s="471"/>
      <c r="L78" s="471"/>
      <c r="M78" s="456"/>
      <c r="N78" s="150">
        <f ca="1">ROUND(SUM(OFFSET($A$1,MATCH($A78,$C$1:$C$11,0)-1,MATCH($B78,$1:$1,0)-1)),2)</f>
        <v>3105.28</v>
      </c>
      <c r="O78" s="31">
        <f ca="1">SUM(M$67:M78)-SUM(N$67:N78)</f>
        <v>651.049999999999</v>
      </c>
      <c r="P78" t="s">
        <v>221</v>
      </c>
      <c r="Q78" t="s">
        <v>222</v>
      </c>
    </row>
    <row r="79" ht="14.25" spans="1:17">
      <c r="A79" t="s">
        <v>20</v>
      </c>
      <c r="B79" s="148" t="s">
        <v>31</v>
      </c>
      <c r="C79" s="149" t="str">
        <f t="shared" si="4"/>
        <v>2021.09月Homefast paypal流水(五金)：税金</v>
      </c>
      <c r="D79" s="457"/>
      <c r="E79" s="457"/>
      <c r="F79" s="457"/>
      <c r="G79" s="456" t="str">
        <f ca="1">INDEX(P:P,MATCH("order",$P:$P,0)+3)</f>
        <v>2221</v>
      </c>
      <c r="H79" s="456" t="str">
        <f ca="1">INDEX(Q:Q,MATCH("order",$P:$P,0)+3)</f>
        <v>应交税费</v>
      </c>
      <c r="I79" s="457"/>
      <c r="J79" s="472"/>
      <c r="K79" s="472"/>
      <c r="L79" s="472"/>
      <c r="M79" s="456"/>
      <c r="N79" s="151">
        <f ca="1">ROUND(N78*0.2,2)-0.01</f>
        <v>621.05</v>
      </c>
      <c r="O79" s="31">
        <f ca="1">SUM(M$67:M79)-SUM(N$67:N79)</f>
        <v>30</v>
      </c>
      <c r="P79" t="s">
        <v>125</v>
      </c>
      <c r="Q79" t="s">
        <v>223</v>
      </c>
    </row>
    <row r="80" ht="14.25" spans="1:15">
      <c r="A80" t="s">
        <v>20</v>
      </c>
      <c r="B80" s="148" t="s">
        <v>3</v>
      </c>
      <c r="C80" s="149" t="str">
        <f t="shared" si="4"/>
        <v>2021.09月Homefast paypal流水(五金)：refund</v>
      </c>
      <c r="D80" s="457"/>
      <c r="E80" s="457"/>
      <c r="F80" s="457"/>
      <c r="G80" s="456" t="str">
        <f ca="1">INDEX(P:P,MATCH("order",$P:$P,0)+1)</f>
        <v>1122.001.005</v>
      </c>
      <c r="H80" s="456" t="str">
        <f ca="1">INDEX(Q:Q,MATCH("order",$P:$P,0)+1)</f>
        <v>应收账款 - 应收销售平台款 - 应收 Homefast paypal流水</v>
      </c>
      <c r="I80" s="457"/>
      <c r="J80" s="472"/>
      <c r="K80" s="472"/>
      <c r="L80" s="472"/>
      <c r="M80" s="73"/>
      <c r="N80" s="150">
        <f ca="1">ROUND(-SUM(OFFSET($A$1,MATCH($A80,$C$1:$C$11,0)-1,MATCH($B80,$1:$1,0)-1,,4)),2)</f>
        <v>30</v>
      </c>
      <c r="O80" s="31">
        <f ca="1">SUM(M$67:M80)-SUM(N$67:N80)</f>
        <v>0</v>
      </c>
    </row>
    <row r="81" ht="14.25" spans="1:16">
      <c r="A81" t="s">
        <v>20</v>
      </c>
      <c r="B81" s="148" t="s">
        <v>166</v>
      </c>
      <c r="C81" s="149" t="str">
        <f t="shared" si="4"/>
        <v>2021.09月Homefast paypal流水(五金)：手续费</v>
      </c>
      <c r="D81" s="457"/>
      <c r="E81" s="457"/>
      <c r="F81" s="457"/>
      <c r="G81" s="456" t="str">
        <f ca="1">INDEX(P:P,MATCH($A81,$P:$P,0)+3)</f>
        <v>6603.002.01.02</v>
      </c>
      <c r="H81" s="456" t="str">
        <f ca="1">INDEX(Q:Q,MATCH($A81,$P:$P,0)+3)</f>
        <v>财务费用 - 收款平台手续费 - Paypal手续费 - 五金事业部-paypal手续费</v>
      </c>
      <c r="I81" s="457"/>
      <c r="J81" s="472"/>
      <c r="K81" s="472"/>
      <c r="L81" s="472"/>
      <c r="M81" s="71">
        <f ca="1">ROUND(SUM(OFFSET($A$1,MATCH($A81,$C$1:$C$11,0)-1,MATCH($B81,$1:$1,0)-1,,2)),2)</f>
        <v>-54</v>
      </c>
      <c r="N81" s="151"/>
      <c r="O81" s="31">
        <f ca="1">SUM(M$67:M81)-SUM(N$67:N81)</f>
        <v>-54</v>
      </c>
      <c r="P81" t="s">
        <v>19</v>
      </c>
    </row>
    <row r="82" ht="14.25" spans="1:17">
      <c r="A82" t="s">
        <v>20</v>
      </c>
      <c r="B82" s="148" t="s">
        <v>166</v>
      </c>
      <c r="C82" s="149" t="str">
        <f t="shared" si="4"/>
        <v>2021.09月Homefast paypal流水(五金)：手续费</v>
      </c>
      <c r="D82" s="457"/>
      <c r="E82" s="457"/>
      <c r="F82" s="457"/>
      <c r="G82" s="456" t="str">
        <f ca="1">INDEX(P:P,MATCH($A82,$P:$P,0)+1)</f>
        <v>1221.60</v>
      </c>
      <c r="H82" s="456" t="str">
        <f ca="1">INDEX(Q:Q,MATCH($A82,$P:$P,0)+1)</f>
        <v>其他应收款 - 拓展部五金部</v>
      </c>
      <c r="I82" s="457"/>
      <c r="J82" s="472"/>
      <c r="K82" s="472"/>
      <c r="L82" s="472"/>
      <c r="M82" s="73">
        <f ca="1">-M81</f>
        <v>54</v>
      </c>
      <c r="N82" s="150"/>
      <c r="O82" s="31">
        <f ca="1">SUM(M$67:M82)-SUM(N$67:N82)</f>
        <v>0</v>
      </c>
      <c r="P82" t="s">
        <v>71</v>
      </c>
      <c r="Q82" t="s">
        <v>72</v>
      </c>
    </row>
    <row r="83" ht="14.25" spans="1:17">
      <c r="A83" t="s">
        <v>20</v>
      </c>
      <c r="B83" s="148" t="s">
        <v>79</v>
      </c>
      <c r="C83" s="149" t="str">
        <f t="shared" si="4"/>
        <v>2021.09月Homefast paypal流水(五金)：营运费5%：</v>
      </c>
      <c r="D83" s="457"/>
      <c r="E83" s="457"/>
      <c r="F83" s="457"/>
      <c r="G83" s="456" t="str">
        <f ca="1">INDEX(P:P,MATCH($A83,$P:$P,0)+4)</f>
        <v>6601.006.001</v>
      </c>
      <c r="H83" s="456" t="str">
        <f ca="1">INDEX(Q:Q,MATCH($A83,$P:$P,0)+4)</f>
        <v>销售费用 - 事业部营运费 - 五金事业部-营运费</v>
      </c>
      <c r="I83" s="457"/>
      <c r="J83" s="472"/>
      <c r="K83" s="472"/>
      <c r="L83" s="472"/>
      <c r="M83" s="71">
        <f ca="1">ROUND(SUM(OFFSET($A$1,MATCH($A83,$C$1:$C$11,0)-1,MATCH($B83,$1:$1,0)-1)),2)</f>
        <v>-155.26</v>
      </c>
      <c r="N83" s="151"/>
      <c r="O83" s="31">
        <f ca="1">SUM(M$67:M83)-SUM(N$67:N83)</f>
        <v>-155.26</v>
      </c>
      <c r="P83" t="s">
        <v>73</v>
      </c>
      <c r="Q83" t="s">
        <v>74</v>
      </c>
    </row>
    <row r="84" ht="15" spans="1:17">
      <c r="A84" t="s">
        <v>20</v>
      </c>
      <c r="B84" s="458" t="s">
        <v>79</v>
      </c>
      <c r="C84" s="162" t="str">
        <f t="shared" si="4"/>
        <v>2021.09月Homefast paypal流水(五金)：营运费5%：</v>
      </c>
      <c r="D84" s="459"/>
      <c r="E84" s="459"/>
      <c r="F84" s="459"/>
      <c r="G84" s="433" t="str">
        <f ca="1">INDEX(P:P,MATCH($A84,$P:$P,0)+1)</f>
        <v>1221.60</v>
      </c>
      <c r="H84" s="433" t="str">
        <f ca="1">INDEX(Q:Q,MATCH($A84,$P:$P,0)+1)</f>
        <v>其他应收款 - 拓展部五金部</v>
      </c>
      <c r="I84" s="459"/>
      <c r="J84" s="294"/>
      <c r="K84" s="294"/>
      <c r="L84" s="294"/>
      <c r="M84" s="404">
        <f ca="1">-M83</f>
        <v>155.26</v>
      </c>
      <c r="N84" s="445"/>
      <c r="O84" s="31">
        <f ca="1">SUM(M$67:M84)-SUM(N$67:N84)</f>
        <v>0</v>
      </c>
      <c r="P84" t="s">
        <v>217</v>
      </c>
      <c r="Q84" t="s">
        <v>218</v>
      </c>
    </row>
    <row r="85" ht="14.25" hidden="1" spans="1:17">
      <c r="A85" t="s">
        <v>19</v>
      </c>
      <c r="B85" s="144" t="s">
        <v>15</v>
      </c>
      <c r="C85" s="145" t="str">
        <f t="shared" si="4"/>
        <v>2021.09月Homefast paypal流水(水龙头)：order</v>
      </c>
      <c r="D85" s="291"/>
      <c r="E85" s="291"/>
      <c r="F85" s="291"/>
      <c r="G85" s="431" t="str">
        <f ca="1">INDEX(P:P,MATCH("order",$P:$P,0)+2)</f>
        <v>2203.07.005</v>
      </c>
      <c r="H85" s="431" t="str">
        <f ca="1">INDEX(Q:Q,MATCH("order",$P:$P,0)+2)</f>
        <v>预收账款 - 预收销售平台款 - 预收 Homefast paypal流水</v>
      </c>
      <c r="I85" s="469"/>
      <c r="J85" s="291"/>
      <c r="K85" s="291"/>
      <c r="L85" s="291"/>
      <c r="M85" s="172">
        <f ca="1">ROUND(SUM(OFFSET($A$1,MATCH($A85,$C$1:$C$11,0)-1,MATCH($B85,$1:$1,0)-1,,3))+OFFSET($A$1,MATCH($A85,$C$1:$C$11,0)-1,MATCH($B85,$1:$1,0)-1-8),2)</f>
        <v>0</v>
      </c>
      <c r="N85" s="204"/>
      <c r="O85" s="31">
        <f ca="1">SUM(M$67:M85)-SUM(N$67:N85)</f>
        <v>0</v>
      </c>
      <c r="P85" t="s">
        <v>75</v>
      </c>
      <c r="Q85" t="s">
        <v>76</v>
      </c>
    </row>
    <row r="86" ht="14.25" spans="1:15">
      <c r="A86" t="s">
        <v>19</v>
      </c>
      <c r="B86" s="148" t="s">
        <v>7</v>
      </c>
      <c r="C86" s="149" t="str">
        <f t="shared" si="4"/>
        <v>2021.09月Homefast paypal流水(水龙头)：不含税</v>
      </c>
      <c r="D86" s="457"/>
      <c r="E86" s="457"/>
      <c r="F86" s="457"/>
      <c r="G86" s="456" t="str">
        <f ca="1">INDEX(P:P,MATCH($A86,$P:$P,0)+1)</f>
        <v>1221.100</v>
      </c>
      <c r="H86" s="456" t="str">
        <f ca="1">INDEX(Q:Q,MATCH($A86,$P:$P,0)+1)</f>
        <v>其他应收款 - 拓展部-水龙头</v>
      </c>
      <c r="I86" s="470"/>
      <c r="J86" s="471"/>
      <c r="K86" s="471"/>
      <c r="L86" s="471"/>
      <c r="M86" s="456"/>
      <c r="N86" s="150">
        <f ca="1">ROUND(SUM(OFFSET($A$1,MATCH($A86,$C$1:$C$11,0)-1,MATCH($B86,$1:$1,0)-1)),2)</f>
        <v>0</v>
      </c>
      <c r="O86" s="31">
        <f ca="1">SUM(M$67:M86)-SUM(N$67:N86)</f>
        <v>0</v>
      </c>
    </row>
    <row r="87" ht="14.25" spans="1:16">
      <c r="A87" t="s">
        <v>19</v>
      </c>
      <c r="B87" s="148" t="s">
        <v>31</v>
      </c>
      <c r="C87" s="149" t="str">
        <f t="shared" si="4"/>
        <v>2021.09月Homefast paypal流水(水龙头)：税金</v>
      </c>
      <c r="D87" s="457"/>
      <c r="E87" s="457"/>
      <c r="F87" s="457"/>
      <c r="G87" s="456" t="str">
        <f ca="1">INDEX(P:P,MATCH("order",$P:$P,0)+3)</f>
        <v>2221</v>
      </c>
      <c r="H87" s="456" t="str">
        <f ca="1">INDEX(Q:Q,MATCH("order",$P:$P,0)+3)</f>
        <v>应交税费</v>
      </c>
      <c r="I87" s="457"/>
      <c r="J87" s="472"/>
      <c r="K87" s="472"/>
      <c r="L87" s="472"/>
      <c r="M87" s="456"/>
      <c r="N87" s="151">
        <f ca="1">ROUND(N86*0.2,2)</f>
        <v>0</v>
      </c>
      <c r="O87" s="31">
        <f ca="1">SUM(M$67:M87)-SUM(N$67:N87)</f>
        <v>0</v>
      </c>
      <c r="P87" t="s">
        <v>20</v>
      </c>
    </row>
    <row r="88" ht="14.25" spans="1:17">
      <c r="A88" t="s">
        <v>19</v>
      </c>
      <c r="B88" s="148" t="s">
        <v>3</v>
      </c>
      <c r="C88" s="149" t="str">
        <f t="shared" si="4"/>
        <v>2021.09月Homefast paypal流水(水龙头)：refund</v>
      </c>
      <c r="D88" s="457"/>
      <c r="E88" s="457"/>
      <c r="F88" s="457"/>
      <c r="G88" s="456" t="str">
        <f ca="1">INDEX(P:P,MATCH("order",$P:$P,0)+1)</f>
        <v>1122.001.005</v>
      </c>
      <c r="H88" s="456" t="str">
        <f ca="1">INDEX(Q:Q,MATCH("order",$P:$P,0)+1)</f>
        <v>应收账款 - 应收销售平台款 - 应收 Homefast paypal流水</v>
      </c>
      <c r="I88" s="457"/>
      <c r="J88" s="472"/>
      <c r="K88" s="472"/>
      <c r="L88" s="472"/>
      <c r="M88" s="73"/>
      <c r="N88" s="150">
        <f ca="1">ROUND(-SUM(OFFSET($A$1,MATCH($A88,$C$1:$C$11,0)-1,MATCH($B88,$1:$1,0)-1,,4)),2)</f>
        <v>0</v>
      </c>
      <c r="O88" s="31">
        <f ca="1">SUM(M$67:M88)-SUM(N$67:N88)</f>
        <v>0</v>
      </c>
      <c r="P88" t="s">
        <v>65</v>
      </c>
      <c r="Q88" t="s">
        <v>66</v>
      </c>
    </row>
    <row r="89" ht="14.25" hidden="1" spans="1:17">
      <c r="A89" t="s">
        <v>19</v>
      </c>
      <c r="B89" s="148" t="s">
        <v>166</v>
      </c>
      <c r="C89" s="149" t="str">
        <f t="shared" si="4"/>
        <v>2021.09月Homefast paypal流水(水龙头)：手续费</v>
      </c>
      <c r="D89" s="457"/>
      <c r="E89" s="457"/>
      <c r="F89" s="457"/>
      <c r="G89" s="456" t="str">
        <f ca="1">INDEX(P:P,MATCH($A89,$P:$P,0)+3)</f>
        <v>6603.002.01.04</v>
      </c>
      <c r="H89" s="456" t="str">
        <f ca="1">INDEX(Q:Q,MATCH($A89,$P:$P,0)+3)</f>
        <v>财务费用 - 收款平台手续费 - Paypal手续费 - 水龙头事业部-paypal手续费</v>
      </c>
      <c r="I89" s="457"/>
      <c r="J89" s="472"/>
      <c r="K89" s="472"/>
      <c r="L89" s="472"/>
      <c r="M89" s="71">
        <f ca="1">ROUND(SUM(OFFSET($A$1,MATCH($A89,$C$1:$C$11,0)-1,MATCH($B89,$1:$1,0)-1,,2)),2)</f>
        <v>0</v>
      </c>
      <c r="N89" s="151"/>
      <c r="O89" s="31">
        <f ca="1">SUM(M$67:M89)-SUM(N$67:N89)</f>
        <v>0</v>
      </c>
      <c r="P89" t="s">
        <v>67</v>
      </c>
      <c r="Q89" t="s">
        <v>68</v>
      </c>
    </row>
    <row r="90" ht="14.25" hidden="1" spans="1:17">
      <c r="A90" t="s">
        <v>19</v>
      </c>
      <c r="B90" s="148" t="s">
        <v>166</v>
      </c>
      <c r="C90" s="149" t="str">
        <f t="shared" si="4"/>
        <v>2021.09月Homefast paypal流水(水龙头)：手续费</v>
      </c>
      <c r="D90" s="457"/>
      <c r="E90" s="457"/>
      <c r="F90" s="457"/>
      <c r="G90" s="456" t="str">
        <f ca="1">INDEX(P:P,MATCH($A90,$P:$P,0)+1)</f>
        <v>1221.100</v>
      </c>
      <c r="H90" s="456" t="str">
        <f ca="1">INDEX(Q:Q,MATCH($A90,$P:$P,0)+1)</f>
        <v>其他应收款 - 拓展部-水龙头</v>
      </c>
      <c r="I90" s="457"/>
      <c r="J90" s="472"/>
      <c r="K90" s="472"/>
      <c r="L90" s="472"/>
      <c r="M90" s="73">
        <f ca="1">-M89</f>
        <v>0</v>
      </c>
      <c r="N90" s="150"/>
      <c r="O90" s="31">
        <f ca="1">SUM(M$67:M90)-SUM(N$67:N90)</f>
        <v>0</v>
      </c>
      <c r="P90" t="s">
        <v>215</v>
      </c>
      <c r="Q90" t="s">
        <v>216</v>
      </c>
    </row>
    <row r="91" ht="14.25" spans="1:17">
      <c r="A91" t="s">
        <v>19</v>
      </c>
      <c r="B91" s="148" t="s">
        <v>79</v>
      </c>
      <c r="C91" s="149" t="str">
        <f t="shared" si="4"/>
        <v>2021.09月Homefast paypal流水(水龙头)：营运费5%：</v>
      </c>
      <c r="D91" s="457"/>
      <c r="E91" s="457"/>
      <c r="F91" s="457"/>
      <c r="G91" s="456" t="str">
        <f ca="1">INDEX(P:P,MATCH($A91,$P:$P,0)+4)</f>
        <v>6601.006.003</v>
      </c>
      <c r="H91" s="456" t="str">
        <f ca="1">INDEX(Q:Q,MATCH($A91,$P:$P,0)+4)</f>
        <v>销售费用 - 事业部营运费 - 水龙头事业部-营运费</v>
      </c>
      <c r="I91" s="457"/>
      <c r="J91" s="472"/>
      <c r="K91" s="472"/>
      <c r="L91" s="472"/>
      <c r="M91" s="71">
        <f ca="1">ROUND(SUM(OFFSET($A$1,MATCH($A91,$C$1:$C$11,0)-1,MATCH($B91,$1:$1,0)-1)),2)</f>
        <v>0</v>
      </c>
      <c r="N91" s="151"/>
      <c r="O91" s="31">
        <f ca="1">SUM(M$67:M91)-SUM(N$67:N91)</f>
        <v>0</v>
      </c>
      <c r="P91" t="s">
        <v>69</v>
      </c>
      <c r="Q91" t="s">
        <v>70</v>
      </c>
    </row>
    <row r="92" ht="15" spans="1:15">
      <c r="A92" t="s">
        <v>19</v>
      </c>
      <c r="B92" s="458" t="s">
        <v>79</v>
      </c>
      <c r="C92" s="162" t="str">
        <f t="shared" si="4"/>
        <v>2021.09月Homefast paypal流水(水龙头)：营运费5%：</v>
      </c>
      <c r="D92" s="459"/>
      <c r="E92" s="459"/>
      <c r="F92" s="459"/>
      <c r="G92" s="433" t="str">
        <f ca="1">INDEX(P:P,MATCH($A92,$P:$P,0)+1)</f>
        <v>1221.100</v>
      </c>
      <c r="H92" s="433" t="str">
        <f ca="1">INDEX(Q:Q,MATCH($A92,$P:$P,0)+1)</f>
        <v>其他应收款 - 拓展部-水龙头</v>
      </c>
      <c r="I92" s="459"/>
      <c r="J92" s="294"/>
      <c r="K92" s="294"/>
      <c r="L92" s="294"/>
      <c r="M92" s="404">
        <f ca="1">-M91</f>
        <v>0</v>
      </c>
      <c r="N92" s="445"/>
      <c r="O92" s="31">
        <f ca="1">SUM(M$67:M92)-SUM(N$67:N92)</f>
        <v>0</v>
      </c>
    </row>
    <row r="93" ht="14.25" hidden="1" spans="1:16">
      <c r="A93" t="s">
        <v>83</v>
      </c>
      <c r="B93" s="144" t="s">
        <v>15</v>
      </c>
      <c r="C93" s="145" t="str">
        <f t="shared" si="4"/>
        <v>2021.09月Homefast paypal流水(陶瓷)：order</v>
      </c>
      <c r="D93" s="291"/>
      <c r="E93" s="291"/>
      <c r="F93" s="291"/>
      <c r="G93" s="431" t="str">
        <f ca="1">INDEX(P:P,MATCH("order",$P:$P,0)+2)</f>
        <v>2203.07.005</v>
      </c>
      <c r="H93" s="431" t="str">
        <f ca="1">INDEX(Q:Q,MATCH("order",$P:$P,0)+2)</f>
        <v>预收账款 - 预收销售平台款 - 预收 Homefast paypal流水</v>
      </c>
      <c r="I93" s="469"/>
      <c r="J93" s="291"/>
      <c r="K93" s="291"/>
      <c r="L93" s="291"/>
      <c r="M93" s="172">
        <f ca="1">ROUND(SUM(OFFSET($A$1,MATCH($A93,$C$1:$C$11,0)-1,MATCH($B93,$1:$1,0)-1,,3))+OFFSET($A$1,MATCH($A93,$C$1:$C$11,0)-1,MATCH($B93,$1:$1,0)-1-8),2)</f>
        <v>0</v>
      </c>
      <c r="N93" s="204"/>
      <c r="O93" s="31">
        <f ca="1">SUM(M$67:M93)-SUM(N$67:N93)</f>
        <v>0</v>
      </c>
      <c r="P93" t="s">
        <v>18</v>
      </c>
    </row>
    <row r="94" ht="14.25" spans="1:17">
      <c r="A94" t="s">
        <v>83</v>
      </c>
      <c r="B94" s="148" t="s">
        <v>7</v>
      </c>
      <c r="C94" s="149" t="str">
        <f t="shared" si="4"/>
        <v>2021.09月Homefast paypal流水(陶瓷)：不含税</v>
      </c>
      <c r="D94" s="457"/>
      <c r="E94" s="457"/>
      <c r="F94" s="457"/>
      <c r="G94" s="456" t="str">
        <f ca="1">INDEX(P:P,MATCH($A94,$P:$P,0)+1)</f>
        <v>1221.103</v>
      </c>
      <c r="H94" s="456" t="str">
        <f ca="1">INDEX(Q:Q,MATCH($A94,$P:$P,0)+1)</f>
        <v>拓展部-陶瓷部</v>
      </c>
      <c r="I94" s="470"/>
      <c r="J94" s="471"/>
      <c r="K94" s="471"/>
      <c r="L94" s="471"/>
      <c r="M94" s="456"/>
      <c r="N94" s="150">
        <f ca="1">ROUND(SUM(OFFSET($A$1,MATCH($A94,$C$1:$C$11,0)-1,MATCH($B94,$1:$1,0)-1)),2)</f>
        <v>0</v>
      </c>
      <c r="O94" s="31">
        <f ca="1">SUM(M$67:M94)-SUM(N$67:N94)</f>
        <v>0</v>
      </c>
      <c r="P94" t="s">
        <v>59</v>
      </c>
      <c r="Q94" t="s">
        <v>60</v>
      </c>
    </row>
    <row r="95" ht="14.25" spans="1:17">
      <c r="A95" t="s">
        <v>83</v>
      </c>
      <c r="B95" s="148" t="s">
        <v>31</v>
      </c>
      <c r="C95" s="149" t="str">
        <f t="shared" si="4"/>
        <v>2021.09月Homefast paypal流水(陶瓷)：税金</v>
      </c>
      <c r="D95" s="457"/>
      <c r="E95" s="457"/>
      <c r="F95" s="457"/>
      <c r="G95" s="456" t="str">
        <f ca="1">INDEX(P:P,MATCH("order",$P:$P,0)+3)</f>
        <v>2221</v>
      </c>
      <c r="H95" s="456" t="str">
        <f ca="1">INDEX(Q:Q,MATCH("order",$P:$P,0)+3)</f>
        <v>应交税费</v>
      </c>
      <c r="I95" s="457"/>
      <c r="J95" s="472"/>
      <c r="K95" s="472"/>
      <c r="L95" s="472"/>
      <c r="M95" s="456"/>
      <c r="N95" s="151">
        <f ca="1">ROUND(N94*0.2,2)</f>
        <v>0</v>
      </c>
      <c r="O95" s="31">
        <f ca="1">SUM(M$67:M95)-SUM(N$67:N95)</f>
        <v>0</v>
      </c>
      <c r="P95" t="s">
        <v>61</v>
      </c>
      <c r="Q95" t="s">
        <v>62</v>
      </c>
    </row>
    <row r="96" ht="14.25" spans="1:17">
      <c r="A96" t="s">
        <v>83</v>
      </c>
      <c r="B96" s="148" t="s">
        <v>3</v>
      </c>
      <c r="C96" s="149" t="str">
        <f t="shared" si="4"/>
        <v>2021.09月Homefast paypal流水(陶瓷)：refund</v>
      </c>
      <c r="D96" s="457"/>
      <c r="E96" s="457"/>
      <c r="F96" s="457"/>
      <c r="G96" s="456" t="str">
        <f ca="1">INDEX(P:P,MATCH("order",$P:$P,0)+1)</f>
        <v>1122.001.005</v>
      </c>
      <c r="H96" s="456" t="str">
        <f ca="1">INDEX(Q:Q,MATCH("order",$P:$P,0)+1)</f>
        <v>应收账款 - 应收销售平台款 - 应收 Homefast paypal流水</v>
      </c>
      <c r="I96" s="457"/>
      <c r="J96" s="472"/>
      <c r="K96" s="472"/>
      <c r="L96" s="472"/>
      <c r="M96" s="73"/>
      <c r="N96" s="150">
        <f ca="1">ROUND(-SUM(OFFSET($A$1,MATCH($A96,$C$1:$C$11,0)-1,MATCH($B96,$1:$1,0)-1,,4)),2)</f>
        <v>0</v>
      </c>
      <c r="O96" s="31">
        <f ca="1">SUM(M$67:M96)-SUM(N$67:N96)</f>
        <v>0</v>
      </c>
      <c r="P96" t="s">
        <v>213</v>
      </c>
      <c r="Q96" t="s">
        <v>214</v>
      </c>
    </row>
    <row r="97" ht="14.25" hidden="1" spans="1:17">
      <c r="A97" t="s">
        <v>83</v>
      </c>
      <c r="B97" s="148" t="s">
        <v>166</v>
      </c>
      <c r="C97" s="149" t="str">
        <f t="shared" si="4"/>
        <v>2021.09月Homefast paypal流水(陶瓷)：手续费</v>
      </c>
      <c r="D97" s="457"/>
      <c r="E97" s="457"/>
      <c r="F97" s="457"/>
      <c r="G97" s="456" t="str">
        <f ca="1">INDEX(P:P,MATCH($A97,$P:$P,0)+3)</f>
        <v>6603.002.01.05</v>
      </c>
      <c r="H97" s="456" t="str">
        <f ca="1">INDEX(Q:Q,MATCH($A97,$P:$P,0)+3)</f>
        <v>财务费用 - 收款平台手续费 - Paypal手续费 - 陶瓷事业部-paypal手续费</v>
      </c>
      <c r="I97" s="457"/>
      <c r="J97" s="472"/>
      <c r="K97" s="472"/>
      <c r="L97" s="472"/>
      <c r="M97" s="71">
        <f ca="1">ROUND(SUM(OFFSET($A$1,MATCH($A97,$C$1:$C$11,0)-1,MATCH($B97,$1:$1,0)-1,,2)),2)</f>
        <v>0</v>
      </c>
      <c r="N97" s="151"/>
      <c r="O97" s="31">
        <f ca="1">SUM(M$67:M97)-SUM(N$67:N97)</f>
        <v>0</v>
      </c>
      <c r="P97" t="s">
        <v>63</v>
      </c>
      <c r="Q97" t="s">
        <v>64</v>
      </c>
    </row>
    <row r="98" ht="14.25" hidden="1" spans="1:15">
      <c r="A98" t="s">
        <v>83</v>
      </c>
      <c r="B98" s="148" t="s">
        <v>166</v>
      </c>
      <c r="C98" s="149" t="str">
        <f t="shared" si="4"/>
        <v>2021.09月Homefast paypal流水(陶瓷)：手续费</v>
      </c>
      <c r="D98" s="457"/>
      <c r="E98" s="457"/>
      <c r="F98" s="457"/>
      <c r="G98" s="456" t="str">
        <f ca="1">INDEX(P:P,MATCH($A98,$P:$P,0)+1)</f>
        <v>1221.103</v>
      </c>
      <c r="H98" s="456" t="str">
        <f ca="1">INDEX(Q:Q,MATCH($A98,$P:$P,0)+1)</f>
        <v>拓展部-陶瓷部</v>
      </c>
      <c r="I98" s="457"/>
      <c r="J98" s="472"/>
      <c r="K98" s="472"/>
      <c r="L98" s="472"/>
      <c r="M98" s="73">
        <f ca="1">-M97</f>
        <v>0</v>
      </c>
      <c r="N98" s="150"/>
      <c r="O98" s="31">
        <f ca="1">SUM(M$67:M98)-SUM(N$67:N98)</f>
        <v>0</v>
      </c>
    </row>
    <row r="99" ht="14.25" spans="1:15">
      <c r="A99" t="s">
        <v>83</v>
      </c>
      <c r="B99" s="148" t="s">
        <v>79</v>
      </c>
      <c r="C99" s="149" t="str">
        <f t="shared" si="4"/>
        <v>2021.09月Homefast paypal流水(陶瓷)：营运费5%：</v>
      </c>
      <c r="D99" s="457"/>
      <c r="E99" s="457"/>
      <c r="F99" s="457"/>
      <c r="G99" s="456" t="str">
        <f ca="1">INDEX(P:P,MATCH($A99,$P:$P,0)+4)</f>
        <v>6601.006.004</v>
      </c>
      <c r="H99" s="456" t="str">
        <f ca="1">INDEX(Q:Q,MATCH($A99,$P:$P,0)+4)</f>
        <v>销售费用 - 事业部营运费 - 陶瓷事业部-营运费</v>
      </c>
      <c r="I99" s="457"/>
      <c r="J99" s="472"/>
      <c r="K99" s="472"/>
      <c r="L99" s="472"/>
      <c r="M99" s="71">
        <f ca="1">ROUND(SUM(OFFSET($A$1,MATCH($A99,$C$1:$C$11,0)-1,MATCH($B99,$1:$1,0)-1)),2)</f>
        <v>0</v>
      </c>
      <c r="N99" s="151"/>
      <c r="O99" s="31">
        <f ca="1">SUM(M$67:M99)-SUM(N$67:N99)</f>
        <v>0</v>
      </c>
    </row>
    <row r="100" ht="15" spans="1:16">
      <c r="A100" t="s">
        <v>83</v>
      </c>
      <c r="B100" s="458" t="s">
        <v>79</v>
      </c>
      <c r="C100" s="162" t="str">
        <f t="shared" si="4"/>
        <v>2021.09月Homefast paypal流水(陶瓷)：营运费5%：</v>
      </c>
      <c r="D100" s="459"/>
      <c r="E100" s="459"/>
      <c r="F100" s="459"/>
      <c r="G100" s="433" t="str">
        <f ca="1">INDEX(P:P,MATCH($A100,$P:$P,0)+1)</f>
        <v>1221.103</v>
      </c>
      <c r="H100" s="433" t="str">
        <f ca="1">INDEX(Q:Q,MATCH($A100,$P:$P,0)+1)</f>
        <v>拓展部-陶瓷部</v>
      </c>
      <c r="I100" s="459"/>
      <c r="J100" s="294"/>
      <c r="K100" s="294"/>
      <c r="L100" s="294"/>
      <c r="M100" s="404">
        <f ca="1">-M99</f>
        <v>0</v>
      </c>
      <c r="N100" s="445"/>
      <c r="O100" s="31">
        <f ca="1">SUM(M$67:M100)-SUM(N$67:N100)</f>
        <v>0</v>
      </c>
      <c r="P100" t="s">
        <v>233</v>
      </c>
    </row>
    <row r="101" spans="16:17">
      <c r="P101" t="s">
        <v>129</v>
      </c>
      <c r="Q101" t="s">
        <v>130</v>
      </c>
    </row>
    <row r="102" spans="13:17">
      <c r="M102" s="140">
        <f ca="1">SUBTOTAL(9,M67:M100)</f>
        <v>12534</v>
      </c>
      <c r="N102" s="140">
        <f ca="1">SUBTOTAL(9,N67:N100)</f>
        <v>12534</v>
      </c>
      <c r="P102" t="s">
        <v>131</v>
      </c>
      <c r="Q102" t="s">
        <v>132</v>
      </c>
    </row>
    <row r="103" spans="16:17">
      <c r="P103" t="s">
        <v>224</v>
      </c>
      <c r="Q103" t="s">
        <v>225</v>
      </c>
    </row>
    <row r="104" spans="16:17">
      <c r="P104" t="s">
        <v>133</v>
      </c>
      <c r="Q104" t="s">
        <v>134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R51"/>
  <sheetViews>
    <sheetView topLeftCell="A7" workbookViewId="0">
      <selection activeCell="K45" sqref="K45"/>
    </sheetView>
  </sheetViews>
  <sheetFormatPr defaultColWidth="9" defaultRowHeight="14.25"/>
  <cols>
    <col min="1" max="1" width="11.125" style="48" customWidth="1"/>
    <col min="2" max="2" width="14.625" style="48" customWidth="1"/>
    <col min="3" max="3" width="10.375" style="48" customWidth="1"/>
    <col min="4" max="4" width="33.5" style="48" customWidth="1"/>
    <col min="5" max="5" width="13.75" style="48" customWidth="1"/>
    <col min="6" max="6" width="43.5" style="48" customWidth="1"/>
    <col min="7" max="8" width="11" style="48" customWidth="1"/>
    <col min="9" max="9" width="8.375" style="48" customWidth="1"/>
    <col min="10" max="10" width="11.75" style="48" customWidth="1"/>
    <col min="11" max="11" width="10.375" style="48" customWidth="1"/>
    <col min="12" max="12" width="13.875" style="48" customWidth="1"/>
    <col min="13" max="13" width="9" style="48"/>
    <col min="14" max="14" width="10.375" style="48" customWidth="1"/>
    <col min="15" max="15" width="10.375" style="48"/>
    <col min="16" max="16" width="17.5" style="48" customWidth="1"/>
    <col min="17" max="18" width="10.375" style="48"/>
    <col min="19" max="16384" width="9" style="48"/>
  </cols>
  <sheetData>
    <row r="1" ht="18.75" spans="1:10">
      <c r="A1" s="530"/>
      <c r="B1" s="484"/>
      <c r="C1" s="484" t="s">
        <v>239</v>
      </c>
      <c r="D1" s="484"/>
      <c r="E1" s="484"/>
      <c r="F1" s="484"/>
      <c r="G1" s="484"/>
      <c r="H1" s="484"/>
      <c r="I1" s="484"/>
      <c r="J1" s="484"/>
    </row>
    <row r="2" ht="18.75" spans="1:18">
      <c r="A2" s="422"/>
      <c r="B2" s="422"/>
      <c r="C2" s="423" t="s">
        <v>239</v>
      </c>
      <c r="D2" s="141"/>
      <c r="E2" s="141"/>
      <c r="F2" s="141"/>
      <c r="G2" s="141"/>
      <c r="H2" s="141"/>
      <c r="I2" s="141"/>
      <c r="J2" s="141"/>
      <c r="K2" s="141"/>
      <c r="L2" s="422"/>
      <c r="M2" s="422"/>
      <c r="N2" s="422"/>
      <c r="O2" s="422"/>
      <c r="P2" s="422"/>
      <c r="Q2" s="143"/>
      <c r="R2" s="143"/>
    </row>
    <row r="3" ht="13.5" spans="1:18">
      <c r="A3" s="422" t="s">
        <v>239</v>
      </c>
      <c r="B3" s="644" t="s">
        <v>142</v>
      </c>
      <c r="C3" s="424" t="s">
        <v>4</v>
      </c>
      <c r="D3" s="425" t="s">
        <v>5</v>
      </c>
      <c r="E3" s="450" t="s">
        <v>165</v>
      </c>
      <c r="F3" s="425" t="s">
        <v>7</v>
      </c>
      <c r="G3" s="450"/>
      <c r="H3" s="450"/>
      <c r="I3" s="438"/>
      <c r="J3" s="438" t="s">
        <v>79</v>
      </c>
      <c r="K3" s="425" t="s">
        <v>11</v>
      </c>
      <c r="L3" s="422"/>
      <c r="M3" s="422"/>
      <c r="N3" s="540" t="s">
        <v>240</v>
      </c>
      <c r="O3" s="541" t="s">
        <v>241</v>
      </c>
      <c r="P3" s="542"/>
      <c r="Q3" s="543" t="s">
        <v>242</v>
      </c>
      <c r="R3" s="543" t="s">
        <v>241</v>
      </c>
    </row>
    <row r="4" ht="13.5" spans="1:18">
      <c r="A4" s="422" t="s">
        <v>239</v>
      </c>
      <c r="B4" s="644" t="s">
        <v>88</v>
      </c>
      <c r="C4" s="427" t="s">
        <v>17</v>
      </c>
      <c r="D4" s="141">
        <v>12657.48</v>
      </c>
      <c r="E4" s="141">
        <v>0</v>
      </c>
      <c r="F4" s="141">
        <v>10547.9</v>
      </c>
      <c r="G4" s="141"/>
      <c r="H4" s="141"/>
      <c r="I4" s="141"/>
      <c r="J4" s="141">
        <v>-527.395</v>
      </c>
      <c r="K4" s="141">
        <v>10020.505</v>
      </c>
      <c r="L4" s="422"/>
      <c r="M4" s="422"/>
      <c r="N4" s="141">
        <v>13930.16</v>
      </c>
      <c r="O4" s="143">
        <v>-1272.68</v>
      </c>
      <c r="P4" s="422" t="s">
        <v>243</v>
      </c>
      <c r="Q4" s="143">
        <v>955.65</v>
      </c>
      <c r="R4" s="143">
        <v>0</v>
      </c>
    </row>
    <row r="5" ht="13.5" spans="1:18">
      <c r="A5" s="422" t="s">
        <v>239</v>
      </c>
      <c r="B5" s="644" t="s">
        <v>88</v>
      </c>
      <c r="C5" s="427" t="s">
        <v>18</v>
      </c>
      <c r="D5" s="141">
        <v>-628.94</v>
      </c>
      <c r="E5" s="141">
        <v>0</v>
      </c>
      <c r="F5" s="141">
        <v>-524.116666666667</v>
      </c>
      <c r="G5" s="141"/>
      <c r="H5" s="141"/>
      <c r="I5" s="141"/>
      <c r="J5" s="141">
        <v>26.2058333333333</v>
      </c>
      <c r="K5" s="141">
        <v>-497.910833333333</v>
      </c>
      <c r="L5" s="422"/>
      <c r="M5" s="422"/>
      <c r="N5" s="141">
        <v>20</v>
      </c>
      <c r="O5" s="143">
        <v>-648.94</v>
      </c>
      <c r="P5" s="422" t="s">
        <v>244</v>
      </c>
      <c r="Q5" s="143">
        <v>0</v>
      </c>
      <c r="R5" s="143">
        <v>0</v>
      </c>
    </row>
    <row r="6" ht="13.5" spans="1:18">
      <c r="A6" s="422" t="s">
        <v>239</v>
      </c>
      <c r="B6" s="644" t="s">
        <v>88</v>
      </c>
      <c r="C6" s="427" t="s">
        <v>19</v>
      </c>
      <c r="D6" s="141">
        <v>0</v>
      </c>
      <c r="E6" s="141">
        <v>0</v>
      </c>
      <c r="F6" s="141">
        <v>0</v>
      </c>
      <c r="G6" s="141"/>
      <c r="H6" s="141"/>
      <c r="I6" s="141"/>
      <c r="J6" s="141">
        <v>0</v>
      </c>
      <c r="K6" s="141">
        <v>0</v>
      </c>
      <c r="L6" s="422"/>
      <c r="M6" s="422"/>
      <c r="N6" s="141">
        <v>0</v>
      </c>
      <c r="O6" s="143">
        <v>0</v>
      </c>
      <c r="P6" s="422" t="s">
        <v>245</v>
      </c>
      <c r="Q6" s="143">
        <v>16446.58</v>
      </c>
      <c r="R6" s="143">
        <v>-1892.94</v>
      </c>
    </row>
    <row r="7" ht="13.5" spans="1:18">
      <c r="A7" s="422" t="s">
        <v>239</v>
      </c>
      <c r="B7" s="644" t="s">
        <v>88</v>
      </c>
      <c r="C7" s="427" t="s">
        <v>20</v>
      </c>
      <c r="D7" s="141">
        <v>3390.91</v>
      </c>
      <c r="E7" s="141">
        <v>0</v>
      </c>
      <c r="F7" s="141">
        <v>2825.75833333333</v>
      </c>
      <c r="G7" s="141"/>
      <c r="H7" s="141"/>
      <c r="I7" s="141"/>
      <c r="J7" s="141">
        <v>-141.287916666667</v>
      </c>
      <c r="K7" s="141">
        <v>2684.47041666667</v>
      </c>
      <c r="L7" s="422"/>
      <c r="M7" s="422"/>
      <c r="N7" s="141">
        <v>3452.07</v>
      </c>
      <c r="O7" s="143">
        <v>-61.16</v>
      </c>
      <c r="P7" s="422" t="s">
        <v>246</v>
      </c>
      <c r="Q7" s="143">
        <v>0</v>
      </c>
      <c r="R7" s="143">
        <v>-50</v>
      </c>
    </row>
    <row r="8" ht="13.5" spans="1:18">
      <c r="A8" s="422" t="s">
        <v>239</v>
      </c>
      <c r="B8" s="644" t="s">
        <v>88</v>
      </c>
      <c r="C8" s="427" t="s">
        <v>83</v>
      </c>
      <c r="D8" s="141">
        <v>0</v>
      </c>
      <c r="E8" s="141">
        <v>0</v>
      </c>
      <c r="F8" s="141">
        <v>0</v>
      </c>
      <c r="G8" s="141"/>
      <c r="H8" s="141"/>
      <c r="I8" s="141"/>
      <c r="J8" s="141">
        <v>0</v>
      </c>
      <c r="K8" s="141">
        <v>0</v>
      </c>
      <c r="L8" s="422"/>
      <c r="M8" s="422"/>
      <c r="N8" s="141">
        <v>0</v>
      </c>
      <c r="O8" s="143">
        <v>0</v>
      </c>
      <c r="P8" s="422" t="s">
        <v>247</v>
      </c>
      <c r="Q8" s="143">
        <v>0</v>
      </c>
      <c r="R8" s="143">
        <v>0</v>
      </c>
    </row>
    <row r="9" ht="13.5" spans="1:18">
      <c r="A9" s="422" t="s">
        <v>239</v>
      </c>
      <c r="B9" s="644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/>
      <c r="H9" s="141"/>
      <c r="I9" s="141"/>
      <c r="J9" s="141">
        <v>0</v>
      </c>
      <c r="K9" s="141">
        <v>0</v>
      </c>
      <c r="L9" s="422"/>
      <c r="M9" s="422"/>
      <c r="N9" s="141">
        <v>0</v>
      </c>
      <c r="O9" s="143">
        <v>0</v>
      </c>
      <c r="P9" s="422" t="s">
        <v>248</v>
      </c>
      <c r="Q9" s="143">
        <v>0</v>
      </c>
      <c r="R9" s="143">
        <v>-39.84</v>
      </c>
    </row>
    <row r="10" ht="13.5" spans="1:18">
      <c r="A10" s="422" t="s">
        <v>239</v>
      </c>
      <c r="B10" s="644" t="s">
        <v>88</v>
      </c>
      <c r="C10" s="386" t="s">
        <v>21</v>
      </c>
      <c r="D10" s="428">
        <v>15419.45</v>
      </c>
      <c r="E10" s="428">
        <v>0</v>
      </c>
      <c r="F10" s="428">
        <v>12849.5416666667</v>
      </c>
      <c r="G10" s="428">
        <v>0</v>
      </c>
      <c r="H10" s="428">
        <v>0</v>
      </c>
      <c r="I10" s="428">
        <v>0</v>
      </c>
      <c r="J10" s="428">
        <v>-642.477083333333</v>
      </c>
      <c r="K10" s="428">
        <v>12207.0645833333</v>
      </c>
      <c r="L10" s="422"/>
      <c r="M10" s="422"/>
      <c r="N10" s="543">
        <v>17402.23</v>
      </c>
      <c r="O10" s="543">
        <v>-1982.78</v>
      </c>
      <c r="P10" s="422" t="s">
        <v>249</v>
      </c>
      <c r="Q10" s="143">
        <v>0</v>
      </c>
      <c r="R10" s="143">
        <v>0</v>
      </c>
    </row>
    <row r="11" ht="13.5" spans="1:18">
      <c r="A11" s="422" t="s">
        <v>239</v>
      </c>
      <c r="B11" s="644" t="s">
        <v>88</v>
      </c>
      <c r="C11" s="427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422"/>
      <c r="P11" s="422" t="s">
        <v>250</v>
      </c>
      <c r="Q11" s="543">
        <v>0</v>
      </c>
      <c r="R11" s="543">
        <v>0</v>
      </c>
    </row>
    <row r="12" ht="13.5" spans="1:18">
      <c r="A12" s="142"/>
      <c r="B12" s="142"/>
      <c r="C12" s="427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2"/>
      <c r="P12" s="142"/>
      <c r="Q12" s="35">
        <v>17402.23</v>
      </c>
      <c r="R12" s="35">
        <v>-1982.78</v>
      </c>
    </row>
    <row r="13" spans="1:18">
      <c r="A13" s="142"/>
      <c r="B13" s="142"/>
      <c r="C13" s="427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2"/>
      <c r="P13" s="142"/>
      <c r="Q13" s="35"/>
      <c r="R13" s="35"/>
    </row>
    <row r="14" spans="1:9">
      <c r="A14" s="648" t="str">
        <f>$B$6</f>
        <v>2021.09月</v>
      </c>
      <c r="B14" s="220" t="s">
        <v>240</v>
      </c>
      <c r="C14" s="219" t="s">
        <v>251</v>
      </c>
      <c r="D14" s="531" t="str">
        <f t="shared" ref="D14:D27" si="0">A14&amp;" "&amp;B14&amp;"-"&amp;C14</f>
        <v>2021.09月 下单-AICA中行</v>
      </c>
      <c r="E14" s="531" t="str">
        <f>INDEX(L:L,MATCH("order",$L:$L,0)+1)</f>
        <v>1122.001.009</v>
      </c>
      <c r="F14" s="531" t="str">
        <f>INDEX(M:M,MATCH("order",$L:$L,0)+1)</f>
        <v>应收账款 - 应收销售平台款 - 应收 银行现金</v>
      </c>
      <c r="G14" s="532">
        <f>ROUND(Q6,2)</f>
        <v>16446.58</v>
      </c>
      <c r="H14" s="533"/>
      <c r="I14" s="48">
        <f>SUM(G$14:G14)-SUM(H$14:H14)</f>
        <v>16446.58</v>
      </c>
    </row>
    <row r="15" spans="1:9">
      <c r="A15" s="649" t="str">
        <f t="shared" ref="A15:A28" si="1">$B$6</f>
        <v>2021.09月</v>
      </c>
      <c r="B15" s="168" t="s">
        <v>240</v>
      </c>
      <c r="C15" s="48" t="s">
        <v>251</v>
      </c>
      <c r="D15" s="383" t="str">
        <f t="shared" si="0"/>
        <v>2021.09月 下单-AICA中行</v>
      </c>
      <c r="E15" s="383" t="str">
        <f>INDEX(L:L,MATCH("order",$L:$L,0)+2)</f>
        <v>2203.07.009</v>
      </c>
      <c r="F15" s="383" t="str">
        <f>INDEX(M:M,MATCH("order",$L:$L,0)+2)</f>
        <v>预收账款 - 预收销售平台款 - 预收 银行现金</v>
      </c>
      <c r="G15" s="534"/>
      <c r="H15" s="535">
        <f>G14</f>
        <v>16446.58</v>
      </c>
      <c r="I15" s="48">
        <f>SUM(G$14:G15)-SUM(H$14:H15)</f>
        <v>0</v>
      </c>
    </row>
    <row r="16" hidden="1" spans="1:13">
      <c r="A16" s="649" t="str">
        <f t="shared" si="1"/>
        <v>2021.09月</v>
      </c>
      <c r="B16" s="168" t="s">
        <v>240</v>
      </c>
      <c r="C16" s="48" t="s">
        <v>252</v>
      </c>
      <c r="D16" s="383" t="str">
        <f t="shared" si="0"/>
        <v>2021.09月 下单-perfect汇丰</v>
      </c>
      <c r="E16" s="383" t="str">
        <f>INDEX(L:L,MATCH("order",$L:$L,0)+1)</f>
        <v>1122.001.009</v>
      </c>
      <c r="F16" s="383" t="str">
        <f>INDEX(M:M,MATCH("order",$L:$L,0)+1)</f>
        <v>应收账款 - 应收销售平台款 - 应收 银行现金</v>
      </c>
      <c r="G16" s="534">
        <f>ROUND(Q5,2)</f>
        <v>0</v>
      </c>
      <c r="H16" s="535"/>
      <c r="I16" s="48">
        <f>SUM(G$14:G16)-SUM(H$14:H16)</f>
        <v>0</v>
      </c>
      <c r="L16" t="s">
        <v>15</v>
      </c>
      <c r="M16"/>
    </row>
    <row r="17" hidden="1" spans="1:13">
      <c r="A17" s="649" t="str">
        <f t="shared" si="1"/>
        <v>2021.09月</v>
      </c>
      <c r="B17" s="168" t="s">
        <v>240</v>
      </c>
      <c r="C17" s="48" t="s">
        <v>252</v>
      </c>
      <c r="D17" s="383" t="str">
        <f t="shared" si="0"/>
        <v>2021.09月 下单-perfect汇丰</v>
      </c>
      <c r="E17" s="383" t="str">
        <f>INDEX(L:L,MATCH("order",$L:$L,0)+2)</f>
        <v>2203.07.009</v>
      </c>
      <c r="F17" s="383" t="str">
        <f>INDEX(M:M,MATCH("order",$L:$L,0)+2)</f>
        <v>预收账款 - 预收销售平台款 - 预收 银行现金</v>
      </c>
      <c r="G17" s="534"/>
      <c r="H17" s="535">
        <f t="shared" ref="H17:H21" si="2">G16</f>
        <v>0</v>
      </c>
      <c r="I17" s="48">
        <f>SUM(G$14:G17)-SUM(H$14:H17)</f>
        <v>0</v>
      </c>
      <c r="L17" t="s">
        <v>253</v>
      </c>
      <c r="M17" t="s">
        <v>254</v>
      </c>
    </row>
    <row r="18" spans="1:13">
      <c r="A18" s="649" t="str">
        <f t="shared" si="1"/>
        <v>2021.09月</v>
      </c>
      <c r="B18" s="168" t="s">
        <v>240</v>
      </c>
      <c r="C18" s="48" t="s">
        <v>243</v>
      </c>
      <c r="D18" s="383" t="str">
        <f t="shared" si="0"/>
        <v>2021.09月 下单-现金</v>
      </c>
      <c r="E18" s="383" t="str">
        <f>INDEX(L:L,MATCH("order",$L:$L,0)+1)</f>
        <v>1122.001.009</v>
      </c>
      <c r="F18" s="383" t="str">
        <f>INDEX(M:M,MATCH("order",$L:$L,0)+1)</f>
        <v>应收账款 - 应收销售平台款 - 应收 银行现金</v>
      </c>
      <c r="G18" s="534">
        <f>ROUND(Q4,2)</f>
        <v>955.65</v>
      </c>
      <c r="H18" s="535"/>
      <c r="I18" s="48">
        <f>SUM(G$14:G18)-SUM(H$14:H18)</f>
        <v>955.650000000001</v>
      </c>
      <c r="L18" t="s">
        <v>255</v>
      </c>
      <c r="M18" t="s">
        <v>256</v>
      </c>
    </row>
    <row r="19" ht="15" spans="1:13">
      <c r="A19" s="650" t="str">
        <f t="shared" si="1"/>
        <v>2021.09月</v>
      </c>
      <c r="B19" s="198" t="s">
        <v>240</v>
      </c>
      <c r="C19" s="197" t="s">
        <v>243</v>
      </c>
      <c r="D19" s="536" t="str">
        <f t="shared" si="0"/>
        <v>2021.09月 下单-现金</v>
      </c>
      <c r="E19" s="536" t="str">
        <f>INDEX(L:L,MATCH("order",$L:$L,0)+2)</f>
        <v>2203.07.009</v>
      </c>
      <c r="F19" s="536" t="str">
        <f>INDEX(M:M,MATCH("order",$L:$L,0)+2)</f>
        <v>预收账款 - 预收销售平台款 - 预收 银行现金</v>
      </c>
      <c r="G19" s="537"/>
      <c r="H19" s="538">
        <f t="shared" si="2"/>
        <v>955.65</v>
      </c>
      <c r="I19" s="48">
        <f>SUM(G$14:G19)-SUM(H$14:H19)</f>
        <v>0</v>
      </c>
      <c r="L19" t="s">
        <v>32</v>
      </c>
      <c r="M19" t="s">
        <v>33</v>
      </c>
    </row>
    <row r="20" hidden="1" spans="1:13">
      <c r="A20" s="649" t="str">
        <f t="shared" si="1"/>
        <v>2021.09月</v>
      </c>
      <c r="B20" s="168" t="s">
        <v>240</v>
      </c>
      <c r="C20" s="48" t="s">
        <v>246</v>
      </c>
      <c r="D20" s="383" t="str">
        <f t="shared" si="0"/>
        <v>2021.09月 下单-lloyd</v>
      </c>
      <c r="E20" s="383" t="str">
        <f>INDEX(L:L,MATCH("order",$L:$L,0)+1)</f>
        <v>1122.001.009</v>
      </c>
      <c r="F20" s="383" t="str">
        <f>INDEX(M:M,MATCH("order",$L:$L,0)+1)</f>
        <v>应收账款 - 应收销售平台款 - 应收 银行现金</v>
      </c>
      <c r="G20" s="534">
        <f>ROUND(Q7,2)</f>
        <v>0</v>
      </c>
      <c r="H20" s="535"/>
      <c r="I20" s="48">
        <f>SUM(G$14:G20)-SUM(H$14:H20)</f>
        <v>0</v>
      </c>
      <c r="L20"/>
      <c r="M20"/>
    </row>
    <row r="21" hidden="1" spans="1:13">
      <c r="A21" s="649" t="str">
        <f t="shared" si="1"/>
        <v>2021.09月</v>
      </c>
      <c r="B21" s="168" t="s">
        <v>240</v>
      </c>
      <c r="C21" s="48" t="s">
        <v>246</v>
      </c>
      <c r="D21" s="383" t="str">
        <f t="shared" si="0"/>
        <v>2021.09月 下单-lloyd</v>
      </c>
      <c r="E21" s="383" t="str">
        <f>INDEX(L:L,MATCH("order",$L:$L,0)+2)</f>
        <v>2203.07.009</v>
      </c>
      <c r="F21" s="383" t="str">
        <f>INDEX(M:M,MATCH("order",$L:$L,0)+2)</f>
        <v>预收账款 - 预收销售平台款 - 预收 银行现金</v>
      </c>
      <c r="G21" s="534"/>
      <c r="H21" s="535">
        <f t="shared" si="2"/>
        <v>0</v>
      </c>
      <c r="I21" s="48">
        <f>SUM(G$14:G21)-SUM(H$14:H21)</f>
        <v>0</v>
      </c>
      <c r="L21" t="s">
        <v>83</v>
      </c>
      <c r="M21"/>
    </row>
    <row r="22" hidden="1" spans="1:13">
      <c r="A22" s="649" t="str">
        <f t="shared" si="1"/>
        <v>2021.09月</v>
      </c>
      <c r="B22" s="168" t="s">
        <v>240</v>
      </c>
      <c r="C22" s="48" t="s">
        <v>248</v>
      </c>
      <c r="D22" s="383" t="str">
        <f t="shared" si="0"/>
        <v>2021.09月 下单-homefast bar</v>
      </c>
      <c r="E22" s="383" t="str">
        <f>INDEX(L:L,MATCH("order",$L:$L,0)+1)</f>
        <v>1122.001.009</v>
      </c>
      <c r="F22" s="383" t="str">
        <f>INDEX(M:M,MATCH("order",$L:$L,0)+1)</f>
        <v>应收账款 - 应收销售平台款 - 应收 银行现金</v>
      </c>
      <c r="G22" s="534">
        <f>ROUND(Q10,2)</f>
        <v>0</v>
      </c>
      <c r="H22" s="535"/>
      <c r="I22" s="48">
        <f>SUM(G$14:G22)-SUM(H$14:H22)</f>
        <v>0</v>
      </c>
      <c r="L22" t="s">
        <v>121</v>
      </c>
      <c r="M22" t="s">
        <v>122</v>
      </c>
    </row>
    <row r="23" ht="15" hidden="1" spans="1:13">
      <c r="A23" s="650" t="str">
        <f t="shared" si="1"/>
        <v>2021.09月</v>
      </c>
      <c r="B23" s="198" t="s">
        <v>240</v>
      </c>
      <c r="C23" s="197" t="s">
        <v>248</v>
      </c>
      <c r="D23" s="536" t="str">
        <f t="shared" si="0"/>
        <v>2021.09月 下单-homefast bar</v>
      </c>
      <c r="E23" s="536" t="str">
        <f>INDEX(L:L,MATCH("order",$L:$L,0)+2)</f>
        <v>2203.07.009</v>
      </c>
      <c r="F23" s="536" t="str">
        <f>INDEX(M:M,MATCH("order",$L:$L,0)+2)</f>
        <v>预收账款 - 预收销售平台款 - 预收 银行现金</v>
      </c>
      <c r="G23" s="537"/>
      <c r="H23" s="538">
        <f t="shared" ref="H23:H27" si="3">G22</f>
        <v>0</v>
      </c>
      <c r="I23" s="48">
        <f>SUM(G$14:G23)-SUM(H$14:H23)</f>
        <v>0</v>
      </c>
      <c r="L23" t="s">
        <v>125</v>
      </c>
      <c r="M23" t="s">
        <v>223</v>
      </c>
    </row>
    <row r="24" hidden="1" spans="1:13">
      <c r="A24" s="649" t="str">
        <f t="shared" si="1"/>
        <v>2021.09月</v>
      </c>
      <c r="B24" s="168" t="s">
        <v>240</v>
      </c>
      <c r="C24" s="48" t="s">
        <v>249</v>
      </c>
      <c r="D24" s="383" t="str">
        <f t="shared" si="0"/>
        <v>2021.09月 下单-Excellent</v>
      </c>
      <c r="E24" s="383" t="str">
        <f>INDEX(L:L,MATCH("order",$L:$L,0)+1)</f>
        <v>1122.001.009</v>
      </c>
      <c r="F24" s="383" t="str">
        <f>INDEX(M:M,MATCH("order",$L:$L,0)+1)</f>
        <v>应收账款 - 应收销售平台款 - 应收 银行现金</v>
      </c>
      <c r="G24" s="534">
        <f>ROUND(Q10,2)</f>
        <v>0</v>
      </c>
      <c r="H24" s="535"/>
      <c r="I24" s="48">
        <f>SUM(G$14:G24)-SUM(H$14:H24)</f>
        <v>0</v>
      </c>
      <c r="L24"/>
      <c r="M24"/>
    </row>
    <row r="25" ht="15" hidden="1" spans="1:13">
      <c r="A25" s="650" t="str">
        <f t="shared" si="1"/>
        <v>2021.09月</v>
      </c>
      <c r="B25" s="198" t="s">
        <v>240</v>
      </c>
      <c r="C25" s="48" t="s">
        <v>249</v>
      </c>
      <c r="D25" s="536" t="str">
        <f t="shared" si="0"/>
        <v>2021.09月 下单-Excellent</v>
      </c>
      <c r="E25" s="536" t="str">
        <f>INDEX(L:L,MATCH("order",$L:$L,0)+2)</f>
        <v>2203.07.009</v>
      </c>
      <c r="F25" s="536" t="str">
        <f>INDEX(M:M,MATCH("order",$L:$L,0)+2)</f>
        <v>预收账款 - 预收销售平台款 - 预收 银行现金</v>
      </c>
      <c r="G25" s="537"/>
      <c r="H25" s="538">
        <f t="shared" si="3"/>
        <v>0</v>
      </c>
      <c r="I25" s="48">
        <f>SUM(G$14:G25)-SUM(H$14:H25)</f>
        <v>0</v>
      </c>
      <c r="L25" t="s">
        <v>19</v>
      </c>
      <c r="M25"/>
    </row>
    <row r="26" hidden="1" spans="1:14">
      <c r="A26" s="649" t="str">
        <f t="shared" si="1"/>
        <v>2021.09月</v>
      </c>
      <c r="B26" s="168" t="s">
        <v>240</v>
      </c>
      <c r="C26" s="422" t="s">
        <v>250</v>
      </c>
      <c r="D26" s="383" t="str">
        <f t="shared" si="0"/>
        <v>2021.09月 下单-Perfect sanitary</v>
      </c>
      <c r="E26" s="383" t="str">
        <f>INDEX(L:L,MATCH("order",$L:$L,0)+1)</f>
        <v>1122.001.009</v>
      </c>
      <c r="F26" s="383" t="str">
        <f>INDEX(M:M,MATCH("order",$L:$L,0)+1)</f>
        <v>应收账款 - 应收销售平台款 - 应收 银行现金</v>
      </c>
      <c r="G26" s="534">
        <f>ROUND(Q11,2)</f>
        <v>0</v>
      </c>
      <c r="H26" s="535"/>
      <c r="I26" s="48">
        <f>SUM(G$14:G26)-SUM(H$14:H26)</f>
        <v>0</v>
      </c>
      <c r="L26" t="s">
        <v>71</v>
      </c>
      <c r="M26" t="s">
        <v>72</v>
      </c>
      <c r="N26"/>
    </row>
    <row r="27" ht="15" hidden="1" spans="1:14">
      <c r="A27" s="650" t="str">
        <f t="shared" si="1"/>
        <v>2021.09月</v>
      </c>
      <c r="B27" s="198" t="s">
        <v>240</v>
      </c>
      <c r="C27" s="422" t="s">
        <v>250</v>
      </c>
      <c r="D27" s="536" t="str">
        <f t="shared" si="0"/>
        <v>2021.09月 下单-Perfect sanitary</v>
      </c>
      <c r="E27" s="536" t="str">
        <f>INDEX(L:L,MATCH("order",$L:$L,0)+2)</f>
        <v>2203.07.009</v>
      </c>
      <c r="F27" s="536" t="str">
        <f>INDEX(M:M,MATCH("order",$L:$L,0)+2)</f>
        <v>预收账款 - 预收销售平台款 - 预收 银行现金</v>
      </c>
      <c r="G27" s="537"/>
      <c r="H27" s="538">
        <f t="shared" si="3"/>
        <v>0</v>
      </c>
      <c r="I27" s="48">
        <f>SUM(G$14:G27)-SUM(H$14:H27)</f>
        <v>0</v>
      </c>
      <c r="L27" t="s">
        <v>75</v>
      </c>
      <c r="M27" t="s">
        <v>76</v>
      </c>
      <c r="N27"/>
    </row>
    <row r="28" spans="1:14">
      <c r="A28" s="649" t="str">
        <f t="shared" si="1"/>
        <v>2021.09月</v>
      </c>
      <c r="B28" s="539" t="s">
        <v>240</v>
      </c>
      <c r="C28" s="221" t="s">
        <v>18</v>
      </c>
      <c r="D28" s="383" t="str">
        <f>A28&amp;" "&amp;C28&amp;" "&amp;B28</f>
        <v>2021.09月 镜柜 下单</v>
      </c>
      <c r="E28" s="383" t="str">
        <f>INDEX(L:L,MATCH("order",$L:$L,0)+2)</f>
        <v>2203.07.009</v>
      </c>
      <c r="F28" s="383" t="str">
        <f>INDEX(M:M,MATCH("order",$L:$L,0)+2)</f>
        <v>预收账款 - 预收销售平台款 - 预收 银行现金</v>
      </c>
      <c r="G28" s="534">
        <f>INDEX($1:$10,MATCH($C28,$C$1:$C$10,0),MATCH($B28,$3:$3,0))+INDEX($1:$10,MATCH($C28,$C$1:$C$10,0),MATCH("拼单",$3:$3,0))</f>
        <v>20</v>
      </c>
      <c r="H28" s="535"/>
      <c r="I28" s="48">
        <f>SUM(G$14:G28)-SUM(H$14:H28)</f>
        <v>20</v>
      </c>
      <c r="L28"/>
      <c r="M28"/>
      <c r="N28"/>
    </row>
    <row r="29" spans="1:14">
      <c r="A29" s="649" t="str">
        <f t="shared" ref="A29:A38" si="4">$B$6</f>
        <v>2021.09月</v>
      </c>
      <c r="B29" s="143" t="s">
        <v>7</v>
      </c>
      <c r="C29" s="48" t="s">
        <v>18</v>
      </c>
      <c r="D29" s="383" t="str">
        <f t="shared" ref="D29:D51" si="5">A29&amp;" "&amp;C29&amp;" "&amp;B29</f>
        <v>2021.09月 镜柜 不含税</v>
      </c>
      <c r="E29" s="383" t="str">
        <f>INDEX(L:L,MATCH($C29,$L:$L,0)+1)</f>
        <v>1221.86</v>
      </c>
      <c r="F29" s="383" t="str">
        <f>INDEX(M:M,MATCH($C29,$L:$L,0)+1)</f>
        <v>其他应收款 - 事业部</v>
      </c>
      <c r="G29" s="534"/>
      <c r="H29" s="535">
        <f>ROUND(INDEX($1:$10,MATCH($C29,$C$1:$C$10,0),MATCH($B29,$3:$3,0)),2)</f>
        <v>-524.12</v>
      </c>
      <c r="I29" s="48">
        <f>SUM(G$14:G29)-SUM(H$14:H29)</f>
        <v>544.119999999999</v>
      </c>
      <c r="L29" t="s">
        <v>20</v>
      </c>
      <c r="M29"/>
      <c r="N29"/>
    </row>
    <row r="30" spans="1:14">
      <c r="A30" s="649" t="str">
        <f t="shared" si="4"/>
        <v>2021.09月</v>
      </c>
      <c r="B30" s="143" t="s">
        <v>240</v>
      </c>
      <c r="C30" s="48" t="s">
        <v>18</v>
      </c>
      <c r="D30" s="383" t="str">
        <f t="shared" si="5"/>
        <v>2021.09月 镜柜 下单</v>
      </c>
      <c r="E30" s="383" t="str">
        <f>INDEX(L:L,MATCH("order",$L:$L,0)+3)</f>
        <v>2221</v>
      </c>
      <c r="F30" s="383" t="str">
        <f>INDEX(M:M,MATCH("order",$L:$L,0)+3)</f>
        <v>应交税费</v>
      </c>
      <c r="G30" s="534"/>
      <c r="H30" s="535">
        <f>ROUND(H29*0.2,2)</f>
        <v>-104.82</v>
      </c>
      <c r="I30" s="48">
        <f>SUM(G$14:G30)-SUM(H$14:H30)</f>
        <v>648.939999999999</v>
      </c>
      <c r="L30" t="s">
        <v>65</v>
      </c>
      <c r="M30" t="s">
        <v>66</v>
      </c>
      <c r="N30"/>
    </row>
    <row r="31" spans="1:14">
      <c r="A31" s="649" t="str">
        <f t="shared" si="4"/>
        <v>2021.09月</v>
      </c>
      <c r="B31" s="168" t="s">
        <v>241</v>
      </c>
      <c r="C31" s="48" t="s">
        <v>18</v>
      </c>
      <c r="D31" s="383" t="str">
        <f t="shared" si="5"/>
        <v>2021.09月 镜柜 退款</v>
      </c>
      <c r="E31" s="383" t="str">
        <f>INDEX(L:L,MATCH("order",$L:$L,0)+1)</f>
        <v>1122.001.009</v>
      </c>
      <c r="F31" s="383" t="str">
        <f>INDEX(M:M,MATCH("order",$L:$L,0)+1)</f>
        <v>应收账款 - 应收销售平台款 - 应收 银行现金</v>
      </c>
      <c r="G31" s="534"/>
      <c r="H31" s="535">
        <f>-INDEX($1:$10,MATCH($C31,$C$1:$C$10,0),MATCH($B31,$3:$3,0))</f>
        <v>648.94</v>
      </c>
      <c r="I31" s="48">
        <f>SUM(G$14:G31)-SUM(H$14:H31)</f>
        <v>0</v>
      </c>
      <c r="L31" t="s">
        <v>69</v>
      </c>
      <c r="M31" t="s">
        <v>70</v>
      </c>
      <c r="N31"/>
    </row>
    <row r="32" spans="1:14">
      <c r="A32" s="649" t="str">
        <f t="shared" si="4"/>
        <v>2021.09月</v>
      </c>
      <c r="B32" s="168" t="s">
        <v>79</v>
      </c>
      <c r="C32" s="48" t="s">
        <v>18</v>
      </c>
      <c r="D32" s="383" t="str">
        <f t="shared" si="5"/>
        <v>2021.09月 镜柜 营运费5%：</v>
      </c>
      <c r="E32" s="383" t="str">
        <f>INDEX(L:L,MATCH($C32,$L:$L,0)+2)</f>
        <v>6601.006.002</v>
      </c>
      <c r="F32" s="383" t="str">
        <f>INDEX(M:M,MATCH($C32,$L:$L,0)+2)</f>
        <v>销售费用 - 事业部营运费 - 镜柜事业部-营运费</v>
      </c>
      <c r="G32" s="534">
        <f>ROUND(INDEX($1:$10,MATCH($C32,$C$1:$C$10,0),MATCH($B32,$3:$3,0)),2)</f>
        <v>26.21</v>
      </c>
      <c r="H32" s="535"/>
      <c r="I32" s="48">
        <f>SUM(G$14:G32)-SUM(H$14:H32)</f>
        <v>26.2099999999991</v>
      </c>
      <c r="L32"/>
      <c r="M32"/>
      <c r="N32"/>
    </row>
    <row r="33" ht="15" spans="1:14">
      <c r="A33" s="650" t="str">
        <f t="shared" si="4"/>
        <v>2021.09月</v>
      </c>
      <c r="B33" s="198" t="s">
        <v>79</v>
      </c>
      <c r="C33" s="197" t="s">
        <v>18</v>
      </c>
      <c r="D33" s="536" t="str">
        <f t="shared" si="5"/>
        <v>2021.09月 镜柜 营运费5%：</v>
      </c>
      <c r="E33" s="536" t="str">
        <f>INDEX(L:L,MATCH($C33,$L:$L,0)+1)</f>
        <v>1221.86</v>
      </c>
      <c r="F33" s="536" t="str">
        <f>INDEX(M:M,MATCH($C33,$L:$L,0)+1)</f>
        <v>其他应收款 - 事业部</v>
      </c>
      <c r="G33" s="537">
        <f>-G32</f>
        <v>-26.21</v>
      </c>
      <c r="H33" s="538"/>
      <c r="I33" s="48">
        <f>SUM(G$14:G33)-SUM(H$14:H33)</f>
        <v>0</v>
      </c>
      <c r="L33" t="s">
        <v>18</v>
      </c>
      <c r="M33"/>
      <c r="N33"/>
    </row>
    <row r="34" spans="1:14">
      <c r="A34" s="648" t="str">
        <f t="shared" si="4"/>
        <v>2021.09月</v>
      </c>
      <c r="B34" s="539" t="s">
        <v>240</v>
      </c>
      <c r="C34" s="219" t="s">
        <v>20</v>
      </c>
      <c r="D34" s="531" t="str">
        <f t="shared" si="5"/>
        <v>2021.09月 五金 下单</v>
      </c>
      <c r="E34" s="383" t="str">
        <f>INDEX(L:L,MATCH("order",$L:$L,0)+2)</f>
        <v>2203.07.009</v>
      </c>
      <c r="F34" s="383" t="str">
        <f>INDEX(M:M,MATCH("order",$L:$L,0)+2)</f>
        <v>预收账款 - 预收销售平台款 - 预收 银行现金</v>
      </c>
      <c r="G34" s="532">
        <f>INDEX($1:$10,MATCH($C34,$C$1:$C$10,0),MATCH($B34,$3:$3,0))+INDEX($1:$10,MATCH($C34,$C$1:$C$10,0),MATCH("拼单",$3:$3,0))</f>
        <v>3452.07</v>
      </c>
      <c r="H34" s="533"/>
      <c r="I34" s="48">
        <f>SUM(G$14:G34)-SUM(H$14:H34)</f>
        <v>3452.07</v>
      </c>
      <c r="L34" t="s">
        <v>59</v>
      </c>
      <c r="M34" t="s">
        <v>60</v>
      </c>
      <c r="N34"/>
    </row>
    <row r="35" spans="1:14">
      <c r="A35" s="649" t="str">
        <f t="shared" si="4"/>
        <v>2021.09月</v>
      </c>
      <c r="B35" s="143" t="s">
        <v>7</v>
      </c>
      <c r="C35" s="48" t="s">
        <v>20</v>
      </c>
      <c r="D35" s="383" t="str">
        <f t="shared" si="5"/>
        <v>2021.09月 五金 不含税</v>
      </c>
      <c r="E35" s="383" t="str">
        <f>INDEX(L:L,MATCH($C35,$L:$L,0)+1)</f>
        <v>1221.60</v>
      </c>
      <c r="F35" s="383" t="str">
        <f>INDEX(M:M,MATCH($C35,$L:$L,0)+1)</f>
        <v>其他应收款 - 拓展部五金部</v>
      </c>
      <c r="G35" s="534"/>
      <c r="H35" s="535">
        <f>ROUND(INDEX($1:$10,MATCH($C35,$C$1:$C$10,0),MATCH($B35,$3:$3,0)),2)</f>
        <v>2825.76</v>
      </c>
      <c r="I35" s="48">
        <f>SUM(G$14:G35)-SUM(H$14:H35)</f>
        <v>626.309999999998</v>
      </c>
      <c r="L35" t="s">
        <v>63</v>
      </c>
      <c r="M35" t="s">
        <v>64</v>
      </c>
      <c r="N35"/>
    </row>
    <row r="36" spans="1:14">
      <c r="A36" s="649" t="str">
        <f t="shared" si="4"/>
        <v>2021.09月</v>
      </c>
      <c r="B36" s="143" t="s">
        <v>240</v>
      </c>
      <c r="C36" s="48" t="s">
        <v>20</v>
      </c>
      <c r="D36" s="383" t="str">
        <f t="shared" si="5"/>
        <v>2021.09月 五金 下单</v>
      </c>
      <c r="E36" s="383" t="str">
        <f>INDEX(L:L,MATCH("order",$L:$L,0)+3)</f>
        <v>2221</v>
      </c>
      <c r="F36" s="383" t="str">
        <f>INDEX(M:M,MATCH("order",$L:$L,0)+3)</f>
        <v>应交税费</v>
      </c>
      <c r="G36" s="534"/>
      <c r="H36" s="535">
        <f>ROUND(H35*0.2,2)</f>
        <v>565.15</v>
      </c>
      <c r="I36" s="48">
        <f>SUM(G$14:G36)-SUM(H$14:H36)</f>
        <v>61.1599999999962</v>
      </c>
      <c r="N36"/>
    </row>
    <row r="37" spans="1:14">
      <c r="A37" s="649" t="str">
        <f t="shared" si="4"/>
        <v>2021.09月</v>
      </c>
      <c r="B37" s="168" t="s">
        <v>241</v>
      </c>
      <c r="C37" s="48" t="s">
        <v>20</v>
      </c>
      <c r="D37" s="383" t="str">
        <f t="shared" si="5"/>
        <v>2021.09月 五金 退款</v>
      </c>
      <c r="E37" s="383" t="str">
        <f>INDEX(L:L,MATCH("order",$L:$L,0)+1)</f>
        <v>1122.001.009</v>
      </c>
      <c r="F37" s="383" t="str">
        <f>INDEX(M:M,MATCH("order",$L:$L,0)+1)</f>
        <v>应收账款 - 应收销售平台款 - 应收 银行现金</v>
      </c>
      <c r="G37" s="534"/>
      <c r="H37" s="535">
        <f>-INDEX($1:$10,MATCH($C37,$C$1:$C$10,0),MATCH($B37,$3:$3,0))</f>
        <v>61.16</v>
      </c>
      <c r="I37" s="48">
        <f>SUM(G$14:G37)-SUM(H$14:H37)</f>
        <v>0</v>
      </c>
      <c r="N37"/>
    </row>
    <row r="38" spans="1:14">
      <c r="A38" s="649" t="str">
        <f t="shared" si="4"/>
        <v>2021.09月</v>
      </c>
      <c r="B38" s="168" t="s">
        <v>79</v>
      </c>
      <c r="C38" s="48" t="s">
        <v>20</v>
      </c>
      <c r="D38" s="383" t="str">
        <f t="shared" si="5"/>
        <v>2021.09月 五金 营运费5%：</v>
      </c>
      <c r="E38" s="383" t="str">
        <f>INDEX(L:L,MATCH($C38,$L:$L,0)+2)</f>
        <v>6601.006.001</v>
      </c>
      <c r="F38" s="383" t="str">
        <f>INDEX(M:M,MATCH($C38,$L:$L,0)+2)</f>
        <v>销售费用 - 事业部营运费 - 五金事业部-营运费</v>
      </c>
      <c r="G38" s="534">
        <f>ROUND(INDEX($1:$10,MATCH($C38,$C$1:$C$10,0),MATCH($B38,$3:$3,0)),2)</f>
        <v>-141.29</v>
      </c>
      <c r="H38" s="535"/>
      <c r="I38" s="48">
        <f>SUM(G$14:G38)-SUM(H$14:H38)</f>
        <v>-141.290000000005</v>
      </c>
      <c r="L38" t="s">
        <v>233</v>
      </c>
      <c r="M38"/>
      <c r="N38"/>
    </row>
    <row r="39" ht="15" spans="1:14">
      <c r="A39" s="650" t="str">
        <f t="shared" ref="A39:A51" si="6">$B$6</f>
        <v>2021.09月</v>
      </c>
      <c r="B39" s="198" t="s">
        <v>79</v>
      </c>
      <c r="C39" s="197" t="s">
        <v>20</v>
      </c>
      <c r="D39" s="536" t="str">
        <f t="shared" si="5"/>
        <v>2021.09月 五金 营运费5%：</v>
      </c>
      <c r="E39" s="536" t="str">
        <f>INDEX(L:L,MATCH($C39,$L:$L,0)+1)</f>
        <v>1221.60</v>
      </c>
      <c r="F39" s="536" t="str">
        <f>INDEX(M:M,MATCH($C39,$L:$L,0)+1)</f>
        <v>其他应收款 - 拓展部五金部</v>
      </c>
      <c r="G39" s="537">
        <f>-G38</f>
        <v>141.29</v>
      </c>
      <c r="H39" s="538"/>
      <c r="I39" s="48">
        <f>SUM(G$14:G39)-SUM(H$14:H39)</f>
        <v>0</v>
      </c>
      <c r="L39" t="s">
        <v>129</v>
      </c>
      <c r="M39" t="s">
        <v>130</v>
      </c>
      <c r="N39"/>
    </row>
    <row r="40" spans="1:14">
      <c r="A40" s="648" t="str">
        <f t="shared" si="6"/>
        <v>2021.09月</v>
      </c>
      <c r="B40" s="539" t="s">
        <v>240</v>
      </c>
      <c r="C40" s="219" t="s">
        <v>19</v>
      </c>
      <c r="D40" s="531" t="str">
        <f t="shared" si="5"/>
        <v>2021.09月 水龙头 下单</v>
      </c>
      <c r="E40" s="383" t="str">
        <f>INDEX(L:L,MATCH("order",$L:$L,0)+2)</f>
        <v>2203.07.009</v>
      </c>
      <c r="F40" s="383" t="str">
        <f>INDEX(M:M,MATCH("order",$L:$L,0)+2)</f>
        <v>预收账款 - 预收销售平台款 - 预收 银行现金</v>
      </c>
      <c r="G40" s="532">
        <f>INDEX($1:$10,MATCH($C40,$C$1:$C$10,0),MATCH($B40,$3:$3,0))+INDEX($1:$10,MATCH($C40,$C$1:$C$10,0),MATCH("拼单",$3:$3,0))</f>
        <v>0</v>
      </c>
      <c r="H40" s="533"/>
      <c r="I40" s="48">
        <f>SUM(G$14:G40)-SUM(H$14:H40)</f>
        <v>0</v>
      </c>
      <c r="L40" t="s">
        <v>133</v>
      </c>
      <c r="M40" t="s">
        <v>134</v>
      </c>
      <c r="N40"/>
    </row>
    <row r="41" spans="1:14">
      <c r="A41" s="649" t="str">
        <f t="shared" si="6"/>
        <v>2021.09月</v>
      </c>
      <c r="B41" s="143" t="s">
        <v>7</v>
      </c>
      <c r="C41" s="48" t="s">
        <v>19</v>
      </c>
      <c r="D41" s="383" t="str">
        <f t="shared" si="5"/>
        <v>2021.09月 水龙头 不含税</v>
      </c>
      <c r="E41" s="383" t="str">
        <f>INDEX(L:L,MATCH($C41,$L:$L,0)+1)</f>
        <v>1221.100</v>
      </c>
      <c r="F41" s="383" t="str">
        <f>INDEX(M:M,MATCH($C41,$L:$L,0)+1)</f>
        <v>其他应收款 - 拓展部-水龙头</v>
      </c>
      <c r="G41" s="534"/>
      <c r="H41" s="535">
        <f>ROUND(INDEX($1:$10,MATCH($C41,$C$1:$C$10,0),MATCH($B41,$3:$3,0)),2)</f>
        <v>0</v>
      </c>
      <c r="I41" s="48">
        <f>SUM(G$14:G41)-SUM(H$14:H41)</f>
        <v>0</v>
      </c>
      <c r="N41"/>
    </row>
    <row r="42" spans="1:14">
      <c r="A42" s="649" t="str">
        <f t="shared" si="6"/>
        <v>2021.09月</v>
      </c>
      <c r="B42" s="143" t="s">
        <v>240</v>
      </c>
      <c r="C42" s="48" t="s">
        <v>19</v>
      </c>
      <c r="D42" s="383" t="str">
        <f t="shared" si="5"/>
        <v>2021.09月 水龙头 下单</v>
      </c>
      <c r="E42" s="383" t="str">
        <f>INDEX(L:L,MATCH("order",$L:$L,0)+3)</f>
        <v>2221</v>
      </c>
      <c r="F42" s="383" t="str">
        <f>INDEX(M:M,MATCH("order",$L:$L,0)+3)</f>
        <v>应交税费</v>
      </c>
      <c r="G42" s="534"/>
      <c r="H42" s="535">
        <f>ROUND(H41*0.2,2)</f>
        <v>0</v>
      </c>
      <c r="I42" s="48">
        <f>SUM(G$14:G42)-SUM(H$14:H42)</f>
        <v>0</v>
      </c>
      <c r="N42"/>
    </row>
    <row r="43" spans="1:14">
      <c r="A43" s="649" t="str">
        <f t="shared" si="6"/>
        <v>2021.09月</v>
      </c>
      <c r="B43" s="168" t="s">
        <v>241</v>
      </c>
      <c r="C43" s="48" t="s">
        <v>19</v>
      </c>
      <c r="D43" s="383" t="str">
        <f t="shared" si="5"/>
        <v>2021.09月 水龙头 退款</v>
      </c>
      <c r="E43" s="383" t="str">
        <f>INDEX(L:L,MATCH("order",$L:$L,0)+1)</f>
        <v>1122.001.009</v>
      </c>
      <c r="F43" s="383" t="str">
        <f>INDEX(M:M,MATCH("order",$L:$L,0)+1)</f>
        <v>应收账款 - 应收销售平台款 - 应收 银行现金</v>
      </c>
      <c r="G43" s="534"/>
      <c r="H43" s="535">
        <f>-INDEX($1:$10,MATCH($C43,$C$1:$C$10,0),MATCH($B43,$3:$3,0))</f>
        <v>0</v>
      </c>
      <c r="I43" s="48">
        <f>SUM(G$14:G43)-SUM(H$14:H43)</f>
        <v>0</v>
      </c>
      <c r="N43"/>
    </row>
    <row r="44" spans="1:14">
      <c r="A44" s="649" t="str">
        <f t="shared" si="6"/>
        <v>2021.09月</v>
      </c>
      <c r="B44" s="168" t="s">
        <v>79</v>
      </c>
      <c r="C44" s="48" t="s">
        <v>19</v>
      </c>
      <c r="D44" s="383" t="str">
        <f t="shared" si="5"/>
        <v>2021.09月 水龙头 营运费5%：</v>
      </c>
      <c r="E44" s="383" t="str">
        <f>INDEX(L:L,MATCH($C44,$L:$L,0)+2)</f>
        <v>6601.006.003</v>
      </c>
      <c r="F44" s="383" t="str">
        <f>INDEX(M:M,MATCH($C44,$L:$L,0)+2)</f>
        <v>销售费用 - 事业部营运费 - 水龙头事业部-营运费</v>
      </c>
      <c r="G44" s="534">
        <f>ROUND(INDEX($1:$10,MATCH($C44,$C$1:$C$10,0),MATCH($B44,$3:$3,0)),2)</f>
        <v>0</v>
      </c>
      <c r="H44" s="535"/>
      <c r="I44" s="48">
        <f>SUM(G$14:G44)-SUM(H$14:H44)</f>
        <v>0</v>
      </c>
      <c r="N44"/>
    </row>
    <row r="45" ht="15" spans="1:14">
      <c r="A45" s="650" t="str">
        <f t="shared" si="6"/>
        <v>2021.09月</v>
      </c>
      <c r="B45" s="198" t="s">
        <v>79</v>
      </c>
      <c r="C45" s="197" t="s">
        <v>19</v>
      </c>
      <c r="D45" s="536" t="str">
        <f t="shared" si="5"/>
        <v>2021.09月 水龙头 营运费5%：</v>
      </c>
      <c r="E45" s="536" t="str">
        <f>INDEX(L:L,MATCH($C45,$L:$L,0)+1)</f>
        <v>1221.100</v>
      </c>
      <c r="F45" s="536" t="str">
        <f>INDEX(M:M,MATCH($C45,$L:$L,0)+1)</f>
        <v>其他应收款 - 拓展部-水龙头</v>
      </c>
      <c r="G45" s="537">
        <f>-G44</f>
        <v>0</v>
      </c>
      <c r="H45" s="538"/>
      <c r="I45" s="48">
        <f>SUM(G$14:G45)-SUM(H$14:H45)</f>
        <v>0</v>
      </c>
      <c r="N45"/>
    </row>
    <row r="46" spans="1:14">
      <c r="A46" s="648" t="str">
        <f t="shared" si="6"/>
        <v>2021.09月</v>
      </c>
      <c r="B46" s="539" t="s">
        <v>240</v>
      </c>
      <c r="C46" s="219" t="s">
        <v>83</v>
      </c>
      <c r="D46" s="531" t="str">
        <f t="shared" si="5"/>
        <v>2021.09月 陶瓷 下单</v>
      </c>
      <c r="E46" s="383" t="str">
        <f>INDEX(L:L,MATCH("order",$L:$L,0)+2)</f>
        <v>2203.07.009</v>
      </c>
      <c r="F46" s="383" t="str">
        <f>INDEX(M:M,MATCH("order",$L:$L,0)+2)</f>
        <v>预收账款 - 预收销售平台款 - 预收 银行现金</v>
      </c>
      <c r="G46" s="532">
        <f>INDEX($1:$10,MATCH($C46,$C$1:$C$10,0),MATCH($B46,$3:$3,0))+INDEX($1:$10,MATCH($C46,$C$1:$C$10,0),MATCH("拼单",$3:$3,0))</f>
        <v>0</v>
      </c>
      <c r="H46" s="533"/>
      <c r="I46" s="48">
        <f>SUM(G$14:G46)-SUM(H$14:H46)</f>
        <v>0</v>
      </c>
      <c r="N46"/>
    </row>
    <row r="47" spans="1:14">
      <c r="A47" s="649" t="str">
        <f t="shared" si="6"/>
        <v>2021.09月</v>
      </c>
      <c r="B47" s="143" t="s">
        <v>240</v>
      </c>
      <c r="C47" s="48" t="s">
        <v>83</v>
      </c>
      <c r="D47" s="383" t="str">
        <f t="shared" si="5"/>
        <v>2021.09月 陶瓷 下单</v>
      </c>
      <c r="E47" s="383" t="str">
        <f>INDEX(L:L,MATCH($C47,$L:$L,0)+1)</f>
        <v>1221.103</v>
      </c>
      <c r="F47" s="383" t="str">
        <f>INDEX(M:M,MATCH($C47,$L:$L,0)+1)</f>
        <v>拓展部-陶瓷部</v>
      </c>
      <c r="G47" s="534"/>
      <c r="H47" s="535">
        <f>ROUND(INDEX($1:$10,MATCH($C47,$C$1:$C$10,0),MATCH($B47,$3:$3,0)),2)</f>
        <v>0</v>
      </c>
      <c r="I47" s="48">
        <f>SUM(G$14:G47)-SUM(H$14:H47)</f>
        <v>0</v>
      </c>
      <c r="N47"/>
    </row>
    <row r="48" spans="1:14">
      <c r="A48" s="649" t="str">
        <f t="shared" si="6"/>
        <v>2021.09月</v>
      </c>
      <c r="B48" s="143" t="s">
        <v>240</v>
      </c>
      <c r="C48" s="48" t="s">
        <v>83</v>
      </c>
      <c r="D48" s="383" t="str">
        <f t="shared" si="5"/>
        <v>2021.09月 陶瓷 下单</v>
      </c>
      <c r="E48" s="383" t="str">
        <f>INDEX(L:L,MATCH("order",$L:$L,0)+3)</f>
        <v>2221</v>
      </c>
      <c r="F48" s="383" t="str">
        <f>INDEX(M:M,MATCH("order",$L:$L,0)+3)</f>
        <v>应交税费</v>
      </c>
      <c r="G48" s="534"/>
      <c r="H48" s="535">
        <f>ROUND(H47*0.2,2)</f>
        <v>0</v>
      </c>
      <c r="I48" s="48">
        <f>SUM(G$14:G48)-SUM(H$14:H48)</f>
        <v>0</v>
      </c>
      <c r="N48"/>
    </row>
    <row r="49" spans="1:14">
      <c r="A49" s="649" t="str">
        <f t="shared" si="6"/>
        <v>2021.09月</v>
      </c>
      <c r="B49" s="168" t="s">
        <v>241</v>
      </c>
      <c r="C49" s="48" t="s">
        <v>83</v>
      </c>
      <c r="D49" s="383" t="str">
        <f t="shared" si="5"/>
        <v>2021.09月 陶瓷 退款</v>
      </c>
      <c r="E49" s="383" t="str">
        <f>INDEX(L:L,MATCH("order",$L:$L,0)+1)</f>
        <v>1122.001.009</v>
      </c>
      <c r="F49" s="383" t="str">
        <f>INDEX(M:M,MATCH("order",$L:$L,0)+1)</f>
        <v>应收账款 - 应收销售平台款 - 应收 银行现金</v>
      </c>
      <c r="G49" s="534"/>
      <c r="H49" s="535">
        <f>-INDEX($1:$10,MATCH($C49,$C$1:$C$10,0),MATCH($B49,$3:$3,0))</f>
        <v>0</v>
      </c>
      <c r="I49" s="48">
        <f>SUM(G$14:G49)-SUM(H$14:H49)</f>
        <v>0</v>
      </c>
      <c r="N49"/>
    </row>
    <row r="50" spans="1:14">
      <c r="A50" s="649" t="str">
        <f t="shared" si="6"/>
        <v>2021.09月</v>
      </c>
      <c r="B50" s="168" t="s">
        <v>79</v>
      </c>
      <c r="C50" s="48" t="s">
        <v>83</v>
      </c>
      <c r="D50" s="383" t="str">
        <f t="shared" si="5"/>
        <v>2021.09月 陶瓷 营运费5%：</v>
      </c>
      <c r="E50" s="383" t="str">
        <f>INDEX(L:L,MATCH($C50,$L:$L,0)+2)</f>
        <v>6601.006.004</v>
      </c>
      <c r="F50" s="383" t="str">
        <f>INDEX(M:M,MATCH($C50,$L:$L,0)+2)</f>
        <v>销售费用 - 事业部营运费 - 陶瓷事业部-营运费</v>
      </c>
      <c r="G50" s="534">
        <f>ROUND(INDEX($1:$10,MATCH($C50,$C$1:$C$10,0),MATCH($B50,$3:$3,0)),2)</f>
        <v>0</v>
      </c>
      <c r="H50" s="535"/>
      <c r="I50" s="48">
        <f>SUM(G$14:G50)-SUM(H$14:H50)</f>
        <v>0</v>
      </c>
      <c r="N50"/>
    </row>
    <row r="51" ht="15" spans="1:9">
      <c r="A51" s="650" t="str">
        <f t="shared" si="6"/>
        <v>2021.09月</v>
      </c>
      <c r="B51" s="198" t="s">
        <v>79</v>
      </c>
      <c r="C51" s="197" t="s">
        <v>83</v>
      </c>
      <c r="D51" s="536" t="str">
        <f t="shared" si="5"/>
        <v>2021.09月 陶瓷 营运费5%：</v>
      </c>
      <c r="E51" s="536" t="str">
        <f>INDEX(L:L,MATCH($C51,$L:$L,0)+1)</f>
        <v>1221.103</v>
      </c>
      <c r="F51" s="536" t="str">
        <f>INDEX(M:M,MATCH($C51,$L:$L,0)+1)</f>
        <v>拓展部-陶瓷部</v>
      </c>
      <c r="G51" s="537">
        <f>-G50</f>
        <v>0</v>
      </c>
      <c r="H51" s="538"/>
      <c r="I51" s="48">
        <f>SUM(G$14:G51)-SUM(H$14:H51)</f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2:T18"/>
  <sheetViews>
    <sheetView workbookViewId="0">
      <selection activeCell="E24" sqref="E24"/>
    </sheetView>
  </sheetViews>
  <sheetFormatPr defaultColWidth="9" defaultRowHeight="13.5"/>
  <cols>
    <col min="1" max="1" width="10.75" customWidth="1"/>
    <col min="2" max="2" width="20" customWidth="1"/>
    <col min="3" max="3" width="24.875" customWidth="1"/>
    <col min="4" max="4" width="13.875" customWidth="1"/>
    <col min="5" max="5" width="10.75" customWidth="1"/>
    <col min="6" max="6" width="16.125" customWidth="1"/>
    <col min="7" max="7" width="13.5" customWidth="1"/>
    <col min="8" max="8" width="22.875" customWidth="1"/>
    <col min="9" max="9" width="13.75" customWidth="1"/>
    <col min="10" max="12" width="10.375"/>
  </cols>
  <sheetData>
    <row r="2" ht="18.75" spans="3:12">
      <c r="C2" s="529" t="s">
        <v>257</v>
      </c>
      <c r="D2" s="484"/>
      <c r="E2" s="484"/>
      <c r="F2" s="484"/>
      <c r="G2" s="484"/>
      <c r="H2" s="484"/>
      <c r="I2" s="484"/>
      <c r="J2" s="484"/>
      <c r="K2" s="484"/>
      <c r="L2" s="484"/>
    </row>
    <row r="3" spans="1:20">
      <c r="A3" t="s">
        <v>257</v>
      </c>
      <c r="B3" s="643" t="s">
        <v>258</v>
      </c>
      <c r="C3" s="424" t="s">
        <v>4</v>
      </c>
      <c r="D3" s="425" t="s">
        <v>259</v>
      </c>
      <c r="E3" s="425" t="s">
        <v>6</v>
      </c>
      <c r="F3" s="425" t="s">
        <v>7</v>
      </c>
      <c r="G3" s="517" t="s">
        <v>8</v>
      </c>
      <c r="H3" s="517" t="s">
        <v>9</v>
      </c>
      <c r="I3" s="517" t="s">
        <v>78</v>
      </c>
      <c r="J3" s="438" t="s">
        <v>79</v>
      </c>
      <c r="K3" s="425" t="s">
        <v>11</v>
      </c>
      <c r="L3" s="438" t="s">
        <v>12</v>
      </c>
      <c r="M3" s="478" t="s">
        <v>3</v>
      </c>
      <c r="N3" s="478" t="s">
        <v>1</v>
      </c>
      <c r="O3" s="478" t="s">
        <v>80</v>
      </c>
      <c r="P3" s="478" t="s">
        <v>81</v>
      </c>
      <c r="Q3" s="478" t="s">
        <v>2</v>
      </c>
      <c r="R3" s="525" t="s">
        <v>15</v>
      </c>
      <c r="S3" s="525" t="s">
        <v>82</v>
      </c>
      <c r="T3" s="526" t="s">
        <v>16</v>
      </c>
    </row>
    <row r="4" spans="1:20">
      <c r="A4" t="s">
        <v>257</v>
      </c>
      <c r="B4" s="643" t="s">
        <v>258</v>
      </c>
      <c r="C4" s="427" t="s">
        <v>17</v>
      </c>
      <c r="D4" s="141">
        <v>594.32</v>
      </c>
      <c r="E4" s="141">
        <v>0</v>
      </c>
      <c r="F4" s="141">
        <v>594.32</v>
      </c>
      <c r="G4" s="141">
        <v>-2.4</v>
      </c>
      <c r="H4" s="141">
        <v>-77.73</v>
      </c>
      <c r="I4" s="141">
        <v>-5.35</v>
      </c>
      <c r="J4" s="141"/>
      <c r="K4" s="141">
        <v>508.84</v>
      </c>
      <c r="L4" s="428"/>
      <c r="M4" s="524">
        <v>0</v>
      </c>
      <c r="N4" s="524">
        <v>0</v>
      </c>
      <c r="O4" s="524">
        <v>0</v>
      </c>
      <c r="P4" s="524">
        <v>0</v>
      </c>
      <c r="Q4" s="524">
        <v>0</v>
      </c>
      <c r="R4" s="524">
        <v>594.32</v>
      </c>
      <c r="S4" s="524">
        <v>0</v>
      </c>
      <c r="T4" s="143">
        <v>594.32</v>
      </c>
    </row>
    <row r="9" s="227" customFormat="1" ht="14.25" spans="1:10">
      <c r="A9" s="651" t="s">
        <v>258</v>
      </c>
      <c r="B9" s="502" t="s">
        <v>260</v>
      </c>
      <c r="C9" s="503" t="str">
        <f>"英国xinyang_ltd（国际单）Ebay流水"&amp;B9</f>
        <v>英国xinyang_ltd（国际单）Ebay流水收款（不含税）</v>
      </c>
      <c r="D9" s="53" t="s">
        <v>261</v>
      </c>
      <c r="E9" s="53" t="s">
        <v>262</v>
      </c>
      <c r="F9" s="53"/>
      <c r="G9" s="53"/>
      <c r="H9" s="55">
        <f>R4+S4</f>
        <v>594.32</v>
      </c>
      <c r="I9" s="55"/>
      <c r="J9" s="502" t="s">
        <v>7</v>
      </c>
    </row>
    <row r="10" s="227" customFormat="1" ht="14.25" spans="1:10">
      <c r="A10" s="651" t="s">
        <v>258</v>
      </c>
      <c r="B10" s="502" t="s">
        <v>260</v>
      </c>
      <c r="C10" s="503" t="str">
        <f>"英国xinyang_ltd（国际单）Ebay流水"&amp;B10</f>
        <v>英国xinyang_ltd（国际单）Ebay流水收款（不含税）</v>
      </c>
      <c r="D10" s="53" t="s">
        <v>263</v>
      </c>
      <c r="E10" s="53" t="s">
        <v>264</v>
      </c>
      <c r="F10" s="53"/>
      <c r="G10" s="53"/>
      <c r="H10" s="55"/>
      <c r="I10" s="55">
        <f>H9</f>
        <v>594.32</v>
      </c>
      <c r="J10" s="502" t="s">
        <v>7</v>
      </c>
    </row>
    <row r="11" s="227" customFormat="1" ht="14.25" hidden="1" spans="1:10">
      <c r="A11" s="651" t="s">
        <v>258</v>
      </c>
      <c r="B11" s="502" t="s">
        <v>265</v>
      </c>
      <c r="C11" s="503" t="str">
        <f>"英国xinyang_ltd（国际单）Ebay流水"&amp;B11</f>
        <v>英国xinyang_ltd（国际单）Ebay流水退款（不含税）</v>
      </c>
      <c r="D11" s="53" t="s">
        <v>261</v>
      </c>
      <c r="E11" s="53" t="s">
        <v>262</v>
      </c>
      <c r="F11" s="53"/>
      <c r="G11" s="53"/>
      <c r="H11" s="55">
        <f>-SUM(M4:P4)</f>
        <v>0</v>
      </c>
      <c r="I11" s="55"/>
      <c r="J11" s="502" t="s">
        <v>7</v>
      </c>
    </row>
    <row r="12" s="227" customFormat="1" ht="14.25" hidden="1" spans="1:10">
      <c r="A12" s="651" t="s">
        <v>258</v>
      </c>
      <c r="B12" s="502" t="s">
        <v>265</v>
      </c>
      <c r="C12" s="503" t="str">
        <f>"英国xinyang_ltd（国际单）Ebay流水"&amp;B12</f>
        <v>英国xinyang_ltd（国际单）Ebay流水退款（不含税）</v>
      </c>
      <c r="D12" s="53" t="s">
        <v>263</v>
      </c>
      <c r="E12" s="53" t="s">
        <v>264</v>
      </c>
      <c r="F12" s="53"/>
      <c r="G12" s="53"/>
      <c r="H12" s="55"/>
      <c r="I12" s="55">
        <f>H11</f>
        <v>0</v>
      </c>
      <c r="J12" s="502" t="s">
        <v>7</v>
      </c>
    </row>
    <row r="13" s="227" customFormat="1" ht="14.25" spans="1:10">
      <c r="A13" s="651" t="s">
        <v>258</v>
      </c>
      <c r="B13" s="502" t="s">
        <v>266</v>
      </c>
      <c r="C13" s="503" t="str">
        <f t="shared" ref="C13:C18" si="0">"英国xinyang_ltd（国际单）Ebay流水"&amp;B13</f>
        <v>英国xinyang_ltd（国际单）Ebay流水Ebay交易费</v>
      </c>
      <c r="D13" s="53" t="s">
        <v>267</v>
      </c>
      <c r="E13" s="53" t="s">
        <v>268</v>
      </c>
      <c r="F13" s="53"/>
      <c r="G13" s="53"/>
      <c r="H13" s="55">
        <f>-SUM(G4:I4)</f>
        <v>85.48</v>
      </c>
      <c r="I13" s="55"/>
      <c r="J13" s="502" t="s">
        <v>7</v>
      </c>
    </row>
    <row r="14" s="227" customFormat="1" ht="14.25" spans="1:10">
      <c r="A14" s="651" t="s">
        <v>258</v>
      </c>
      <c r="B14" s="502" t="s">
        <v>266</v>
      </c>
      <c r="C14" s="503" t="str">
        <f t="shared" si="0"/>
        <v>英国xinyang_ltd（国际单）Ebay流水Ebay交易费</v>
      </c>
      <c r="D14" s="53" t="s">
        <v>261</v>
      </c>
      <c r="E14" s="53" t="s">
        <v>262</v>
      </c>
      <c r="F14" s="53"/>
      <c r="G14" s="53"/>
      <c r="H14" s="55"/>
      <c r="I14" s="55">
        <f>H13</f>
        <v>85.48</v>
      </c>
      <c r="J14" s="502" t="s">
        <v>7</v>
      </c>
    </row>
    <row r="15" s="227" customFormat="1" ht="14.25" spans="1:10">
      <c r="A15" s="651" t="s">
        <v>258</v>
      </c>
      <c r="B15" s="502" t="s">
        <v>269</v>
      </c>
      <c r="C15" s="503" t="str">
        <f t="shared" si="0"/>
        <v>英国xinyang_ltd（国际单）Ebay流水下单（不含税）</v>
      </c>
      <c r="D15" s="53" t="s">
        <v>263</v>
      </c>
      <c r="E15" s="53" t="s">
        <v>264</v>
      </c>
      <c r="F15" s="53"/>
      <c r="G15" s="53"/>
      <c r="H15" s="55">
        <f>R4+S4</f>
        <v>594.32</v>
      </c>
      <c r="I15" s="55"/>
      <c r="J15" s="502" t="s">
        <v>7</v>
      </c>
    </row>
    <row r="16" s="227" customFormat="1" ht="14.25" spans="1:10">
      <c r="A16" s="651" t="s">
        <v>258</v>
      </c>
      <c r="B16" s="502" t="s">
        <v>269</v>
      </c>
      <c r="C16" s="503" t="str">
        <f t="shared" si="0"/>
        <v>英国xinyang_ltd（国际单）Ebay流水下单（不含税）</v>
      </c>
      <c r="D16" s="53" t="s">
        <v>270</v>
      </c>
      <c r="E16" s="53" t="s">
        <v>271</v>
      </c>
      <c r="F16" s="53"/>
      <c r="G16" s="53"/>
      <c r="H16" s="55"/>
      <c r="I16" s="55">
        <f>H15</f>
        <v>594.32</v>
      </c>
      <c r="J16" s="502" t="s">
        <v>7</v>
      </c>
    </row>
    <row r="17" s="227" customFormat="1" ht="14.25" hidden="1" spans="1:10">
      <c r="A17" s="651" t="s">
        <v>258</v>
      </c>
      <c r="B17" s="502" t="s">
        <v>265</v>
      </c>
      <c r="C17" s="503" t="str">
        <f t="shared" si="0"/>
        <v>英国xinyang_ltd（国际单）Ebay流水退款（不含税）</v>
      </c>
      <c r="D17" s="53" t="s">
        <v>270</v>
      </c>
      <c r="E17" s="53" t="s">
        <v>271</v>
      </c>
      <c r="F17" s="53"/>
      <c r="G17" s="53"/>
      <c r="H17" s="55">
        <f>SUM(M4:P4)</f>
        <v>0</v>
      </c>
      <c r="I17" s="55"/>
      <c r="J17" s="502" t="s">
        <v>7</v>
      </c>
    </row>
    <row r="18" s="227" customFormat="1" ht="14.25" hidden="1" spans="1:10">
      <c r="A18" s="651" t="s">
        <v>258</v>
      </c>
      <c r="B18" s="502" t="s">
        <v>265</v>
      </c>
      <c r="C18" s="503" t="str">
        <f t="shared" si="0"/>
        <v>英国xinyang_ltd（国际单）Ebay流水退款（不含税）</v>
      </c>
      <c r="D18" s="53" t="s">
        <v>263</v>
      </c>
      <c r="E18" s="53" t="s">
        <v>264</v>
      </c>
      <c r="F18" s="53"/>
      <c r="G18" s="53"/>
      <c r="H18" s="55"/>
      <c r="I18" s="55">
        <f>H17</f>
        <v>0</v>
      </c>
      <c r="J18" s="502" t="s">
        <v>7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5:V163"/>
  <sheetViews>
    <sheetView topLeftCell="A124" workbookViewId="0">
      <selection activeCell="B162" sqref="B162:C162"/>
    </sheetView>
  </sheetViews>
  <sheetFormatPr defaultColWidth="23.75" defaultRowHeight="14.25"/>
  <cols>
    <col min="1" max="1" width="11.5" style="48" customWidth="1"/>
    <col min="2" max="2" width="28.5" style="48" customWidth="1"/>
    <col min="3" max="3" width="14" style="48" customWidth="1"/>
    <col min="4" max="4" width="10.875" style="267" customWidth="1"/>
    <col min="5" max="5" width="34.5" style="48" customWidth="1"/>
    <col min="6" max="6" width="10.375" style="48" customWidth="1"/>
    <col min="7" max="8" width="18.25" style="48" customWidth="1"/>
    <col min="9" max="10" width="20.125" style="48" customWidth="1"/>
    <col min="11" max="12" width="11.5" style="48" customWidth="1"/>
    <col min="13" max="13" width="13.125" style="48" customWidth="1"/>
    <col min="14" max="16384" width="23.75" style="48" customWidth="1"/>
  </cols>
  <sheetData>
    <row r="5" s="142" customFormat="1" ht="18.75" spans="1:16">
      <c r="A5" s="422"/>
      <c r="B5" s="422"/>
      <c r="C5" s="423" t="s">
        <v>272</v>
      </c>
      <c r="D5" s="141"/>
      <c r="E5" s="141"/>
      <c r="F5" s="141"/>
      <c r="G5" s="141"/>
      <c r="H5" s="141"/>
      <c r="I5" s="428"/>
      <c r="J5" s="422"/>
      <c r="K5" s="141"/>
      <c r="L5" s="141"/>
      <c r="M5" s="141"/>
      <c r="N5" s="141"/>
      <c r="O5" s="143"/>
      <c r="P5" s="143"/>
    </row>
    <row r="6" s="142" customFormat="1" ht="13.5" spans="1:17">
      <c r="A6" s="422" t="s">
        <v>272</v>
      </c>
      <c r="B6" s="644" t="s">
        <v>273</v>
      </c>
      <c r="C6" s="424" t="s">
        <v>4</v>
      </c>
      <c r="D6" s="425" t="s">
        <v>5</v>
      </c>
      <c r="E6" s="425" t="s">
        <v>6</v>
      </c>
      <c r="F6" s="425" t="s">
        <v>7</v>
      </c>
      <c r="G6" s="450" t="s">
        <v>166</v>
      </c>
      <c r="H6" s="426" t="s">
        <v>274</v>
      </c>
      <c r="I6" s="425" t="s">
        <v>275</v>
      </c>
      <c r="J6" s="438"/>
      <c r="K6" s="425" t="s">
        <v>11</v>
      </c>
      <c r="L6" s="438" t="s">
        <v>12</v>
      </c>
      <c r="M6" s="141"/>
      <c r="N6" s="141"/>
      <c r="O6"/>
      <c r="P6"/>
      <c r="Q6"/>
    </row>
    <row r="7" s="142" customFormat="1" ht="13.5" spans="1:17">
      <c r="A7" s="422" t="s">
        <v>272</v>
      </c>
      <c r="B7" s="644" t="s">
        <v>273</v>
      </c>
      <c r="C7" s="427" t="s">
        <v>17</v>
      </c>
      <c r="D7" s="141">
        <v>0</v>
      </c>
      <c r="E7" s="141"/>
      <c r="F7" s="141">
        <v>0</v>
      </c>
      <c r="G7" s="141">
        <v>0</v>
      </c>
      <c r="H7" s="141"/>
      <c r="I7" s="141"/>
      <c r="J7" s="422"/>
      <c r="K7" s="141"/>
      <c r="L7" s="141"/>
      <c r="M7" s="141"/>
      <c r="N7" s="141"/>
      <c r="O7"/>
      <c r="P7"/>
      <c r="Q7"/>
    </row>
    <row r="8" ht="13.5" spans="1:17">
      <c r="A8" s="422"/>
      <c r="B8" s="422"/>
      <c r="C8" s="386"/>
      <c r="D8" s="428"/>
      <c r="E8" s="428"/>
      <c r="F8" s="428"/>
      <c r="G8" s="428"/>
      <c r="H8" s="428"/>
      <c r="I8" s="428"/>
      <c r="J8" s="428"/>
      <c r="K8" s="428"/>
      <c r="L8" s="141"/>
      <c r="M8" s="422"/>
      <c r="N8" s="422"/>
      <c r="O8"/>
      <c r="P8"/>
      <c r="Q8"/>
    </row>
    <row r="9" s="42" customFormat="1" spans="1:13">
      <c r="A9" s="652" t="str">
        <f>$B$40</f>
        <v>2021.08月</v>
      </c>
      <c r="B9" s="260" t="s">
        <v>276</v>
      </c>
      <c r="E9" s="260" t="str">
        <f>A9&amp;B9&amp;C9&amp;D9</f>
        <v>2021.08月英国Amazon批发网站（国际单）下单</v>
      </c>
      <c r="G9" s="42" t="s">
        <v>277</v>
      </c>
      <c r="H9" s="42" t="s">
        <v>278</v>
      </c>
      <c r="K9" s="42">
        <f>ROUND(D7,2)</f>
        <v>0</v>
      </c>
      <c r="M9" s="42" t="s">
        <v>7</v>
      </c>
    </row>
    <row r="10" s="42" customFormat="1" spans="1:13">
      <c r="A10" s="652" t="str">
        <f>$B$40</f>
        <v>2021.08月</v>
      </c>
      <c r="B10" s="260" t="s">
        <v>276</v>
      </c>
      <c r="E10" s="260" t="str">
        <f>A10&amp;B10&amp;C10&amp;D10</f>
        <v>2021.08月英国Amazon批发网站（国际单）下单</v>
      </c>
      <c r="G10" s="42" t="s">
        <v>279</v>
      </c>
      <c r="H10" s="42" t="s">
        <v>280</v>
      </c>
      <c r="L10" s="42">
        <f>K9</f>
        <v>0</v>
      </c>
      <c r="M10" s="42" t="s">
        <v>7</v>
      </c>
    </row>
    <row r="11" ht="13.5" spans="1:17">
      <c r="A11" s="422"/>
      <c r="B11" s="422"/>
      <c r="C11" s="386"/>
      <c r="D11" s="428"/>
      <c r="E11" s="428"/>
      <c r="F11" s="428"/>
      <c r="G11" s="428"/>
      <c r="H11" s="428"/>
      <c r="I11" s="428"/>
      <c r="J11" s="428"/>
      <c r="K11" s="428"/>
      <c r="L11" s="141"/>
      <c r="M11" s="422"/>
      <c r="N11" s="422"/>
      <c r="O11"/>
      <c r="P11"/>
      <c r="Q11"/>
    </row>
    <row r="12" ht="18.75" spans="1:20">
      <c r="A12"/>
      <c r="B12"/>
      <c r="C12" s="483" t="s">
        <v>281</v>
      </c>
      <c r="D12" s="484"/>
      <c r="E12" s="484"/>
      <c r="F12" s="484"/>
      <c r="G12" s="484"/>
      <c r="H12" s="484"/>
      <c r="I12" s="484"/>
      <c r="J12" s="484"/>
      <c r="K12" s="484"/>
      <c r="L12" s="484"/>
      <c r="M12"/>
      <c r="N12"/>
      <c r="O12"/>
      <c r="P12"/>
      <c r="Q12"/>
      <c r="R12"/>
      <c r="S12"/>
      <c r="T12"/>
    </row>
    <row r="13" ht="13.5" spans="1:20">
      <c r="A13" t="s">
        <v>281</v>
      </c>
      <c r="B13" s="643" t="s">
        <v>282</v>
      </c>
      <c r="C13" s="424" t="s">
        <v>4</v>
      </c>
      <c r="D13" s="425" t="s">
        <v>259</v>
      </c>
      <c r="E13" s="425"/>
      <c r="F13" s="425" t="s">
        <v>7</v>
      </c>
      <c r="G13" s="450" t="s">
        <v>166</v>
      </c>
      <c r="H13" s="450"/>
      <c r="I13" s="438"/>
      <c r="J13" s="438"/>
      <c r="K13" s="425" t="s">
        <v>11</v>
      </c>
      <c r="L13" s="438" t="s">
        <v>12</v>
      </c>
      <c r="M13" s="497" t="s">
        <v>15</v>
      </c>
      <c r="N13" s="440" t="s">
        <v>3</v>
      </c>
      <c r="O13"/>
      <c r="P13"/>
      <c r="Q13"/>
      <c r="R13"/>
      <c r="S13"/>
      <c r="T13"/>
    </row>
    <row r="14" ht="13.5" spans="1:20">
      <c r="A14" s="142" t="s">
        <v>281</v>
      </c>
      <c r="B14" s="643" t="s">
        <v>282</v>
      </c>
      <c r="C14" s="427" t="s">
        <v>17</v>
      </c>
      <c r="D14" s="141">
        <v>-154.15</v>
      </c>
      <c r="E14" s="141"/>
      <c r="F14" s="141">
        <v>-154.15</v>
      </c>
      <c r="G14" s="141">
        <v>8.05</v>
      </c>
      <c r="H14" s="141"/>
      <c r="I14" s="141"/>
      <c r="J14" s="142"/>
      <c r="K14" s="141">
        <v>-146.1</v>
      </c>
      <c r="L14" s="143" t="s">
        <v>7</v>
      </c>
      <c r="M14" s="141">
        <v>0</v>
      </c>
      <c r="N14" s="141">
        <v>-154.15</v>
      </c>
      <c r="O14"/>
      <c r="P14"/>
      <c r="Q14"/>
      <c r="R14"/>
      <c r="S14"/>
      <c r="T14"/>
    </row>
    <row r="15" ht="13.5" spans="1:20">
      <c r="A15" s="142"/>
      <c r="B15"/>
      <c r="C15" s="427"/>
      <c r="D15" s="141"/>
      <c r="E15" s="141"/>
      <c r="F15" s="141"/>
      <c r="G15" s="141"/>
      <c r="H15" s="141"/>
      <c r="I15" s="141"/>
      <c r="J15" s="142"/>
      <c r="K15" s="141"/>
      <c r="L15" s="498" t="s">
        <v>31</v>
      </c>
      <c r="M15" s="141">
        <v>0</v>
      </c>
      <c r="N15" s="141">
        <v>0</v>
      </c>
      <c r="O15"/>
      <c r="P15"/>
      <c r="Q15"/>
      <c r="R15"/>
      <c r="S15"/>
      <c r="T15" s="142"/>
    </row>
    <row r="16" ht="13.5" spans="1:20">
      <c r="A16" s="142"/>
      <c r="B16" s="142"/>
      <c r="C16" s="427"/>
      <c r="D16" s="141"/>
      <c r="E16" s="141"/>
      <c r="F16" s="141"/>
      <c r="G16" s="141"/>
      <c r="H16" s="141"/>
      <c r="I16" s="141"/>
      <c r="J16" s="141"/>
      <c r="K16" s="141"/>
      <c r="L16" s="439" t="s">
        <v>283</v>
      </c>
      <c r="M16" s="141">
        <v>0</v>
      </c>
      <c r="N16" s="141">
        <v>-154.15</v>
      </c>
      <c r="O16" s="142"/>
      <c r="P16" s="142"/>
      <c r="Q16" s="143"/>
      <c r="R16" s="143"/>
      <c r="S16" s="143"/>
      <c r="T16" s="142"/>
    </row>
    <row r="17" ht="13.5" spans="1:20">
      <c r="A17" s="142"/>
      <c r="B17" s="142"/>
      <c r="C17" s="427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2"/>
      <c r="P17" s="142"/>
      <c r="Q17" s="143"/>
      <c r="R17" s="143"/>
      <c r="S17" s="143"/>
      <c r="T17" s="142"/>
    </row>
    <row r="18" ht="13.5" spans="1:20">
      <c r="A18" s="142"/>
      <c r="B18" s="142"/>
      <c r="C18" s="427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2"/>
      <c r="P18" s="142"/>
      <c r="Q18" s="143"/>
      <c r="R18" s="143"/>
      <c r="S18" s="143"/>
      <c r="T18" s="142"/>
    </row>
    <row r="19" spans="1:20">
      <c r="A19" s="142"/>
      <c r="B19" s="142"/>
      <c r="C19" s="427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2"/>
      <c r="P19" s="142"/>
      <c r="Q19" s="143"/>
      <c r="R19" s="143"/>
      <c r="S19" s="143"/>
      <c r="T19" s="142"/>
    </row>
    <row r="20" s="227" customFormat="1" spans="1:13">
      <c r="A20" s="653" t="str">
        <f>$B$40</f>
        <v>2021.08月</v>
      </c>
      <c r="B20" s="485" t="s">
        <v>284</v>
      </c>
      <c r="C20" s="277" t="s">
        <v>260</v>
      </c>
      <c r="D20" s="277">
        <f>ROUND(M14,2)</f>
        <v>0</v>
      </c>
      <c r="E20" s="486" t="str">
        <f>A20&amp;B20&amp;C20&amp;D20</f>
        <v>2021.08月英国xinyang_ltd（国际单）paypal流水收款（不含税）0</v>
      </c>
      <c r="F20" s="277"/>
      <c r="G20" s="283" t="s">
        <v>261</v>
      </c>
      <c r="H20" s="283" t="s">
        <v>262</v>
      </c>
      <c r="I20" s="283"/>
      <c r="J20" s="283"/>
      <c r="K20" s="315">
        <f>ROUND(D20,2)</f>
        <v>0</v>
      </c>
      <c r="L20" s="316"/>
      <c r="M20" s="227" t="s">
        <v>7</v>
      </c>
    </row>
    <row r="21" s="227" customFormat="1" spans="1:13">
      <c r="A21" s="653" t="str">
        <f t="shared" ref="A21:A34" si="0">$B$40</f>
        <v>2021.08月</v>
      </c>
      <c r="B21" s="487" t="s">
        <v>284</v>
      </c>
      <c r="C21" s="284" t="s">
        <v>260</v>
      </c>
      <c r="D21" s="284">
        <f>D20</f>
        <v>0</v>
      </c>
      <c r="E21" s="488" t="str">
        <f t="shared" ref="E21:E34" si="1">A21&amp;B21&amp;C21&amp;D21</f>
        <v>2021.08月英国xinyang_ltd（国际单）paypal流水收款（不含税）0</v>
      </c>
      <c r="F21" s="284"/>
      <c r="G21" s="179" t="s">
        <v>263</v>
      </c>
      <c r="H21" s="179" t="s">
        <v>264</v>
      </c>
      <c r="I21" s="179"/>
      <c r="J21" s="179"/>
      <c r="K21" s="54"/>
      <c r="L21" s="206">
        <f>K20</f>
        <v>0</v>
      </c>
      <c r="M21" s="227" t="s">
        <v>7</v>
      </c>
    </row>
    <row r="22" s="227" customFormat="1" spans="1:13">
      <c r="A22" s="653" t="str">
        <f t="shared" si="0"/>
        <v>2021.08月</v>
      </c>
      <c r="B22" s="487" t="s">
        <v>284</v>
      </c>
      <c r="C22" s="284" t="s">
        <v>265</v>
      </c>
      <c r="D22" s="284">
        <f>ROUND(N14,2)</f>
        <v>-154.15</v>
      </c>
      <c r="E22" s="488" t="str">
        <f t="shared" si="1"/>
        <v>2021.08月英国xinyang_ltd（国际单）paypal流水退款（不含税）-154.15</v>
      </c>
      <c r="F22" s="284"/>
      <c r="G22" s="179" t="s">
        <v>261</v>
      </c>
      <c r="H22" s="179" t="s">
        <v>262</v>
      </c>
      <c r="I22" s="179"/>
      <c r="J22" s="179"/>
      <c r="K22" s="54">
        <f>ROUND(D22,2)</f>
        <v>-154.15</v>
      </c>
      <c r="L22" s="206"/>
      <c r="M22" s="227" t="s">
        <v>7</v>
      </c>
    </row>
    <row r="23" s="227" customFormat="1" spans="1:13">
      <c r="A23" s="653" t="str">
        <f t="shared" si="0"/>
        <v>2021.08月</v>
      </c>
      <c r="B23" s="487" t="s">
        <v>284</v>
      </c>
      <c r="C23" s="284" t="s">
        <v>265</v>
      </c>
      <c r="D23" s="284">
        <f>D22</f>
        <v>-154.15</v>
      </c>
      <c r="E23" s="488" t="str">
        <f t="shared" si="1"/>
        <v>2021.08月英国xinyang_ltd（国际单）paypal流水退款（不含税）-154.15</v>
      </c>
      <c r="F23" s="284"/>
      <c r="G23" s="179" t="s">
        <v>263</v>
      </c>
      <c r="H23" s="179" t="s">
        <v>264</v>
      </c>
      <c r="I23" s="179"/>
      <c r="J23" s="179"/>
      <c r="K23" s="54"/>
      <c r="L23" s="206">
        <f>K22</f>
        <v>-154.15</v>
      </c>
      <c r="M23" s="227" t="s">
        <v>7</v>
      </c>
    </row>
    <row r="24" s="227" customFormat="1" spans="1:13">
      <c r="A24" s="653" t="str">
        <f t="shared" si="0"/>
        <v>2021.08月</v>
      </c>
      <c r="B24" s="487" t="s">
        <v>284</v>
      </c>
      <c r="C24" s="284" t="s">
        <v>166</v>
      </c>
      <c r="D24" s="284">
        <f>ROUND(-G14,2)</f>
        <v>-8.05</v>
      </c>
      <c r="E24" s="488" t="str">
        <f t="shared" si="1"/>
        <v>2021.08月英国xinyang_ltd（国际单）paypal流水手续费-8.05</v>
      </c>
      <c r="F24" s="284"/>
      <c r="G24" s="179" t="s">
        <v>285</v>
      </c>
      <c r="H24" s="179" t="s">
        <v>286</v>
      </c>
      <c r="I24" s="179"/>
      <c r="J24" s="179"/>
      <c r="K24" s="54">
        <f>ROUND(D24,2)</f>
        <v>-8.05</v>
      </c>
      <c r="L24" s="206"/>
      <c r="M24" s="227" t="s">
        <v>7</v>
      </c>
    </row>
    <row r="25" s="227" customFormat="1" ht="15" spans="1:13">
      <c r="A25" s="653" t="str">
        <f t="shared" si="0"/>
        <v>2021.08月</v>
      </c>
      <c r="B25" s="489" t="s">
        <v>284</v>
      </c>
      <c r="C25" s="286" t="s">
        <v>166</v>
      </c>
      <c r="D25" s="286">
        <f>D24</f>
        <v>-8.05</v>
      </c>
      <c r="E25" s="490" t="str">
        <f t="shared" si="1"/>
        <v>2021.08月英国xinyang_ltd（国际单）paypal流水手续费-8.05</v>
      </c>
      <c r="F25" s="286"/>
      <c r="G25" s="240" t="s">
        <v>261</v>
      </c>
      <c r="H25" s="240" t="s">
        <v>262</v>
      </c>
      <c r="I25" s="240"/>
      <c r="J25" s="240"/>
      <c r="K25" s="241"/>
      <c r="L25" s="246">
        <f>K24</f>
        <v>-8.05</v>
      </c>
      <c r="M25" s="227" t="s">
        <v>7</v>
      </c>
    </row>
    <row r="26" s="227" customFormat="1" hidden="1" spans="1:13">
      <c r="A26" s="653" t="str">
        <f t="shared" si="0"/>
        <v>2021.08月</v>
      </c>
      <c r="B26" s="487" t="s">
        <v>284</v>
      </c>
      <c r="C26" s="284" t="s">
        <v>287</v>
      </c>
      <c r="D26" s="491"/>
      <c r="E26" s="488" t="str">
        <f t="shared" si="1"/>
        <v>2021.08月英国xinyang_ltd（国际单）paypal流水Ebay模板设计费</v>
      </c>
      <c r="F26" s="284"/>
      <c r="G26" s="179" t="s">
        <v>288</v>
      </c>
      <c r="H26" s="179" t="s">
        <v>289</v>
      </c>
      <c r="I26" s="179"/>
      <c r="J26" s="179"/>
      <c r="K26" s="54">
        <f>D26</f>
        <v>0</v>
      </c>
      <c r="L26" s="206"/>
      <c r="M26" s="227" t="s">
        <v>7</v>
      </c>
    </row>
    <row r="27" s="227" customFormat="1" ht="15" hidden="1" spans="1:13">
      <c r="A27" s="653" t="str">
        <f t="shared" si="0"/>
        <v>2021.08月</v>
      </c>
      <c r="B27" s="489" t="s">
        <v>284</v>
      </c>
      <c r="C27" s="284" t="s">
        <v>287</v>
      </c>
      <c r="D27" s="492"/>
      <c r="E27" s="490" t="str">
        <f t="shared" si="1"/>
        <v>2021.08月英国xinyang_ltd（国际单）paypal流水Ebay模板设计费</v>
      </c>
      <c r="F27" s="286"/>
      <c r="G27" s="240" t="s">
        <v>261</v>
      </c>
      <c r="H27" s="240" t="s">
        <v>262</v>
      </c>
      <c r="I27" s="240"/>
      <c r="J27" s="240"/>
      <c r="K27" s="241"/>
      <c r="L27" s="246">
        <f>D27</f>
        <v>0</v>
      </c>
      <c r="M27" s="227" t="s">
        <v>7</v>
      </c>
    </row>
    <row r="28" s="227" customFormat="1" hidden="1" spans="1:13">
      <c r="A28" s="653" t="str">
        <f t="shared" si="0"/>
        <v>2021.08月</v>
      </c>
      <c r="B28" s="487" t="s">
        <v>284</v>
      </c>
      <c r="C28" s="284" t="s">
        <v>290</v>
      </c>
      <c r="D28" s="491">
        <v>49.23</v>
      </c>
      <c r="E28" s="488" t="str">
        <f t="shared" si="1"/>
        <v>2021.08月英国xinyang_ltd（国际单）paypal流水Ebay点击费49.23</v>
      </c>
      <c r="F28" s="284"/>
      <c r="G28" s="179" t="s">
        <v>288</v>
      </c>
      <c r="H28" s="179" t="s">
        <v>289</v>
      </c>
      <c r="I28" s="179"/>
      <c r="J28" s="179"/>
      <c r="K28" s="54">
        <f>D28</f>
        <v>49.23</v>
      </c>
      <c r="L28" s="206"/>
      <c r="M28" s="227" t="s">
        <v>7</v>
      </c>
    </row>
    <row r="29" s="227" customFormat="1" ht="15" spans="1:13">
      <c r="A29" s="653" t="str">
        <f t="shared" si="0"/>
        <v>2021.08月</v>
      </c>
      <c r="B29" s="489" t="s">
        <v>291</v>
      </c>
      <c r="C29" s="284" t="s">
        <v>266</v>
      </c>
      <c r="D29" s="493">
        <v>177.69</v>
      </c>
      <c r="E29" s="490" t="str">
        <f t="shared" si="1"/>
        <v>2021.08月英国xinyang_ltd（国际单）paypal流水计提Ebay交易费177.69</v>
      </c>
      <c r="F29" s="286"/>
      <c r="G29" s="240" t="s">
        <v>267</v>
      </c>
      <c r="H29" s="240" t="s">
        <v>268</v>
      </c>
      <c r="I29" s="240"/>
      <c r="J29" s="240"/>
      <c r="K29" s="241">
        <f>D29</f>
        <v>177.69</v>
      </c>
      <c r="L29" s="246"/>
      <c r="M29" s="227" t="s">
        <v>7</v>
      </c>
    </row>
    <row r="30" s="227" customFormat="1" ht="15" spans="1:13">
      <c r="A30" s="653" t="str">
        <f t="shared" si="0"/>
        <v>2021.08月</v>
      </c>
      <c r="B30" s="489" t="s">
        <v>292</v>
      </c>
      <c r="C30" s="284" t="s">
        <v>266</v>
      </c>
      <c r="D30" s="492">
        <f>D29</f>
        <v>177.69</v>
      </c>
      <c r="E30" s="490" t="str">
        <f t="shared" si="1"/>
        <v>2021.08月英国xinyang_ltd（国际单）paypal流水集体退Ebay交易费177.69</v>
      </c>
      <c r="F30" s="286"/>
      <c r="G30" s="240" t="s">
        <v>261</v>
      </c>
      <c r="H30" s="240" t="s">
        <v>262</v>
      </c>
      <c r="I30" s="240"/>
      <c r="J30" s="240"/>
      <c r="K30" s="241"/>
      <c r="L30" s="246">
        <f>D30</f>
        <v>177.69</v>
      </c>
      <c r="M30" s="227" t="s">
        <v>7</v>
      </c>
    </row>
    <row r="31" s="227" customFormat="1" hidden="1" spans="1:13">
      <c r="A31" s="653" t="str">
        <f t="shared" si="0"/>
        <v>2021.08月</v>
      </c>
      <c r="B31" s="485" t="s">
        <v>284</v>
      </c>
      <c r="C31" s="277" t="s">
        <v>269</v>
      </c>
      <c r="D31" s="277">
        <f>ROUND(M14,2)</f>
        <v>0</v>
      </c>
      <c r="E31" s="486" t="str">
        <f t="shared" si="1"/>
        <v>2021.08月英国xinyang_ltd（国际单）paypal流水下单（不含税）0</v>
      </c>
      <c r="F31" s="277"/>
      <c r="G31" s="283" t="s">
        <v>263</v>
      </c>
      <c r="H31" s="283" t="s">
        <v>264</v>
      </c>
      <c r="I31" s="283"/>
      <c r="J31" s="283"/>
      <c r="K31" s="315">
        <f>ROUND(D31,2)</f>
        <v>0</v>
      </c>
      <c r="L31" s="316"/>
      <c r="M31" s="227" t="s">
        <v>7</v>
      </c>
    </row>
    <row r="32" s="227" customFormat="1" hidden="1" spans="1:13">
      <c r="A32" s="653" t="str">
        <f t="shared" si="0"/>
        <v>2021.08月</v>
      </c>
      <c r="B32" s="487" t="s">
        <v>284</v>
      </c>
      <c r="C32" s="284" t="s">
        <v>269</v>
      </c>
      <c r="D32" s="284">
        <f>D31</f>
        <v>0</v>
      </c>
      <c r="E32" s="488" t="str">
        <f t="shared" si="1"/>
        <v>2021.08月英国xinyang_ltd（国际单）paypal流水下单（不含税）0</v>
      </c>
      <c r="F32" s="284"/>
      <c r="G32" s="179" t="s">
        <v>270</v>
      </c>
      <c r="H32" s="179" t="s">
        <v>271</v>
      </c>
      <c r="I32" s="179"/>
      <c r="J32" s="179"/>
      <c r="K32" s="54"/>
      <c r="L32" s="206">
        <f>K31</f>
        <v>0</v>
      </c>
      <c r="M32" s="227" t="s">
        <v>7</v>
      </c>
    </row>
    <row r="33" s="227" customFormat="1" spans="1:13">
      <c r="A33" s="653" t="str">
        <f t="shared" si="0"/>
        <v>2021.08月</v>
      </c>
      <c r="B33" s="487" t="s">
        <v>284</v>
      </c>
      <c r="C33" s="284" t="s">
        <v>265</v>
      </c>
      <c r="D33" s="284">
        <f>ROUND(N14,2)</f>
        <v>-154.15</v>
      </c>
      <c r="E33" s="488" t="str">
        <f t="shared" si="1"/>
        <v>2021.08月英国xinyang_ltd（国际单）paypal流水退款（不含税）-154.15</v>
      </c>
      <c r="F33" s="284"/>
      <c r="G33" s="179" t="s">
        <v>270</v>
      </c>
      <c r="H33" s="179" t="s">
        <v>271</v>
      </c>
      <c r="I33" s="179"/>
      <c r="J33" s="179"/>
      <c r="K33" s="54">
        <f>-ROUND(D33,2)</f>
        <v>154.15</v>
      </c>
      <c r="L33" s="206"/>
      <c r="M33" s="227" t="s">
        <v>7</v>
      </c>
    </row>
    <row r="34" s="227" customFormat="1" ht="15" spans="1:13">
      <c r="A34" s="653" t="str">
        <f t="shared" si="0"/>
        <v>2021.08月</v>
      </c>
      <c r="B34" s="489" t="s">
        <v>284</v>
      </c>
      <c r="C34" s="286" t="s">
        <v>265</v>
      </c>
      <c r="D34" s="286">
        <f>D33</f>
        <v>-154.15</v>
      </c>
      <c r="E34" s="490" t="str">
        <f t="shared" si="1"/>
        <v>2021.08月英国xinyang_ltd（国际单）paypal流水退款（不含税）-154.15</v>
      </c>
      <c r="F34" s="286"/>
      <c r="G34" s="240" t="s">
        <v>263</v>
      </c>
      <c r="H34" s="240" t="s">
        <v>264</v>
      </c>
      <c r="I34" s="240"/>
      <c r="J34" s="240"/>
      <c r="K34" s="241"/>
      <c r="L34" s="246">
        <f>K33</f>
        <v>154.15</v>
      </c>
      <c r="M34" s="227" t="s">
        <v>7</v>
      </c>
    </row>
    <row r="35" ht="13.5" spans="1:20">
      <c r="A35" s="142"/>
      <c r="B35" s="142"/>
      <c r="C35" s="427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2"/>
      <c r="P35" s="142"/>
      <c r="Q35" s="143"/>
      <c r="R35" s="143"/>
      <c r="S35" s="143"/>
      <c r="T35" s="142"/>
    </row>
    <row r="36" ht="13.5" spans="1:20">
      <c r="A36" s="142"/>
      <c r="B36" s="142"/>
      <c r="C36" s="427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2"/>
      <c r="P36" s="142"/>
      <c r="Q36" s="143"/>
      <c r="R36" s="143"/>
      <c r="S36" s="143"/>
      <c r="T36" s="142"/>
    </row>
    <row r="37" ht="13.5" spans="1:20">
      <c r="A37" s="142"/>
      <c r="B37" s="142"/>
      <c r="C37" s="427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2"/>
      <c r="P37" s="142"/>
      <c r="Q37" s="143"/>
      <c r="R37" s="143"/>
      <c r="S37" s="143"/>
      <c r="T37" s="142"/>
    </row>
    <row r="38" ht="13.5" spans="1:20">
      <c r="A38" s="142"/>
      <c r="B38" s="142"/>
      <c r="C38" s="427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2"/>
      <c r="P38" s="142"/>
      <c r="Q38" s="143"/>
      <c r="R38" s="143"/>
      <c r="S38" s="143"/>
      <c r="T38" s="142"/>
    </row>
    <row r="39" ht="18.75" spans="1:20">
      <c r="A39" s="142"/>
      <c r="B39" s="142"/>
      <c r="C39" s="483" t="s">
        <v>293</v>
      </c>
      <c r="D39" s="484"/>
      <c r="E39" s="484"/>
      <c r="F39" s="484"/>
      <c r="G39" s="141"/>
      <c r="H39" s="141"/>
      <c r="I39" s="141"/>
      <c r="J39" s="141"/>
      <c r="K39" s="141"/>
      <c r="L39" s="141"/>
      <c r="M39" s="141"/>
      <c r="N39" s="141"/>
      <c r="O39" s="142"/>
      <c r="P39" s="142"/>
      <c r="Q39" s="143"/>
      <c r="R39" s="143"/>
      <c r="S39" s="143"/>
      <c r="T39" s="142"/>
    </row>
    <row r="40" ht="13.5" spans="1:20">
      <c r="A40" t="s">
        <v>293</v>
      </c>
      <c r="B40" s="643" t="s">
        <v>294</v>
      </c>
      <c r="C40" s="424" t="s">
        <v>4</v>
      </c>
      <c r="D40" s="425" t="s">
        <v>259</v>
      </c>
      <c r="E40" s="425"/>
      <c r="F40" s="425" t="s">
        <v>7</v>
      </c>
      <c r="G40" s="450" t="s">
        <v>166</v>
      </c>
      <c r="H40" s="450"/>
      <c r="I40" s="438"/>
      <c r="J40" s="438"/>
      <c r="K40" s="425" t="s">
        <v>11</v>
      </c>
      <c r="L40" s="438" t="s">
        <v>12</v>
      </c>
      <c r="M40" s="497" t="s">
        <v>15</v>
      </c>
      <c r="N40" s="440" t="s">
        <v>3</v>
      </c>
      <c r="O40"/>
      <c r="P40"/>
      <c r="Q40"/>
      <c r="R40"/>
      <c r="S40"/>
      <c r="T40"/>
    </row>
    <row r="41" ht="13.5" spans="1:20">
      <c r="A41" t="s">
        <v>293</v>
      </c>
      <c r="B41" s="643" t="s">
        <v>294</v>
      </c>
      <c r="C41" s="427" t="s">
        <v>17</v>
      </c>
      <c r="D41" s="141">
        <v>142.73</v>
      </c>
      <c r="E41" s="141"/>
      <c r="F41" s="141">
        <v>142.73</v>
      </c>
      <c r="G41" s="141">
        <v>-8.33</v>
      </c>
      <c r="H41" s="141"/>
      <c r="I41" s="141"/>
      <c r="J41" s="142"/>
      <c r="K41" s="141">
        <v>134.4</v>
      </c>
      <c r="L41" s="143" t="s">
        <v>7</v>
      </c>
      <c r="M41" s="141">
        <v>146.65</v>
      </c>
      <c r="N41" s="141">
        <v>-3.92</v>
      </c>
      <c r="O41"/>
      <c r="P41"/>
      <c r="Q41"/>
      <c r="R41"/>
      <c r="S41"/>
      <c r="T41"/>
    </row>
    <row r="42" s="142" customFormat="1" ht="13.5" spans="1:19">
      <c r="A42"/>
      <c r="B42"/>
      <c r="C42" s="427"/>
      <c r="D42" s="141"/>
      <c r="E42" s="141"/>
      <c r="F42" s="141"/>
      <c r="G42" s="141"/>
      <c r="H42" s="141"/>
      <c r="I42" s="141"/>
      <c r="K42" s="141"/>
      <c r="L42" s="498" t="s">
        <v>31</v>
      </c>
      <c r="M42" s="141">
        <v>0</v>
      </c>
      <c r="N42" s="141">
        <v>0</v>
      </c>
      <c r="O42"/>
      <c r="P42"/>
      <c r="Q42"/>
      <c r="R42"/>
      <c r="S42"/>
    </row>
    <row r="43" s="142" customFormat="1" ht="13.5" spans="3:19">
      <c r="C43" s="427"/>
      <c r="D43" s="141"/>
      <c r="E43" s="141"/>
      <c r="F43" s="141"/>
      <c r="G43" s="141"/>
      <c r="H43" s="141"/>
      <c r="I43" s="141"/>
      <c r="J43" s="141"/>
      <c r="K43" s="141"/>
      <c r="L43" s="439" t="s">
        <v>283</v>
      </c>
      <c r="M43" s="141">
        <v>146.65</v>
      </c>
      <c r="N43" s="141">
        <v>-3.92</v>
      </c>
      <c r="Q43" s="143"/>
      <c r="R43" s="143"/>
      <c r="S43" s="143"/>
    </row>
    <row r="44" s="142" customFormat="1" spans="3:19">
      <c r="C44" s="427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Q44" s="143"/>
      <c r="R44" s="143"/>
      <c r="S44" s="143"/>
    </row>
    <row r="45" s="227" customFormat="1" spans="1:13">
      <c r="A45" s="653" t="str">
        <f t="shared" ref="A45:A59" si="2">$B$40</f>
        <v>2021.08月</v>
      </c>
      <c r="B45" s="284" t="s">
        <v>295</v>
      </c>
      <c r="C45" s="277" t="s">
        <v>260</v>
      </c>
      <c r="D45" s="277">
        <f>ROUND(M41,2)</f>
        <v>146.65</v>
      </c>
      <c r="E45" s="486" t="str">
        <f t="shared" ref="E45:E59" si="3">A45&amp;B45&amp;C45&amp;D45</f>
        <v>2021.08月英国xinyang_SA Ebay（国际单）paypal流水收款（不含税）146.65</v>
      </c>
      <c r="F45" s="277"/>
      <c r="G45" s="283" t="s">
        <v>261</v>
      </c>
      <c r="H45" s="283" t="s">
        <v>262</v>
      </c>
      <c r="I45" s="283"/>
      <c r="J45" s="283"/>
      <c r="K45" s="315">
        <f t="shared" ref="K45:K49" si="4">ROUND(D45,2)</f>
        <v>146.65</v>
      </c>
      <c r="L45" s="316"/>
      <c r="M45" s="227" t="s">
        <v>7</v>
      </c>
    </row>
    <row r="46" s="227" customFormat="1" spans="1:13">
      <c r="A46" s="653" t="str">
        <f t="shared" si="2"/>
        <v>2021.08月</v>
      </c>
      <c r="B46" s="284" t="s">
        <v>295</v>
      </c>
      <c r="C46" s="284" t="s">
        <v>260</v>
      </c>
      <c r="D46" s="284">
        <f t="shared" ref="D46:D50" si="5">D45</f>
        <v>146.65</v>
      </c>
      <c r="E46" s="488" t="str">
        <f t="shared" si="3"/>
        <v>2021.08月英国xinyang_SA Ebay（国际单）paypal流水收款（不含税）146.65</v>
      </c>
      <c r="F46" s="284"/>
      <c r="G46" s="179" t="s">
        <v>296</v>
      </c>
      <c r="H46" s="179" t="s">
        <v>297</v>
      </c>
      <c r="I46" s="179"/>
      <c r="J46" s="179"/>
      <c r="K46" s="54"/>
      <c r="L46" s="206">
        <f t="shared" ref="L46:L50" si="6">K45</f>
        <v>146.65</v>
      </c>
      <c r="M46" s="227" t="s">
        <v>7</v>
      </c>
    </row>
    <row r="47" s="227" customFormat="1" spans="1:13">
      <c r="A47" s="653" t="str">
        <f t="shared" si="2"/>
        <v>2021.08月</v>
      </c>
      <c r="B47" s="284" t="s">
        <v>295</v>
      </c>
      <c r="C47" s="284" t="s">
        <v>265</v>
      </c>
      <c r="D47" s="284">
        <f>ROUND(N41,2)</f>
        <v>-3.92</v>
      </c>
      <c r="E47" s="488" t="str">
        <f t="shared" si="3"/>
        <v>2021.08月英国xinyang_SA Ebay（国际单）paypal流水退款（不含税）-3.92</v>
      </c>
      <c r="F47" s="284"/>
      <c r="G47" s="179" t="s">
        <v>261</v>
      </c>
      <c r="H47" s="179" t="s">
        <v>262</v>
      </c>
      <c r="I47" s="179"/>
      <c r="J47" s="179"/>
      <c r="K47" s="54">
        <f t="shared" si="4"/>
        <v>-3.92</v>
      </c>
      <c r="L47" s="206"/>
      <c r="M47" s="227" t="s">
        <v>7</v>
      </c>
    </row>
    <row r="48" s="227" customFormat="1" spans="1:13">
      <c r="A48" s="653" t="str">
        <f t="shared" si="2"/>
        <v>2021.08月</v>
      </c>
      <c r="B48" s="284" t="s">
        <v>295</v>
      </c>
      <c r="C48" s="284" t="s">
        <v>265</v>
      </c>
      <c r="D48" s="284">
        <f t="shared" si="5"/>
        <v>-3.92</v>
      </c>
      <c r="E48" s="488" t="str">
        <f t="shared" si="3"/>
        <v>2021.08月英国xinyang_SA Ebay（国际单）paypal流水退款（不含税）-3.92</v>
      </c>
      <c r="F48" s="284"/>
      <c r="G48" s="179" t="s">
        <v>296</v>
      </c>
      <c r="H48" s="179" t="s">
        <v>297</v>
      </c>
      <c r="I48" s="179"/>
      <c r="J48" s="179"/>
      <c r="K48" s="54"/>
      <c r="L48" s="206">
        <f t="shared" si="6"/>
        <v>-3.92</v>
      </c>
      <c r="M48" s="227" t="s">
        <v>7</v>
      </c>
    </row>
    <row r="49" s="227" customFormat="1" spans="1:13">
      <c r="A49" s="653" t="str">
        <f t="shared" si="2"/>
        <v>2021.08月</v>
      </c>
      <c r="B49" s="284" t="s">
        <v>295</v>
      </c>
      <c r="C49" s="284" t="s">
        <v>166</v>
      </c>
      <c r="D49" s="284">
        <f>ROUND(-G41,2)</f>
        <v>8.33</v>
      </c>
      <c r="E49" s="488" t="str">
        <f t="shared" si="3"/>
        <v>2021.08月英国xinyang_SA Ebay（国际单）paypal流水手续费8.33</v>
      </c>
      <c r="F49" s="284"/>
      <c r="G49" s="179" t="s">
        <v>285</v>
      </c>
      <c r="H49" s="179" t="s">
        <v>286</v>
      </c>
      <c r="I49" s="179"/>
      <c r="J49" s="179"/>
      <c r="K49" s="54">
        <f t="shared" si="4"/>
        <v>8.33</v>
      </c>
      <c r="L49" s="206"/>
      <c r="M49" s="227" t="s">
        <v>7</v>
      </c>
    </row>
    <row r="50" s="227" customFormat="1" ht="15" spans="1:13">
      <c r="A50" s="653" t="str">
        <f t="shared" si="2"/>
        <v>2021.08月</v>
      </c>
      <c r="B50" s="284" t="s">
        <v>295</v>
      </c>
      <c r="C50" s="286" t="s">
        <v>166</v>
      </c>
      <c r="D50" s="286">
        <f t="shared" si="5"/>
        <v>8.33</v>
      </c>
      <c r="E50" s="490" t="str">
        <f t="shared" si="3"/>
        <v>2021.08月英国xinyang_SA Ebay（国际单）paypal流水手续费8.33</v>
      </c>
      <c r="F50" s="286"/>
      <c r="G50" s="240" t="s">
        <v>261</v>
      </c>
      <c r="H50" s="240" t="s">
        <v>262</v>
      </c>
      <c r="I50" s="240"/>
      <c r="J50" s="240"/>
      <c r="K50" s="241"/>
      <c r="L50" s="246">
        <f t="shared" si="6"/>
        <v>8.33</v>
      </c>
      <c r="M50" s="227" t="s">
        <v>7</v>
      </c>
    </row>
    <row r="51" s="227" customFormat="1" hidden="1" spans="1:13">
      <c r="A51" s="653" t="str">
        <f t="shared" si="2"/>
        <v>2021.08月</v>
      </c>
      <c r="B51" s="284" t="s">
        <v>295</v>
      </c>
      <c r="C51" s="284" t="s">
        <v>287</v>
      </c>
      <c r="D51" s="491"/>
      <c r="E51" s="488" t="str">
        <f t="shared" si="3"/>
        <v>2021.08月英国xinyang_SA Ebay（国际单）paypal流水Ebay模板设计费</v>
      </c>
      <c r="F51" s="284"/>
      <c r="G51" s="179" t="s">
        <v>288</v>
      </c>
      <c r="H51" s="179" t="s">
        <v>289</v>
      </c>
      <c r="I51" s="179"/>
      <c r="J51" s="179"/>
      <c r="K51" s="54">
        <f t="shared" ref="K51:K54" si="7">D51</f>
        <v>0</v>
      </c>
      <c r="L51" s="206"/>
      <c r="M51" s="227" t="s">
        <v>7</v>
      </c>
    </row>
    <row r="52" s="227" customFormat="1" ht="15" hidden="1" spans="1:13">
      <c r="A52" s="653" t="str">
        <f t="shared" si="2"/>
        <v>2021.08月</v>
      </c>
      <c r="B52" s="284" t="s">
        <v>295</v>
      </c>
      <c r="C52" s="284" t="s">
        <v>287</v>
      </c>
      <c r="D52" s="492"/>
      <c r="E52" s="490" t="str">
        <f t="shared" si="3"/>
        <v>2021.08月英国xinyang_SA Ebay（国际单）paypal流水Ebay模板设计费</v>
      </c>
      <c r="F52" s="286"/>
      <c r="G52" s="240" t="s">
        <v>261</v>
      </c>
      <c r="H52" s="240" t="s">
        <v>262</v>
      </c>
      <c r="I52" s="240"/>
      <c r="J52" s="240"/>
      <c r="K52" s="241"/>
      <c r="L52" s="246">
        <f>D52</f>
        <v>0</v>
      </c>
      <c r="M52" s="227" t="s">
        <v>7</v>
      </c>
    </row>
    <row r="53" s="227" customFormat="1" hidden="1" spans="1:13">
      <c r="A53" s="653" t="str">
        <f t="shared" si="2"/>
        <v>2021.08月</v>
      </c>
      <c r="B53" s="284" t="s">
        <v>295</v>
      </c>
      <c r="C53" s="284" t="s">
        <v>290</v>
      </c>
      <c r="D53" s="491">
        <v>49.23</v>
      </c>
      <c r="E53" s="488" t="str">
        <f t="shared" si="3"/>
        <v>2021.08月英国xinyang_SA Ebay（国际单）paypal流水Ebay点击费49.23</v>
      </c>
      <c r="F53" s="284"/>
      <c r="G53" s="179" t="s">
        <v>288</v>
      </c>
      <c r="H53" s="179" t="s">
        <v>289</v>
      </c>
      <c r="I53" s="179"/>
      <c r="J53" s="179"/>
      <c r="K53" s="54">
        <f t="shared" si="7"/>
        <v>49.23</v>
      </c>
      <c r="L53" s="206"/>
      <c r="M53" s="227" t="s">
        <v>7</v>
      </c>
    </row>
    <row r="54" s="227" customFormat="1" ht="15" hidden="1" spans="1:13">
      <c r="A54" s="653" t="str">
        <f t="shared" si="2"/>
        <v>2021.08月</v>
      </c>
      <c r="B54" s="284" t="s">
        <v>295</v>
      </c>
      <c r="C54" s="284" t="s">
        <v>266</v>
      </c>
      <c r="D54" s="493">
        <f>D55-D53</f>
        <v>950.77</v>
      </c>
      <c r="E54" s="490" t="str">
        <f t="shared" si="3"/>
        <v>2021.08月英国xinyang_SA Ebay（国际单）paypal流水Ebay交易费950.77</v>
      </c>
      <c r="F54" s="286"/>
      <c r="G54" s="240" t="s">
        <v>267</v>
      </c>
      <c r="H54" s="240" t="s">
        <v>268</v>
      </c>
      <c r="I54" s="240"/>
      <c r="J54" s="240"/>
      <c r="K54" s="241">
        <f t="shared" si="7"/>
        <v>950.77</v>
      </c>
      <c r="L54" s="246"/>
      <c r="M54" s="227" t="s">
        <v>7</v>
      </c>
    </row>
    <row r="55" s="227" customFormat="1" ht="15" hidden="1" spans="1:13">
      <c r="A55" s="653" t="str">
        <f t="shared" si="2"/>
        <v>2021.08月</v>
      </c>
      <c r="B55" s="284" t="s">
        <v>295</v>
      </c>
      <c r="C55" s="284" t="s">
        <v>298</v>
      </c>
      <c r="D55" s="492">
        <v>1000</v>
      </c>
      <c r="E55" s="490" t="str">
        <f t="shared" si="3"/>
        <v>2021.08月英国xinyang_SA Ebay（国际单）paypal流水Ebay交易费+点击费1000</v>
      </c>
      <c r="F55" s="286"/>
      <c r="G55" s="240" t="s">
        <v>261</v>
      </c>
      <c r="H55" s="240" t="s">
        <v>262</v>
      </c>
      <c r="I55" s="240"/>
      <c r="J55" s="240"/>
      <c r="K55" s="241"/>
      <c r="L55" s="246">
        <f>D55</f>
        <v>1000</v>
      </c>
      <c r="M55" s="227" t="s">
        <v>7</v>
      </c>
    </row>
    <row r="56" s="227" customFormat="1" spans="1:13">
      <c r="A56" s="653" t="str">
        <f t="shared" si="2"/>
        <v>2021.08月</v>
      </c>
      <c r="B56" s="284" t="s">
        <v>295</v>
      </c>
      <c r="C56" s="277" t="s">
        <v>269</v>
      </c>
      <c r="D56" s="277">
        <f>ROUND(M41,2)</f>
        <v>146.65</v>
      </c>
      <c r="E56" s="486" t="str">
        <f t="shared" si="3"/>
        <v>2021.08月英国xinyang_SA Ebay（国际单）paypal流水下单（不含税）146.65</v>
      </c>
      <c r="F56" s="277"/>
      <c r="G56" s="283" t="s">
        <v>296</v>
      </c>
      <c r="H56" s="283" t="s">
        <v>297</v>
      </c>
      <c r="I56" s="283"/>
      <c r="J56" s="283"/>
      <c r="K56" s="315">
        <f>ROUND(D56,2)</f>
        <v>146.65</v>
      </c>
      <c r="L56" s="316"/>
      <c r="M56" s="227" t="s">
        <v>7</v>
      </c>
    </row>
    <row r="57" s="227" customFormat="1" spans="1:13">
      <c r="A57" s="653" t="str">
        <f t="shared" si="2"/>
        <v>2021.08月</v>
      </c>
      <c r="B57" s="284" t="s">
        <v>295</v>
      </c>
      <c r="C57" s="284" t="s">
        <v>269</v>
      </c>
      <c r="D57" s="284">
        <f>D56</f>
        <v>146.65</v>
      </c>
      <c r="E57" s="488" t="str">
        <f t="shared" si="3"/>
        <v>2021.08月英国xinyang_SA Ebay（国际单）paypal流水下单（不含税）146.65</v>
      </c>
      <c r="F57" s="284"/>
      <c r="G57" s="179" t="s">
        <v>299</v>
      </c>
      <c r="H57" s="179" t="s">
        <v>300</v>
      </c>
      <c r="I57" s="179"/>
      <c r="J57" s="179"/>
      <c r="K57" s="54"/>
      <c r="L57" s="206">
        <f>K56</f>
        <v>146.65</v>
      </c>
      <c r="M57" s="227" t="s">
        <v>7</v>
      </c>
    </row>
    <row r="58" s="227" customFormat="1" ht="15" spans="1:13">
      <c r="A58" s="653" t="str">
        <f t="shared" si="2"/>
        <v>2021.08月</v>
      </c>
      <c r="B58" s="284" t="s">
        <v>295</v>
      </c>
      <c r="C58" s="284" t="s">
        <v>265</v>
      </c>
      <c r="D58" s="284">
        <f>ROUND(N41,2)</f>
        <v>-3.92</v>
      </c>
      <c r="E58" s="488" t="str">
        <f t="shared" si="3"/>
        <v>2021.08月英国xinyang_SA Ebay（国际单）paypal流水退款（不含税）-3.92</v>
      </c>
      <c r="F58" s="284"/>
      <c r="G58" s="240" t="s">
        <v>299</v>
      </c>
      <c r="H58" s="240" t="s">
        <v>300</v>
      </c>
      <c r="I58" s="179"/>
      <c r="J58" s="179"/>
      <c r="K58" s="54">
        <f>-ROUND(D58,2)</f>
        <v>3.92</v>
      </c>
      <c r="L58" s="206"/>
      <c r="M58" s="227" t="s">
        <v>7</v>
      </c>
    </row>
    <row r="59" s="227" customFormat="1" ht="15" spans="1:13">
      <c r="A59" s="653" t="str">
        <f t="shared" si="2"/>
        <v>2021.08月</v>
      </c>
      <c r="B59" s="284" t="s">
        <v>295</v>
      </c>
      <c r="C59" s="286" t="s">
        <v>265</v>
      </c>
      <c r="D59" s="286">
        <f>D58</f>
        <v>-3.92</v>
      </c>
      <c r="E59" s="490" t="str">
        <f t="shared" si="3"/>
        <v>2021.08月英国xinyang_SA Ebay（国际单）paypal流水退款（不含税）-3.92</v>
      </c>
      <c r="F59" s="286"/>
      <c r="G59" s="179" t="s">
        <v>296</v>
      </c>
      <c r="H59" s="179" t="s">
        <v>297</v>
      </c>
      <c r="I59" s="240"/>
      <c r="J59" s="240"/>
      <c r="K59" s="241"/>
      <c r="L59" s="246">
        <f>K58</f>
        <v>3.92</v>
      </c>
      <c r="M59" s="227" t="s">
        <v>7</v>
      </c>
    </row>
    <row r="60" s="142" customFormat="1" ht="13.5" spans="3:19">
      <c r="C60" s="427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Q60" s="143"/>
      <c r="R60" s="143"/>
      <c r="S60" s="143"/>
    </row>
    <row r="61" s="482" customFormat="1" ht="13.5" spans="3:19">
      <c r="C61" s="494"/>
      <c r="D61" s="495"/>
      <c r="E61" s="495"/>
      <c r="F61" s="495"/>
      <c r="G61" s="495"/>
      <c r="H61" s="495"/>
      <c r="I61" s="495"/>
      <c r="J61" s="495"/>
      <c r="K61" s="495"/>
      <c r="L61" s="495"/>
      <c r="M61" s="495"/>
      <c r="N61" s="495"/>
      <c r="Q61" s="500"/>
      <c r="R61" s="500"/>
      <c r="S61" s="500"/>
    </row>
    <row r="62" s="142" customFormat="1" ht="13.5" spans="1:20">
      <c r="A62"/>
      <c r="B62"/>
      <c r="C62" s="2"/>
      <c r="D62" s="484" t="s">
        <v>301</v>
      </c>
      <c r="E62" s="484" t="s">
        <v>302</v>
      </c>
      <c r="F62" s="484" t="s">
        <v>301</v>
      </c>
      <c r="G62" s="484"/>
      <c r="H62" s="484"/>
      <c r="I62" s="484"/>
      <c r="J62" s="484"/>
      <c r="K62" s="484"/>
      <c r="L62" s="484"/>
      <c r="M62"/>
      <c r="N62" s="484" t="s">
        <v>301</v>
      </c>
      <c r="O62" s="484" t="s">
        <v>303</v>
      </c>
      <c r="P62" s="484" t="s">
        <v>301</v>
      </c>
      <c r="Q62" s="484" t="s">
        <v>303</v>
      </c>
      <c r="R62" s="31"/>
      <c r="S62"/>
      <c r="T62"/>
    </row>
    <row r="63" s="142" customFormat="1" ht="18.75" spans="1:20">
      <c r="A63"/>
      <c r="B63"/>
      <c r="C63" s="496" t="s">
        <v>304</v>
      </c>
      <c r="D63" s="484" t="s">
        <v>303</v>
      </c>
      <c r="E63" s="484" t="s">
        <v>305</v>
      </c>
      <c r="F63" s="484" t="s">
        <v>302</v>
      </c>
      <c r="G63" s="484" t="s">
        <v>306</v>
      </c>
      <c r="H63" s="484" t="s">
        <v>307</v>
      </c>
      <c r="I63" s="484" t="s">
        <v>308</v>
      </c>
      <c r="J63" s="484" t="s">
        <v>309</v>
      </c>
      <c r="K63" s="484" t="s">
        <v>310</v>
      </c>
      <c r="L63" s="484"/>
      <c r="M63" s="484"/>
      <c r="N63" s="484" t="s">
        <v>302</v>
      </c>
      <c r="O63" s="484" t="s">
        <v>305</v>
      </c>
      <c r="P63" s="484" t="s">
        <v>302</v>
      </c>
      <c r="Q63" s="484" t="s">
        <v>305</v>
      </c>
      <c r="R63" s="31"/>
      <c r="S63" s="31"/>
      <c r="T63"/>
    </row>
    <row r="64" s="142" customFormat="1" ht="13.5" spans="1:20">
      <c r="A64" t="s">
        <v>304</v>
      </c>
      <c r="B64" s="643" t="s">
        <v>88</v>
      </c>
      <c r="C64" s="424" t="s">
        <v>4</v>
      </c>
      <c r="D64" s="425" t="s">
        <v>5</v>
      </c>
      <c r="E64" s="425" t="s">
        <v>6</v>
      </c>
      <c r="F64" s="425" t="s">
        <v>7</v>
      </c>
      <c r="G64" s="426" t="s">
        <v>274</v>
      </c>
      <c r="H64" s="425" t="s">
        <v>311</v>
      </c>
      <c r="I64" s="435" t="s">
        <v>312</v>
      </c>
      <c r="J64" s="499" t="s">
        <v>313</v>
      </c>
      <c r="K64" s="437" t="s">
        <v>275</v>
      </c>
      <c r="L64" s="438" t="s">
        <v>79</v>
      </c>
      <c r="M64" s="425" t="s">
        <v>11</v>
      </c>
      <c r="N64" s="439" t="s">
        <v>15</v>
      </c>
      <c r="O64" s="439" t="s">
        <v>15</v>
      </c>
      <c r="P64" s="440" t="s">
        <v>3</v>
      </c>
      <c r="Q64" s="440" t="s">
        <v>3</v>
      </c>
      <c r="R64" s="35" t="s">
        <v>12</v>
      </c>
      <c r="S64" s="31"/>
      <c r="T64" s="31"/>
    </row>
    <row r="65" s="142" customFormat="1" ht="13.5" spans="1:20">
      <c r="A65" t="s">
        <v>304</v>
      </c>
      <c r="B65" s="643" t="s">
        <v>88</v>
      </c>
      <c r="C65" s="427" t="s">
        <v>17</v>
      </c>
      <c r="D65" s="141">
        <v>58520.0700000002</v>
      </c>
      <c r="E65" s="141">
        <v>6.74</v>
      </c>
      <c r="F65" s="141">
        <v>48771.3800000002</v>
      </c>
      <c r="G65" s="141">
        <v>-121.96</v>
      </c>
      <c r="H65" s="141">
        <v>-8036.29000000001</v>
      </c>
      <c r="I65" s="141">
        <v>-397.2</v>
      </c>
      <c r="J65" s="141">
        <v>-6.3</v>
      </c>
      <c r="K65" s="141">
        <v>32.26</v>
      </c>
      <c r="L65" s="141"/>
      <c r="M65" s="141">
        <v>40241.8900000002</v>
      </c>
      <c r="N65" s="141">
        <v>52730.8800000003</v>
      </c>
      <c r="O65" s="141">
        <v>10547.43</v>
      </c>
      <c r="P65" s="141">
        <v>-3959.5</v>
      </c>
      <c r="Q65" s="141">
        <v>-792</v>
      </c>
      <c r="R65" s="35">
        <v>58526.8100000003</v>
      </c>
      <c r="S65" s="143"/>
      <c r="T65" s="143"/>
    </row>
    <row r="66" s="142" customFormat="1" ht="13.5" spans="1:20">
      <c r="A66"/>
      <c r="B66"/>
      <c r="C66" s="427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35"/>
      <c r="S66" s="143"/>
      <c r="T66" s="143"/>
    </row>
    <row r="67" s="142" customFormat="1" ht="13.5" spans="1:20">
      <c r="A67"/>
      <c r="B67"/>
      <c r="C67" s="427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35"/>
      <c r="S67" s="143"/>
      <c r="T67" s="143"/>
    </row>
    <row r="68" s="142" customFormat="1" ht="13.5" spans="1:20">
      <c r="A68"/>
      <c r="B68"/>
      <c r="C68" s="427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35"/>
      <c r="S68" s="143"/>
      <c r="T68" s="143"/>
    </row>
    <row r="69" s="42" customFormat="1" spans="1:22">
      <c r="A69" s="652" t="str">
        <f>$B$65</f>
        <v>2021.09月</v>
      </c>
      <c r="B69" s="501" t="s">
        <v>314</v>
      </c>
      <c r="C69" s="502" t="s">
        <v>260</v>
      </c>
      <c r="D69" s="502">
        <f>ROUND(N65,2)</f>
        <v>52730.88</v>
      </c>
      <c r="E69" s="503" t="str">
        <f t="shared" ref="E69:E82" si="8">A69&amp;B69&amp;C69&amp;D69</f>
        <v>2021.09月英国信洋Amazon（国际单）流水收款（不含税）52730.88</v>
      </c>
      <c r="F69" s="502"/>
      <c r="G69" s="40" t="s">
        <v>261</v>
      </c>
      <c r="H69" s="40" t="s">
        <v>262</v>
      </c>
      <c r="I69" s="40"/>
      <c r="J69" s="40"/>
      <c r="K69" s="41">
        <f>D69</f>
        <v>52730.88</v>
      </c>
      <c r="L69" s="211"/>
      <c r="M69" s="48" t="s">
        <v>7</v>
      </c>
      <c r="N69" s="48"/>
      <c r="O69" t="s">
        <v>315</v>
      </c>
      <c r="P69"/>
      <c r="Q69" s="48"/>
      <c r="R69" s="48"/>
      <c r="S69" s="48"/>
      <c r="T69" s="48"/>
      <c r="U69" s="48"/>
      <c r="V69" s="48"/>
    </row>
    <row r="70" spans="1:16">
      <c r="A70" s="652" t="str">
        <f t="shared" ref="A70:A82" si="9">$B$65</f>
        <v>2021.09月</v>
      </c>
      <c r="B70" s="501" t="s">
        <v>314</v>
      </c>
      <c r="C70" s="42" t="s">
        <v>260</v>
      </c>
      <c r="D70" s="42">
        <f>D69</f>
        <v>52730.88</v>
      </c>
      <c r="E70" s="260" t="str">
        <f t="shared" si="8"/>
        <v>2021.09月英国信洋Amazon（国际单）流水收款（不含税）52730.88</v>
      </c>
      <c r="F70" s="42"/>
      <c r="G70" s="40" t="s">
        <v>316</v>
      </c>
      <c r="H70" s="40" t="s">
        <v>317</v>
      </c>
      <c r="I70" s="40"/>
      <c r="J70" s="40"/>
      <c r="K70" s="41"/>
      <c r="L70" s="211">
        <f>K69</f>
        <v>52730.88</v>
      </c>
      <c r="M70" s="48" t="s">
        <v>7</v>
      </c>
      <c r="O70" t="s">
        <v>318</v>
      </c>
      <c r="P70" t="s">
        <v>319</v>
      </c>
    </row>
    <row r="71" spans="1:16">
      <c r="A71" s="652" t="str">
        <f t="shared" si="9"/>
        <v>2021.09月</v>
      </c>
      <c r="B71" s="501" t="s">
        <v>314</v>
      </c>
      <c r="C71" s="42" t="s">
        <v>265</v>
      </c>
      <c r="D71" s="42">
        <f>ROUND(P65,2)</f>
        <v>-3959.5</v>
      </c>
      <c r="E71" s="260" t="str">
        <f t="shared" si="8"/>
        <v>2021.09月英国信洋Amazon（国际单）流水退款（不含税）-3959.5</v>
      </c>
      <c r="F71" s="42"/>
      <c r="G71" s="40" t="s">
        <v>261</v>
      </c>
      <c r="H71" s="40" t="s">
        <v>262</v>
      </c>
      <c r="I71" s="40"/>
      <c r="J71" s="42"/>
      <c r="K71" s="42">
        <f>D71</f>
        <v>-3959.5</v>
      </c>
      <c r="L71" s="520"/>
      <c r="M71" s="48" t="s">
        <v>7</v>
      </c>
      <c r="O71" t="s">
        <v>320</v>
      </c>
      <c r="P71" t="s">
        <v>321</v>
      </c>
    </row>
    <row r="72" spans="1:16">
      <c r="A72" s="652" t="str">
        <f t="shared" si="9"/>
        <v>2021.09月</v>
      </c>
      <c r="B72" s="501" t="s">
        <v>314</v>
      </c>
      <c r="C72" s="42" t="s">
        <v>265</v>
      </c>
      <c r="D72" s="42">
        <f>D71</f>
        <v>-3959.5</v>
      </c>
      <c r="E72" s="260" t="str">
        <f t="shared" si="8"/>
        <v>2021.09月英国信洋Amazon（国际单）流水退款（不含税）-3959.5</v>
      </c>
      <c r="F72" s="42"/>
      <c r="G72" s="40" t="s">
        <v>316</v>
      </c>
      <c r="H72" s="40" t="s">
        <v>317</v>
      </c>
      <c r="I72" s="40"/>
      <c r="J72" s="42"/>
      <c r="K72" s="42"/>
      <c r="L72" s="520">
        <f>K71</f>
        <v>-3959.5</v>
      </c>
      <c r="M72" s="48" t="s">
        <v>7</v>
      </c>
      <c r="O72" t="s">
        <v>322</v>
      </c>
      <c r="P72" t="s">
        <v>323</v>
      </c>
    </row>
    <row r="73" spans="1:16">
      <c r="A73" s="652" t="str">
        <f t="shared" si="9"/>
        <v>2021.09月</v>
      </c>
      <c r="B73" s="501" t="s">
        <v>314</v>
      </c>
      <c r="C73" s="42" t="s">
        <v>324</v>
      </c>
      <c r="D73" s="42">
        <f>ROUND(SUM(G65:K65),2)</f>
        <v>-8529.49</v>
      </c>
      <c r="E73" s="260" t="str">
        <f t="shared" si="8"/>
        <v>2021.09月英国信洋Amazon（国际单）流水费用-8529.49</v>
      </c>
      <c r="F73" s="42"/>
      <c r="G73" s="40" t="s">
        <v>325</v>
      </c>
      <c r="H73" s="40" t="s">
        <v>326</v>
      </c>
      <c r="I73" s="40"/>
      <c r="J73" s="40"/>
      <c r="K73" s="41">
        <f t="shared" ref="K73:K77" si="10">-D73</f>
        <v>8529.49</v>
      </c>
      <c r="L73" s="211"/>
      <c r="M73" s="48" t="s">
        <v>7</v>
      </c>
      <c r="O73" t="s">
        <v>327</v>
      </c>
      <c r="P73" t="s">
        <v>328</v>
      </c>
    </row>
    <row r="74" spans="1:16">
      <c r="A74" s="652" t="str">
        <f t="shared" si="9"/>
        <v>2021.09月</v>
      </c>
      <c r="B74" s="501" t="s">
        <v>314</v>
      </c>
      <c r="C74" s="42" t="s">
        <v>324</v>
      </c>
      <c r="D74" s="42">
        <f>D73</f>
        <v>-8529.49</v>
      </c>
      <c r="E74" s="260" t="str">
        <f t="shared" si="8"/>
        <v>2021.09月英国信洋Amazon（国际单）流水费用-8529.49</v>
      </c>
      <c r="F74" s="42"/>
      <c r="G74" s="40" t="s">
        <v>261</v>
      </c>
      <c r="H74" s="40" t="s">
        <v>262</v>
      </c>
      <c r="I74" s="40"/>
      <c r="J74" s="40"/>
      <c r="K74" s="41"/>
      <c r="L74" s="211">
        <f t="shared" ref="L74:L78" si="11">K73</f>
        <v>8529.49</v>
      </c>
      <c r="M74" s="48" t="s">
        <v>7</v>
      </c>
      <c r="O74" t="s">
        <v>329</v>
      </c>
      <c r="P74" t="s">
        <v>330</v>
      </c>
    </row>
    <row r="75" spans="1:16">
      <c r="A75" s="652" t="str">
        <f t="shared" si="9"/>
        <v>2021.09月</v>
      </c>
      <c r="B75" s="501" t="s">
        <v>314</v>
      </c>
      <c r="C75" s="42" t="s">
        <v>331</v>
      </c>
      <c r="D75" s="42">
        <v>-5</v>
      </c>
      <c r="E75" s="260" t="str">
        <f t="shared" si="8"/>
        <v>2021.09月英国信洋Amazon（国际单）流水订阅费-5</v>
      </c>
      <c r="F75" s="42"/>
      <c r="G75" s="40" t="s">
        <v>325</v>
      </c>
      <c r="H75" s="40" t="s">
        <v>326</v>
      </c>
      <c r="I75" s="40"/>
      <c r="J75" s="40"/>
      <c r="K75" s="41">
        <f t="shared" si="10"/>
        <v>5</v>
      </c>
      <c r="L75" s="211"/>
      <c r="M75" s="48" t="s">
        <v>7</v>
      </c>
      <c r="O75" t="s">
        <v>332</v>
      </c>
      <c r="P75" t="s">
        <v>333</v>
      </c>
    </row>
    <row r="76" spans="1:16">
      <c r="A76" s="652" t="str">
        <f t="shared" si="9"/>
        <v>2021.09月</v>
      </c>
      <c r="B76" s="501" t="s">
        <v>314</v>
      </c>
      <c r="C76" s="42" t="s">
        <v>331</v>
      </c>
      <c r="D76" s="42">
        <f>D75</f>
        <v>-5</v>
      </c>
      <c r="E76" s="260" t="str">
        <f t="shared" si="8"/>
        <v>2021.09月英国信洋Amazon（国际单）流水订阅费-5</v>
      </c>
      <c r="F76" s="42"/>
      <c r="G76" s="40" t="s">
        <v>261</v>
      </c>
      <c r="H76" s="40" t="s">
        <v>262</v>
      </c>
      <c r="I76" s="40"/>
      <c r="J76" s="40"/>
      <c r="K76" s="41"/>
      <c r="L76" s="211">
        <f t="shared" si="11"/>
        <v>5</v>
      </c>
      <c r="M76" s="48" t="s">
        <v>7</v>
      </c>
      <c r="O76" t="s">
        <v>334</v>
      </c>
      <c r="P76" t="s">
        <v>335</v>
      </c>
    </row>
    <row r="77" spans="1:13">
      <c r="A77" s="652" t="str">
        <f t="shared" si="9"/>
        <v>2021.09月</v>
      </c>
      <c r="B77" s="501" t="s">
        <v>314</v>
      </c>
      <c r="C77" s="42" t="s">
        <v>336</v>
      </c>
      <c r="D77" s="405">
        <v>-3736.88</v>
      </c>
      <c r="E77" s="260" t="str">
        <f t="shared" si="8"/>
        <v>2021.09月英国信洋Amazon（国际单）流水广告费-3736.88</v>
      </c>
      <c r="F77" s="42"/>
      <c r="G77" t="s">
        <v>320</v>
      </c>
      <c r="H77" t="s">
        <v>321</v>
      </c>
      <c r="I77" s="40"/>
      <c r="J77" s="40"/>
      <c r="K77" s="41">
        <f t="shared" si="10"/>
        <v>3736.88</v>
      </c>
      <c r="L77" s="211"/>
      <c r="M77" s="48" t="s">
        <v>7</v>
      </c>
    </row>
    <row r="78" ht="15" spans="1:13">
      <c r="A78" s="652" t="str">
        <f t="shared" si="9"/>
        <v>2021.09月</v>
      </c>
      <c r="B78" s="501" t="s">
        <v>314</v>
      </c>
      <c r="C78" s="502" t="s">
        <v>336</v>
      </c>
      <c r="D78" s="504">
        <f>D77</f>
        <v>-3736.88</v>
      </c>
      <c r="E78" s="503" t="str">
        <f t="shared" si="8"/>
        <v>2021.09月英国信洋Amazon（国际单）流水广告费-3736.88</v>
      </c>
      <c r="F78" s="502"/>
      <c r="G78" s="40" t="s">
        <v>261</v>
      </c>
      <c r="H78" s="40" t="s">
        <v>262</v>
      </c>
      <c r="I78" s="40"/>
      <c r="J78" s="40"/>
      <c r="K78" s="41"/>
      <c r="L78" s="211">
        <f t="shared" si="11"/>
        <v>3736.88</v>
      </c>
      <c r="M78" s="48" t="s">
        <v>7</v>
      </c>
    </row>
    <row r="79" s="42" customFormat="1" ht="15" spans="1:13">
      <c r="A79" s="652" t="str">
        <f t="shared" si="9"/>
        <v>2021.09月</v>
      </c>
      <c r="B79" s="505" t="s">
        <v>314</v>
      </c>
      <c r="C79" s="506" t="s">
        <v>269</v>
      </c>
      <c r="D79" s="506">
        <f>ROUND(N65,2)</f>
        <v>52730.88</v>
      </c>
      <c r="E79" s="507" t="str">
        <f t="shared" si="8"/>
        <v>2021.09月英国信洋Amazon（国际单）流水下单（不含税）52730.88</v>
      </c>
      <c r="F79" s="506"/>
      <c r="G79" s="40" t="s">
        <v>316</v>
      </c>
      <c r="H79" s="40" t="s">
        <v>317</v>
      </c>
      <c r="I79" s="512"/>
      <c r="J79" s="512"/>
      <c r="K79" s="521">
        <f>D79</f>
        <v>52730.88</v>
      </c>
      <c r="L79" s="522"/>
      <c r="M79" s="42" t="s">
        <v>7</v>
      </c>
    </row>
    <row r="80" s="42" customFormat="1" spans="1:13">
      <c r="A80" s="652" t="str">
        <f t="shared" si="9"/>
        <v>2021.09月</v>
      </c>
      <c r="B80" s="501" t="s">
        <v>314</v>
      </c>
      <c r="C80" s="506" t="s">
        <v>269</v>
      </c>
      <c r="D80" s="42">
        <f>D79</f>
        <v>52730.88</v>
      </c>
      <c r="E80" s="260" t="str">
        <f t="shared" si="8"/>
        <v>2021.09月英国信洋Amazon（国际单）流水下单（不含税）52730.88</v>
      </c>
      <c r="G80" s="40" t="s">
        <v>337</v>
      </c>
      <c r="H80" s="40" t="s">
        <v>338</v>
      </c>
      <c r="I80" s="40"/>
      <c r="J80" s="40"/>
      <c r="K80" s="41"/>
      <c r="L80" s="211">
        <f>K79</f>
        <v>52730.88</v>
      </c>
      <c r="M80" s="42" t="s">
        <v>7</v>
      </c>
    </row>
    <row r="81" s="42" customFormat="1" spans="1:13">
      <c r="A81" s="652" t="str">
        <f t="shared" si="9"/>
        <v>2021.09月</v>
      </c>
      <c r="B81" s="501" t="s">
        <v>314</v>
      </c>
      <c r="C81" s="42" t="s">
        <v>265</v>
      </c>
      <c r="D81" s="42">
        <f>ROUND(P65,2)</f>
        <v>-3959.5</v>
      </c>
      <c r="E81" s="260" t="str">
        <f t="shared" si="8"/>
        <v>2021.09月英国信洋Amazon（国际单）流水退款（不含税）-3959.5</v>
      </c>
      <c r="G81" s="40" t="s">
        <v>337</v>
      </c>
      <c r="H81" s="40" t="s">
        <v>338</v>
      </c>
      <c r="I81" s="40"/>
      <c r="K81" s="42">
        <f>-D81</f>
        <v>3959.5</v>
      </c>
      <c r="L81" s="520"/>
      <c r="M81" s="42" t="s">
        <v>7</v>
      </c>
    </row>
    <row r="82" s="42" customFormat="1" ht="15" spans="1:13">
      <c r="A82" s="652" t="str">
        <f t="shared" si="9"/>
        <v>2021.09月</v>
      </c>
      <c r="B82" s="508" t="s">
        <v>314</v>
      </c>
      <c r="C82" s="509" t="s">
        <v>265</v>
      </c>
      <c r="D82" s="509">
        <f>D81</f>
        <v>-3959.5</v>
      </c>
      <c r="E82" s="510" t="str">
        <f t="shared" si="8"/>
        <v>2021.09月英国信洋Amazon（国际单）流水退款（不含税）-3959.5</v>
      </c>
      <c r="F82" s="509"/>
      <c r="G82" s="511" t="s">
        <v>316</v>
      </c>
      <c r="H82" s="511" t="s">
        <v>317</v>
      </c>
      <c r="I82" s="511"/>
      <c r="J82" s="509"/>
      <c r="K82" s="509"/>
      <c r="L82" s="523">
        <f>K81</f>
        <v>3959.5</v>
      </c>
      <c r="M82" s="42" t="s">
        <v>7</v>
      </c>
    </row>
    <row r="83" s="142" customFormat="1" ht="13.5" spans="1:20">
      <c r="A83"/>
      <c r="B83"/>
      <c r="C83" s="427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35"/>
      <c r="S83" s="143"/>
      <c r="T83" s="143"/>
    </row>
    <row r="84" s="142" customFormat="1" ht="13.5" spans="1:20">
      <c r="A84"/>
      <c r="B84"/>
      <c r="C84" s="427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35"/>
      <c r="S84" s="143"/>
      <c r="T84" s="143"/>
    </row>
    <row r="85" s="142" customFormat="1" ht="13.5" spans="1:20">
      <c r="A85"/>
      <c r="B85"/>
      <c r="C85" s="427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35"/>
      <c r="S85" s="143"/>
      <c r="T85" s="143"/>
    </row>
    <row r="86" s="142" customFormat="1" ht="13.5" spans="1:20">
      <c r="A86"/>
      <c r="B86"/>
      <c r="C86" s="427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35"/>
      <c r="S86" s="143"/>
      <c r="T86" s="143"/>
    </row>
    <row r="87" s="142" customFormat="1" ht="13.5" spans="3:18">
      <c r="C87" s="427"/>
      <c r="D87" s="484" t="s">
        <v>301</v>
      </c>
      <c r="E87" s="484" t="s">
        <v>302</v>
      </c>
      <c r="F87" s="484" t="s">
        <v>301</v>
      </c>
      <c r="G87" s="484"/>
      <c r="H87" s="484"/>
      <c r="I87" s="484"/>
      <c r="J87" s="484"/>
      <c r="K87" s="484"/>
      <c r="L87" s="484"/>
      <c r="M87"/>
      <c r="N87" s="484" t="s">
        <v>301</v>
      </c>
      <c r="O87" s="484" t="s">
        <v>303</v>
      </c>
      <c r="P87" s="484" t="s">
        <v>301</v>
      </c>
      <c r="Q87" s="484" t="s">
        <v>303</v>
      </c>
      <c r="R87" s="31"/>
    </row>
    <row r="88" s="142" customFormat="1" ht="18.75" spans="1:20">
      <c r="A88"/>
      <c r="B88"/>
      <c r="C88" s="496" t="s">
        <v>339</v>
      </c>
      <c r="D88" s="484" t="s">
        <v>303</v>
      </c>
      <c r="E88" s="484" t="s">
        <v>305</v>
      </c>
      <c r="F88" s="484" t="s">
        <v>302</v>
      </c>
      <c r="G88" s="484" t="s">
        <v>306</v>
      </c>
      <c r="H88" s="484" t="s">
        <v>307</v>
      </c>
      <c r="I88" s="484" t="s">
        <v>308</v>
      </c>
      <c r="J88" s="484" t="s">
        <v>309</v>
      </c>
      <c r="K88" s="484" t="s">
        <v>310</v>
      </c>
      <c r="L88" s="484"/>
      <c r="M88" s="484"/>
      <c r="N88" s="484" t="s">
        <v>302</v>
      </c>
      <c r="O88" s="484" t="s">
        <v>305</v>
      </c>
      <c r="P88" s="484" t="s">
        <v>302</v>
      </c>
      <c r="Q88" s="484" t="s">
        <v>305</v>
      </c>
      <c r="R88" s="31"/>
      <c r="S88"/>
      <c r="T88"/>
    </row>
    <row r="89" s="142" customFormat="1" ht="13.5" spans="1:20">
      <c r="A89" t="s">
        <v>339</v>
      </c>
      <c r="B89" s="643" t="s">
        <v>88</v>
      </c>
      <c r="C89" s="424" t="s">
        <v>4</v>
      </c>
      <c r="D89" s="425" t="s">
        <v>5</v>
      </c>
      <c r="E89" s="425" t="s">
        <v>6</v>
      </c>
      <c r="F89" s="425" t="s">
        <v>7</v>
      </c>
      <c r="G89" s="426" t="s">
        <v>274</v>
      </c>
      <c r="H89" s="425" t="s">
        <v>311</v>
      </c>
      <c r="I89" s="435" t="s">
        <v>312</v>
      </c>
      <c r="J89" s="499" t="s">
        <v>313</v>
      </c>
      <c r="K89" s="437" t="s">
        <v>275</v>
      </c>
      <c r="L89" s="438" t="s">
        <v>79</v>
      </c>
      <c r="M89" s="425" t="s">
        <v>11</v>
      </c>
      <c r="N89" s="439" t="s">
        <v>15</v>
      </c>
      <c r="O89" s="439" t="s">
        <v>15</v>
      </c>
      <c r="P89" s="440" t="s">
        <v>3</v>
      </c>
      <c r="Q89" s="440" t="s">
        <v>3</v>
      </c>
      <c r="R89" s="35" t="s">
        <v>12</v>
      </c>
      <c r="S89"/>
      <c r="T89"/>
    </row>
    <row r="90" s="142" customFormat="1" ht="13.5" spans="1:19">
      <c r="A90" s="142" t="s">
        <v>339</v>
      </c>
      <c r="B90" s="643" t="s">
        <v>88</v>
      </c>
      <c r="C90" s="427" t="s">
        <v>17</v>
      </c>
      <c r="D90" s="141">
        <v>22964.69</v>
      </c>
      <c r="E90" s="141">
        <v>0</v>
      </c>
      <c r="F90" s="141">
        <v>19155.83</v>
      </c>
      <c r="G90" s="141">
        <v>-44.9</v>
      </c>
      <c r="H90" s="141">
        <v>-3068.98</v>
      </c>
      <c r="I90" s="141">
        <v>0</v>
      </c>
      <c r="J90" s="141">
        <v>-2.7</v>
      </c>
      <c r="K90" s="141">
        <v>-10.05</v>
      </c>
      <c r="L90" s="141"/>
      <c r="M90" s="141">
        <v>16029.2</v>
      </c>
      <c r="N90" s="141">
        <v>20557.41</v>
      </c>
      <c r="O90" s="141">
        <v>4051.94</v>
      </c>
      <c r="P90" s="141">
        <v>-1401.58</v>
      </c>
      <c r="Q90" s="141">
        <v>-243.08</v>
      </c>
      <c r="R90" s="35">
        <v>22964.69</v>
      </c>
      <c r="S90"/>
    </row>
    <row r="91" s="142" customFormat="1" ht="13.5" spans="1:2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="142" customFormat="1" ht="13.5" spans="1:2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="142" customFormat="1" spans="1:2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13">
      <c r="A94" s="654" t="str">
        <f>$B$89</f>
        <v>2021.09月</v>
      </c>
      <c r="B94" s="506" t="s">
        <v>340</v>
      </c>
      <c r="C94" s="506" t="s">
        <v>260</v>
      </c>
      <c r="D94" s="502">
        <f>ROUND(N90,2)</f>
        <v>20557.41</v>
      </c>
      <c r="E94" s="507" t="str">
        <f t="shared" ref="E94:E107" si="12">A94&amp;B94&amp;C94&amp;D94</f>
        <v>2021.09月英国惠洋_Amazon（国际单）流水收款（不含税）20557.41</v>
      </c>
      <c r="F94" s="506"/>
      <c r="G94" s="512" t="s">
        <v>261</v>
      </c>
      <c r="H94" s="512" t="s">
        <v>262</v>
      </c>
      <c r="I94" s="512"/>
      <c r="J94" s="512"/>
      <c r="K94" s="521">
        <f>D94</f>
        <v>20557.41</v>
      </c>
      <c r="L94" s="522"/>
      <c r="M94" s="42" t="s">
        <v>7</v>
      </c>
    </row>
    <row r="95" spans="1:13">
      <c r="A95" s="654" t="str">
        <f t="shared" ref="A95:A107" si="13">$B$89</f>
        <v>2021.09月</v>
      </c>
      <c r="B95" s="502" t="s">
        <v>340</v>
      </c>
      <c r="C95" s="42" t="s">
        <v>260</v>
      </c>
      <c r="D95" s="42">
        <f t="shared" ref="D95:D99" si="14">D94</f>
        <v>20557.41</v>
      </c>
      <c r="E95" s="260" t="str">
        <f t="shared" si="12"/>
        <v>2021.09月英国惠洋_Amazon（国际单）流水收款（不含税）20557.41</v>
      </c>
      <c r="F95" s="42"/>
      <c r="G95" s="40" t="s">
        <v>341</v>
      </c>
      <c r="H95" s="40" t="s">
        <v>342</v>
      </c>
      <c r="I95" s="40"/>
      <c r="J95" s="40"/>
      <c r="K95" s="41"/>
      <c r="L95" s="211">
        <f t="shared" ref="L95:L99" si="15">K94</f>
        <v>20557.41</v>
      </c>
      <c r="M95" s="42" t="s">
        <v>7</v>
      </c>
    </row>
    <row r="96" spans="1:13">
      <c r="A96" s="654" t="str">
        <f t="shared" si="13"/>
        <v>2021.09月</v>
      </c>
      <c r="B96" s="502" t="s">
        <v>340</v>
      </c>
      <c r="C96" s="42" t="s">
        <v>265</v>
      </c>
      <c r="D96" s="42">
        <f>ROUND(P90,2)</f>
        <v>-1401.58</v>
      </c>
      <c r="E96" s="260" t="str">
        <f t="shared" si="12"/>
        <v>2021.09月英国惠洋_Amazon（国际单）流水退款（不含税）-1401.58</v>
      </c>
      <c r="F96" s="42"/>
      <c r="G96" s="40" t="s">
        <v>261</v>
      </c>
      <c r="H96" s="40" t="s">
        <v>262</v>
      </c>
      <c r="I96" s="40"/>
      <c r="J96" s="42"/>
      <c r="K96" s="42">
        <f>D96</f>
        <v>-1401.58</v>
      </c>
      <c r="L96" s="520"/>
      <c r="M96" s="42" t="s">
        <v>7</v>
      </c>
    </row>
    <row r="97" spans="1:13">
      <c r="A97" s="654" t="str">
        <f t="shared" si="13"/>
        <v>2021.09月</v>
      </c>
      <c r="B97" s="502" t="s">
        <v>340</v>
      </c>
      <c r="C97" s="42" t="s">
        <v>265</v>
      </c>
      <c r="D97" s="42">
        <f t="shared" si="14"/>
        <v>-1401.58</v>
      </c>
      <c r="E97" s="260" t="str">
        <f t="shared" si="12"/>
        <v>2021.09月英国惠洋_Amazon（国际单）流水退款（不含税）-1401.58</v>
      </c>
      <c r="F97" s="42"/>
      <c r="G97" s="40" t="s">
        <v>341</v>
      </c>
      <c r="H97" s="40" t="s">
        <v>342</v>
      </c>
      <c r="I97" s="40"/>
      <c r="J97" s="42"/>
      <c r="K97" s="42"/>
      <c r="L97" s="520">
        <f t="shared" si="15"/>
        <v>-1401.58</v>
      </c>
      <c r="M97" s="42" t="s">
        <v>7</v>
      </c>
    </row>
    <row r="98" spans="1:13">
      <c r="A98" s="654" t="str">
        <f t="shared" si="13"/>
        <v>2021.09月</v>
      </c>
      <c r="B98" s="502" t="s">
        <v>340</v>
      </c>
      <c r="C98" s="42" t="s">
        <v>324</v>
      </c>
      <c r="D98" s="42">
        <f>ROUND(SUM(G90:K90),2)</f>
        <v>-3126.63</v>
      </c>
      <c r="E98" s="260" t="str">
        <f t="shared" si="12"/>
        <v>2021.09月英国惠洋_Amazon（国际单）流水费用-3126.63</v>
      </c>
      <c r="F98" s="42"/>
      <c r="G98" s="40" t="s">
        <v>325</v>
      </c>
      <c r="H98" s="40" t="s">
        <v>326</v>
      </c>
      <c r="I98" s="40"/>
      <c r="J98" s="40"/>
      <c r="K98" s="41">
        <f t="shared" ref="K98:K102" si="16">-D98</f>
        <v>3126.63</v>
      </c>
      <c r="L98" s="211"/>
      <c r="M98" s="42" t="s">
        <v>7</v>
      </c>
    </row>
    <row r="99" spans="1:13">
      <c r="A99" s="654" t="str">
        <f t="shared" si="13"/>
        <v>2021.09月</v>
      </c>
      <c r="B99" s="502" t="s">
        <v>340</v>
      </c>
      <c r="C99" s="42" t="s">
        <v>324</v>
      </c>
      <c r="D99" s="42">
        <f t="shared" si="14"/>
        <v>-3126.63</v>
      </c>
      <c r="E99" s="260" t="str">
        <f t="shared" si="12"/>
        <v>2021.09月英国惠洋_Amazon（国际单）流水费用-3126.63</v>
      </c>
      <c r="F99" s="42"/>
      <c r="G99" s="40" t="s">
        <v>261</v>
      </c>
      <c r="H99" s="40" t="s">
        <v>262</v>
      </c>
      <c r="I99" s="40"/>
      <c r="J99" s="40"/>
      <c r="K99" s="41"/>
      <c r="L99" s="211">
        <f t="shared" si="15"/>
        <v>3126.63</v>
      </c>
      <c r="M99" s="42" t="s">
        <v>7</v>
      </c>
    </row>
    <row r="100" spans="1:13">
      <c r="A100" s="654" t="str">
        <f t="shared" si="13"/>
        <v>2021.09月</v>
      </c>
      <c r="B100" s="502" t="s">
        <v>340</v>
      </c>
      <c r="C100" s="42" t="s">
        <v>331</v>
      </c>
      <c r="D100" s="405">
        <v>-6.25</v>
      </c>
      <c r="E100" s="260" t="str">
        <f t="shared" si="12"/>
        <v>2021.09月英国惠洋_Amazon（国际单）流水订阅费-6.25</v>
      </c>
      <c r="F100" s="42"/>
      <c r="G100" s="40" t="s">
        <v>325</v>
      </c>
      <c r="H100" s="40" t="s">
        <v>326</v>
      </c>
      <c r="I100" s="40"/>
      <c r="J100" s="40"/>
      <c r="K100" s="41">
        <f>-D100</f>
        <v>6.25</v>
      </c>
      <c r="L100" s="211"/>
      <c r="M100" s="42" t="s">
        <v>7</v>
      </c>
    </row>
    <row r="101" spans="1:13">
      <c r="A101" s="654" t="str">
        <f t="shared" si="13"/>
        <v>2021.09月</v>
      </c>
      <c r="B101" s="502" t="s">
        <v>340</v>
      </c>
      <c r="C101" s="42" t="s">
        <v>331</v>
      </c>
      <c r="D101" s="405">
        <f>D100</f>
        <v>-6.25</v>
      </c>
      <c r="E101" s="260" t="str">
        <f t="shared" si="12"/>
        <v>2021.09月英国惠洋_Amazon（国际单）流水订阅费-6.25</v>
      </c>
      <c r="F101" s="42"/>
      <c r="G101" s="40" t="s">
        <v>261</v>
      </c>
      <c r="H101" s="40" t="s">
        <v>262</v>
      </c>
      <c r="I101" s="40"/>
      <c r="J101" s="40"/>
      <c r="K101" s="41"/>
      <c r="L101" s="211">
        <f>K100</f>
        <v>6.25</v>
      </c>
      <c r="M101" s="42" t="s">
        <v>7</v>
      </c>
    </row>
    <row r="102" spans="1:12">
      <c r="A102" s="654" t="str">
        <f t="shared" si="13"/>
        <v>2021.09月</v>
      </c>
      <c r="B102" s="502" t="s">
        <v>340</v>
      </c>
      <c r="C102" s="42" t="s">
        <v>336</v>
      </c>
      <c r="D102" s="405">
        <v>-1330.74</v>
      </c>
      <c r="E102" s="260" t="str">
        <f t="shared" si="12"/>
        <v>2021.09月英国惠洋_Amazon（国际单）流水广告费-1330.74</v>
      </c>
      <c r="F102" s="42"/>
      <c r="G102" t="s">
        <v>320</v>
      </c>
      <c r="H102" t="s">
        <v>321</v>
      </c>
      <c r="I102" s="40"/>
      <c r="J102" s="40"/>
      <c r="K102" s="41">
        <f t="shared" si="16"/>
        <v>1330.74</v>
      </c>
      <c r="L102" s="211"/>
    </row>
    <row r="103" ht="15" spans="1:12">
      <c r="A103" s="654" t="str">
        <f t="shared" si="13"/>
        <v>2021.09月</v>
      </c>
      <c r="B103" s="509" t="s">
        <v>340</v>
      </c>
      <c r="C103" s="509" t="s">
        <v>336</v>
      </c>
      <c r="D103" s="513">
        <f>D102</f>
        <v>-1330.74</v>
      </c>
      <c r="E103" s="510" t="str">
        <f t="shared" si="12"/>
        <v>2021.09月英国惠洋_Amazon（国际单）流水广告费-1330.74</v>
      </c>
      <c r="F103" s="509"/>
      <c r="G103" s="511" t="s">
        <v>261</v>
      </c>
      <c r="H103" s="511" t="s">
        <v>262</v>
      </c>
      <c r="I103" s="511"/>
      <c r="J103" s="511"/>
      <c r="K103" s="200"/>
      <c r="L103" s="217">
        <f t="shared" ref="L101:L105" si="17">K102</f>
        <v>1330.74</v>
      </c>
    </row>
    <row r="104" spans="1:13">
      <c r="A104" s="654" t="str">
        <f t="shared" si="13"/>
        <v>2021.09月</v>
      </c>
      <c r="B104" s="506" t="s">
        <v>340</v>
      </c>
      <c r="C104" s="506" t="s">
        <v>269</v>
      </c>
      <c r="D104" s="506">
        <f>ROUND(N90,2)</f>
        <v>20557.41</v>
      </c>
      <c r="E104" s="507" t="str">
        <f t="shared" si="12"/>
        <v>2021.09月英国惠洋_Amazon（国际单）流水下单（不含税）20557.41</v>
      </c>
      <c r="F104" s="506"/>
      <c r="G104" s="514" t="s">
        <v>341</v>
      </c>
      <c r="H104" s="514" t="s">
        <v>342</v>
      </c>
      <c r="I104" s="514"/>
      <c r="J104" s="514"/>
      <c r="K104" s="67">
        <f>D104</f>
        <v>20557.41</v>
      </c>
      <c r="L104" s="82"/>
      <c r="M104" s="42" t="s">
        <v>7</v>
      </c>
    </row>
    <row r="105" spans="1:13">
      <c r="A105" s="654" t="str">
        <f t="shared" si="13"/>
        <v>2021.09月</v>
      </c>
      <c r="B105" s="502" t="s">
        <v>340</v>
      </c>
      <c r="C105" s="502" t="s">
        <v>269</v>
      </c>
      <c r="D105" s="42">
        <f>D104</f>
        <v>20557.41</v>
      </c>
      <c r="E105" s="503" t="str">
        <f t="shared" si="12"/>
        <v>2021.09月英国惠洋_Amazon（国际单）流水下单（不含税）20557.41</v>
      </c>
      <c r="F105" s="502"/>
      <c r="G105" s="515" t="s">
        <v>343</v>
      </c>
      <c r="H105" s="515" t="s">
        <v>344</v>
      </c>
      <c r="I105" s="53"/>
      <c r="J105" s="53"/>
      <c r="K105" s="55"/>
      <c r="L105" s="72">
        <f t="shared" si="17"/>
        <v>20557.41</v>
      </c>
      <c r="M105" s="42" t="s">
        <v>7</v>
      </c>
    </row>
    <row r="106" spans="1:12">
      <c r="A106" s="654" t="str">
        <f t="shared" si="13"/>
        <v>2021.09月</v>
      </c>
      <c r="B106" s="502" t="s">
        <v>340</v>
      </c>
      <c r="C106" s="502" t="s">
        <v>265</v>
      </c>
      <c r="D106" s="42">
        <f>ROUND(P90,2)</f>
        <v>-1401.58</v>
      </c>
      <c r="E106" s="503" t="str">
        <f t="shared" si="12"/>
        <v>2021.09月英国惠洋_Amazon（国际单）流水退款（不含税）-1401.58</v>
      </c>
      <c r="F106" s="502"/>
      <c r="G106" s="515" t="s">
        <v>343</v>
      </c>
      <c r="H106" s="515" t="s">
        <v>344</v>
      </c>
      <c r="I106" s="53"/>
      <c r="J106" s="502"/>
      <c r="K106" s="502">
        <f>-D106</f>
        <v>1401.58</v>
      </c>
      <c r="L106" s="520"/>
    </row>
    <row r="107" ht="15" spans="1:12">
      <c r="A107" s="654" t="str">
        <f t="shared" si="13"/>
        <v>2021.09月</v>
      </c>
      <c r="B107" s="509" t="s">
        <v>340</v>
      </c>
      <c r="C107" s="509" t="s">
        <v>265</v>
      </c>
      <c r="D107" s="509">
        <f>D106</f>
        <v>-1401.58</v>
      </c>
      <c r="E107" s="510" t="str">
        <f t="shared" si="12"/>
        <v>2021.09月英国惠洋_Amazon（国际单）流水退款（不含税）-1401.58</v>
      </c>
      <c r="F107" s="509"/>
      <c r="G107" s="516" t="s">
        <v>341</v>
      </c>
      <c r="H107" s="516" t="s">
        <v>342</v>
      </c>
      <c r="I107" s="516"/>
      <c r="J107" s="509"/>
      <c r="K107" s="509"/>
      <c r="L107" s="523">
        <f>K106</f>
        <v>1401.58</v>
      </c>
    </row>
    <row r="108" s="142" customFormat="1" ht="13.5" spans="1:2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="142" customFormat="1" ht="13.5" spans="1:20">
      <c r="A109"/>
      <c r="B109"/>
      <c r="C109" s="2"/>
      <c r="D109" s="484"/>
      <c r="E109" s="484"/>
      <c r="F109" s="484"/>
      <c r="G109" s="484"/>
      <c r="H109" s="484"/>
      <c r="I109" s="484"/>
      <c r="J109" s="484"/>
      <c r="K109" s="484"/>
      <c r="L109" s="484"/>
      <c r="M109"/>
      <c r="N109"/>
      <c r="O109"/>
      <c r="P109"/>
      <c r="Q109"/>
      <c r="R109"/>
      <c r="S109"/>
      <c r="T109"/>
    </row>
    <row r="110" s="142" customFormat="1" ht="18.75" spans="1:20">
      <c r="A110"/>
      <c r="B110"/>
      <c r="C110" s="483" t="s">
        <v>345</v>
      </c>
      <c r="D110" s="484"/>
      <c r="E110" s="484"/>
      <c r="F110" s="484"/>
      <c r="G110" s="484"/>
      <c r="H110" s="484"/>
      <c r="I110" s="484"/>
      <c r="J110" s="484"/>
      <c r="K110" s="484"/>
      <c r="L110" s="484"/>
      <c r="M110"/>
      <c r="N110"/>
      <c r="O110"/>
      <c r="P110"/>
      <c r="Q110"/>
      <c r="R110"/>
      <c r="S110"/>
      <c r="T110"/>
    </row>
    <row r="111" s="142" customFormat="1" ht="13.5" spans="1:20">
      <c r="A111" t="s">
        <v>345</v>
      </c>
      <c r="B111" s="643" t="s">
        <v>88</v>
      </c>
      <c r="C111" s="424" t="s">
        <v>4</v>
      </c>
      <c r="D111" s="425" t="s">
        <v>259</v>
      </c>
      <c r="E111" s="425" t="s">
        <v>6</v>
      </c>
      <c r="F111" s="425" t="s">
        <v>7</v>
      </c>
      <c r="G111" s="517" t="s">
        <v>8</v>
      </c>
      <c r="H111" s="517" t="s">
        <v>9</v>
      </c>
      <c r="I111" s="517" t="s">
        <v>78</v>
      </c>
      <c r="J111" s="438" t="s">
        <v>79</v>
      </c>
      <c r="K111" s="425" t="s">
        <v>11</v>
      </c>
      <c r="L111" s="438" t="s">
        <v>12</v>
      </c>
      <c r="M111" s="478" t="s">
        <v>3</v>
      </c>
      <c r="N111" s="478" t="s">
        <v>1</v>
      </c>
      <c r="O111" s="478" t="s">
        <v>80</v>
      </c>
      <c r="P111" s="478" t="s">
        <v>81</v>
      </c>
      <c r="Q111" s="478" t="s">
        <v>2</v>
      </c>
      <c r="R111" s="525" t="s">
        <v>15</v>
      </c>
      <c r="S111" s="525" t="s">
        <v>82</v>
      </c>
      <c r="T111" s="526" t="s">
        <v>16</v>
      </c>
    </row>
    <row r="112" s="142" customFormat="1" ht="13.5" spans="1:20">
      <c r="A112" t="s">
        <v>345</v>
      </c>
      <c r="B112" s="643" t="s">
        <v>88</v>
      </c>
      <c r="C112" s="427" t="s">
        <v>17</v>
      </c>
      <c r="D112" s="141">
        <v>57522.4800000004</v>
      </c>
      <c r="E112" s="141">
        <v>158.25</v>
      </c>
      <c r="F112" s="141">
        <v>57680.7300000004</v>
      </c>
      <c r="G112" s="141">
        <v>-217.800000000003</v>
      </c>
      <c r="H112" s="141">
        <v>-7590.76</v>
      </c>
      <c r="I112" s="141">
        <v>-344.07</v>
      </c>
      <c r="J112" s="141"/>
      <c r="K112" s="141">
        <v>49528.1000000004</v>
      </c>
      <c r="L112" s="428"/>
      <c r="M112" s="524">
        <v>-1384.74</v>
      </c>
      <c r="N112" s="524">
        <v>-204.14</v>
      </c>
      <c r="O112" s="524">
        <v>0</v>
      </c>
      <c r="P112" s="524">
        <v>0</v>
      </c>
      <c r="Q112" s="524">
        <v>0</v>
      </c>
      <c r="R112" s="524">
        <v>58334.5000000004</v>
      </c>
      <c r="S112" s="524">
        <v>935.11</v>
      </c>
      <c r="T112" s="143">
        <v>57680.7300000004</v>
      </c>
    </row>
    <row r="113" s="142" customFormat="1" ht="13.5" spans="2:16">
      <c r="B113" s="141"/>
      <c r="C113" s="141"/>
      <c r="D113" s="518"/>
      <c r="E113" s="141"/>
      <c r="F113" s="141"/>
      <c r="G113" s="141"/>
      <c r="H113" s="141"/>
      <c r="I113" s="141"/>
      <c r="J113" s="141"/>
      <c r="K113" s="141"/>
      <c r="O113" s="143"/>
      <c r="P113" s="143"/>
    </row>
    <row r="114" ht="15" spans="11:13">
      <c r="K114" s="48">
        <f>SUM(K20:K101)</f>
        <v>141698.95</v>
      </c>
      <c r="L114" s="48">
        <f>SUM(L20:L101)</f>
        <v>141493.11</v>
      </c>
      <c r="M114" s="48">
        <f>K114-L114</f>
        <v>205.839999999997</v>
      </c>
    </row>
    <row r="115" s="227" customFormat="1" spans="1:13">
      <c r="A115" s="653" t="str">
        <f>$B$111</f>
        <v>2021.09月</v>
      </c>
      <c r="B115" s="284" t="s">
        <v>346</v>
      </c>
      <c r="C115" s="277" t="s">
        <v>260</v>
      </c>
      <c r="D115" s="277">
        <f>ROUND(R112+S112,2)</f>
        <v>59269.61</v>
      </c>
      <c r="E115" s="486" t="str">
        <f>A115&amp;B115&amp;C115&amp;D115</f>
        <v>2021.09月英国xinyang_ltd_xy（国际单）Ebay流水收款（不含税）59269.61</v>
      </c>
      <c r="F115" s="277"/>
      <c r="G115" s="283" t="s">
        <v>261</v>
      </c>
      <c r="H115" s="283" t="s">
        <v>262</v>
      </c>
      <c r="I115" s="283"/>
      <c r="J115" s="283"/>
      <c r="K115" s="315">
        <f>ROUND(D115,2)</f>
        <v>59269.61</v>
      </c>
      <c r="L115" s="316"/>
      <c r="M115" s="227" t="s">
        <v>7</v>
      </c>
    </row>
    <row r="116" s="227" customFormat="1" spans="1:13">
      <c r="A116" s="653" t="str">
        <f t="shared" ref="A116:A128" si="18">$B$111</f>
        <v>2021.09月</v>
      </c>
      <c r="B116" s="284" t="s">
        <v>346</v>
      </c>
      <c r="C116" s="284" t="s">
        <v>260</v>
      </c>
      <c r="D116" s="284">
        <f>D115</f>
        <v>59269.61</v>
      </c>
      <c r="E116" s="488" t="str">
        <f>A116&amp;B116&amp;C116&amp;D116</f>
        <v>2021.09月英国xinyang_ltd_xy（国际单）Ebay流水收款（不含税）59269.61</v>
      </c>
      <c r="F116" s="284"/>
      <c r="G116" s="179" t="s">
        <v>263</v>
      </c>
      <c r="H116" s="179" t="s">
        <v>264</v>
      </c>
      <c r="I116" s="179"/>
      <c r="J116" s="179"/>
      <c r="K116" s="54"/>
      <c r="L116" s="206">
        <f>K115</f>
        <v>59269.61</v>
      </c>
      <c r="M116" s="227" t="s">
        <v>7</v>
      </c>
    </row>
    <row r="117" s="227" customFormat="1" spans="1:13">
      <c r="A117" s="653" t="str">
        <f t="shared" si="18"/>
        <v>2021.09月</v>
      </c>
      <c r="B117" s="284" t="s">
        <v>346</v>
      </c>
      <c r="C117" s="284" t="s">
        <v>265</v>
      </c>
      <c r="D117" s="284">
        <f>ROUND(SUM(M112:P112),2)</f>
        <v>-1588.88</v>
      </c>
      <c r="E117" s="488" t="str">
        <f>A117&amp;B117&amp;C117&amp;D117</f>
        <v>2021.09月英国xinyang_ltd_xy（国际单）Ebay流水退款（不含税）-1588.88</v>
      </c>
      <c r="F117" s="284"/>
      <c r="G117" s="179" t="s">
        <v>261</v>
      </c>
      <c r="H117" s="179" t="s">
        <v>262</v>
      </c>
      <c r="I117" s="179"/>
      <c r="J117" s="179"/>
      <c r="K117" s="54">
        <f>ROUND(D117,2)</f>
        <v>-1588.88</v>
      </c>
      <c r="L117" s="206"/>
      <c r="M117" s="227" t="s">
        <v>7</v>
      </c>
    </row>
    <row r="118" s="227" customFormat="1" spans="1:13">
      <c r="A118" s="653" t="str">
        <f t="shared" si="18"/>
        <v>2021.09月</v>
      </c>
      <c r="B118" s="284" t="s">
        <v>346</v>
      </c>
      <c r="C118" s="284" t="s">
        <v>265</v>
      </c>
      <c r="D118" s="284">
        <f>D117</f>
        <v>-1588.88</v>
      </c>
      <c r="E118" s="488" t="str">
        <f>A118&amp;B118&amp;C118&amp;D118</f>
        <v>2021.09月英国xinyang_ltd_xy（国际单）Ebay流水退款（不含税）-1588.88</v>
      </c>
      <c r="F118" s="284"/>
      <c r="G118" s="179" t="s">
        <v>263</v>
      </c>
      <c r="H118" s="179" t="s">
        <v>264</v>
      </c>
      <c r="I118" s="179"/>
      <c r="J118" s="179"/>
      <c r="K118" s="54"/>
      <c r="L118" s="206">
        <f>K117</f>
        <v>-1588.88</v>
      </c>
      <c r="M118" s="227" t="s">
        <v>7</v>
      </c>
    </row>
    <row r="119" s="227" customFormat="1" hidden="1" spans="1:13">
      <c r="A119" s="653" t="str">
        <f t="shared" si="18"/>
        <v>2021.09月</v>
      </c>
      <c r="B119" s="284" t="s">
        <v>346</v>
      </c>
      <c r="C119" s="284" t="s">
        <v>287</v>
      </c>
      <c r="D119" s="491">
        <v>25.05</v>
      </c>
      <c r="E119" s="488" t="str">
        <f t="shared" ref="E119:E130" si="19">A119&amp;B119&amp;C119&amp;D119</f>
        <v>2021.09月英国xinyang_ltd_xy（国际单）Ebay流水Ebay模板设计费25.05</v>
      </c>
      <c r="F119" s="284"/>
      <c r="G119" s="179" t="s">
        <v>288</v>
      </c>
      <c r="H119" s="179" t="s">
        <v>289</v>
      </c>
      <c r="I119" s="179"/>
      <c r="J119" s="179"/>
      <c r="K119" s="54">
        <f>D119</f>
        <v>25.05</v>
      </c>
      <c r="L119" s="206"/>
      <c r="M119" s="227" t="s">
        <v>7</v>
      </c>
    </row>
    <row r="120" s="227" customFormat="1" hidden="1" spans="1:13">
      <c r="A120" s="653" t="str">
        <f t="shared" si="18"/>
        <v>2021.09月</v>
      </c>
      <c r="B120" s="284" t="s">
        <v>346</v>
      </c>
      <c r="C120" s="284" t="s">
        <v>287</v>
      </c>
      <c r="D120" s="519">
        <f>D119</f>
        <v>25.05</v>
      </c>
      <c r="E120" s="488" t="str">
        <f t="shared" si="19"/>
        <v>2021.09月英国xinyang_ltd_xy（国际单）Ebay流水Ebay模板设计费25.05</v>
      </c>
      <c r="F120" s="284"/>
      <c r="G120" s="179" t="s">
        <v>261</v>
      </c>
      <c r="H120" s="179" t="s">
        <v>262</v>
      </c>
      <c r="I120" s="179"/>
      <c r="J120" s="179"/>
      <c r="K120" s="54"/>
      <c r="L120" s="206">
        <f>D120</f>
        <v>25.05</v>
      </c>
      <c r="M120" s="227" t="s">
        <v>7</v>
      </c>
    </row>
    <row r="121" s="227" customFormat="1" spans="1:13">
      <c r="A121" s="653" t="str">
        <f t="shared" si="18"/>
        <v>2021.09月</v>
      </c>
      <c r="B121" s="284" t="s">
        <v>346</v>
      </c>
      <c r="C121" s="284" t="s">
        <v>290</v>
      </c>
      <c r="D121" s="491">
        <v>-1087.68</v>
      </c>
      <c r="E121" s="488" t="str">
        <f t="shared" si="19"/>
        <v>2021.09月英国xinyang_ltd_xy（国际单）Ebay流水Ebay点击费-1087.68</v>
      </c>
      <c r="F121" s="284"/>
      <c r="G121" s="179" t="s">
        <v>288</v>
      </c>
      <c r="H121" s="179" t="s">
        <v>289</v>
      </c>
      <c r="I121" s="179"/>
      <c r="J121" s="179"/>
      <c r="K121" s="54">
        <f>-D121</f>
        <v>1087.68</v>
      </c>
      <c r="L121" s="206"/>
      <c r="M121" s="227" t="s">
        <v>7</v>
      </c>
    </row>
    <row r="122" s="227" customFormat="1" spans="1:13">
      <c r="A122" s="653" t="str">
        <f t="shared" si="18"/>
        <v>2021.09月</v>
      </c>
      <c r="B122" s="284" t="s">
        <v>346</v>
      </c>
      <c r="C122" s="284" t="s">
        <v>290</v>
      </c>
      <c r="D122" s="491">
        <f>D121</f>
        <v>-1087.68</v>
      </c>
      <c r="E122" s="488" t="str">
        <f t="shared" si="19"/>
        <v>2021.09月英国xinyang_ltd_xy（国际单）Ebay流水Ebay点击费-1087.68</v>
      </c>
      <c r="F122" s="284"/>
      <c r="G122" s="179" t="s">
        <v>261</v>
      </c>
      <c r="H122" s="179" t="s">
        <v>262</v>
      </c>
      <c r="I122" s="179"/>
      <c r="J122" s="179"/>
      <c r="K122" s="54"/>
      <c r="L122" s="206">
        <f>K121</f>
        <v>1087.68</v>
      </c>
      <c r="M122" s="227" t="s">
        <v>7</v>
      </c>
    </row>
    <row r="123" s="227" customFormat="1" spans="1:13">
      <c r="A123" s="653" t="str">
        <f t="shared" si="18"/>
        <v>2021.09月</v>
      </c>
      <c r="B123" s="284" t="s">
        <v>346</v>
      </c>
      <c r="C123" s="284" t="s">
        <v>266</v>
      </c>
      <c r="D123" s="491">
        <f>-ROUND(SUM(G112:I112),2)</f>
        <v>8152.63</v>
      </c>
      <c r="E123" s="488" t="str">
        <f t="shared" si="19"/>
        <v>2021.09月英国xinyang_ltd_xy（国际单）Ebay流水Ebay交易费8152.63</v>
      </c>
      <c r="F123" s="284"/>
      <c r="G123" s="179" t="s">
        <v>267</v>
      </c>
      <c r="H123" s="179" t="s">
        <v>268</v>
      </c>
      <c r="I123" s="179"/>
      <c r="J123" s="179"/>
      <c r="K123" s="54">
        <f>D123</f>
        <v>8152.63</v>
      </c>
      <c r="L123" s="206"/>
      <c r="M123" s="227" t="s">
        <v>7</v>
      </c>
    </row>
    <row r="124" s="227" customFormat="1" spans="1:13">
      <c r="A124" s="653" t="str">
        <f t="shared" si="18"/>
        <v>2021.09月</v>
      </c>
      <c r="B124" s="284" t="s">
        <v>346</v>
      </c>
      <c r="C124" s="284" t="s">
        <v>266</v>
      </c>
      <c r="D124" s="491">
        <f>D123</f>
        <v>8152.63</v>
      </c>
      <c r="E124" s="488" t="str">
        <f t="shared" si="19"/>
        <v>2021.09月英国xinyang_ltd_xy（国际单）Ebay流水Ebay交易费8152.63</v>
      </c>
      <c r="F124" s="284"/>
      <c r="G124" s="179" t="s">
        <v>261</v>
      </c>
      <c r="H124" s="179" t="s">
        <v>262</v>
      </c>
      <c r="I124" s="179"/>
      <c r="J124" s="179"/>
      <c r="K124" s="54"/>
      <c r="L124" s="206">
        <f>D124</f>
        <v>8152.63</v>
      </c>
      <c r="M124" s="227" t="s">
        <v>7</v>
      </c>
    </row>
    <row r="125" s="227" customFormat="1" spans="1:13">
      <c r="A125" s="653" t="str">
        <f t="shared" si="18"/>
        <v>2021.09月</v>
      </c>
      <c r="B125" s="284" t="s">
        <v>346</v>
      </c>
      <c r="C125" s="284" t="s">
        <v>269</v>
      </c>
      <c r="D125" s="284">
        <f>ROUND(R112+S112,2)</f>
        <v>59269.61</v>
      </c>
      <c r="E125" s="488" t="str">
        <f t="shared" si="19"/>
        <v>2021.09月英国xinyang_ltd_xy（国际单）Ebay流水下单（不含税）59269.61</v>
      </c>
      <c r="F125" s="284"/>
      <c r="G125" s="179" t="s">
        <v>263</v>
      </c>
      <c r="H125" s="179" t="s">
        <v>264</v>
      </c>
      <c r="I125" s="179"/>
      <c r="J125" s="179"/>
      <c r="K125" s="54">
        <f t="shared" ref="K125:K129" si="20">ROUND(D125,2)</f>
        <v>59269.61</v>
      </c>
      <c r="L125" s="206"/>
      <c r="M125" s="227" t="s">
        <v>7</v>
      </c>
    </row>
    <row r="126" s="227" customFormat="1" spans="1:13">
      <c r="A126" s="653" t="str">
        <f t="shared" si="18"/>
        <v>2021.09月</v>
      </c>
      <c r="B126" s="284" t="s">
        <v>346</v>
      </c>
      <c r="C126" s="284" t="s">
        <v>269</v>
      </c>
      <c r="D126" s="284">
        <f t="shared" ref="D126:D130" si="21">D125</f>
        <v>59269.61</v>
      </c>
      <c r="E126" s="488" t="str">
        <f t="shared" si="19"/>
        <v>2021.09月英国xinyang_ltd_xy（国际单）Ebay流水下单（不含税）59269.61</v>
      </c>
      <c r="F126" s="284"/>
      <c r="G126" s="179" t="s">
        <v>270</v>
      </c>
      <c r="H126" s="179" t="s">
        <v>271</v>
      </c>
      <c r="I126" s="179"/>
      <c r="J126" s="179"/>
      <c r="K126" s="54"/>
      <c r="L126" s="206">
        <f t="shared" ref="L126:L130" si="22">K125</f>
        <v>59269.61</v>
      </c>
      <c r="M126" s="227" t="s">
        <v>7</v>
      </c>
    </row>
    <row r="127" s="227" customFormat="1" spans="1:13">
      <c r="A127" s="653" t="str">
        <f t="shared" si="18"/>
        <v>2021.09月</v>
      </c>
      <c r="B127" s="284" t="s">
        <v>346</v>
      </c>
      <c r="C127" s="284" t="s">
        <v>265</v>
      </c>
      <c r="D127" s="284">
        <f>-ROUND(SUM(M112:P112),2)</f>
        <v>1588.88</v>
      </c>
      <c r="E127" s="488" t="str">
        <f t="shared" si="19"/>
        <v>2021.09月英国xinyang_ltd_xy（国际单）Ebay流水退款（不含税）1588.88</v>
      </c>
      <c r="F127" s="284"/>
      <c r="G127" s="179" t="s">
        <v>270</v>
      </c>
      <c r="H127" s="179" t="s">
        <v>271</v>
      </c>
      <c r="I127" s="179"/>
      <c r="J127" s="179"/>
      <c r="K127" s="54">
        <f t="shared" si="20"/>
        <v>1588.88</v>
      </c>
      <c r="L127" s="206"/>
      <c r="M127" s="227" t="s">
        <v>7</v>
      </c>
    </row>
    <row r="128" s="227" customFormat="1" ht="15" spans="1:13">
      <c r="A128" s="653" t="str">
        <f t="shared" si="18"/>
        <v>2021.09月</v>
      </c>
      <c r="B128" s="284" t="s">
        <v>346</v>
      </c>
      <c r="C128" s="286" t="s">
        <v>265</v>
      </c>
      <c r="D128" s="286">
        <f t="shared" si="21"/>
        <v>1588.88</v>
      </c>
      <c r="E128" s="490" t="str">
        <f t="shared" si="19"/>
        <v>2021.09月英国xinyang_ltd_xy（国际单）Ebay流水退款（不含税）1588.88</v>
      </c>
      <c r="F128" s="286"/>
      <c r="G128" s="240" t="s">
        <v>263</v>
      </c>
      <c r="H128" s="240" t="s">
        <v>264</v>
      </c>
      <c r="I128" s="240"/>
      <c r="J128" s="240"/>
      <c r="K128" s="241"/>
      <c r="L128" s="246">
        <f t="shared" si="22"/>
        <v>1588.88</v>
      </c>
      <c r="M128" s="227" t="s">
        <v>7</v>
      </c>
    </row>
    <row r="129" spans="1:12">
      <c r="A129" s="653" t="str">
        <f>$B$138</f>
        <v>2021.09月</v>
      </c>
      <c r="B129" s="284" t="s">
        <v>346</v>
      </c>
      <c r="C129" s="307" t="s">
        <v>347</v>
      </c>
      <c r="D129" s="527">
        <v>-1191.9300000004</v>
      </c>
      <c r="E129" s="488" t="str">
        <f t="shared" si="19"/>
        <v>2021.09月英国xinyang_ltd_xy（国际单）Ebay流水汇兑损益-1191.9300000004</v>
      </c>
      <c r="F129" s="221"/>
      <c r="G129" s="221" t="s">
        <v>348</v>
      </c>
      <c r="H129" s="221" t="s">
        <v>349</v>
      </c>
      <c r="I129" s="221"/>
      <c r="J129" s="221"/>
      <c r="K129" s="54">
        <f>-ROUND(D129,2)</f>
        <v>1191.93</v>
      </c>
      <c r="L129" s="206"/>
    </row>
    <row r="130" ht="15" spans="1:12">
      <c r="A130" s="653" t="str">
        <f>$B$138</f>
        <v>2021.09月</v>
      </c>
      <c r="B130" s="284" t="s">
        <v>346</v>
      </c>
      <c r="C130" s="308" t="s">
        <v>347</v>
      </c>
      <c r="D130" s="528">
        <f t="shared" si="21"/>
        <v>-1191.9300000004</v>
      </c>
      <c r="E130" s="490" t="str">
        <f t="shared" si="19"/>
        <v>2021.09月英国xinyang_ltd_xy（国际单）Ebay流水汇兑损益-1191.9300000004</v>
      </c>
      <c r="F130" s="197"/>
      <c r="G130" s="240" t="s">
        <v>261</v>
      </c>
      <c r="H130" s="240" t="s">
        <v>262</v>
      </c>
      <c r="I130" s="197"/>
      <c r="J130" s="197"/>
      <c r="K130" s="241"/>
      <c r="L130" s="246">
        <f t="shared" si="22"/>
        <v>1191.93</v>
      </c>
    </row>
    <row r="136" s="142" customFormat="1" ht="18.75" spans="1:20">
      <c r="A136"/>
      <c r="B136"/>
      <c r="C136" s="483" t="s">
        <v>350</v>
      </c>
      <c r="D136" s="484"/>
      <c r="E136" s="484"/>
      <c r="F136" s="484"/>
      <c r="G136" s="484"/>
      <c r="H136" s="484"/>
      <c r="I136" s="484"/>
      <c r="J136" s="484"/>
      <c r="K136" s="484"/>
      <c r="L136" s="484"/>
      <c r="M136"/>
      <c r="N136"/>
      <c r="O136"/>
      <c r="P136"/>
      <c r="Q136"/>
      <c r="R136"/>
      <c r="S136"/>
      <c r="T136"/>
    </row>
    <row r="137" s="142" customFormat="1" ht="13.5" spans="1:20">
      <c r="A137" t="s">
        <v>350</v>
      </c>
      <c r="B137" s="643" t="s">
        <v>88</v>
      </c>
      <c r="C137" s="424" t="s">
        <v>4</v>
      </c>
      <c r="D137" s="425" t="s">
        <v>259</v>
      </c>
      <c r="E137" s="425" t="s">
        <v>6</v>
      </c>
      <c r="F137" s="425" t="s">
        <v>7</v>
      </c>
      <c r="G137" s="517" t="s">
        <v>8</v>
      </c>
      <c r="H137" s="517" t="s">
        <v>9</v>
      </c>
      <c r="I137" s="517" t="s">
        <v>78</v>
      </c>
      <c r="J137" s="438" t="s">
        <v>79</v>
      </c>
      <c r="K137" s="425" t="s">
        <v>11</v>
      </c>
      <c r="L137" s="438" t="s">
        <v>12</v>
      </c>
      <c r="M137" s="478" t="s">
        <v>3</v>
      </c>
      <c r="N137" s="478" t="s">
        <v>1</v>
      </c>
      <c r="O137" s="478" t="s">
        <v>80</v>
      </c>
      <c r="P137" s="478" t="s">
        <v>81</v>
      </c>
      <c r="Q137" s="478" t="s">
        <v>2</v>
      </c>
      <c r="R137" s="525" t="s">
        <v>15</v>
      </c>
      <c r="S137" s="525" t="s">
        <v>82</v>
      </c>
      <c r="T137" s="526" t="s">
        <v>16</v>
      </c>
    </row>
    <row r="138" s="142" customFormat="1" ht="13.5" spans="1:20">
      <c r="A138" t="s">
        <v>350</v>
      </c>
      <c r="B138" s="643" t="s">
        <v>88</v>
      </c>
      <c r="C138" s="427" t="s">
        <v>17</v>
      </c>
      <c r="D138" s="141">
        <v>2817.78</v>
      </c>
      <c r="E138" s="141">
        <v>8.33</v>
      </c>
      <c r="F138" s="141">
        <v>2826.11</v>
      </c>
      <c r="G138" s="141">
        <v>-18.3</v>
      </c>
      <c r="H138" s="141">
        <v>-370.51</v>
      </c>
      <c r="I138" s="141">
        <v>-25.32</v>
      </c>
      <c r="J138" s="141"/>
      <c r="K138" s="141">
        <v>2411.98</v>
      </c>
      <c r="L138" s="428"/>
      <c r="M138" s="524">
        <v>-162.96</v>
      </c>
      <c r="N138" s="524">
        <v>-105.17</v>
      </c>
      <c r="O138" s="524">
        <v>0</v>
      </c>
      <c r="P138" s="524">
        <v>0</v>
      </c>
      <c r="Q138" s="524">
        <v>0</v>
      </c>
      <c r="R138" s="524">
        <v>3094.24</v>
      </c>
      <c r="S138" s="524">
        <v>0</v>
      </c>
      <c r="T138" s="143">
        <v>2826.11</v>
      </c>
    </row>
    <row r="139" s="142" customFormat="1" ht="13.5" spans="2:16">
      <c r="B139" s="141"/>
      <c r="C139" s="141"/>
      <c r="D139" s="518"/>
      <c r="E139" s="141"/>
      <c r="F139" s="141"/>
      <c r="G139" s="141"/>
      <c r="H139" s="141"/>
      <c r="I139" s="141"/>
      <c r="J139" s="141"/>
      <c r="K139" s="141"/>
      <c r="O139" s="143"/>
      <c r="P139" s="143"/>
    </row>
    <row r="140" ht="15" spans="3:13">
      <c r="C140" s="48" t="s">
        <v>351</v>
      </c>
      <c r="K140" s="48">
        <f>SUM(K51:K130)</f>
        <v>484707.91</v>
      </c>
      <c r="L140" s="48">
        <f>SUM(L51:L130)</f>
        <v>434951.76</v>
      </c>
      <c r="M140" s="48">
        <f>K140-L140</f>
        <v>49756.1500000004</v>
      </c>
    </row>
    <row r="141" s="227" customFormat="1" spans="1:13">
      <c r="A141" s="653" t="str">
        <f>$B$138</f>
        <v>2021.09月</v>
      </c>
      <c r="B141" s="284" t="s">
        <v>352</v>
      </c>
      <c r="C141" s="485" t="s">
        <v>260</v>
      </c>
      <c r="D141" s="277">
        <f>ROUND(R138+S138,2)</f>
        <v>3094.24</v>
      </c>
      <c r="E141" s="486" t="str">
        <f>A141&amp;B141&amp;C141&amp;D141</f>
        <v>2021.09月英国xy_sanitaryware_XYSA Ebay（国际单）Ebay流水收款（不含税）3094.24</v>
      </c>
      <c r="F141" s="277"/>
      <c r="G141" s="283" t="s">
        <v>261</v>
      </c>
      <c r="H141" s="283" t="s">
        <v>262</v>
      </c>
      <c r="I141" s="283"/>
      <c r="J141" s="283"/>
      <c r="K141" s="315">
        <f>ROUND(D141,2)</f>
        <v>3094.24</v>
      </c>
      <c r="L141" s="316"/>
      <c r="M141" s="227" t="s">
        <v>7</v>
      </c>
    </row>
    <row r="142" s="227" customFormat="1" spans="1:13">
      <c r="A142" s="653" t="str">
        <f t="shared" ref="A142:A156" si="23">$B$138</f>
        <v>2021.09月</v>
      </c>
      <c r="B142" s="284" t="s">
        <v>352</v>
      </c>
      <c r="C142" s="487" t="s">
        <v>260</v>
      </c>
      <c r="D142" s="284">
        <f>D141</f>
        <v>3094.24</v>
      </c>
      <c r="E142" s="488" t="str">
        <f>A142&amp;B142&amp;C142&amp;D142</f>
        <v>2021.09月英国xy_sanitaryware_XYSA Ebay（国际单）Ebay流水收款（不含税）3094.24</v>
      </c>
      <c r="F142" s="284"/>
      <c r="G142" s="179" t="s">
        <v>296</v>
      </c>
      <c r="H142" s="179" t="s">
        <v>297</v>
      </c>
      <c r="I142" s="179"/>
      <c r="J142" s="179"/>
      <c r="K142" s="54"/>
      <c r="L142" s="206">
        <f>K141</f>
        <v>3094.24</v>
      </c>
      <c r="M142" s="227" t="s">
        <v>7</v>
      </c>
    </row>
    <row r="143" s="227" customFormat="1" spans="1:13">
      <c r="A143" s="653" t="str">
        <f t="shared" si="23"/>
        <v>2021.09月</v>
      </c>
      <c r="B143" s="284" t="s">
        <v>352</v>
      </c>
      <c r="C143" s="487" t="s">
        <v>265</v>
      </c>
      <c r="D143" s="284">
        <f>ROUND(SUM(M138:P138),2)</f>
        <v>-268.13</v>
      </c>
      <c r="E143" s="488" t="str">
        <f>A143&amp;B143&amp;C143&amp;D143</f>
        <v>2021.09月英国xy_sanitaryware_XYSA Ebay（国际单）Ebay流水退款（不含税）-268.13</v>
      </c>
      <c r="F143" s="284"/>
      <c r="G143" s="179" t="s">
        <v>261</v>
      </c>
      <c r="H143" s="179" t="s">
        <v>262</v>
      </c>
      <c r="I143" s="179"/>
      <c r="J143" s="179"/>
      <c r="K143" s="54">
        <f>ROUND(D143,2)</f>
        <v>-268.13</v>
      </c>
      <c r="L143" s="206"/>
      <c r="M143" s="227" t="s">
        <v>7</v>
      </c>
    </row>
    <row r="144" s="227" customFormat="1" spans="1:13">
      <c r="A144" s="653" t="str">
        <f t="shared" si="23"/>
        <v>2021.09月</v>
      </c>
      <c r="B144" s="284" t="s">
        <v>352</v>
      </c>
      <c r="C144" s="487" t="s">
        <v>265</v>
      </c>
      <c r="D144" s="284">
        <f>D143</f>
        <v>-268.13</v>
      </c>
      <c r="E144" s="488" t="str">
        <f>A144&amp;B144&amp;C144&amp;D144</f>
        <v>2021.09月英国xy_sanitaryware_XYSA Ebay（国际单）Ebay流水退款（不含税）-268.13</v>
      </c>
      <c r="F144" s="284"/>
      <c r="G144" s="179" t="s">
        <v>296</v>
      </c>
      <c r="H144" s="179" t="s">
        <v>297</v>
      </c>
      <c r="I144" s="179"/>
      <c r="J144" s="179"/>
      <c r="K144" s="54"/>
      <c r="L144" s="206">
        <f>K143</f>
        <v>-268.13</v>
      </c>
      <c r="M144" s="227" t="s">
        <v>7</v>
      </c>
    </row>
    <row r="145" s="227" customFormat="1" hidden="1" spans="1:13">
      <c r="A145" s="653" t="str">
        <f t="shared" si="23"/>
        <v>2021.09月</v>
      </c>
      <c r="B145" s="284" t="s">
        <v>352</v>
      </c>
      <c r="C145" s="487" t="s">
        <v>287</v>
      </c>
      <c r="D145" s="491">
        <v>25.05</v>
      </c>
      <c r="E145" s="488" t="str">
        <f t="shared" ref="E145:E156" si="24">A145&amp;B145&amp;C145&amp;D145</f>
        <v>2021.09月英国xy_sanitaryware_XYSA Ebay（国际单）Ebay流水Ebay模板设计费25.05</v>
      </c>
      <c r="F145" s="284"/>
      <c r="G145" s="179" t="s">
        <v>288</v>
      </c>
      <c r="H145" s="179" t="s">
        <v>289</v>
      </c>
      <c r="I145" s="179"/>
      <c r="J145" s="179"/>
      <c r="K145" s="54">
        <f t="shared" ref="K145:K149" si="25">D145</f>
        <v>25.05</v>
      </c>
      <c r="L145" s="206"/>
      <c r="M145" s="227" t="s">
        <v>7</v>
      </c>
    </row>
    <row r="146" s="227" customFormat="1" hidden="1" spans="1:13">
      <c r="A146" s="653" t="str">
        <f t="shared" si="23"/>
        <v>2021.09月</v>
      </c>
      <c r="B146" s="284" t="s">
        <v>352</v>
      </c>
      <c r="C146" s="487" t="s">
        <v>287</v>
      </c>
      <c r="D146" s="491">
        <f t="shared" ref="D146:D150" si="26">D145</f>
        <v>25.05</v>
      </c>
      <c r="E146" s="488" t="str">
        <f t="shared" si="24"/>
        <v>2021.09月英国xy_sanitaryware_XYSA Ebay（国际单）Ebay流水Ebay模板设计费25.05</v>
      </c>
      <c r="F146" s="284"/>
      <c r="G146" s="179" t="s">
        <v>261</v>
      </c>
      <c r="H146" s="179" t="s">
        <v>262</v>
      </c>
      <c r="I146" s="179"/>
      <c r="J146" s="179"/>
      <c r="K146" s="54"/>
      <c r="L146" s="206">
        <f t="shared" ref="L146:L150" si="27">D146</f>
        <v>25.05</v>
      </c>
      <c r="M146" s="227" t="s">
        <v>7</v>
      </c>
    </row>
    <row r="147" s="227" customFormat="1" spans="1:13">
      <c r="A147" s="653" t="str">
        <f t="shared" si="23"/>
        <v>2021.09月</v>
      </c>
      <c r="B147" s="284" t="s">
        <v>352</v>
      </c>
      <c r="C147" s="487" t="s">
        <v>290</v>
      </c>
      <c r="D147" s="491">
        <v>0</v>
      </c>
      <c r="E147" s="488" t="str">
        <f t="shared" si="24"/>
        <v>2021.09月英国xy_sanitaryware_XYSA Ebay（国际单）Ebay流水Ebay点击费0</v>
      </c>
      <c r="F147" s="284"/>
      <c r="G147" s="179" t="s">
        <v>288</v>
      </c>
      <c r="H147" s="179" t="s">
        <v>289</v>
      </c>
      <c r="I147" s="179"/>
      <c r="J147" s="179"/>
      <c r="K147" s="54">
        <f t="shared" si="25"/>
        <v>0</v>
      </c>
      <c r="L147" s="206"/>
      <c r="M147" s="227" t="s">
        <v>7</v>
      </c>
    </row>
    <row r="148" s="227" customFormat="1" spans="1:13">
      <c r="A148" s="653" t="str">
        <f t="shared" si="23"/>
        <v>2021.09月</v>
      </c>
      <c r="B148" s="284" t="s">
        <v>352</v>
      </c>
      <c r="C148" s="487" t="s">
        <v>290</v>
      </c>
      <c r="D148" s="491">
        <f t="shared" si="26"/>
        <v>0</v>
      </c>
      <c r="E148" s="488" t="str">
        <f t="shared" si="24"/>
        <v>2021.09月英国xy_sanitaryware_XYSA Ebay（国际单）Ebay流水Ebay点击费0</v>
      </c>
      <c r="F148" s="284"/>
      <c r="G148" s="179" t="s">
        <v>261</v>
      </c>
      <c r="H148" s="179" t="s">
        <v>262</v>
      </c>
      <c r="I148" s="179"/>
      <c r="J148" s="179"/>
      <c r="K148" s="54"/>
      <c r="L148" s="206">
        <f t="shared" si="27"/>
        <v>0</v>
      </c>
      <c r="M148" s="227" t="s">
        <v>7</v>
      </c>
    </row>
    <row r="149" s="227" customFormat="1" spans="1:13">
      <c r="A149" s="653" t="str">
        <f t="shared" si="23"/>
        <v>2021.09月</v>
      </c>
      <c r="B149" s="284" t="s">
        <v>352</v>
      </c>
      <c r="C149" s="487" t="s">
        <v>266</v>
      </c>
      <c r="D149" s="491">
        <f>-ROUND(SUM(G138:I138),2)</f>
        <v>414.13</v>
      </c>
      <c r="E149" s="488" t="str">
        <f t="shared" si="24"/>
        <v>2021.09月英国xy_sanitaryware_XYSA Ebay（国际单）Ebay流水Ebay交易费414.13</v>
      </c>
      <c r="F149" s="284"/>
      <c r="G149" s="179" t="s">
        <v>267</v>
      </c>
      <c r="H149" s="179" t="s">
        <v>268</v>
      </c>
      <c r="I149" s="179"/>
      <c r="J149" s="179"/>
      <c r="K149" s="54">
        <f t="shared" si="25"/>
        <v>414.13</v>
      </c>
      <c r="L149" s="206"/>
      <c r="M149" s="227" t="s">
        <v>7</v>
      </c>
    </row>
    <row r="150" s="227" customFormat="1" spans="1:13">
      <c r="A150" s="653" t="str">
        <f t="shared" si="23"/>
        <v>2021.09月</v>
      </c>
      <c r="B150" s="284" t="s">
        <v>352</v>
      </c>
      <c r="C150" s="487" t="s">
        <v>266</v>
      </c>
      <c r="D150" s="491">
        <f t="shared" si="26"/>
        <v>414.13</v>
      </c>
      <c r="E150" s="488" t="str">
        <f t="shared" si="24"/>
        <v>2021.09月英国xy_sanitaryware_XYSA Ebay（国际单）Ebay流水Ebay交易费414.13</v>
      </c>
      <c r="F150" s="284"/>
      <c r="G150" s="179" t="s">
        <v>261</v>
      </c>
      <c r="H150" s="179" t="s">
        <v>262</v>
      </c>
      <c r="I150" s="179"/>
      <c r="J150" s="179"/>
      <c r="K150" s="54"/>
      <c r="L150" s="206">
        <f t="shared" si="27"/>
        <v>414.13</v>
      </c>
      <c r="M150" s="227" t="s">
        <v>7</v>
      </c>
    </row>
    <row r="151" s="227" customFormat="1" spans="1:13">
      <c r="A151" s="653" t="str">
        <f t="shared" si="23"/>
        <v>2021.09月</v>
      </c>
      <c r="B151" s="284" t="s">
        <v>352</v>
      </c>
      <c r="C151" s="487" t="s">
        <v>269</v>
      </c>
      <c r="D151" s="284">
        <f>ROUND(R138+S138,2)</f>
        <v>3094.24</v>
      </c>
      <c r="E151" s="488" t="str">
        <f t="shared" si="24"/>
        <v>2021.09月英国xy_sanitaryware_XYSA Ebay（国际单）Ebay流水下单（不含税）3094.24</v>
      </c>
      <c r="F151" s="284"/>
      <c r="G151" s="179" t="s">
        <v>296</v>
      </c>
      <c r="H151" s="179" t="s">
        <v>297</v>
      </c>
      <c r="I151" s="179"/>
      <c r="J151" s="179"/>
      <c r="K151" s="54">
        <f t="shared" ref="K151:K155" si="28">ROUND(D151,2)</f>
        <v>3094.24</v>
      </c>
      <c r="L151" s="206"/>
      <c r="M151" s="227" t="s">
        <v>7</v>
      </c>
    </row>
    <row r="152" s="227" customFormat="1" spans="1:13">
      <c r="A152" s="653" t="str">
        <f t="shared" si="23"/>
        <v>2021.09月</v>
      </c>
      <c r="B152" s="284" t="s">
        <v>352</v>
      </c>
      <c r="C152" s="487" t="s">
        <v>269</v>
      </c>
      <c r="D152" s="284">
        <f>D151</f>
        <v>3094.24</v>
      </c>
      <c r="E152" s="488" t="str">
        <f t="shared" si="24"/>
        <v>2021.09月英国xy_sanitaryware_XYSA Ebay（国际单）Ebay流水下单（不含税）3094.24</v>
      </c>
      <c r="F152" s="284"/>
      <c r="G152" s="179" t="s">
        <v>299</v>
      </c>
      <c r="H152" s="179" t="s">
        <v>300</v>
      </c>
      <c r="I152" s="179"/>
      <c r="J152" s="179"/>
      <c r="K152" s="54"/>
      <c r="L152" s="206">
        <f t="shared" ref="L152:L155" si="29">K151</f>
        <v>3094.24</v>
      </c>
      <c r="M152" s="227" t="s">
        <v>7</v>
      </c>
    </row>
    <row r="153" s="227" customFormat="1" spans="1:13">
      <c r="A153" s="653" t="str">
        <f t="shared" si="23"/>
        <v>2021.09月</v>
      </c>
      <c r="B153" s="284" t="s">
        <v>352</v>
      </c>
      <c r="C153" s="487" t="s">
        <v>265</v>
      </c>
      <c r="D153" s="284">
        <f>-ROUND(SUM(M138:P138),2)</f>
        <v>268.13</v>
      </c>
      <c r="E153" s="488" t="str">
        <f t="shared" si="24"/>
        <v>2021.09月英国xy_sanitaryware_XYSA Ebay（国际单）Ebay流水退款（不含税）268.13</v>
      </c>
      <c r="F153" s="284"/>
      <c r="G153" s="179" t="s">
        <v>299</v>
      </c>
      <c r="H153" s="179" t="s">
        <v>300</v>
      </c>
      <c r="I153" s="179"/>
      <c r="J153" s="179"/>
      <c r="K153" s="54">
        <f t="shared" si="28"/>
        <v>268.13</v>
      </c>
      <c r="L153" s="206"/>
      <c r="M153" s="227" t="s">
        <v>7</v>
      </c>
    </row>
    <row r="154" s="227" customFormat="1" spans="1:13">
      <c r="A154" s="653" t="str">
        <f t="shared" si="23"/>
        <v>2021.09月</v>
      </c>
      <c r="B154" s="284" t="s">
        <v>352</v>
      </c>
      <c r="C154" s="487" t="s">
        <v>265</v>
      </c>
      <c r="D154" s="284">
        <f>D153</f>
        <v>268.13</v>
      </c>
      <c r="E154" s="488" t="str">
        <f t="shared" si="24"/>
        <v>2021.09月英国xy_sanitaryware_XYSA Ebay（国际单）Ebay流水退款（不含税）268.13</v>
      </c>
      <c r="F154" s="284"/>
      <c r="G154" s="179" t="s">
        <v>296</v>
      </c>
      <c r="H154" s="179" t="s">
        <v>297</v>
      </c>
      <c r="I154" s="179"/>
      <c r="J154" s="179"/>
      <c r="K154" s="54"/>
      <c r="L154" s="206">
        <f t="shared" si="29"/>
        <v>268.13</v>
      </c>
      <c r="M154" s="227" t="s">
        <v>7</v>
      </c>
    </row>
    <row r="155" spans="1:12">
      <c r="A155" s="653" t="str">
        <f t="shared" si="23"/>
        <v>2021.09月</v>
      </c>
      <c r="B155" s="284" t="s">
        <v>352</v>
      </c>
      <c r="C155" s="307" t="s">
        <v>347</v>
      </c>
      <c r="D155" s="527">
        <v>-56.99</v>
      </c>
      <c r="E155" s="488" t="str">
        <f t="shared" si="24"/>
        <v>2021.09月英国xy_sanitaryware_XYSA Ebay（国际单）Ebay流水汇兑损益-56.99</v>
      </c>
      <c r="F155" s="221"/>
      <c r="G155" s="221" t="s">
        <v>348</v>
      </c>
      <c r="H155" s="221" t="s">
        <v>349</v>
      </c>
      <c r="I155" s="221"/>
      <c r="J155" s="221"/>
      <c r="K155" s="54">
        <f>-ROUND(D155,2)</f>
        <v>56.99</v>
      </c>
      <c r="L155" s="206"/>
    </row>
    <row r="156" ht="15" spans="1:12">
      <c r="A156" s="653" t="str">
        <f t="shared" si="23"/>
        <v>2021.09月</v>
      </c>
      <c r="B156" s="284" t="s">
        <v>352</v>
      </c>
      <c r="C156" s="308" t="s">
        <v>347</v>
      </c>
      <c r="D156" s="528">
        <f>D155</f>
        <v>-56.99</v>
      </c>
      <c r="E156" s="490" t="str">
        <f t="shared" si="24"/>
        <v>2021.09月英国xy_sanitaryware_XYSA Ebay（国际单）Ebay流水汇兑损益-56.99</v>
      </c>
      <c r="F156" s="197"/>
      <c r="G156" s="240" t="s">
        <v>261</v>
      </c>
      <c r="H156" s="240" t="s">
        <v>262</v>
      </c>
      <c r="I156" s="197"/>
      <c r="J156" s="197"/>
      <c r="K156" s="241"/>
      <c r="L156" s="246">
        <f>K155</f>
        <v>56.99</v>
      </c>
    </row>
    <row r="161" spans="2:3">
      <c r="B161" s="48" t="s">
        <v>353</v>
      </c>
      <c r="C161" s="48" t="s">
        <v>354</v>
      </c>
    </row>
    <row r="162" spans="2:3">
      <c r="B162" s="48" t="s">
        <v>355</v>
      </c>
      <c r="C162" s="48" t="s">
        <v>356</v>
      </c>
    </row>
    <row r="163" spans="2:3">
      <c r="B163" s="48" t="s">
        <v>357</v>
      </c>
      <c r="C163" s="48" t="s">
        <v>358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53"/>
  <sheetViews>
    <sheetView topLeftCell="A19" workbookViewId="0">
      <selection activeCell="P49" sqref="P25:Q26 P31:Q32 P37:Q38 P43:Q44 P49:Q50"/>
    </sheetView>
  </sheetViews>
  <sheetFormatPr defaultColWidth="9" defaultRowHeight="13.5"/>
  <cols>
    <col min="4" max="4" width="12.625" customWidth="1"/>
    <col min="6" max="6" width="10.875" customWidth="1"/>
    <col min="7" max="7" width="18.5" customWidth="1"/>
    <col min="8" max="8" width="10.5" customWidth="1"/>
    <col min="9" max="9" width="10.375" customWidth="1"/>
    <col min="10" max="10" width="11.875" customWidth="1"/>
    <col min="11" max="11" width="11.125" customWidth="1"/>
    <col min="12" max="12" width="11.875" customWidth="1"/>
    <col min="13" max="13" width="11.125" customWidth="1"/>
    <col min="14" max="14" width="11.625" customWidth="1"/>
    <col min="15" max="15" width="11.125" customWidth="1"/>
    <col min="16" max="16" width="17.625" customWidth="1"/>
    <col min="17" max="17" width="12.625" customWidth="1"/>
    <col min="18" max="18" width="11.875" customWidth="1"/>
    <col min="19" max="20" width="11" customWidth="1"/>
    <col min="29" max="29" width="9.25"/>
  </cols>
  <sheetData>
    <row r="1" customFormat="1" spans="6:16">
      <c r="F1" t="s">
        <v>7</v>
      </c>
      <c r="G1" t="s">
        <v>166</v>
      </c>
      <c r="J1" t="s">
        <v>79</v>
      </c>
      <c r="M1" t="s">
        <v>15</v>
      </c>
      <c r="P1" t="s">
        <v>3</v>
      </c>
    </row>
    <row r="2" ht="76.5" spans="1:31">
      <c r="A2" s="422"/>
      <c r="B2" s="422"/>
      <c r="C2" s="423" t="s">
        <v>359</v>
      </c>
      <c r="D2" s="141"/>
      <c r="E2" s="141"/>
      <c r="F2" s="141"/>
      <c r="G2" s="141"/>
      <c r="H2" s="141"/>
      <c r="I2" s="141"/>
      <c r="J2" s="141"/>
      <c r="K2" s="141"/>
      <c r="L2" s="141"/>
      <c r="M2" s="143"/>
      <c r="N2" s="143"/>
      <c r="O2" s="143"/>
      <c r="P2" s="460" t="s">
        <v>195</v>
      </c>
      <c r="Q2" s="460" t="s">
        <v>195</v>
      </c>
      <c r="R2" s="473" t="s">
        <v>196</v>
      </c>
      <c r="S2" s="473" t="s">
        <v>196</v>
      </c>
      <c r="T2" s="474"/>
      <c r="U2" s="475" t="s">
        <v>227</v>
      </c>
      <c r="V2" s="475" t="s">
        <v>227</v>
      </c>
      <c r="W2" s="475" t="s">
        <v>228</v>
      </c>
      <c r="X2" s="475" t="s">
        <v>228</v>
      </c>
      <c r="Y2" s="481" t="s">
        <v>197</v>
      </c>
      <c r="Z2" s="475" t="s">
        <v>197</v>
      </c>
      <c r="AA2" s="475" t="s">
        <v>198</v>
      </c>
      <c r="AB2" s="475" t="s">
        <v>198</v>
      </c>
      <c r="AC2" s="475" t="s">
        <v>199</v>
      </c>
      <c r="AD2" s="475" t="s">
        <v>199</v>
      </c>
      <c r="AE2" s="422"/>
    </row>
    <row r="3" ht="25.5" spans="1:31">
      <c r="A3" s="422" t="s">
        <v>359</v>
      </c>
      <c r="B3" s="644" t="s">
        <v>142</v>
      </c>
      <c r="C3" s="424" t="s">
        <v>4</v>
      </c>
      <c r="D3" s="425" t="s">
        <v>5</v>
      </c>
      <c r="E3" s="450" t="s">
        <v>165</v>
      </c>
      <c r="F3" s="425" t="s">
        <v>7</v>
      </c>
      <c r="G3" s="450" t="s">
        <v>166</v>
      </c>
      <c r="H3" s="450" t="s">
        <v>167</v>
      </c>
      <c r="I3" s="438" t="s">
        <v>200</v>
      </c>
      <c r="J3" s="438" t="s">
        <v>79</v>
      </c>
      <c r="K3" s="425" t="s">
        <v>11</v>
      </c>
      <c r="L3" s="438" t="s">
        <v>12</v>
      </c>
      <c r="M3" s="461" t="s">
        <v>201</v>
      </c>
      <c r="N3" s="462" t="s">
        <v>195</v>
      </c>
      <c r="O3" s="463" t="s">
        <v>202</v>
      </c>
      <c r="P3" s="440" t="s">
        <v>141</v>
      </c>
      <c r="Q3" s="476" t="s">
        <v>14</v>
      </c>
      <c r="R3" s="440" t="s">
        <v>141</v>
      </c>
      <c r="S3" s="440" t="s">
        <v>14</v>
      </c>
      <c r="T3" s="477" t="s">
        <v>12</v>
      </c>
      <c r="U3" s="478" t="s">
        <v>141</v>
      </c>
      <c r="V3" s="479" t="s">
        <v>14</v>
      </c>
      <c r="W3" s="478" t="s">
        <v>141</v>
      </c>
      <c r="X3" s="479" t="s">
        <v>14</v>
      </c>
      <c r="Y3" s="478" t="s">
        <v>141</v>
      </c>
      <c r="Z3" s="479" t="s">
        <v>14</v>
      </c>
      <c r="AA3" s="478" t="s">
        <v>141</v>
      </c>
      <c r="AB3" s="479" t="s">
        <v>14</v>
      </c>
      <c r="AC3" s="478" t="s">
        <v>141</v>
      </c>
      <c r="AD3" s="479" t="s">
        <v>14</v>
      </c>
      <c r="AE3" s="477" t="s">
        <v>12</v>
      </c>
    </row>
    <row r="4" spans="1:31">
      <c r="A4" s="422" t="s">
        <v>359</v>
      </c>
      <c r="B4" s="644" t="s">
        <v>273</v>
      </c>
      <c r="C4" s="427" t="s">
        <v>17</v>
      </c>
      <c r="D4" s="141">
        <v>-155.11</v>
      </c>
      <c r="E4" s="141">
        <v>0</v>
      </c>
      <c r="F4" s="141">
        <v>-129.258333333333</v>
      </c>
      <c r="G4" s="141">
        <v>-1.85</v>
      </c>
      <c r="H4" s="141"/>
      <c r="I4" s="141"/>
      <c r="J4" s="141">
        <v>6.46291666666667</v>
      </c>
      <c r="K4" s="141">
        <v>-124.645416666667</v>
      </c>
      <c r="L4" s="428"/>
      <c r="M4" s="143">
        <v>53.53</v>
      </c>
      <c r="N4" s="143">
        <v>0</v>
      </c>
      <c r="O4" s="143">
        <v>0</v>
      </c>
      <c r="P4" s="464">
        <v>-12</v>
      </c>
      <c r="Q4" s="464">
        <v>0</v>
      </c>
      <c r="R4" s="480">
        <v>-196.64</v>
      </c>
      <c r="S4" s="480">
        <v>0</v>
      </c>
      <c r="T4" s="466">
        <v>-155.11</v>
      </c>
      <c r="U4" s="480">
        <v>0</v>
      </c>
      <c r="V4" s="480">
        <v>0</v>
      </c>
      <c r="W4" s="464">
        <v>0</v>
      </c>
      <c r="X4" s="480">
        <v>0</v>
      </c>
      <c r="Y4" s="480">
        <v>0</v>
      </c>
      <c r="Z4" s="480">
        <v>0</v>
      </c>
      <c r="AA4" s="464">
        <v>0</v>
      </c>
      <c r="AB4" s="480">
        <v>0</v>
      </c>
      <c r="AC4" s="480">
        <v>0</v>
      </c>
      <c r="AD4" s="480">
        <v>0</v>
      </c>
      <c r="AE4" s="466">
        <v>0</v>
      </c>
    </row>
    <row r="5" spans="1:31">
      <c r="A5" s="422" t="s">
        <v>359</v>
      </c>
      <c r="B5" s="644" t="s">
        <v>273</v>
      </c>
      <c r="C5" s="427" t="s">
        <v>18</v>
      </c>
      <c r="D5" s="141">
        <v>0</v>
      </c>
      <c r="E5" s="141">
        <v>0</v>
      </c>
      <c r="F5" s="141">
        <v>0</v>
      </c>
      <c r="G5" s="141">
        <v>0</v>
      </c>
      <c r="H5" s="141"/>
      <c r="I5" s="141"/>
      <c r="J5" s="141">
        <v>0</v>
      </c>
      <c r="K5" s="141">
        <v>0</v>
      </c>
      <c r="L5" s="428"/>
      <c r="M5" s="143">
        <v>0</v>
      </c>
      <c r="N5" s="143">
        <v>0</v>
      </c>
      <c r="O5" s="143">
        <v>0</v>
      </c>
      <c r="P5" s="464">
        <v>0</v>
      </c>
      <c r="Q5" s="464">
        <v>0</v>
      </c>
      <c r="R5" s="480">
        <v>0</v>
      </c>
      <c r="S5" s="480">
        <v>0</v>
      </c>
      <c r="T5" s="466">
        <v>0</v>
      </c>
      <c r="U5" s="480">
        <v>0</v>
      </c>
      <c r="V5" s="480">
        <v>0</v>
      </c>
      <c r="W5" s="464">
        <v>0</v>
      </c>
      <c r="X5" s="480">
        <v>0</v>
      </c>
      <c r="Y5" s="480">
        <v>0</v>
      </c>
      <c r="Z5" s="480">
        <v>0</v>
      </c>
      <c r="AA5" s="464">
        <v>0</v>
      </c>
      <c r="AB5" s="480">
        <v>0</v>
      </c>
      <c r="AC5" s="480">
        <v>0</v>
      </c>
      <c r="AD5" s="480">
        <v>0</v>
      </c>
      <c r="AE5" s="466">
        <v>0</v>
      </c>
    </row>
    <row r="6" spans="1:31">
      <c r="A6" s="422" t="s">
        <v>359</v>
      </c>
      <c r="B6" s="644" t="s">
        <v>273</v>
      </c>
      <c r="C6" s="427" t="s">
        <v>19</v>
      </c>
      <c r="D6" s="141">
        <v>0</v>
      </c>
      <c r="E6" s="141">
        <v>0</v>
      </c>
      <c r="F6" s="141">
        <v>0</v>
      </c>
      <c r="G6" s="141">
        <v>0</v>
      </c>
      <c r="H6" s="141"/>
      <c r="I6" s="141"/>
      <c r="J6" s="141">
        <v>0</v>
      </c>
      <c r="K6" s="141">
        <v>0</v>
      </c>
      <c r="L6" s="428"/>
      <c r="M6" s="143">
        <v>0</v>
      </c>
      <c r="N6" s="143">
        <v>0</v>
      </c>
      <c r="O6" s="143">
        <v>0</v>
      </c>
      <c r="P6" s="464">
        <v>0</v>
      </c>
      <c r="Q6" s="464">
        <v>0</v>
      </c>
      <c r="R6" s="480">
        <v>0</v>
      </c>
      <c r="S6" s="480">
        <v>0</v>
      </c>
      <c r="T6" s="466">
        <v>0</v>
      </c>
      <c r="U6" s="480">
        <v>0</v>
      </c>
      <c r="V6" s="480">
        <v>0</v>
      </c>
      <c r="W6" s="464">
        <v>0</v>
      </c>
      <c r="X6" s="480">
        <v>0</v>
      </c>
      <c r="Y6" s="480">
        <v>0</v>
      </c>
      <c r="Z6" s="480">
        <v>0</v>
      </c>
      <c r="AA6" s="464">
        <v>0</v>
      </c>
      <c r="AB6" s="480">
        <v>0</v>
      </c>
      <c r="AC6" s="480">
        <v>0</v>
      </c>
      <c r="AD6" s="480">
        <v>0</v>
      </c>
      <c r="AE6" s="466">
        <v>0</v>
      </c>
    </row>
    <row r="7" spans="1:31">
      <c r="A7" s="422" t="s">
        <v>359</v>
      </c>
      <c r="B7" s="644" t="s">
        <v>273</v>
      </c>
      <c r="C7" s="427" t="s">
        <v>20</v>
      </c>
      <c r="D7" s="141">
        <v>0</v>
      </c>
      <c r="E7" s="141">
        <v>0</v>
      </c>
      <c r="F7" s="141">
        <v>0</v>
      </c>
      <c r="G7" s="141">
        <v>0</v>
      </c>
      <c r="H7" s="141"/>
      <c r="I7" s="141"/>
      <c r="J7" s="141">
        <v>0</v>
      </c>
      <c r="K7" s="141">
        <v>0</v>
      </c>
      <c r="L7" s="428"/>
      <c r="M7" s="143">
        <v>0</v>
      </c>
      <c r="N7" s="143">
        <v>0</v>
      </c>
      <c r="O7" s="143">
        <v>0</v>
      </c>
      <c r="P7" s="464">
        <v>0</v>
      </c>
      <c r="Q7" s="464">
        <v>0</v>
      </c>
      <c r="R7" s="480">
        <v>0</v>
      </c>
      <c r="S7" s="480">
        <v>0</v>
      </c>
      <c r="T7" s="466">
        <v>0</v>
      </c>
      <c r="U7" s="480">
        <v>0</v>
      </c>
      <c r="V7" s="480">
        <v>0</v>
      </c>
      <c r="W7" s="464">
        <v>0</v>
      </c>
      <c r="X7" s="480">
        <v>0</v>
      </c>
      <c r="Y7" s="480">
        <v>0</v>
      </c>
      <c r="Z7" s="480">
        <v>0</v>
      </c>
      <c r="AA7" s="464">
        <v>0</v>
      </c>
      <c r="AB7" s="480">
        <v>0</v>
      </c>
      <c r="AC7" s="480">
        <v>0</v>
      </c>
      <c r="AD7" s="480">
        <v>0</v>
      </c>
      <c r="AE7" s="466">
        <v>0</v>
      </c>
    </row>
    <row r="8" spans="1:31">
      <c r="A8" s="422" t="s">
        <v>359</v>
      </c>
      <c r="B8" s="644" t="s">
        <v>273</v>
      </c>
      <c r="C8" s="427" t="s">
        <v>83</v>
      </c>
      <c r="D8" s="141">
        <v>0</v>
      </c>
      <c r="E8" s="141">
        <v>0</v>
      </c>
      <c r="F8" s="141">
        <v>0</v>
      </c>
      <c r="G8" s="141">
        <v>0</v>
      </c>
      <c r="H8" s="141"/>
      <c r="I8" s="141"/>
      <c r="J8" s="141">
        <v>0</v>
      </c>
      <c r="K8" s="141">
        <v>0</v>
      </c>
      <c r="L8" s="428"/>
      <c r="M8" s="143">
        <v>0</v>
      </c>
      <c r="N8" s="143">
        <v>0</v>
      </c>
      <c r="O8" s="143">
        <v>0</v>
      </c>
      <c r="P8" s="464">
        <v>0</v>
      </c>
      <c r="Q8" s="464">
        <v>0</v>
      </c>
      <c r="R8" s="480">
        <v>0</v>
      </c>
      <c r="S8" s="480">
        <v>0</v>
      </c>
      <c r="T8" s="466">
        <v>0</v>
      </c>
      <c r="U8" s="480">
        <v>0</v>
      </c>
      <c r="V8" s="480">
        <v>0</v>
      </c>
      <c r="W8" s="464">
        <v>0</v>
      </c>
      <c r="X8" s="480">
        <v>0</v>
      </c>
      <c r="Y8" s="480">
        <v>0</v>
      </c>
      <c r="Z8" s="480">
        <v>0</v>
      </c>
      <c r="AA8" s="464">
        <v>0</v>
      </c>
      <c r="AB8" s="480">
        <v>0</v>
      </c>
      <c r="AC8" s="480">
        <v>0</v>
      </c>
      <c r="AD8" s="480">
        <v>0</v>
      </c>
      <c r="AE8" s="466">
        <v>0</v>
      </c>
    </row>
    <row r="9" spans="1:31">
      <c r="A9" s="422"/>
      <c r="B9" s="422"/>
      <c r="C9" s="427"/>
      <c r="D9" s="141"/>
      <c r="E9" s="141"/>
      <c r="F9" s="141"/>
      <c r="G9" s="141"/>
      <c r="H9" s="141"/>
      <c r="I9" s="141"/>
      <c r="J9" s="141"/>
      <c r="K9" s="141"/>
      <c r="L9" s="428"/>
      <c r="M9" s="143"/>
      <c r="N9" s="143"/>
      <c r="O9" s="143"/>
      <c r="P9" s="464"/>
      <c r="Q9" s="464"/>
      <c r="R9" s="480"/>
      <c r="S9" s="480"/>
      <c r="T9" s="466"/>
      <c r="U9" s="480"/>
      <c r="V9" s="480"/>
      <c r="W9" s="464"/>
      <c r="X9" s="480"/>
      <c r="Y9" s="480"/>
      <c r="Z9" s="480"/>
      <c r="AA9" s="464"/>
      <c r="AB9" s="480"/>
      <c r="AC9" s="480"/>
      <c r="AD9" s="480"/>
      <c r="AE9" s="466"/>
    </row>
    <row r="10" spans="1:31">
      <c r="A10" s="422" t="s">
        <v>359</v>
      </c>
      <c r="B10" s="644" t="s">
        <v>273</v>
      </c>
      <c r="C10" s="386" t="s">
        <v>21</v>
      </c>
      <c r="D10" s="428">
        <v>-155.11</v>
      </c>
      <c r="E10" s="428">
        <v>0</v>
      </c>
      <c r="F10" s="428">
        <v>-129.258333333333</v>
      </c>
      <c r="G10" s="428">
        <v>-1.85</v>
      </c>
      <c r="H10" s="428" t="e">
        <v>#DIV/0!</v>
      </c>
      <c r="I10" s="428"/>
      <c r="J10" s="428">
        <v>6.46291666666667</v>
      </c>
      <c r="K10" s="428">
        <v>-124.645416666667</v>
      </c>
      <c r="L10" s="428">
        <v>-156.96</v>
      </c>
      <c r="M10" s="428">
        <v>53.53</v>
      </c>
      <c r="N10" s="428">
        <v>0</v>
      </c>
      <c r="O10" s="428">
        <v>0</v>
      </c>
      <c r="P10" s="428">
        <v>-12</v>
      </c>
      <c r="Q10" s="428">
        <v>0</v>
      </c>
      <c r="R10" s="428">
        <v>-196.64</v>
      </c>
      <c r="S10" s="428">
        <v>0</v>
      </c>
      <c r="T10" s="428">
        <v>-155.11</v>
      </c>
      <c r="U10" s="480">
        <v>0</v>
      </c>
      <c r="V10" s="480">
        <v>0</v>
      </c>
      <c r="W10" s="480">
        <v>0</v>
      </c>
      <c r="X10" s="480">
        <v>0</v>
      </c>
      <c r="Y10" s="480">
        <v>0</v>
      </c>
      <c r="Z10" s="480">
        <v>0</v>
      </c>
      <c r="AA10" s="480">
        <v>190.34</v>
      </c>
      <c r="AB10" s="480">
        <v>0</v>
      </c>
      <c r="AC10" s="480">
        <v>-128.52</v>
      </c>
      <c r="AD10" s="480">
        <v>0</v>
      </c>
      <c r="AE10" s="466">
        <v>61.82</v>
      </c>
    </row>
    <row r="11" spans="1:31">
      <c r="A11" s="422" t="s">
        <v>359</v>
      </c>
      <c r="B11" s="644" t="s">
        <v>273</v>
      </c>
      <c r="C11" s="451" t="s">
        <v>165</v>
      </c>
      <c r="D11" s="141"/>
      <c r="E11" s="141"/>
      <c r="F11" s="141"/>
      <c r="G11" s="141"/>
      <c r="H11" s="141"/>
      <c r="I11" s="465"/>
      <c r="J11" s="141"/>
      <c r="K11" s="645" t="s">
        <v>13</v>
      </c>
      <c r="L11" s="466" t="s">
        <v>165</v>
      </c>
      <c r="M11" s="143">
        <v>0</v>
      </c>
      <c r="N11" s="143">
        <v>0</v>
      </c>
      <c r="O11" s="143">
        <v>0</v>
      </c>
      <c r="P11" s="464">
        <v>0</v>
      </c>
      <c r="Q11" s="464">
        <v>0</v>
      </c>
      <c r="R11" s="480">
        <v>0</v>
      </c>
      <c r="S11" s="480">
        <v>0</v>
      </c>
      <c r="T11" s="466">
        <v>0</v>
      </c>
      <c r="U11" s="480">
        <v>0</v>
      </c>
      <c r="V11" s="480">
        <v>0</v>
      </c>
      <c r="W11" s="464">
        <v>0</v>
      </c>
      <c r="X11" s="480">
        <v>0</v>
      </c>
      <c r="Y11" s="480">
        <v>0</v>
      </c>
      <c r="Z11" s="480">
        <v>0</v>
      </c>
      <c r="AA11" s="464">
        <v>0</v>
      </c>
      <c r="AB11" s="480">
        <v>0</v>
      </c>
      <c r="AC11" s="480">
        <v>0</v>
      </c>
      <c r="AD11" s="480">
        <v>0</v>
      </c>
      <c r="AE11" s="466">
        <v>0</v>
      </c>
    </row>
    <row r="12" customFormat="1"/>
    <row r="13" customFormat="1" spans="1:1">
      <c r="A13" s="643" t="str">
        <f>B6</f>
        <v>2021.05月</v>
      </c>
    </row>
    <row r="14" customFormat="1" spans="1:1">
      <c r="A14" t="s">
        <v>359</v>
      </c>
    </row>
    <row r="15" customFormat="1" ht="14.25"/>
    <row r="16" customFormat="1" ht="14.25" spans="2:14">
      <c r="B16" s="452" t="s">
        <v>15</v>
      </c>
      <c r="C16" s="453" t="str">
        <f>$A$13&amp;$A$14&amp;"："&amp;B16</f>
        <v>2021.05月Excellent Paypal流水：order</v>
      </c>
      <c r="D16" s="453"/>
      <c r="E16" s="453"/>
      <c r="F16" s="453"/>
      <c r="G16" s="431" t="str">
        <f>INDEX(P:P,MATCH("order",$P:$P,0)+1)</f>
        <v>1122.001.014</v>
      </c>
      <c r="H16" s="431" t="str">
        <f>INDEX(Q:Q,MATCH("order",$P:$P,0)+1)</f>
        <v>应收 Excellent Paypal流水</v>
      </c>
      <c r="I16" s="467"/>
      <c r="J16" s="453"/>
      <c r="K16" s="453"/>
      <c r="L16" s="453"/>
      <c r="M16" s="315">
        <f>ROUND(SUM(M10:O11),2)</f>
        <v>53.53</v>
      </c>
      <c r="N16" s="316"/>
    </row>
    <row r="17" customFormat="1" ht="15" spans="2:14">
      <c r="B17" s="454" t="s">
        <v>15</v>
      </c>
      <c r="C17" s="455" t="str">
        <f>$A$13&amp;$A$14&amp;"："&amp;B17</f>
        <v>2021.05月Excellent Paypal流水：order</v>
      </c>
      <c r="D17" s="455"/>
      <c r="E17" s="455"/>
      <c r="F17" s="455"/>
      <c r="G17" s="456" t="str">
        <f>INDEX(P:P,MATCH("order",$P:$P,0)+2)</f>
        <v>2203.07.014</v>
      </c>
      <c r="H17" s="456" t="str">
        <f>INDEX(Q:Q,MATCH("order",$P:$P,0)+2)</f>
        <v>预收 Excellent Paypal流水</v>
      </c>
      <c r="I17" s="468"/>
      <c r="J17" s="455"/>
      <c r="K17" s="455"/>
      <c r="L17" s="455"/>
      <c r="M17" s="54"/>
      <c r="N17" s="206">
        <f>M16</f>
        <v>53.53</v>
      </c>
    </row>
    <row r="18" customFormat="1" ht="14.25" spans="1:14">
      <c r="A18" t="s">
        <v>18</v>
      </c>
      <c r="B18" s="144" t="s">
        <v>15</v>
      </c>
      <c r="C18" s="145" t="str">
        <f>$A$13&amp;$A$14&amp;"("&amp;$A18&amp;")："&amp;B18</f>
        <v>2021.05月Excellent Paypal流水(镜柜)：order</v>
      </c>
      <c r="D18" s="291"/>
      <c r="E18" s="291"/>
      <c r="F18" s="291"/>
      <c r="G18" s="431" t="str">
        <f>INDEX(P:P,MATCH("order",$P:$P,0)+2)</f>
        <v>2203.07.014</v>
      </c>
      <c r="H18" s="431" t="str">
        <f>INDEX(Q:Q,MATCH("order",$P:$P,0)+2)</f>
        <v>预收 Excellent Paypal流水</v>
      </c>
      <c r="I18" s="469"/>
      <c r="J18" s="291"/>
      <c r="K18" s="291"/>
      <c r="L18" s="291"/>
      <c r="M18" s="172">
        <f ca="1">ROUND(SUM(OFFSET($A$1,MATCH($A18,$C$1:$C$11,0)-1,MATCH($B18,$1:$1,0)-1,,3))+OFFSET($A$1,MATCH($A18,$C$1:$C$11,0)-1,MATCH($B18,$1:$1,0)-1-8),2)</f>
        <v>0</v>
      </c>
      <c r="N18" s="204"/>
    </row>
    <row r="19" customFormat="1" ht="14.25" spans="1:14">
      <c r="A19" t="s">
        <v>18</v>
      </c>
      <c r="B19" s="148" t="s">
        <v>7</v>
      </c>
      <c r="C19" s="149" t="str">
        <f>$A$13&amp;$A$14&amp;"("&amp;$A19&amp;")："&amp;B19</f>
        <v>2021.05月Excellent Paypal流水(镜柜)：不含税</v>
      </c>
      <c r="D19" s="457"/>
      <c r="E19" s="457"/>
      <c r="F19" s="457"/>
      <c r="G19" s="456" t="str">
        <f>INDEX(P:P,MATCH($A19,$P:$P,0)+1)</f>
        <v>1221.86</v>
      </c>
      <c r="H19" s="456" t="str">
        <f>INDEX(Q:Q,MATCH($A19,$P:$P,0)+1)</f>
        <v>其他应收款 - 事业部</v>
      </c>
      <c r="I19" s="470"/>
      <c r="J19" s="471"/>
      <c r="K19" s="471"/>
      <c r="L19" s="471"/>
      <c r="M19" s="456"/>
      <c r="N19" s="150">
        <f ca="1">ROUND(SUM(OFFSET($A$1,MATCH($A19,$C$1:$C$11,0)-1,MATCH($B19,$1:$1,0)-1)),2)</f>
        <v>0</v>
      </c>
    </row>
    <row r="20" customFormat="1" ht="14.25" spans="1:16">
      <c r="A20" t="s">
        <v>18</v>
      </c>
      <c r="B20" s="148" t="s">
        <v>31</v>
      </c>
      <c r="C20" s="149" t="str">
        <f>$A$13&amp;$A$14&amp;"("&amp;$A20&amp;")："&amp;B20</f>
        <v>2021.05月Excellent Paypal流水(镜柜)：税金</v>
      </c>
      <c r="D20" s="457"/>
      <c r="E20" s="457"/>
      <c r="F20" s="457"/>
      <c r="G20" s="456" t="str">
        <f>INDEX(P:P,MATCH("order",$P:$P,0)+3)</f>
        <v>2221</v>
      </c>
      <c r="H20" s="456" t="str">
        <f>INDEX(Q:Q,MATCH("order",$P:$P,0)+3)</f>
        <v>应交税费</v>
      </c>
      <c r="I20" s="457"/>
      <c r="J20" s="472"/>
      <c r="K20" s="472"/>
      <c r="L20" s="472"/>
      <c r="M20" s="456"/>
      <c r="N20" s="151">
        <f ca="1">ROUND(N19*0.2,2)</f>
        <v>0</v>
      </c>
      <c r="P20" t="s">
        <v>15</v>
      </c>
    </row>
    <row r="21" customFormat="1" ht="14.25" spans="1:17">
      <c r="A21" t="s">
        <v>18</v>
      </c>
      <c r="B21" s="148" t="s">
        <v>3</v>
      </c>
      <c r="C21" s="149" t="str">
        <f t="shared" ref="C21:C49" si="0">$A$13&amp;$A$14&amp;"("&amp;$A21&amp;")："&amp;B21</f>
        <v>2021.05月Excellent Paypal流水(镜柜)：refund</v>
      </c>
      <c r="D21" s="457"/>
      <c r="E21" s="457"/>
      <c r="F21" s="457"/>
      <c r="G21" s="456" t="str">
        <f>INDEX(P:P,MATCH("order",$P:$P,0)+1)</f>
        <v>1122.001.014</v>
      </c>
      <c r="H21" s="456" t="str">
        <f>INDEX(Q:Q,MATCH("order",$P:$P,0)+1)</f>
        <v>应收 Excellent Paypal流水</v>
      </c>
      <c r="I21" s="457"/>
      <c r="J21" s="472"/>
      <c r="K21" s="472"/>
      <c r="L21" s="472"/>
      <c r="M21" s="73"/>
      <c r="N21" s="150">
        <f ca="1">ROUND(-SUM(OFFSET($A$1,MATCH($A21,$C$1:$C$11,0)-1,MATCH($B21,$1:$1,0)-1,,4)),2)</f>
        <v>0</v>
      </c>
      <c r="P21" t="s">
        <v>360</v>
      </c>
      <c r="Q21" t="s">
        <v>361</v>
      </c>
    </row>
    <row r="22" customFormat="1" ht="14.25" spans="1:17">
      <c r="A22" t="s">
        <v>18</v>
      </c>
      <c r="B22" s="148" t="s">
        <v>166</v>
      </c>
      <c r="C22" s="149" t="str">
        <f t="shared" si="0"/>
        <v>2021.05月Excellent Paypal流水(镜柜)：手续费</v>
      </c>
      <c r="D22" s="457"/>
      <c r="E22" s="457"/>
      <c r="F22" s="457"/>
      <c r="G22" s="456" t="str">
        <f>INDEX(P:P,MATCH($A22,$P:$P,0)+3)</f>
        <v>6603.002.01.03</v>
      </c>
      <c r="H22" s="456" t="str">
        <f>INDEX(Q:Q,MATCH($A22,$P:$P,0)+3)</f>
        <v>财务费用 - 收款平台手续费 - Paypal手续费 - 镜柜事业部-paypal手续费</v>
      </c>
      <c r="I22" s="457"/>
      <c r="J22" s="472"/>
      <c r="K22" s="472"/>
      <c r="L22" s="472"/>
      <c r="M22" s="71">
        <f ca="1">ROUND(SUM(OFFSET($A$1,MATCH($A22,$C$1:$C$11,0)-1,MATCH($B22,$1:$1,0)-1,,2)),2)</f>
        <v>0</v>
      </c>
      <c r="N22" s="151"/>
      <c r="P22" t="s">
        <v>362</v>
      </c>
      <c r="Q22" t="s">
        <v>363</v>
      </c>
    </row>
    <row r="23" customFormat="1" ht="14.25" spans="1:17">
      <c r="A23" t="s">
        <v>18</v>
      </c>
      <c r="B23" s="148" t="s">
        <v>166</v>
      </c>
      <c r="C23" s="149" t="str">
        <f t="shared" si="0"/>
        <v>2021.05月Excellent Paypal流水(镜柜)：手续费</v>
      </c>
      <c r="D23" s="457"/>
      <c r="E23" s="457"/>
      <c r="F23" s="457"/>
      <c r="G23" s="456" t="str">
        <f>INDEX(P:P,MATCH($A23,$P:$P,0)+1)</f>
        <v>1221.86</v>
      </c>
      <c r="H23" s="456" t="str">
        <f>INDEX(Q:Q,MATCH($A23,$P:$P,0)+1)</f>
        <v>其他应收款 - 事业部</v>
      </c>
      <c r="I23" s="457"/>
      <c r="J23" s="472"/>
      <c r="K23" s="472"/>
      <c r="L23" s="472"/>
      <c r="M23" s="73">
        <f ca="1">-M22</f>
        <v>0</v>
      </c>
      <c r="N23" s="150"/>
      <c r="P23" t="s">
        <v>32</v>
      </c>
      <c r="Q23" t="s">
        <v>33</v>
      </c>
    </row>
    <row r="24" customFormat="1" ht="14.25" spans="1:14">
      <c r="A24" t="s">
        <v>18</v>
      </c>
      <c r="B24" s="148" t="s">
        <v>79</v>
      </c>
      <c r="C24" s="149" t="str">
        <f t="shared" si="0"/>
        <v>2021.05月Excellent Paypal流水(镜柜)：营运费5%：</v>
      </c>
      <c r="D24" s="457"/>
      <c r="E24" s="457"/>
      <c r="F24" s="457"/>
      <c r="G24" s="456" t="str">
        <f>INDEX(P:P,MATCH($A24,$P:$P,0)+4)</f>
        <v>6601.006.002</v>
      </c>
      <c r="H24" s="456" t="str">
        <f>INDEX(Q:Q,MATCH($A24,$P:$P,0)+4)</f>
        <v>销售费用 - 事业部营运费 - 镜柜事业部-营运费</v>
      </c>
      <c r="I24" s="457"/>
      <c r="J24" s="472"/>
      <c r="K24" s="472"/>
      <c r="L24" s="472"/>
      <c r="M24" s="71">
        <f ca="1">ROUND(SUM(OFFSET($A$1,MATCH($A24,$C$1:$C$11,0)-1,MATCH($B24,$1:$1,0)-1)),2)</f>
        <v>0</v>
      </c>
      <c r="N24" s="151"/>
    </row>
    <row r="25" customFormat="1" ht="15" spans="1:16">
      <c r="A25" t="s">
        <v>18</v>
      </c>
      <c r="B25" s="458" t="s">
        <v>79</v>
      </c>
      <c r="C25" s="162" t="str">
        <f t="shared" si="0"/>
        <v>2021.05月Excellent Paypal流水(镜柜)：营运费5%：</v>
      </c>
      <c r="D25" s="459"/>
      <c r="E25" s="459"/>
      <c r="F25" s="459"/>
      <c r="G25" s="433" t="str">
        <f>INDEX(P:P,MATCH($A25,$P:$P,0)+1)</f>
        <v>1221.86</v>
      </c>
      <c r="H25" s="433" t="str">
        <f>INDEX(Q:Q,MATCH($A25,$P:$P,0)+1)</f>
        <v>其他应收款 - 事业部</v>
      </c>
      <c r="I25" s="459"/>
      <c r="J25" s="294"/>
      <c r="K25" s="294"/>
      <c r="L25" s="294"/>
      <c r="M25" s="404">
        <f ca="1">-M24</f>
        <v>0</v>
      </c>
      <c r="N25" s="445"/>
      <c r="P25" t="s">
        <v>83</v>
      </c>
    </row>
    <row r="26" customFormat="1" ht="14.25" spans="1:17">
      <c r="A26" t="s">
        <v>20</v>
      </c>
      <c r="B26" s="144" t="s">
        <v>15</v>
      </c>
      <c r="C26" s="145" t="str">
        <f t="shared" si="0"/>
        <v>2021.05月Excellent Paypal流水(五金)：order</v>
      </c>
      <c r="D26" s="291"/>
      <c r="E26" s="291"/>
      <c r="F26" s="291"/>
      <c r="G26" s="431" t="str">
        <f>INDEX(P:P,MATCH("order",$P:$P,0)+2)</f>
        <v>2203.07.014</v>
      </c>
      <c r="H26" s="431" t="str">
        <f>INDEX(Q:Q,MATCH("order",$P:$P,0)+2)</f>
        <v>预收 Excellent Paypal流水</v>
      </c>
      <c r="I26" s="469"/>
      <c r="J26" s="291"/>
      <c r="K26" s="291"/>
      <c r="L26" s="291"/>
      <c r="M26" s="172">
        <f ca="1">ROUND(SUM(OFFSET($A$1,MATCH($A26,$C$1:$C$11,0)-1,MATCH($B26,$1:$1,0)-1,,3))+OFFSET($A$1,MATCH($A26,$C$1:$C$11,0)-1,MATCH($B26,$1:$1,0)-1-8),2)</f>
        <v>0</v>
      </c>
      <c r="N26" s="204"/>
      <c r="P26" t="s">
        <v>121</v>
      </c>
      <c r="Q26" t="s">
        <v>122</v>
      </c>
    </row>
    <row r="27" customFormat="1" ht="14.25" spans="1:17">
      <c r="A27" t="s">
        <v>20</v>
      </c>
      <c r="B27" s="148" t="s">
        <v>7</v>
      </c>
      <c r="C27" s="149" t="str">
        <f t="shared" si="0"/>
        <v>2021.05月Excellent Paypal流水(五金)：不含税</v>
      </c>
      <c r="D27" s="457"/>
      <c r="E27" s="457"/>
      <c r="F27" s="457"/>
      <c r="G27" s="456" t="str">
        <f>INDEX(P:P,MATCH($A27,$P:$P,0)+1)</f>
        <v>1221.60</v>
      </c>
      <c r="H27" s="456" t="str">
        <f>INDEX(Q:Q,MATCH($A27,$P:$P,0)+1)</f>
        <v>其他应收款 - 拓展部五金部</v>
      </c>
      <c r="I27" s="470"/>
      <c r="J27" s="471"/>
      <c r="K27" s="471"/>
      <c r="L27" s="471"/>
      <c r="M27" s="456"/>
      <c r="N27" s="150">
        <f ca="1">ROUND(SUM(OFFSET($A$1,MATCH($A27,$C$1:$C$11,0)-1,MATCH($B27,$1:$1,0)-1)),2)</f>
        <v>0</v>
      </c>
      <c r="P27" t="s">
        <v>123</v>
      </c>
      <c r="Q27" t="s">
        <v>220</v>
      </c>
    </row>
    <row r="28" customFormat="1" ht="14.25" spans="1:17">
      <c r="A28" t="s">
        <v>20</v>
      </c>
      <c r="B28" s="148" t="s">
        <v>31</v>
      </c>
      <c r="C28" s="149" t="str">
        <f t="shared" si="0"/>
        <v>2021.05月Excellent Paypal流水(五金)：税金</v>
      </c>
      <c r="D28" s="457"/>
      <c r="E28" s="457"/>
      <c r="F28" s="457"/>
      <c r="G28" s="456" t="str">
        <f>INDEX(P:P,MATCH("order",$P:$P,0)+3)</f>
        <v>2221</v>
      </c>
      <c r="H28" s="456" t="str">
        <f>INDEX(Q:Q,MATCH("order",$P:$P,0)+3)</f>
        <v>应交税费</v>
      </c>
      <c r="I28" s="457"/>
      <c r="J28" s="472"/>
      <c r="K28" s="472"/>
      <c r="L28" s="472"/>
      <c r="M28" s="456"/>
      <c r="N28" s="151">
        <f ca="1">ROUND(N27*0.2,2)</f>
        <v>0</v>
      </c>
      <c r="P28" t="s">
        <v>221</v>
      </c>
      <c r="Q28" t="s">
        <v>222</v>
      </c>
    </row>
    <row r="29" customFormat="1" ht="14.25" spans="1:17">
      <c r="A29" t="s">
        <v>20</v>
      </c>
      <c r="B29" s="148" t="s">
        <v>3</v>
      </c>
      <c r="C29" s="149" t="str">
        <f t="shared" si="0"/>
        <v>2021.05月Excellent Paypal流水(五金)：refund</v>
      </c>
      <c r="D29" s="457"/>
      <c r="E29" s="457"/>
      <c r="F29" s="457"/>
      <c r="G29" s="456" t="str">
        <f>INDEX(P:P,MATCH("order",$P:$P,0)+1)</f>
        <v>1122.001.014</v>
      </c>
      <c r="H29" s="456" t="str">
        <f>INDEX(Q:Q,MATCH("order",$P:$P,0)+1)</f>
        <v>应收 Excellent Paypal流水</v>
      </c>
      <c r="I29" s="457"/>
      <c r="J29" s="472"/>
      <c r="K29" s="472"/>
      <c r="L29" s="472"/>
      <c r="M29" s="73"/>
      <c r="N29" s="150">
        <f ca="1">ROUND(-SUM(OFFSET($A$1,MATCH($A29,$C$1:$C$11,0)-1,MATCH($B29,$1:$1,0)-1,,4)),2)</f>
        <v>0</v>
      </c>
      <c r="P29" t="s">
        <v>125</v>
      </c>
      <c r="Q29" t="s">
        <v>223</v>
      </c>
    </row>
    <row r="30" customFormat="1" ht="14.25" spans="1:14">
      <c r="A30" t="s">
        <v>20</v>
      </c>
      <c r="B30" s="148" t="s">
        <v>166</v>
      </c>
      <c r="C30" s="149" t="str">
        <f t="shared" si="0"/>
        <v>2021.05月Excellent Paypal流水(五金)：手续费</v>
      </c>
      <c r="D30" s="457"/>
      <c r="E30" s="457"/>
      <c r="F30" s="457"/>
      <c r="G30" s="456" t="str">
        <f>INDEX(P:P,MATCH($A30,$P:$P,0)+3)</f>
        <v>6603.002.01.02</v>
      </c>
      <c r="H30" s="456" t="str">
        <f>INDEX(Q:Q,MATCH($A30,$P:$P,0)+3)</f>
        <v>财务费用 - 收款平台手续费 - Paypal手续费 - 五金事业部-paypal手续费</v>
      </c>
      <c r="I30" s="457"/>
      <c r="J30" s="472"/>
      <c r="K30" s="472"/>
      <c r="L30" s="472"/>
      <c r="M30" s="71">
        <f ca="1">ROUND(SUM(OFFSET($A$1,MATCH($A30,$C$1:$C$11,0)-1,MATCH($B30,$1:$1,0)-1,,2)),2)</f>
        <v>0</v>
      </c>
      <c r="N30" s="151"/>
    </row>
    <row r="31" customFormat="1" ht="14.25" spans="1:16">
      <c r="A31" t="s">
        <v>20</v>
      </c>
      <c r="B31" s="148" t="s">
        <v>166</v>
      </c>
      <c r="C31" s="149" t="str">
        <f t="shared" si="0"/>
        <v>2021.05月Excellent Paypal流水(五金)：手续费</v>
      </c>
      <c r="D31" s="457"/>
      <c r="E31" s="457"/>
      <c r="F31" s="457"/>
      <c r="G31" s="456" t="str">
        <f>INDEX(P:P,MATCH($A31,$P:$P,0)+1)</f>
        <v>1221.60</v>
      </c>
      <c r="H31" s="456" t="str">
        <f>INDEX(Q:Q,MATCH($A31,$P:$P,0)+1)</f>
        <v>其他应收款 - 拓展部五金部</v>
      </c>
      <c r="I31" s="457"/>
      <c r="J31" s="472"/>
      <c r="K31" s="472"/>
      <c r="L31" s="472"/>
      <c r="M31" s="73">
        <f ca="1">-M30</f>
        <v>0</v>
      </c>
      <c r="N31" s="150"/>
      <c r="P31" t="s">
        <v>19</v>
      </c>
    </row>
    <row r="32" customFormat="1" ht="14.25" spans="1:17">
      <c r="A32" t="s">
        <v>20</v>
      </c>
      <c r="B32" s="148" t="s">
        <v>79</v>
      </c>
      <c r="C32" s="149" t="str">
        <f t="shared" si="0"/>
        <v>2021.05月Excellent Paypal流水(五金)：营运费5%：</v>
      </c>
      <c r="D32" s="457"/>
      <c r="E32" s="457"/>
      <c r="F32" s="457"/>
      <c r="G32" s="456" t="str">
        <f>INDEX(P:P,MATCH($A32,$P:$P,0)+4)</f>
        <v>6601.006.001</v>
      </c>
      <c r="H32" s="456" t="str">
        <f>INDEX(Q:Q,MATCH($A32,$P:$P,0)+4)</f>
        <v>销售费用 - 事业部营运费 - 五金事业部-营运费</v>
      </c>
      <c r="I32" s="457"/>
      <c r="J32" s="472"/>
      <c r="K32" s="472"/>
      <c r="L32" s="472"/>
      <c r="M32" s="71">
        <f ca="1">ROUND(SUM(OFFSET($A$1,MATCH($A32,$C$1:$C$11,0)-1,MATCH($B32,$1:$1,0)-1)),2)</f>
        <v>0</v>
      </c>
      <c r="N32" s="151"/>
      <c r="P32" t="s">
        <v>71</v>
      </c>
      <c r="Q32" t="s">
        <v>72</v>
      </c>
    </row>
    <row r="33" customFormat="1" ht="26" customHeight="1" spans="1:17">
      <c r="A33" t="s">
        <v>20</v>
      </c>
      <c r="B33" s="458" t="s">
        <v>79</v>
      </c>
      <c r="C33" s="162" t="str">
        <f t="shared" si="0"/>
        <v>2021.05月Excellent Paypal流水(五金)：营运费5%：</v>
      </c>
      <c r="D33" s="459"/>
      <c r="E33" s="459"/>
      <c r="F33" s="459"/>
      <c r="G33" s="433" t="str">
        <f>INDEX(P:P,MATCH($A33,$P:$P,0)+1)</f>
        <v>1221.60</v>
      </c>
      <c r="H33" s="433" t="str">
        <f>INDEX(Q:Q,MATCH($A33,$P:$P,0)+1)</f>
        <v>其他应收款 - 拓展部五金部</v>
      </c>
      <c r="I33" s="459"/>
      <c r="J33" s="294"/>
      <c r="K33" s="294"/>
      <c r="L33" s="294"/>
      <c r="M33" s="404">
        <f ca="1">-M32</f>
        <v>0</v>
      </c>
      <c r="N33" s="445"/>
      <c r="P33" t="s">
        <v>73</v>
      </c>
      <c r="Q33" t="s">
        <v>74</v>
      </c>
    </row>
    <row r="34" customFormat="1" ht="14.25" spans="1:17">
      <c r="A34" t="s">
        <v>19</v>
      </c>
      <c r="B34" s="144" t="s">
        <v>15</v>
      </c>
      <c r="C34" s="145" t="str">
        <f t="shared" si="0"/>
        <v>2021.05月Excellent Paypal流水(水龙头)：order</v>
      </c>
      <c r="D34" s="291"/>
      <c r="E34" s="291"/>
      <c r="F34" s="291"/>
      <c r="G34" s="431" t="str">
        <f>INDEX(P:P,MATCH("order",$P:$P,0)+2)</f>
        <v>2203.07.014</v>
      </c>
      <c r="H34" s="431" t="str">
        <f>INDEX(Q:Q,MATCH("order",$P:$P,0)+2)</f>
        <v>预收 Excellent Paypal流水</v>
      </c>
      <c r="I34" s="469"/>
      <c r="J34" s="291"/>
      <c r="K34" s="291"/>
      <c r="L34" s="291"/>
      <c r="M34" s="172">
        <f ca="1">ROUND(SUM(OFFSET($A$1,MATCH($A34,$C$1:$C$11,0)-1,MATCH($B34,$1:$1,0)-1,,3))+OFFSET($A$1,MATCH($A34,$C$1:$C$11,0)-1,MATCH($B34,$1:$1,0)-1-8),2)</f>
        <v>0</v>
      </c>
      <c r="N34" s="204"/>
      <c r="P34" t="s">
        <v>217</v>
      </c>
      <c r="Q34" t="s">
        <v>218</v>
      </c>
    </row>
    <row r="35" customFormat="1" ht="14.25" spans="1:17">
      <c r="A35" t="s">
        <v>19</v>
      </c>
      <c r="B35" s="148" t="s">
        <v>7</v>
      </c>
      <c r="C35" s="149" t="str">
        <f t="shared" si="0"/>
        <v>2021.05月Excellent Paypal流水(水龙头)：不含税</v>
      </c>
      <c r="D35" s="457"/>
      <c r="E35" s="457"/>
      <c r="F35" s="457"/>
      <c r="G35" s="456" t="str">
        <f>INDEX(P:P,MATCH($A35,$P:$P,0)+1)</f>
        <v>1221.100</v>
      </c>
      <c r="H35" s="456" t="str">
        <f>INDEX(Q:Q,MATCH($A35,$P:$P,0)+1)</f>
        <v>其他应收款 - 拓展部-水龙头</v>
      </c>
      <c r="I35" s="470"/>
      <c r="J35" s="471"/>
      <c r="K35" s="471"/>
      <c r="L35" s="471"/>
      <c r="M35" s="456"/>
      <c r="N35" s="150">
        <f ca="1">ROUND(SUM(OFFSET($A$1,MATCH($A35,$C$1:$C$11,0)-1,MATCH($B35,$1:$1,0)-1)),2)</f>
        <v>0</v>
      </c>
      <c r="P35" t="s">
        <v>75</v>
      </c>
      <c r="Q35" t="s">
        <v>76</v>
      </c>
    </row>
    <row r="36" customFormat="1" ht="14.25" spans="1:14">
      <c r="A36" t="s">
        <v>19</v>
      </c>
      <c r="B36" s="148" t="s">
        <v>31</v>
      </c>
      <c r="C36" s="149" t="str">
        <f t="shared" si="0"/>
        <v>2021.05月Excellent Paypal流水(水龙头)：税金</v>
      </c>
      <c r="D36" s="457"/>
      <c r="E36" s="457"/>
      <c r="F36" s="457"/>
      <c r="G36" s="456" t="str">
        <f>INDEX(P:P,MATCH("order",$P:$P,0)+3)</f>
        <v>2221</v>
      </c>
      <c r="H36" s="456" t="str">
        <f>INDEX(Q:Q,MATCH("order",$P:$P,0)+3)</f>
        <v>应交税费</v>
      </c>
      <c r="I36" s="457"/>
      <c r="J36" s="472"/>
      <c r="K36" s="472"/>
      <c r="L36" s="472"/>
      <c r="M36" s="456"/>
      <c r="N36" s="151">
        <f ca="1">ROUND(N35*0.2,2)</f>
        <v>0</v>
      </c>
    </row>
    <row r="37" customFormat="1" ht="14.25" spans="1:16">
      <c r="A37" t="s">
        <v>19</v>
      </c>
      <c r="B37" s="148" t="s">
        <v>3</v>
      </c>
      <c r="C37" s="149" t="str">
        <f t="shared" si="0"/>
        <v>2021.05月Excellent Paypal流水(水龙头)：refund</v>
      </c>
      <c r="D37" s="457"/>
      <c r="E37" s="457"/>
      <c r="F37" s="457"/>
      <c r="G37" s="456" t="str">
        <f>INDEX(P:P,MATCH("order",$P:$P,0)+1)</f>
        <v>1122.001.014</v>
      </c>
      <c r="H37" s="456" t="str">
        <f>INDEX(Q:Q,MATCH("order",$P:$P,0)+1)</f>
        <v>应收 Excellent Paypal流水</v>
      </c>
      <c r="I37" s="457"/>
      <c r="J37" s="472"/>
      <c r="K37" s="472"/>
      <c r="L37" s="472"/>
      <c r="M37" s="73"/>
      <c r="N37" s="150">
        <f ca="1">ROUND(-SUM(OFFSET($A$1,MATCH($A37,$C$1:$C$11,0)-1,MATCH($B37,$1:$1,0)-1,,4)),2)</f>
        <v>0</v>
      </c>
      <c r="P37" t="s">
        <v>20</v>
      </c>
    </row>
    <row r="38" customFormat="1" ht="14.25" spans="1:17">
      <c r="A38" t="s">
        <v>19</v>
      </c>
      <c r="B38" s="148" t="s">
        <v>166</v>
      </c>
      <c r="C38" s="149" t="str">
        <f t="shared" si="0"/>
        <v>2021.05月Excellent Paypal流水(水龙头)：手续费</v>
      </c>
      <c r="D38" s="457"/>
      <c r="E38" s="457"/>
      <c r="F38" s="457"/>
      <c r="G38" s="456" t="str">
        <f>INDEX(P:P,MATCH($A38,$P:$P,0)+3)</f>
        <v>6603.002.01.04</v>
      </c>
      <c r="H38" s="456" t="str">
        <f>INDEX(Q:Q,MATCH($A38,$P:$P,0)+3)</f>
        <v>财务费用 - 收款平台手续费 - Paypal手续费 - 水龙头事业部-paypal手续费</v>
      </c>
      <c r="I38" s="457"/>
      <c r="J38" s="472"/>
      <c r="K38" s="472"/>
      <c r="L38" s="472"/>
      <c r="M38" s="71">
        <f ca="1">ROUND(SUM(OFFSET($A$1,MATCH($A38,$C$1:$C$11,0)-1,MATCH($B38,$1:$1,0)-1,,2)),2)</f>
        <v>0</v>
      </c>
      <c r="N38" s="151"/>
      <c r="P38" t="s">
        <v>65</v>
      </c>
      <c r="Q38" t="s">
        <v>66</v>
      </c>
    </row>
    <row r="39" customFormat="1" ht="14.25" spans="1:17">
      <c r="A39" t="s">
        <v>19</v>
      </c>
      <c r="B39" s="148" t="s">
        <v>166</v>
      </c>
      <c r="C39" s="149" t="str">
        <f t="shared" si="0"/>
        <v>2021.05月Excellent Paypal流水(水龙头)：手续费</v>
      </c>
      <c r="D39" s="457"/>
      <c r="E39" s="457"/>
      <c r="F39" s="457"/>
      <c r="G39" s="456" t="str">
        <f>INDEX(P:P,MATCH($A39,$P:$P,0)+1)</f>
        <v>1221.100</v>
      </c>
      <c r="H39" s="456" t="str">
        <f>INDEX(Q:Q,MATCH($A39,$P:$P,0)+1)</f>
        <v>其他应收款 - 拓展部-水龙头</v>
      </c>
      <c r="I39" s="457"/>
      <c r="J39" s="472"/>
      <c r="K39" s="472"/>
      <c r="L39" s="472"/>
      <c r="M39" s="73">
        <f ca="1">-M38</f>
        <v>0</v>
      </c>
      <c r="N39" s="150"/>
      <c r="P39" t="s">
        <v>67</v>
      </c>
      <c r="Q39" t="s">
        <v>68</v>
      </c>
    </row>
    <row r="40" customFormat="1" ht="14.25" spans="1:17">
      <c r="A40" t="s">
        <v>19</v>
      </c>
      <c r="B40" s="148" t="s">
        <v>79</v>
      </c>
      <c r="C40" s="149" t="str">
        <f t="shared" si="0"/>
        <v>2021.05月Excellent Paypal流水(水龙头)：营运费5%：</v>
      </c>
      <c r="D40" s="457"/>
      <c r="E40" s="457"/>
      <c r="F40" s="457"/>
      <c r="G40" s="456" t="str">
        <f>INDEX(P:P,MATCH($A40,$P:$P,0)+4)</f>
        <v>6601.006.003</v>
      </c>
      <c r="H40" s="456" t="str">
        <f>INDEX(Q:Q,MATCH($A40,$P:$P,0)+4)</f>
        <v>销售费用 - 事业部营运费 - 水龙头事业部-营运费</v>
      </c>
      <c r="I40" s="457"/>
      <c r="J40" s="472"/>
      <c r="K40" s="472"/>
      <c r="L40" s="472"/>
      <c r="M40" s="71">
        <f ca="1">ROUND(SUM(OFFSET($A$1,MATCH($A40,$C$1:$C$11,0)-1,MATCH($B40,$1:$1,0)-1)),2)</f>
        <v>0</v>
      </c>
      <c r="N40" s="151"/>
      <c r="P40" t="s">
        <v>215</v>
      </c>
      <c r="Q40" t="s">
        <v>216</v>
      </c>
    </row>
    <row r="41" customFormat="1" ht="15" spans="1:17">
      <c r="A41" t="s">
        <v>19</v>
      </c>
      <c r="B41" s="458" t="s">
        <v>79</v>
      </c>
      <c r="C41" s="162" t="str">
        <f t="shared" si="0"/>
        <v>2021.05月Excellent Paypal流水(水龙头)：营运费5%：</v>
      </c>
      <c r="D41" s="459"/>
      <c r="E41" s="459"/>
      <c r="F41" s="459"/>
      <c r="G41" s="433" t="str">
        <f>INDEX(P:P,MATCH($A41,$P:$P,0)+1)</f>
        <v>1221.100</v>
      </c>
      <c r="H41" s="433" t="str">
        <f>INDEX(Q:Q,MATCH($A41,$P:$P,0)+1)</f>
        <v>其他应收款 - 拓展部-水龙头</v>
      </c>
      <c r="I41" s="459"/>
      <c r="J41" s="294"/>
      <c r="K41" s="294"/>
      <c r="L41" s="294"/>
      <c r="M41" s="404">
        <f ca="1">-M40</f>
        <v>0</v>
      </c>
      <c r="N41" s="445"/>
      <c r="P41" t="s">
        <v>69</v>
      </c>
      <c r="Q41" t="s">
        <v>70</v>
      </c>
    </row>
    <row r="42" customFormat="1" ht="14.25" spans="1:14">
      <c r="A42" t="s">
        <v>83</v>
      </c>
      <c r="B42" s="144" t="s">
        <v>15</v>
      </c>
      <c r="C42" s="145" t="str">
        <f t="shared" si="0"/>
        <v>2021.05月Excellent Paypal流水(陶瓷)：order</v>
      </c>
      <c r="D42" s="291"/>
      <c r="E42" s="291"/>
      <c r="F42" s="291"/>
      <c r="G42" s="431" t="str">
        <f>INDEX(P:P,MATCH("order",$P:$P,0)+2)</f>
        <v>2203.07.014</v>
      </c>
      <c r="H42" s="431" t="str">
        <f>INDEX(Q:Q,MATCH("order",$P:$P,0)+2)</f>
        <v>预收 Excellent Paypal流水</v>
      </c>
      <c r="I42" s="469"/>
      <c r="J42" s="291"/>
      <c r="K42" s="291"/>
      <c r="L42" s="291"/>
      <c r="M42" s="172">
        <f ca="1">ROUND(SUM(OFFSET($A$1,MATCH($A42,$C$1:$C$11,0)-1,MATCH($B42,$1:$1,0)-1,,3))+OFFSET($A$1,MATCH($A42,$C$1:$C$11,0)-1,MATCH($B42,$1:$1,0)-1-8),2)</f>
        <v>0</v>
      </c>
      <c r="N42" s="204"/>
    </row>
    <row r="43" customFormat="1" ht="14.25" spans="1:16">
      <c r="A43" t="s">
        <v>83</v>
      </c>
      <c r="B43" s="148" t="s">
        <v>7</v>
      </c>
      <c r="C43" s="149" t="str">
        <f t="shared" si="0"/>
        <v>2021.05月Excellent Paypal流水(陶瓷)：不含税</v>
      </c>
      <c r="D43" s="457"/>
      <c r="E43" s="457"/>
      <c r="F43" s="457"/>
      <c r="G43" s="456" t="str">
        <f>INDEX(P:P,MATCH($A43,$P:$P,0)+1)</f>
        <v>1221.103</v>
      </c>
      <c r="H43" s="456" t="str">
        <f>INDEX(Q:Q,MATCH($A43,$P:$P,0)+1)</f>
        <v>拓展部-陶瓷部</v>
      </c>
      <c r="I43" s="470"/>
      <c r="J43" s="471"/>
      <c r="K43" s="471"/>
      <c r="L43" s="471"/>
      <c r="M43" s="456"/>
      <c r="N43" s="150">
        <f ca="1">ROUND(SUM(OFFSET($A$1,MATCH($A43,$C$1:$C$11,0)-1,MATCH($B43,$1:$1,0)-1)),2)</f>
        <v>0</v>
      </c>
      <c r="P43" t="s">
        <v>18</v>
      </c>
    </row>
    <row r="44" customFormat="1" ht="14.25" spans="1:17">
      <c r="A44" t="s">
        <v>83</v>
      </c>
      <c r="B44" s="148" t="s">
        <v>31</v>
      </c>
      <c r="C44" s="149" t="str">
        <f t="shared" si="0"/>
        <v>2021.05月Excellent Paypal流水(陶瓷)：税金</v>
      </c>
      <c r="D44" s="457"/>
      <c r="E44" s="457"/>
      <c r="F44" s="457"/>
      <c r="G44" s="456" t="str">
        <f>INDEX(P:P,MATCH("order",$P:$P,0)+3)</f>
        <v>2221</v>
      </c>
      <c r="H44" s="456" t="str">
        <f>INDEX(Q:Q,MATCH("order",$P:$P,0)+3)</f>
        <v>应交税费</v>
      </c>
      <c r="I44" s="457"/>
      <c r="J44" s="472"/>
      <c r="K44" s="472"/>
      <c r="L44" s="472"/>
      <c r="M44" s="456"/>
      <c r="N44" s="151">
        <f ca="1">ROUND(N43*0.2,2)</f>
        <v>0</v>
      </c>
      <c r="P44" t="s">
        <v>59</v>
      </c>
      <c r="Q44" t="s">
        <v>60</v>
      </c>
    </row>
    <row r="45" customFormat="1" ht="14.25" spans="1:17">
      <c r="A45" t="s">
        <v>83</v>
      </c>
      <c r="B45" s="148" t="s">
        <v>3</v>
      </c>
      <c r="C45" s="149" t="str">
        <f t="shared" si="0"/>
        <v>2021.05月Excellent Paypal流水(陶瓷)：refund</v>
      </c>
      <c r="D45" s="457"/>
      <c r="E45" s="457"/>
      <c r="F45" s="457"/>
      <c r="G45" s="456" t="str">
        <f>INDEX(P:P,MATCH("order",$P:$P,0)+1)</f>
        <v>1122.001.014</v>
      </c>
      <c r="H45" s="456" t="str">
        <f>INDEX(Q:Q,MATCH("order",$P:$P,0)+1)</f>
        <v>应收 Excellent Paypal流水</v>
      </c>
      <c r="I45" s="457"/>
      <c r="J45" s="472"/>
      <c r="K45" s="472"/>
      <c r="L45" s="472"/>
      <c r="M45" s="73"/>
      <c r="N45" s="150">
        <f ca="1">ROUND(-SUM(OFFSET($A$1,MATCH($A45,$C$1:$C$11,0)-1,MATCH($B45,$1:$1,0)-1,,4)),2)</f>
        <v>0</v>
      </c>
      <c r="P45" t="s">
        <v>61</v>
      </c>
      <c r="Q45" t="s">
        <v>62</v>
      </c>
    </row>
    <row r="46" customFormat="1" ht="14.25" spans="1:17">
      <c r="A46" t="s">
        <v>83</v>
      </c>
      <c r="B46" s="148" t="s">
        <v>166</v>
      </c>
      <c r="C46" s="149" t="str">
        <f t="shared" si="0"/>
        <v>2021.05月Excellent Paypal流水(陶瓷)：手续费</v>
      </c>
      <c r="D46" s="457"/>
      <c r="E46" s="457"/>
      <c r="F46" s="457"/>
      <c r="G46" s="456" t="str">
        <f>INDEX(P:P,MATCH($A46,$P:$P,0)+3)</f>
        <v>6603.002.01.05</v>
      </c>
      <c r="H46" s="456" t="str">
        <f>INDEX(Q:Q,MATCH($A46,$P:$P,0)+3)</f>
        <v>财务费用 - 收款平台手续费 - Paypal手续费 - 陶瓷事业部-paypal手续费</v>
      </c>
      <c r="I46" s="457"/>
      <c r="J46" s="472"/>
      <c r="K46" s="472"/>
      <c r="L46" s="472"/>
      <c r="M46" s="71">
        <f ca="1">ROUND(SUM(OFFSET($A$1,MATCH($A46,$C$1:$C$11,0)-1,MATCH($B46,$1:$1,0)-1,,2)),2)</f>
        <v>0</v>
      </c>
      <c r="N46" s="151"/>
      <c r="P46" t="s">
        <v>213</v>
      </c>
      <c r="Q46" t="s">
        <v>214</v>
      </c>
    </row>
    <row r="47" customFormat="1" ht="14.25" spans="1:17">
      <c r="A47" t="s">
        <v>83</v>
      </c>
      <c r="B47" s="148" t="s">
        <v>166</v>
      </c>
      <c r="C47" s="149" t="str">
        <f t="shared" si="0"/>
        <v>2021.05月Excellent Paypal流水(陶瓷)：手续费</v>
      </c>
      <c r="D47" s="457"/>
      <c r="E47" s="457"/>
      <c r="F47" s="457"/>
      <c r="G47" s="456" t="str">
        <f>INDEX(P:P,MATCH($A47,$P:$P,0)+1)</f>
        <v>1221.103</v>
      </c>
      <c r="H47" s="456" t="str">
        <f>INDEX(Q:Q,MATCH($A47,$P:$P,0)+1)</f>
        <v>拓展部-陶瓷部</v>
      </c>
      <c r="I47" s="457"/>
      <c r="J47" s="472"/>
      <c r="K47" s="472"/>
      <c r="L47" s="472"/>
      <c r="M47" s="73">
        <f ca="1">-M46</f>
        <v>0</v>
      </c>
      <c r="N47" s="150"/>
      <c r="P47" t="s">
        <v>63</v>
      </c>
      <c r="Q47" t="s">
        <v>64</v>
      </c>
    </row>
    <row r="48" customFormat="1" ht="14.25" spans="1:14">
      <c r="A48" t="s">
        <v>83</v>
      </c>
      <c r="B48" s="148" t="s">
        <v>79</v>
      </c>
      <c r="C48" s="149" t="str">
        <f t="shared" si="0"/>
        <v>2021.05月Excellent Paypal流水(陶瓷)：营运费5%：</v>
      </c>
      <c r="D48" s="457"/>
      <c r="E48" s="457"/>
      <c r="F48" s="457"/>
      <c r="G48" s="456" t="str">
        <f>INDEX(P:P,MATCH($A48,$P:$P,0)+4)</f>
        <v>6601.006.004</v>
      </c>
      <c r="H48" s="456" t="str">
        <f>INDEX(Q:Q,MATCH($A48,$P:$P,0)+4)</f>
        <v>销售费用 - 事业部营运费 - 陶瓷事业部-营运费</v>
      </c>
      <c r="I48" s="457"/>
      <c r="J48" s="472"/>
      <c r="K48" s="472"/>
      <c r="L48" s="472"/>
      <c r="M48" s="71">
        <f ca="1">ROUND(SUM(OFFSET($A$1,MATCH($A48,$C$1:$C$11,0)-1,MATCH($B48,$1:$1,0)-1)),2)</f>
        <v>0</v>
      </c>
      <c r="N48" s="151"/>
    </row>
    <row r="49" customFormat="1" ht="15" spans="1:16">
      <c r="A49" t="s">
        <v>83</v>
      </c>
      <c r="B49" s="458" t="s">
        <v>79</v>
      </c>
      <c r="C49" s="162" t="str">
        <f t="shared" si="0"/>
        <v>2021.05月Excellent Paypal流水(陶瓷)：营运费5%：</v>
      </c>
      <c r="D49" s="459"/>
      <c r="E49" s="459"/>
      <c r="F49" s="459"/>
      <c r="G49" s="433" t="str">
        <f>INDEX(P:P,MATCH($A49,$P:$P,0)+1)</f>
        <v>1221.103</v>
      </c>
      <c r="H49" s="433" t="str">
        <f>INDEX(Q:Q,MATCH($A49,$P:$P,0)+1)</f>
        <v>拓展部-陶瓷部</v>
      </c>
      <c r="I49" s="459"/>
      <c r="J49" s="294"/>
      <c r="K49" s="294"/>
      <c r="L49" s="294"/>
      <c r="M49" s="404">
        <f ca="1">-M48</f>
        <v>0</v>
      </c>
      <c r="N49" s="445"/>
      <c r="P49" t="s">
        <v>233</v>
      </c>
    </row>
    <row r="50" customFormat="1" spans="16:17">
      <c r="P50" t="s">
        <v>129</v>
      </c>
      <c r="Q50" t="s">
        <v>130</v>
      </c>
    </row>
    <row r="51" customFormat="1" spans="16:17">
      <c r="P51" t="s">
        <v>131</v>
      </c>
      <c r="Q51" t="s">
        <v>132</v>
      </c>
    </row>
    <row r="52" customFormat="1" ht="29" customHeight="1" spans="16:17">
      <c r="P52" t="s">
        <v>224</v>
      </c>
      <c r="Q52" t="s">
        <v>225</v>
      </c>
    </row>
    <row r="53" spans="16:17">
      <c r="P53" t="s">
        <v>133</v>
      </c>
      <c r="Q53" t="s">
        <v>134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2:T50"/>
  <sheetViews>
    <sheetView topLeftCell="A19" workbookViewId="0">
      <selection activeCell="N54" sqref="N54"/>
    </sheetView>
  </sheetViews>
  <sheetFormatPr defaultColWidth="9" defaultRowHeight="13.5"/>
  <cols>
    <col min="1" max="1" width="14" customWidth="1"/>
    <col min="2" max="2" width="10.25" customWidth="1"/>
    <col min="3" max="3" width="10.5" customWidth="1"/>
    <col min="4" max="4" width="11.5" customWidth="1"/>
    <col min="5" max="5" width="7" customWidth="1"/>
    <col min="6" max="6" width="10.375" customWidth="1"/>
    <col min="7" max="7" width="13.875" customWidth="1"/>
    <col min="8" max="8" width="15.375" customWidth="1"/>
    <col min="9" max="9" width="10.375" customWidth="1"/>
    <col min="10" max="10" width="11.625" customWidth="1"/>
    <col min="11" max="11" width="9.625" customWidth="1"/>
    <col min="12" max="12" width="11.875" customWidth="1"/>
    <col min="13" max="13" width="12" customWidth="1"/>
    <col min="14" max="16" width="10.375" customWidth="1"/>
    <col min="17" max="17" width="18.375" customWidth="1"/>
    <col min="18" max="18" width="10.375" customWidth="1"/>
    <col min="19" max="19" width="19.875" customWidth="1"/>
  </cols>
  <sheetData>
    <row r="2" ht="18.75" spans="1:17">
      <c r="A2" s="422"/>
      <c r="B2" s="422"/>
      <c r="C2" s="423" t="s">
        <v>364</v>
      </c>
      <c r="D2" s="141"/>
      <c r="E2" s="141"/>
      <c r="F2" s="141"/>
      <c r="G2" s="141" t="s">
        <v>143</v>
      </c>
      <c r="H2" s="141"/>
      <c r="I2" s="141"/>
      <c r="J2" s="141"/>
      <c r="K2" s="141"/>
      <c r="L2" s="141"/>
      <c r="M2" s="141"/>
      <c r="N2" s="422"/>
      <c r="O2" s="422" t="s">
        <v>31</v>
      </c>
      <c r="P2" s="422"/>
      <c r="Q2" s="422" t="s">
        <v>365</v>
      </c>
    </row>
    <row r="3" spans="1:18">
      <c r="A3" s="422" t="s">
        <v>364</v>
      </c>
      <c r="B3" s="644" t="s">
        <v>142</v>
      </c>
      <c r="C3" s="424" t="s">
        <v>4</v>
      </c>
      <c r="D3" s="425" t="s">
        <v>5</v>
      </c>
      <c r="E3" s="425" t="s">
        <v>6</v>
      </c>
      <c r="F3" s="425" t="s">
        <v>7</v>
      </c>
      <c r="G3" s="426" t="s">
        <v>274</v>
      </c>
      <c r="H3" s="425" t="s">
        <v>311</v>
      </c>
      <c r="I3" s="435" t="s">
        <v>312</v>
      </c>
      <c r="J3" s="436" t="s">
        <v>313</v>
      </c>
      <c r="K3" s="437" t="s">
        <v>275</v>
      </c>
      <c r="L3" s="438" t="s">
        <v>79</v>
      </c>
      <c r="M3" s="425" t="s">
        <v>11</v>
      </c>
      <c r="N3" s="439" t="s">
        <v>15</v>
      </c>
      <c r="O3" s="439" t="s">
        <v>15</v>
      </c>
      <c r="P3" s="440" t="s">
        <v>3</v>
      </c>
      <c r="Q3" s="440" t="s">
        <v>3</v>
      </c>
      <c r="R3" s="35" t="s">
        <v>12</v>
      </c>
    </row>
    <row r="4" spans="1:18">
      <c r="A4" s="422" t="s">
        <v>364</v>
      </c>
      <c r="B4" s="644" t="s">
        <v>88</v>
      </c>
      <c r="C4" s="427" t="s">
        <v>17</v>
      </c>
      <c r="D4" s="141">
        <v>31199.13</v>
      </c>
      <c r="E4" s="141">
        <v>0</v>
      </c>
      <c r="F4" s="141">
        <v>26029.12</v>
      </c>
      <c r="G4" s="141">
        <v>-228.85</v>
      </c>
      <c r="H4" s="141">
        <v>-4121.4</v>
      </c>
      <c r="I4" s="141">
        <v>0</v>
      </c>
      <c r="J4" s="141">
        <v>-7.65</v>
      </c>
      <c r="K4" s="141">
        <v>-26.8</v>
      </c>
      <c r="L4" s="141">
        <v>-1301.456</v>
      </c>
      <c r="M4" s="141">
        <v>20342.964</v>
      </c>
      <c r="N4" s="141">
        <v>28924.01</v>
      </c>
      <c r="O4" s="141">
        <v>5719.00999999999</v>
      </c>
      <c r="P4" s="141">
        <v>-2894.89</v>
      </c>
      <c r="Q4" s="141">
        <v>-549</v>
      </c>
      <c r="R4" s="35">
        <v>31199.13</v>
      </c>
    </row>
    <row r="5" spans="1:18">
      <c r="A5" s="422" t="s">
        <v>364</v>
      </c>
      <c r="B5" s="644" t="s">
        <v>88</v>
      </c>
      <c r="C5" s="427" t="s">
        <v>18</v>
      </c>
      <c r="D5" s="141">
        <v>13770.24</v>
      </c>
      <c r="E5" s="141">
        <v>15.97</v>
      </c>
      <c r="F5" s="141">
        <v>11478.24</v>
      </c>
      <c r="G5" s="141">
        <v>-40.06</v>
      </c>
      <c r="H5" s="141">
        <v>-2120.9</v>
      </c>
      <c r="I5" s="141">
        <v>-1002.05</v>
      </c>
      <c r="J5" s="141">
        <v>-2.7</v>
      </c>
      <c r="K5" s="141">
        <v>237.98</v>
      </c>
      <c r="L5" s="141">
        <v>-573.911999999999</v>
      </c>
      <c r="M5" s="141">
        <v>7976.59799999998</v>
      </c>
      <c r="N5" s="141">
        <v>12548.93</v>
      </c>
      <c r="O5" s="141">
        <v>2522.14</v>
      </c>
      <c r="P5" s="441">
        <v>-1070.69</v>
      </c>
      <c r="Q5" s="441">
        <v>-214.17</v>
      </c>
      <c r="R5" s="35">
        <v>13786.21</v>
      </c>
    </row>
    <row r="6" spans="1:18">
      <c r="A6" s="422" t="s">
        <v>364</v>
      </c>
      <c r="B6" s="644" t="s">
        <v>88</v>
      </c>
      <c r="C6" s="427" t="s">
        <v>19</v>
      </c>
      <c r="D6" s="141">
        <v>5828.49999999999</v>
      </c>
      <c r="E6" s="141">
        <v>45.42</v>
      </c>
      <c r="F6" s="141">
        <v>4891.73</v>
      </c>
      <c r="G6" s="141">
        <v>-7.27</v>
      </c>
      <c r="H6" s="141">
        <v>-784.67</v>
      </c>
      <c r="I6" s="141">
        <v>-496.61</v>
      </c>
      <c r="J6" s="141">
        <v>-1.8</v>
      </c>
      <c r="K6" s="141">
        <v>3.47000000000001</v>
      </c>
      <c r="L6" s="141">
        <v>-244.5865</v>
      </c>
      <c r="M6" s="141">
        <v>3360.26349999999</v>
      </c>
      <c r="N6" s="141">
        <v>5233.95999999999</v>
      </c>
      <c r="O6" s="141">
        <v>1050.66</v>
      </c>
      <c r="P6" s="141">
        <v>-342.23</v>
      </c>
      <c r="Q6" s="141">
        <v>-68.47</v>
      </c>
      <c r="R6" s="35">
        <v>5873.91999999999</v>
      </c>
    </row>
    <row r="7" spans="1:18">
      <c r="A7" s="422" t="s">
        <v>364</v>
      </c>
      <c r="B7" s="644" t="s">
        <v>88</v>
      </c>
      <c r="C7" s="427" t="s">
        <v>20</v>
      </c>
      <c r="D7" s="141">
        <v>49113.15</v>
      </c>
      <c r="E7" s="141">
        <v>5.39</v>
      </c>
      <c r="F7" s="141">
        <v>40931.7</v>
      </c>
      <c r="G7" s="141">
        <v>-1101.35</v>
      </c>
      <c r="H7" s="141">
        <v>-6379.17</v>
      </c>
      <c r="I7" s="141">
        <v>-164.67</v>
      </c>
      <c r="J7" s="141">
        <v>-0.45</v>
      </c>
      <c r="K7" s="141">
        <v>-3.85</v>
      </c>
      <c r="L7" s="141">
        <v>-2046.585</v>
      </c>
      <c r="M7" s="141">
        <v>31235.625</v>
      </c>
      <c r="N7" s="141">
        <v>45685.21</v>
      </c>
      <c r="O7" s="141">
        <v>9123.43</v>
      </c>
      <c r="P7" s="141">
        <v>-4753.51</v>
      </c>
      <c r="Q7" s="141">
        <v>-936.59</v>
      </c>
      <c r="R7" s="35">
        <v>49118.54</v>
      </c>
    </row>
    <row r="8" spans="1:18">
      <c r="A8" s="422" t="s">
        <v>364</v>
      </c>
      <c r="B8" s="644" t="s">
        <v>88</v>
      </c>
      <c r="C8" s="427" t="s">
        <v>83</v>
      </c>
      <c r="D8" s="141">
        <v>0</v>
      </c>
      <c r="E8" s="141">
        <v>0</v>
      </c>
      <c r="F8" s="141">
        <v>0</v>
      </c>
      <c r="G8" s="141">
        <v>0</v>
      </c>
      <c r="H8" s="141">
        <v>0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35">
        <v>0</v>
      </c>
    </row>
    <row r="9" spans="1:18">
      <c r="A9" s="422" t="s">
        <v>364</v>
      </c>
      <c r="B9" s="644" t="s">
        <v>88</v>
      </c>
      <c r="C9" s="427" t="s">
        <v>84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>
        <v>0</v>
      </c>
      <c r="J9" s="141">
        <v>0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35">
        <v>0</v>
      </c>
    </row>
    <row r="10" spans="1:18">
      <c r="A10" s="422" t="s">
        <v>364</v>
      </c>
      <c r="B10" s="644" t="s">
        <v>88</v>
      </c>
      <c r="C10" s="386" t="s">
        <v>21</v>
      </c>
      <c r="D10" s="428">
        <v>99911.02</v>
      </c>
      <c r="E10" s="428">
        <v>66.78</v>
      </c>
      <c r="F10" s="428">
        <v>83330.79</v>
      </c>
      <c r="G10" s="428">
        <v>-1377.53</v>
      </c>
      <c r="H10" s="428">
        <v>-13406.14</v>
      </c>
      <c r="I10" s="428">
        <v>-1663.33</v>
      </c>
      <c r="J10" s="428">
        <v>-12.6</v>
      </c>
      <c r="K10" s="428">
        <v>210.8</v>
      </c>
      <c r="L10" s="428">
        <v>-4166.5395</v>
      </c>
      <c r="M10" s="428">
        <v>62915.4505</v>
      </c>
      <c r="N10" s="442">
        <v>92392.11</v>
      </c>
      <c r="O10" s="442">
        <v>18415.24</v>
      </c>
      <c r="P10" s="428">
        <v>-9061.32</v>
      </c>
      <c r="Q10" s="428">
        <v>-1768.23</v>
      </c>
      <c r="R10" s="393">
        <v>99977.8</v>
      </c>
    </row>
    <row r="12" s="140" customFormat="1" spans="6:16">
      <c r="F12" s="429">
        <f ca="1">SUM(F5:F9)-SUMIFS(N18:N53,B18:B53,F3)</f>
        <v>0</v>
      </c>
      <c r="G12" s="429">
        <f ca="1">SUM(G5:K9)+SUMIFS(M18:M53,B18:B53,G2,M18:M53,"&gt;0")</f>
        <v>0</v>
      </c>
      <c r="L12" s="429">
        <f ca="1">SUM(L5:L9)-SUMIFS(M18:M53,B18:B53,L3)</f>
        <v>0.00650000000132422</v>
      </c>
      <c r="M12" s="443"/>
      <c r="N12" s="429">
        <f ca="1">SUM(N5:O9)-SUMIFS(M18:M53,B18:B53,N3)</f>
        <v>0</v>
      </c>
      <c r="P12" s="429">
        <f ca="1">SUM(P5:Q9)+SUMIFS(N18:N53,B18:B53,P3)</f>
        <v>0</v>
      </c>
    </row>
    <row r="15" ht="14.25" spans="19:19">
      <c r="S15" t="s">
        <v>15</v>
      </c>
    </row>
    <row r="16" spans="1:20">
      <c r="A16" s="430"/>
      <c r="B16" s="431" t="s">
        <v>15</v>
      </c>
      <c r="C16" s="431" t="str">
        <f>$B$5&amp;$A$5&amp;A16&amp;"（"&amp;B16&amp;"）"</f>
        <v>2021.09月Excellent Amazon流水（order）</v>
      </c>
      <c r="D16" s="431"/>
      <c r="E16" s="431"/>
      <c r="F16" s="431"/>
      <c r="G16" s="431"/>
      <c r="H16" s="431" t="str">
        <f>INDEX(S:S,MATCH("order",$S:$S,0)+1)</f>
        <v>1122.001.015</v>
      </c>
      <c r="I16" s="431" t="str">
        <f>INDEX(T:T,MATCH("order",$S:$S,0)+1)</f>
        <v>应收 Excellent Amazon</v>
      </c>
      <c r="J16" s="431"/>
      <c r="K16" s="431"/>
      <c r="L16" s="431"/>
      <c r="M16" s="431">
        <f>ROUND(N10+O10,2)</f>
        <v>110807.35</v>
      </c>
      <c r="N16" s="444"/>
      <c r="O16">
        <f>SUM(M$16:M16)-SUM(N$16:N16)</f>
        <v>110807.35</v>
      </c>
      <c r="S16" s="44" t="s">
        <v>366</v>
      </c>
      <c r="T16" s="44" t="s">
        <v>367</v>
      </c>
    </row>
    <row r="17" ht="14.25" spans="1:20">
      <c r="A17" s="432"/>
      <c r="B17" s="433" t="s">
        <v>15</v>
      </c>
      <c r="C17" s="433" t="str">
        <f>$B$5&amp;$A$5&amp;A17&amp;"（"&amp;B17&amp;"）"</f>
        <v>2021.09月Excellent Amazon流水（order）</v>
      </c>
      <c r="D17" s="433"/>
      <c r="E17" s="433"/>
      <c r="F17" s="433"/>
      <c r="G17" s="433"/>
      <c r="H17" s="433" t="str">
        <f>INDEX(S:S,MATCH("order",$S:$S,0)+2)</f>
        <v>2203.07.015</v>
      </c>
      <c r="I17" s="433" t="str">
        <f>INDEX(T:T,MATCH("order",$S:$S,0)+2)</f>
        <v>预收 Excellent Amazon</v>
      </c>
      <c r="J17" s="433"/>
      <c r="K17" s="433"/>
      <c r="L17" s="433"/>
      <c r="M17" s="433"/>
      <c r="N17" s="445">
        <f>ROUND(N10+O10,2)</f>
        <v>110807.35</v>
      </c>
      <c r="O17">
        <f>SUM(M$16:M17)-SUM(N$16:N17)</f>
        <v>0</v>
      </c>
      <c r="S17" s="44" t="s">
        <v>368</v>
      </c>
      <c r="T17" s="44" t="s">
        <v>369</v>
      </c>
    </row>
    <row r="18" spans="1:20">
      <c r="A18" s="430" t="s">
        <v>18</v>
      </c>
      <c r="B18" s="431" t="s">
        <v>15</v>
      </c>
      <c r="C18" s="431" t="str">
        <f>$B$5&amp;$A$5&amp;A18&amp;"（"&amp;B18&amp;"）"</f>
        <v>2021.09月Excellent Amazon流水镜柜（order）</v>
      </c>
      <c r="D18" s="431"/>
      <c r="E18" s="431"/>
      <c r="F18" s="431"/>
      <c r="G18" s="431"/>
      <c r="H18" s="431" t="str">
        <f>INDEX(S:S,MATCH("order",$S:$S,0)+2)</f>
        <v>2203.07.015</v>
      </c>
      <c r="I18" s="431" t="str">
        <f>INDEX(T:T,MATCH("order",$S:$S,0)+2)</f>
        <v>预收 Excellent Amazon</v>
      </c>
      <c r="J18" s="431"/>
      <c r="K18" s="431"/>
      <c r="L18" s="431"/>
      <c r="M18" s="446">
        <f ca="1">SUM(OFFSET($A$1,MATCH($A18,$C$1:$C$10,0)-1,MATCH($B18,$A$3:$R$3,0)-1,,2))</f>
        <v>15071.07</v>
      </c>
      <c r="N18" s="444"/>
      <c r="O18">
        <f ca="1">SUM(M$16:M18)-SUM(N$16:N18)</f>
        <v>15071.07</v>
      </c>
      <c r="S18" t="s">
        <v>32</v>
      </c>
      <c r="T18" t="s">
        <v>33</v>
      </c>
    </row>
    <row r="19" spans="1:15">
      <c r="A19" s="434" t="s">
        <v>18</v>
      </c>
      <c r="B19" t="s">
        <v>7</v>
      </c>
      <c r="C19" t="str">
        <f t="shared" ref="C19:C49" si="0">$B$5&amp;$A$5&amp;A19&amp;"（"&amp;B19&amp;"）"</f>
        <v>2021.09月Excellent Amazon流水镜柜（不含税）</v>
      </c>
      <c r="H19" t="str">
        <f>INDEX(S:S,MATCH($A19,$S:$S,0)+1)</f>
        <v>1221.86</v>
      </c>
      <c r="I19" t="str">
        <f>INDEX(T:T,MATCH($A19,$S:$S,0)+1)</f>
        <v>其他应收款 - 事业部</v>
      </c>
      <c r="N19" s="447">
        <f ca="1">SUM(OFFSET($A$1,MATCH($A19,$C$1:$C$10,0)-1,MATCH($B19,$A$3:$R$3,0)-1))</f>
        <v>11478.24</v>
      </c>
      <c r="O19">
        <f ca="1">SUM(M$16:M19)-SUM(N$16:N19)</f>
        <v>3592.83</v>
      </c>
    </row>
    <row r="20" spans="1:19">
      <c r="A20" s="434" t="s">
        <v>18</v>
      </c>
      <c r="B20" t="s">
        <v>31</v>
      </c>
      <c r="C20" t="str">
        <f t="shared" si="0"/>
        <v>2021.09月Excellent Amazon流水镜柜（税金）</v>
      </c>
      <c r="H20" t="str">
        <f>INDEX(S:S,MATCH("order",$S:$S,0)+3)</f>
        <v>2221</v>
      </c>
      <c r="I20" t="str">
        <f>INDEX(T:T,MATCH("order",$S:$S,0)+3)</f>
        <v>应交税费</v>
      </c>
      <c r="N20" s="447">
        <f ca="1">OFFSET($A$1,MATCH($A20,$C$1:$C$10,0)-1,MATCH($B20,$A$2:$Q$2,0)-1)+SUM(OFFSET($A$1,MATCH($A20,$C$1:$C$10,0)-1,MATCH($B20,$A$2:$Q$2,0)+1))</f>
        <v>2307.97</v>
      </c>
      <c r="O20">
        <f ca="1">SUM(M$16:M20)-SUM(N$16:N20)</f>
        <v>1284.86</v>
      </c>
      <c r="S20" t="s">
        <v>83</v>
      </c>
    </row>
    <row r="21" spans="1:20">
      <c r="A21" s="434" t="s">
        <v>18</v>
      </c>
      <c r="B21" t="s">
        <v>3</v>
      </c>
      <c r="C21" t="str">
        <f t="shared" si="0"/>
        <v>2021.09月Excellent Amazon流水镜柜（refund）</v>
      </c>
      <c r="H21" t="str">
        <f>INDEX(S:S,MATCH("order",$S:$S,0)+1)</f>
        <v>1122.001.015</v>
      </c>
      <c r="I21" t="str">
        <f>INDEX(T:T,MATCH("order",$S:$S,0)+1)</f>
        <v>应收 Excellent Amazon</v>
      </c>
      <c r="N21" s="447">
        <f ca="1">-SUM(OFFSET($A$1,MATCH($A21,$C$1:$C$10,0)-1,MATCH($B21,$A$3:$R$3,0)-1,,2))</f>
        <v>1284.86</v>
      </c>
      <c r="O21">
        <f ca="1">SUM(M$16:M21)-SUM(N$16:N21)</f>
        <v>0</v>
      </c>
      <c r="S21" t="s">
        <v>121</v>
      </c>
      <c r="T21" t="s">
        <v>122</v>
      </c>
    </row>
    <row r="22" spans="1:20">
      <c r="A22" s="434" t="s">
        <v>18</v>
      </c>
      <c r="B22" t="s">
        <v>143</v>
      </c>
      <c r="C22" t="str">
        <f t="shared" si="0"/>
        <v>2021.09月Excellent Amazon流水镜柜（平台费）</v>
      </c>
      <c r="H22" t="str">
        <f>INDEX(S:S,MATCH($A22,$S:$S,0)+3)</f>
        <v>6601.002.003.003</v>
      </c>
      <c r="I22" t="str">
        <f>INDEX(T:T,MATCH($A22,$S:$S,0)+3)</f>
        <v>镜柜事业部-Amazon平台费</v>
      </c>
      <c r="M22" s="31">
        <f ca="1">ROUND(SUM(OFFSET($A$1,MATCH($A22,$C$1:$C$10,0)-1,MATCH($B22,$A$2:$Q$2,0)-1,,5)),2)</f>
        <v>-2927.73</v>
      </c>
      <c r="N22" s="448"/>
      <c r="O22">
        <f ca="1">SUM(M$16:M22)-SUM(N$16:N22)</f>
        <v>-2927.73</v>
      </c>
      <c r="S22" t="s">
        <v>125</v>
      </c>
      <c r="T22" t="s">
        <v>223</v>
      </c>
    </row>
    <row r="23" spans="1:20">
      <c r="A23" s="434" t="s">
        <v>18</v>
      </c>
      <c r="B23" t="s">
        <v>143</v>
      </c>
      <c r="C23" t="str">
        <f t="shared" si="0"/>
        <v>2021.09月Excellent Amazon流水镜柜（平台费）</v>
      </c>
      <c r="H23" t="str">
        <f>INDEX(S:S,MATCH($A23,$S:$S,0)+1)</f>
        <v>1221.86</v>
      </c>
      <c r="I23" t="str">
        <f>INDEX(T:T,MATCH($A23,$S:$S,0)+1)</f>
        <v>其他应收款 - 事业部</v>
      </c>
      <c r="M23" s="31">
        <f ca="1">-M22</f>
        <v>2927.73</v>
      </c>
      <c r="N23" s="448"/>
      <c r="O23">
        <f ca="1">SUM(M$16:M23)-SUM(N$16:N23)</f>
        <v>0</v>
      </c>
      <c r="S23" t="s">
        <v>318</v>
      </c>
      <c r="T23" t="s">
        <v>319</v>
      </c>
    </row>
    <row r="24" spans="1:20">
      <c r="A24" s="434" t="s">
        <v>18</v>
      </c>
      <c r="B24" t="s">
        <v>79</v>
      </c>
      <c r="C24" t="str">
        <f t="shared" si="0"/>
        <v>2021.09月Excellent Amazon流水镜柜（营运费5%：）</v>
      </c>
      <c r="H24" t="str">
        <f>INDEX(S:S,MATCH($A24,$S:$S,0)+2)</f>
        <v>6601.006.002</v>
      </c>
      <c r="I24" t="str">
        <f>INDEX(T:T,MATCH($A24,$S:$S,0)+2)</f>
        <v>销售费用 - 事业部营运费 - 镜柜事业部-营运费</v>
      </c>
      <c r="M24" s="31">
        <f ca="1">ROUND(SUM(OFFSET($A$1,MATCH($A24,$C$1:$C$10,0)-1,MATCH($B24,$A$3:$R$3,0)-1)),2)</f>
        <v>-573.91</v>
      </c>
      <c r="N24" s="448"/>
      <c r="O24">
        <f ca="1">SUM(M$16:M24)-SUM(N$16:N24)</f>
        <v>-573.910000000003</v>
      </c>
      <c r="S24" t="s">
        <v>332</v>
      </c>
      <c r="T24" t="s">
        <v>333</v>
      </c>
    </row>
    <row r="25" ht="14.25" spans="1:15">
      <c r="A25" s="432" t="s">
        <v>18</v>
      </c>
      <c r="B25" s="433" t="s">
        <v>370</v>
      </c>
      <c r="C25" s="433" t="str">
        <f t="shared" si="0"/>
        <v>2021.09月Excellent Amazon流水镜柜（营运费）</v>
      </c>
      <c r="D25" s="433"/>
      <c r="E25" s="433"/>
      <c r="F25" s="433"/>
      <c r="G25" s="433"/>
      <c r="H25" s="433" t="str">
        <f>INDEX(S:S,MATCH($A25,$S:$S,0)+1)</f>
        <v>1221.86</v>
      </c>
      <c r="I25" s="433" t="str">
        <f>INDEX(T:T,MATCH($A25,$S:$S,0)+1)</f>
        <v>其他应收款 - 事业部</v>
      </c>
      <c r="J25" s="433"/>
      <c r="K25" s="433"/>
      <c r="L25" s="433"/>
      <c r="M25" s="449">
        <f ca="1">-M24</f>
        <v>573.91</v>
      </c>
      <c r="N25" s="445"/>
      <c r="O25">
        <f ca="1">SUM(M$16:M25)-SUM(N$16:N25)</f>
        <v>0</v>
      </c>
    </row>
    <row r="26" spans="1:19">
      <c r="A26" s="430" t="s">
        <v>20</v>
      </c>
      <c r="B26" s="431" t="s">
        <v>15</v>
      </c>
      <c r="C26" s="431" t="str">
        <f t="shared" si="0"/>
        <v>2021.09月Excellent Amazon流水五金（order）</v>
      </c>
      <c r="D26" s="431"/>
      <c r="E26" s="431"/>
      <c r="F26" s="431"/>
      <c r="G26" s="431"/>
      <c r="H26" s="431" t="str">
        <f>INDEX(S:S,MATCH("order",$S:$S,0)+2)</f>
        <v>2203.07.015</v>
      </c>
      <c r="I26" s="431" t="str">
        <f>INDEX(T:T,MATCH("order",$S:$S,0)+2)</f>
        <v>预收 Excellent Amazon</v>
      </c>
      <c r="J26" s="431"/>
      <c r="K26" s="431"/>
      <c r="L26" s="431"/>
      <c r="M26" s="446">
        <f ca="1">SUM(OFFSET($A$1,MATCH($A26,$C$1:$C$10,0)-1,MATCH($B26,$A$3:$R$3,0)-1,,2))</f>
        <v>54808.64</v>
      </c>
      <c r="N26" s="444"/>
      <c r="O26">
        <f ca="1">SUM(M$16:M26)-SUM(N$16:N26)</f>
        <v>54808.64</v>
      </c>
      <c r="S26" t="s">
        <v>19</v>
      </c>
    </row>
    <row r="27" spans="1:20">
      <c r="A27" s="434" t="s">
        <v>20</v>
      </c>
      <c r="B27" t="s">
        <v>7</v>
      </c>
      <c r="C27" t="str">
        <f t="shared" si="0"/>
        <v>2021.09月Excellent Amazon流水五金（不含税）</v>
      </c>
      <c r="H27" t="str">
        <f>INDEX(S:S,MATCH($A27,$S:$S,0)+1)</f>
        <v>1221.60</v>
      </c>
      <c r="I27" t="str">
        <f>INDEX(T:T,MATCH($A27,$S:$S,0)+1)</f>
        <v>其他应收款 - 拓展部五金部</v>
      </c>
      <c r="N27" s="447">
        <f ca="1">SUM(OFFSET($A$1,MATCH($A27,$C$1:$C$10,0)-1,MATCH($B27,$A$3:$R$3,0)-1))</f>
        <v>40931.7</v>
      </c>
      <c r="O27">
        <f ca="1">SUM(M$16:M27)-SUM(N$16:N27)</f>
        <v>13876.94</v>
      </c>
      <c r="S27" t="s">
        <v>71</v>
      </c>
      <c r="T27" t="s">
        <v>72</v>
      </c>
    </row>
    <row r="28" spans="1:20">
      <c r="A28" s="434" t="s">
        <v>20</v>
      </c>
      <c r="B28" t="s">
        <v>31</v>
      </c>
      <c r="C28" t="str">
        <f t="shared" si="0"/>
        <v>2021.09月Excellent Amazon流水五金（税金）</v>
      </c>
      <c r="H28" t="str">
        <f>INDEX(S:S,MATCH("order",$S:$S,0)+3)</f>
        <v>2221</v>
      </c>
      <c r="I28" t="str">
        <f>INDEX(T:T,MATCH("order",$S:$S,0)+3)</f>
        <v>应交税费</v>
      </c>
      <c r="N28" s="447">
        <f ca="1">OFFSET($A$1,MATCH($A28,$C$1:$C$10,0)-1,MATCH($B28,$A$2:$Q$2,0)-1)+SUM(OFFSET($A$1,MATCH($A28,$C$1:$C$10,0)-1,MATCH($B28,$A$2:$Q$2,0)+1))</f>
        <v>8186.84</v>
      </c>
      <c r="O28">
        <f ca="1">SUM(M$16:M28)-SUM(N$16:N28)</f>
        <v>5690.10000000001</v>
      </c>
      <c r="S28" t="s">
        <v>75</v>
      </c>
      <c r="T28" t="s">
        <v>76</v>
      </c>
    </row>
    <row r="29" spans="1:20">
      <c r="A29" s="434" t="s">
        <v>20</v>
      </c>
      <c r="B29" t="s">
        <v>3</v>
      </c>
      <c r="C29" t="str">
        <f t="shared" si="0"/>
        <v>2021.09月Excellent Amazon流水五金（refund）</v>
      </c>
      <c r="H29" t="str">
        <f>INDEX(S:S,MATCH("order",$S:$S,0)+1)</f>
        <v>1122.001.015</v>
      </c>
      <c r="I29" t="str">
        <f>INDEX(T:T,MATCH("order",$S:$S,0)+1)</f>
        <v>应收 Excellent Amazon</v>
      </c>
      <c r="N29" s="447">
        <f ca="1">-SUM(OFFSET($A$1,MATCH($A29,$C$1:$C$10,0)-1,MATCH($B29,$A$3:$R$3,0)-1,,2))</f>
        <v>5690.1</v>
      </c>
      <c r="O29">
        <f ca="1">SUM(M$16:M29)-SUM(N$16:N29)</f>
        <v>0</v>
      </c>
      <c r="S29" t="s">
        <v>371</v>
      </c>
      <c r="T29" t="s">
        <v>372</v>
      </c>
    </row>
    <row r="30" spans="1:20">
      <c r="A30" s="434" t="s">
        <v>20</v>
      </c>
      <c r="B30" t="s">
        <v>143</v>
      </c>
      <c r="C30" t="str">
        <f t="shared" si="0"/>
        <v>2021.09月Excellent Amazon流水五金（平台费）</v>
      </c>
      <c r="H30" t="str">
        <f>INDEX(S:S,MATCH($A30,$S:$S,0)+3)</f>
        <v>6601.002.003.002</v>
      </c>
      <c r="I30" t="str">
        <f>INDEX(T:T,MATCH($A30,$S:$S,0)+3)</f>
        <v>五金事业部-Amazon平台费</v>
      </c>
      <c r="M30" s="31">
        <f ca="1">ROUND(SUM(OFFSET($A$1,MATCH($A30,$C$1:$C$10,0)-1,MATCH($B30,$A$2:$Q$2,0)-1,,5)),2)</f>
        <v>-7649.49</v>
      </c>
      <c r="N30" s="448"/>
      <c r="O30">
        <f ca="1">SUM(M$16:M30)-SUM(N$16:N30)</f>
        <v>-7649.48999999999</v>
      </c>
      <c r="S30" t="s">
        <v>329</v>
      </c>
      <c r="T30" t="s">
        <v>330</v>
      </c>
    </row>
    <row r="31" spans="1:15">
      <c r="A31" s="434" t="s">
        <v>20</v>
      </c>
      <c r="B31" t="s">
        <v>143</v>
      </c>
      <c r="C31" t="str">
        <f t="shared" si="0"/>
        <v>2021.09月Excellent Amazon流水五金（平台费）</v>
      </c>
      <c r="H31" t="str">
        <f>INDEX(S:S,MATCH($A31,$S:$S,0)+1)</f>
        <v>1221.60</v>
      </c>
      <c r="I31" t="str">
        <f>INDEX(T:T,MATCH($A31,$S:$S,0)+1)</f>
        <v>其他应收款 - 拓展部五金部</v>
      </c>
      <c r="M31" s="31">
        <f ca="1">-M30</f>
        <v>7649.49</v>
      </c>
      <c r="N31" s="448"/>
      <c r="O31">
        <f ca="1">SUM(M$16:M31)-SUM(N$16:N31)</f>
        <v>0</v>
      </c>
    </row>
    <row r="32" spans="1:19">
      <c r="A32" s="434" t="s">
        <v>20</v>
      </c>
      <c r="B32" t="s">
        <v>79</v>
      </c>
      <c r="C32" t="str">
        <f t="shared" si="0"/>
        <v>2021.09月Excellent Amazon流水五金（营运费5%：）</v>
      </c>
      <c r="H32" t="str">
        <f>INDEX(S:S,MATCH($A32,$S:$S,0)+2)</f>
        <v>6601.006.001</v>
      </c>
      <c r="I32" t="str">
        <f>INDEX(T:T,MATCH($A32,$S:$S,0)+2)</f>
        <v>销售费用 - 事业部营运费 - 五金事业部-营运费</v>
      </c>
      <c r="M32" s="31">
        <f ca="1">ROUND(SUM(OFFSET($A$1,MATCH($A32,$C$1:$C$10,0)-1,MATCH($B32,$A$3:$R$3,0)-1)),2)</f>
        <v>-2046.59</v>
      </c>
      <c r="N32" s="448"/>
      <c r="O32">
        <f ca="1">SUM(M$16:M32)-SUM(N$16:N32)</f>
        <v>-2046.59</v>
      </c>
      <c r="S32" t="s">
        <v>20</v>
      </c>
    </row>
    <row r="33" ht="14.25" spans="1:20">
      <c r="A33" s="432" t="s">
        <v>20</v>
      </c>
      <c r="B33" s="433" t="s">
        <v>370</v>
      </c>
      <c r="C33" s="433" t="str">
        <f t="shared" si="0"/>
        <v>2021.09月Excellent Amazon流水五金（营运费）</v>
      </c>
      <c r="D33" s="433"/>
      <c r="E33" s="433"/>
      <c r="F33" s="433"/>
      <c r="G33" s="433"/>
      <c r="H33" s="433" t="str">
        <f>INDEX(S:S,MATCH($A33,$S:$S,0)+1)</f>
        <v>1221.60</v>
      </c>
      <c r="I33" s="433" t="str">
        <f>INDEX(T:T,MATCH($A33,$S:$S,0)+1)</f>
        <v>其他应收款 - 拓展部五金部</v>
      </c>
      <c r="J33" s="433"/>
      <c r="K33" s="433"/>
      <c r="L33" s="433"/>
      <c r="M33" s="449">
        <f ca="1">-M32</f>
        <v>2046.59</v>
      </c>
      <c r="N33" s="445"/>
      <c r="O33">
        <f ca="1">SUM(M$16:M33)-SUM(N$16:N33)</f>
        <v>0</v>
      </c>
      <c r="S33" t="s">
        <v>65</v>
      </c>
      <c r="T33" t="s">
        <v>66</v>
      </c>
    </row>
    <row r="34" spans="1:20">
      <c r="A34" s="430" t="s">
        <v>19</v>
      </c>
      <c r="B34" s="431" t="s">
        <v>15</v>
      </c>
      <c r="C34" s="431" t="str">
        <f t="shared" si="0"/>
        <v>2021.09月Excellent Amazon流水水龙头（order）</v>
      </c>
      <c r="D34" s="431"/>
      <c r="E34" s="431"/>
      <c r="F34" s="431"/>
      <c r="G34" s="431"/>
      <c r="H34" s="431" t="str">
        <f>INDEX(S:S,MATCH("order",$S:$S,0)+2)</f>
        <v>2203.07.015</v>
      </c>
      <c r="I34" s="431" t="str">
        <f>INDEX(T:T,MATCH("order",$S:$S,0)+2)</f>
        <v>预收 Excellent Amazon</v>
      </c>
      <c r="J34" s="431"/>
      <c r="K34" s="431"/>
      <c r="L34" s="431"/>
      <c r="M34" s="446">
        <f ca="1">SUM(OFFSET($A$1,MATCH($A34,$C$1:$C$10,0)-1,MATCH($B34,$A$3:$R$3,0)-1,,2))</f>
        <v>6284.61999999999</v>
      </c>
      <c r="N34" s="444"/>
      <c r="O34">
        <f ca="1">SUM(M$16:M34)-SUM(N$16:N34)</f>
        <v>6284.62</v>
      </c>
      <c r="S34" t="s">
        <v>69</v>
      </c>
      <c r="T34" t="s">
        <v>70</v>
      </c>
    </row>
    <row r="35" spans="1:20">
      <c r="A35" s="434" t="s">
        <v>19</v>
      </c>
      <c r="B35" t="s">
        <v>7</v>
      </c>
      <c r="C35" t="str">
        <f t="shared" si="0"/>
        <v>2021.09月Excellent Amazon流水水龙头（不含税）</v>
      </c>
      <c r="H35" t="str">
        <f>INDEX(S:S,MATCH($A35,$S:$S,0)+1)</f>
        <v>1221.100</v>
      </c>
      <c r="I35" t="str">
        <f>INDEX(T:T,MATCH($A35,$S:$S,0)+1)</f>
        <v>其他应收款 - 拓展部-水龙头</v>
      </c>
      <c r="N35" s="447">
        <f ca="1">SUM(OFFSET($A$1,MATCH($A35,$C$1:$C$10,0)-1,MATCH($B35,$A$3:$R$3,0)-1))</f>
        <v>4891.73</v>
      </c>
      <c r="O35">
        <f ca="1">SUM(M$16:M35)-SUM(N$16:N35)</f>
        <v>1392.88999999998</v>
      </c>
      <c r="S35" t="s">
        <v>373</v>
      </c>
      <c r="T35" t="s">
        <v>374</v>
      </c>
    </row>
    <row r="36" spans="1:20">
      <c r="A36" s="434" t="s">
        <v>19</v>
      </c>
      <c r="B36" t="s">
        <v>31</v>
      </c>
      <c r="C36" t="str">
        <f t="shared" si="0"/>
        <v>2021.09月Excellent Amazon流水水龙头（税金）</v>
      </c>
      <c r="H36" t="str">
        <f>INDEX(S:S,MATCH("order",$S:$S,0)+3)</f>
        <v>2221</v>
      </c>
      <c r="I36" t="str">
        <f>INDEX(T:T,MATCH("order",$S:$S,0)+3)</f>
        <v>应交税费</v>
      </c>
      <c r="N36" s="447">
        <f ca="1">OFFSET($A$1,MATCH($A36,$C$1:$C$10,0)-1,MATCH($B36,$A$2:$Q$2,0)-1)+SUM(OFFSET($A$1,MATCH($A36,$C$1:$C$10,0)-1,MATCH($B36,$A$2:$Q$2,0)+1))</f>
        <v>982.19</v>
      </c>
      <c r="O36">
        <f ca="1">SUM(M$16:M36)-SUM(N$16:N36)</f>
        <v>410.699999999983</v>
      </c>
      <c r="S36" t="s">
        <v>322</v>
      </c>
      <c r="T36" t="s">
        <v>323</v>
      </c>
    </row>
    <row r="37" spans="1:15">
      <c r="A37" s="434" t="s">
        <v>19</v>
      </c>
      <c r="B37" t="s">
        <v>3</v>
      </c>
      <c r="C37" t="str">
        <f t="shared" si="0"/>
        <v>2021.09月Excellent Amazon流水水龙头（refund）</v>
      </c>
      <c r="H37" t="str">
        <f>INDEX(S:S,MATCH("order",$S:$S,0)+1)</f>
        <v>1122.001.015</v>
      </c>
      <c r="I37" t="str">
        <f>INDEX(T:T,MATCH("order",$S:$S,0)+1)</f>
        <v>应收 Excellent Amazon</v>
      </c>
      <c r="N37" s="447">
        <f ca="1">-SUM(OFFSET($A$1,MATCH($A37,$C$1:$C$10,0)-1,MATCH($B37,$A$3:$R$3,0)-1,,2))</f>
        <v>410.7</v>
      </c>
      <c r="O37">
        <f ca="1">SUM(M$16:M37)-SUM(N$16:N37)</f>
        <v>0</v>
      </c>
    </row>
    <row r="38" spans="1:19">
      <c r="A38" s="434" t="s">
        <v>19</v>
      </c>
      <c r="B38" t="s">
        <v>143</v>
      </c>
      <c r="C38" t="str">
        <f t="shared" si="0"/>
        <v>2021.09月Excellent Amazon流水水龙头（平台费）</v>
      </c>
      <c r="H38" t="str">
        <f>INDEX(S:S,MATCH($A38,$S:$S,0)+3)</f>
        <v>6601.002.003.004</v>
      </c>
      <c r="I38" t="str">
        <f>INDEX(T:T,MATCH($A38,$S:$S,0)+3)</f>
        <v>水龙头事业部-Amazon平台费</v>
      </c>
      <c r="M38" s="31">
        <f ca="1">ROUND(SUM(OFFSET($A$1,MATCH($A38,$C$1:$C$10,0)-1,MATCH($B38,$A$2:$Q$2,0)-1,,5)),2)</f>
        <v>-1286.88</v>
      </c>
      <c r="N38" s="448"/>
      <c r="O38">
        <f ca="1">SUM(M$16:M38)-SUM(N$16:N38)</f>
        <v>-1286.88000000003</v>
      </c>
      <c r="S38" t="s">
        <v>18</v>
      </c>
    </row>
    <row r="39" spans="1:20">
      <c r="A39" s="434" t="s">
        <v>19</v>
      </c>
      <c r="B39" t="s">
        <v>143</v>
      </c>
      <c r="C39" t="str">
        <f t="shared" si="0"/>
        <v>2021.09月Excellent Amazon流水水龙头（平台费）</v>
      </c>
      <c r="H39" t="str">
        <f>INDEX(S:S,MATCH($A39,$S:$S,0)+1)</f>
        <v>1221.100</v>
      </c>
      <c r="I39" t="str">
        <f>INDEX(T:T,MATCH($A39,$S:$S,0)+1)</f>
        <v>其他应收款 - 拓展部-水龙头</v>
      </c>
      <c r="M39" s="31">
        <f ca="1">-M38</f>
        <v>1286.88</v>
      </c>
      <c r="N39" s="448"/>
      <c r="O39">
        <f ca="1">SUM(M$16:M39)-SUM(N$16:N39)</f>
        <v>0</v>
      </c>
      <c r="S39" t="s">
        <v>59</v>
      </c>
      <c r="T39" t="s">
        <v>60</v>
      </c>
    </row>
    <row r="40" spans="1:20">
      <c r="A40" s="434" t="s">
        <v>19</v>
      </c>
      <c r="B40" t="s">
        <v>79</v>
      </c>
      <c r="C40" t="str">
        <f t="shared" si="0"/>
        <v>2021.09月Excellent Amazon流水水龙头（营运费5%：）</v>
      </c>
      <c r="H40" t="str">
        <f>INDEX(S:S,MATCH($A40,$S:$S,0)+2)</f>
        <v>6601.006.003</v>
      </c>
      <c r="I40" t="str">
        <f>INDEX(T:T,MATCH($A40,$S:$S,0)+2)</f>
        <v>销售费用 - 事业部营运费 - 水龙头事业部-营运费</v>
      </c>
      <c r="M40" s="31">
        <f ca="1">ROUND(SUM(OFFSET($A$1,MATCH($A40,$C$1:$C$10,0)-1,MATCH($B40,$A$3:$R$3,0)-1)),2)</f>
        <v>-244.59</v>
      </c>
      <c r="N40" s="448"/>
      <c r="O40">
        <f ca="1">SUM(M$16:M40)-SUM(N$16:N40)</f>
        <v>-244.590000000026</v>
      </c>
      <c r="S40" t="s">
        <v>63</v>
      </c>
      <c r="T40" t="s">
        <v>64</v>
      </c>
    </row>
    <row r="41" ht="14.25" spans="1:20">
      <c r="A41" s="432" t="s">
        <v>19</v>
      </c>
      <c r="B41" s="433" t="s">
        <v>370</v>
      </c>
      <c r="C41" s="433" t="str">
        <f t="shared" si="0"/>
        <v>2021.09月Excellent Amazon流水水龙头（营运费）</v>
      </c>
      <c r="D41" s="433"/>
      <c r="E41" s="433"/>
      <c r="F41" s="433"/>
      <c r="G41" s="433"/>
      <c r="H41" s="433" t="str">
        <f>INDEX(S:S,MATCH($A41,$S:$S,0)+1)</f>
        <v>1221.100</v>
      </c>
      <c r="I41" s="433" t="str">
        <f>INDEX(T:T,MATCH($A41,$S:$S,0)+1)</f>
        <v>其他应收款 - 拓展部-水龙头</v>
      </c>
      <c r="J41" s="433"/>
      <c r="K41" s="433"/>
      <c r="L41" s="433"/>
      <c r="M41" s="449">
        <f ca="1">-M40</f>
        <v>244.59</v>
      </c>
      <c r="N41" s="445"/>
      <c r="O41">
        <f ca="1">SUM(M$16:M41)-SUM(N$16:N41)</f>
        <v>0</v>
      </c>
      <c r="S41" t="s">
        <v>375</v>
      </c>
      <c r="T41" t="s">
        <v>376</v>
      </c>
    </row>
    <row r="42" spans="1:20">
      <c r="A42" s="430" t="s">
        <v>83</v>
      </c>
      <c r="B42" s="431" t="s">
        <v>15</v>
      </c>
      <c r="C42" s="431" t="str">
        <f t="shared" si="0"/>
        <v>2021.09月Excellent Amazon流水陶瓷（order）</v>
      </c>
      <c r="D42" s="431"/>
      <c r="E42" s="431"/>
      <c r="F42" s="431"/>
      <c r="G42" s="431"/>
      <c r="H42" s="431" t="str">
        <f>INDEX(S:S,MATCH("order",$S:$S,0)+2)</f>
        <v>2203.07.015</v>
      </c>
      <c r="I42" s="431" t="str">
        <f>INDEX(T:T,MATCH("order",$S:$S,0)+2)</f>
        <v>预收 Excellent Amazon</v>
      </c>
      <c r="J42" s="431"/>
      <c r="K42" s="431"/>
      <c r="L42" s="431"/>
      <c r="M42" s="446">
        <f ca="1">SUM(OFFSET($A$1,MATCH($A42,$C$1:$C$10,0)-1,MATCH($B42,$A$3:$R$3,0)-1,,2))</f>
        <v>0</v>
      </c>
      <c r="N42" s="444"/>
      <c r="O42">
        <f ca="1">SUM(M$16:M42)-SUM(N$16:N42)</f>
        <v>0</v>
      </c>
      <c r="S42" t="s">
        <v>327</v>
      </c>
      <c r="T42" t="s">
        <v>328</v>
      </c>
    </row>
    <row r="43" spans="1:15">
      <c r="A43" s="434" t="s">
        <v>83</v>
      </c>
      <c r="B43" t="s">
        <v>7</v>
      </c>
      <c r="C43" t="str">
        <f t="shared" si="0"/>
        <v>2021.09月Excellent Amazon流水陶瓷（不含税）</v>
      </c>
      <c r="H43" t="str">
        <f>INDEX(S:S,MATCH($A43,$S:$S,0)+1)</f>
        <v>1221.103</v>
      </c>
      <c r="I43" t="str">
        <f>INDEX(T:T,MATCH($A43,$S:$S,0)+1)</f>
        <v>拓展部-陶瓷部</v>
      </c>
      <c r="N43" s="447">
        <f ca="1">SUM(OFFSET($A$1,MATCH($A43,$C$1:$C$10,0)-1,MATCH($B43,$A$3:$R$3,0)-1))</f>
        <v>0</v>
      </c>
      <c r="O43">
        <f ca="1">SUM(M$16:M43)-SUM(N$16:N43)</f>
        <v>0</v>
      </c>
    </row>
    <row r="44" spans="1:15">
      <c r="A44" s="434" t="s">
        <v>83</v>
      </c>
      <c r="B44" t="s">
        <v>31</v>
      </c>
      <c r="C44" t="str">
        <f t="shared" si="0"/>
        <v>2021.09月Excellent Amazon流水陶瓷（税金）</v>
      </c>
      <c r="H44" t="str">
        <f>INDEX(S:S,MATCH("order",$S:$S,0)+3)</f>
        <v>2221</v>
      </c>
      <c r="I44" t="str">
        <f>INDEX(T:T,MATCH("order",$S:$S,0)+3)</f>
        <v>应交税费</v>
      </c>
      <c r="N44" s="447">
        <f ca="1">OFFSET($A$1,MATCH($A44,$C$1:$C$10,0)-1,MATCH($B44,$A$2:$Q$2,0)-1)+SUM(OFFSET($A$1,MATCH($A44,$C$1:$C$10,0)-1,MATCH($B44,$A$2:$Q$2,0)+1))</f>
        <v>0</v>
      </c>
      <c r="O44">
        <f ca="1">SUM(M$16:M44)-SUM(N$16:N44)</f>
        <v>0</v>
      </c>
    </row>
    <row r="45" spans="1:15">
      <c r="A45" s="434" t="s">
        <v>83</v>
      </c>
      <c r="B45" t="s">
        <v>3</v>
      </c>
      <c r="C45" t="str">
        <f t="shared" si="0"/>
        <v>2021.09月Excellent Amazon流水陶瓷（refund）</v>
      </c>
      <c r="H45" t="str">
        <f>INDEX(S:S,MATCH("order",$S:$S,0)+1)</f>
        <v>1122.001.015</v>
      </c>
      <c r="I45" t="str">
        <f>INDEX(T:T,MATCH("order",$S:$S,0)+1)</f>
        <v>应收 Excellent Amazon</v>
      </c>
      <c r="N45" s="447">
        <f ca="1">-SUM(OFFSET($A$1,MATCH($A45,$C$1:$C$10,0)-1,MATCH($B45,$A$3:$R$3,0)-1,,2))</f>
        <v>0</v>
      </c>
      <c r="O45">
        <f ca="1">SUM(M$16:M45)-SUM(N$16:N45)</f>
        <v>0</v>
      </c>
    </row>
    <row r="46" spans="1:19">
      <c r="A46" s="434" t="s">
        <v>83</v>
      </c>
      <c r="B46" t="s">
        <v>143</v>
      </c>
      <c r="C46" t="str">
        <f t="shared" si="0"/>
        <v>2021.09月Excellent Amazon流水陶瓷（平台费）</v>
      </c>
      <c r="H46" t="str">
        <f>INDEX(S:S,MATCH($A46,$S:$S,0)+3)</f>
        <v>6601.002.003.005</v>
      </c>
      <c r="I46" t="str">
        <f>INDEX(T:T,MATCH($A46,$S:$S,0)+3)</f>
        <v>陶瓷事业部-Amazon平台费</v>
      </c>
      <c r="M46" s="31">
        <f ca="1">ROUND(SUM(OFFSET($A$1,MATCH($A46,$C$1:$C$10,0)-1,MATCH($B46,$A$2:$Q$2,0)-1,,6)),2)</f>
        <v>0</v>
      </c>
      <c r="N46" s="448"/>
      <c r="O46">
        <f ca="1">SUM(M$16:M46)-SUM(N$16:N46)</f>
        <v>0</v>
      </c>
      <c r="S46" t="s">
        <v>233</v>
      </c>
    </row>
    <row r="47" spans="1:20">
      <c r="A47" s="434" t="s">
        <v>83</v>
      </c>
      <c r="B47" t="s">
        <v>143</v>
      </c>
      <c r="C47" t="str">
        <f t="shared" si="0"/>
        <v>2021.09月Excellent Amazon流水陶瓷（平台费）</v>
      </c>
      <c r="H47" t="str">
        <f>INDEX(S:S,MATCH($A47,$S:$S,0)+1)</f>
        <v>1221.103</v>
      </c>
      <c r="I47" t="str">
        <f>INDEX(T:T,MATCH($A47,$S:$S,0)+1)</f>
        <v>拓展部-陶瓷部</v>
      </c>
      <c r="M47" s="31">
        <f ca="1">-M46</f>
        <v>0</v>
      </c>
      <c r="N47" s="448"/>
      <c r="O47">
        <f ca="1">SUM(M$16:M47)-SUM(N$16:N47)</f>
        <v>0</v>
      </c>
      <c r="S47" t="s">
        <v>129</v>
      </c>
      <c r="T47" t="s">
        <v>130</v>
      </c>
    </row>
    <row r="48" spans="1:20">
      <c r="A48" s="434" t="s">
        <v>83</v>
      </c>
      <c r="B48" t="s">
        <v>79</v>
      </c>
      <c r="C48" t="str">
        <f t="shared" si="0"/>
        <v>2021.09月Excellent Amazon流水陶瓷（营运费5%：）</v>
      </c>
      <c r="H48" t="str">
        <f>INDEX(S:S,MATCH($A48,$S:$S,0)+2)</f>
        <v>6601.006.004</v>
      </c>
      <c r="I48" t="str">
        <f>INDEX(T:T,MATCH($A48,$S:$S,0)+2)</f>
        <v>销售费用 - 事业部营运费 - 陶瓷事业部-营运费</v>
      </c>
      <c r="M48" s="31">
        <f ca="1">ROUND(SUM(OFFSET($A$1,MATCH($A48,$C$1:$C$10,0)-1,MATCH($B48,$A$3:$R$3,0)-1)),2)</f>
        <v>0</v>
      </c>
      <c r="N48" s="448"/>
      <c r="O48">
        <f ca="1">SUM(M$16:M48)-SUM(N$16:N48)</f>
        <v>0</v>
      </c>
      <c r="S48" t="s">
        <v>133</v>
      </c>
      <c r="T48" t="s">
        <v>134</v>
      </c>
    </row>
    <row r="49" ht="15" spans="1:20">
      <c r="A49" s="432" t="s">
        <v>83</v>
      </c>
      <c r="B49" s="433" t="s">
        <v>370</v>
      </c>
      <c r="C49" s="433" t="str">
        <f t="shared" si="0"/>
        <v>2021.09月Excellent Amazon流水陶瓷（营运费）</v>
      </c>
      <c r="D49" s="433"/>
      <c r="E49" s="433"/>
      <c r="F49" s="433"/>
      <c r="G49" s="433"/>
      <c r="H49" s="433" t="str">
        <f>INDEX(S:S,MATCH($A49,$S:$S,0)+1)</f>
        <v>1221.103</v>
      </c>
      <c r="I49" s="433" t="str">
        <f>INDEX(T:T,MATCH($A49,$S:$S,0)+1)</f>
        <v>拓展部-陶瓷部</v>
      </c>
      <c r="J49" s="433"/>
      <c r="K49" s="433"/>
      <c r="L49" s="433"/>
      <c r="M49" s="449">
        <f ca="1">-M48</f>
        <v>0</v>
      </c>
      <c r="N49" s="445"/>
      <c r="O49">
        <f ca="1">SUM(M$16:M49)-SUM(N$16:N49)</f>
        <v>0</v>
      </c>
      <c r="S49" s="87" t="s">
        <v>377</v>
      </c>
      <c r="T49" s="88" t="s">
        <v>378</v>
      </c>
    </row>
    <row r="50" ht="14.25" spans="19:20">
      <c r="S50" s="87" t="s">
        <v>334</v>
      </c>
      <c r="T50" s="88" t="s">
        <v>379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AA156"/>
  <sheetViews>
    <sheetView topLeftCell="C1" workbookViewId="0">
      <selection activeCell="I40" sqref="I40"/>
    </sheetView>
  </sheetViews>
  <sheetFormatPr defaultColWidth="9" defaultRowHeight="14.25"/>
  <cols>
    <col min="1" max="1" width="13.75" style="48" customWidth="1"/>
    <col min="2" max="2" width="23.5" style="48" customWidth="1"/>
    <col min="3" max="3" width="12.25" style="168" customWidth="1"/>
    <col min="4" max="4" width="35.625" style="48" customWidth="1"/>
    <col min="5" max="5" width="10.875" style="48" customWidth="1"/>
    <col min="6" max="6" width="51.875" style="48" customWidth="1"/>
    <col min="7" max="7" width="12.625" style="48" customWidth="1"/>
    <col min="8" max="8" width="34.75" style="48" customWidth="1"/>
    <col min="9" max="9" width="21.75" style="48" customWidth="1"/>
    <col min="10" max="10" width="12.875" style="48"/>
    <col min="11" max="11" width="13.75" style="48" customWidth="1"/>
    <col min="12" max="13" width="10.375" style="48"/>
    <col min="14" max="14" width="14" style="48" customWidth="1"/>
    <col min="15" max="15" width="13.25" style="48" customWidth="1"/>
    <col min="16" max="16" width="13.5" style="48" customWidth="1"/>
    <col min="17" max="27" width="12.875" style="48"/>
    <col min="28" max="16384" width="9" style="48"/>
  </cols>
  <sheetData>
    <row r="1" s="379" customFormat="1" ht="40.5" spans="1:27">
      <c r="A1" s="380" t="s">
        <v>380</v>
      </c>
      <c r="B1" s="381" t="s">
        <v>381</v>
      </c>
      <c r="C1" s="381" t="s">
        <v>0</v>
      </c>
      <c r="D1" s="381" t="s">
        <v>90</v>
      </c>
      <c r="E1" s="381" t="s">
        <v>77</v>
      </c>
      <c r="F1" s="382" t="s">
        <v>93</v>
      </c>
      <c r="G1" s="382" t="s">
        <v>94</v>
      </c>
      <c r="H1" s="382" t="s">
        <v>382</v>
      </c>
      <c r="I1" s="381" t="s">
        <v>108</v>
      </c>
      <c r="J1" s="381" t="s">
        <v>140</v>
      </c>
      <c r="K1" s="381" t="s">
        <v>162</v>
      </c>
      <c r="L1" s="381" t="s">
        <v>234</v>
      </c>
      <c r="M1" s="381" t="s">
        <v>194</v>
      </c>
      <c r="N1" s="381" t="s">
        <v>226</v>
      </c>
      <c r="O1" s="381" t="s">
        <v>272</v>
      </c>
      <c r="P1" s="381" t="s">
        <v>239</v>
      </c>
      <c r="Q1" s="382" t="s">
        <v>359</v>
      </c>
      <c r="R1" s="382" t="s">
        <v>364</v>
      </c>
      <c r="S1" s="382" t="s">
        <v>281</v>
      </c>
      <c r="T1" s="382" t="s">
        <v>345</v>
      </c>
      <c r="U1" s="382" t="s">
        <v>293</v>
      </c>
      <c r="V1" s="382" t="s">
        <v>350</v>
      </c>
      <c r="W1" s="382" t="s">
        <v>304</v>
      </c>
      <c r="X1" s="382" t="s">
        <v>339</v>
      </c>
      <c r="Y1" s="382" t="s">
        <v>383</v>
      </c>
      <c r="Z1" s="381" t="s">
        <v>384</v>
      </c>
      <c r="AA1" s="394" t="s">
        <v>12</v>
      </c>
    </row>
    <row r="2" s="35" customFormat="1" ht="13.5" spans="1:27">
      <c r="A2" s="35" t="s">
        <v>385</v>
      </c>
      <c r="B2" s="35" t="s">
        <v>88</v>
      </c>
      <c r="C2" s="35">
        <v>151364.92</v>
      </c>
      <c r="D2" s="35">
        <v>156101.56</v>
      </c>
      <c r="E2" s="35">
        <v>289924.81</v>
      </c>
      <c r="F2" s="35">
        <v>43634.01</v>
      </c>
      <c r="G2" s="35">
        <v>9268.42</v>
      </c>
      <c r="H2" s="35">
        <v>1384.9</v>
      </c>
      <c r="I2" s="35">
        <v>51.99</v>
      </c>
      <c r="J2" s="35">
        <v>34762.79</v>
      </c>
      <c r="K2" s="35">
        <v>22814.55</v>
      </c>
      <c r="L2" s="35">
        <v>982.68</v>
      </c>
      <c r="M2" s="35">
        <v>19800.57</v>
      </c>
      <c r="N2" s="35">
        <v>258.02</v>
      </c>
      <c r="O2" s="35">
        <v>0</v>
      </c>
      <c r="P2" s="35">
        <v>12721.26</v>
      </c>
      <c r="Q2" s="35">
        <v>0</v>
      </c>
      <c r="R2" s="35">
        <v>30994.25</v>
      </c>
      <c r="S2" s="35">
        <v>0</v>
      </c>
      <c r="T2" s="35">
        <v>60042.74</v>
      </c>
      <c r="U2" s="35">
        <v>0</v>
      </c>
      <c r="V2" s="35">
        <v>3060.82</v>
      </c>
      <c r="W2" s="35">
        <v>49591.29</v>
      </c>
      <c r="X2" s="35">
        <v>19406.76</v>
      </c>
      <c r="Y2" s="35">
        <v>245.96</v>
      </c>
      <c r="Z2" s="35">
        <v>0</v>
      </c>
      <c r="AA2" s="393">
        <v>906412.3</v>
      </c>
    </row>
    <row r="3" s="31" customFormat="1" ht="13.5" spans="1:27">
      <c r="A3" s="35" t="s">
        <v>386</v>
      </c>
      <c r="B3" s="35" t="s">
        <v>88</v>
      </c>
      <c r="C3" s="31">
        <v>126137.43</v>
      </c>
      <c r="D3" s="31">
        <v>130084.63</v>
      </c>
      <c r="E3" s="31">
        <v>241604.01</v>
      </c>
      <c r="F3" s="31">
        <v>36361.68</v>
      </c>
      <c r="G3" s="31">
        <v>7723.68</v>
      </c>
      <c r="H3" s="31">
        <v>1154.08</v>
      </c>
      <c r="I3" s="31">
        <v>43.33</v>
      </c>
      <c r="J3" s="31">
        <v>28968.99</v>
      </c>
      <c r="K3" s="31">
        <v>19012.13</v>
      </c>
      <c r="L3" s="31">
        <v>818.9</v>
      </c>
      <c r="M3" s="31">
        <v>16500.48</v>
      </c>
      <c r="N3" s="31">
        <v>215.02</v>
      </c>
      <c r="O3" s="31">
        <v>0</v>
      </c>
      <c r="P3" s="31">
        <v>10601.05</v>
      </c>
      <c r="Q3" s="31">
        <v>0</v>
      </c>
      <c r="R3" s="31">
        <v>25828.54</v>
      </c>
      <c r="S3" s="392">
        <v>0</v>
      </c>
      <c r="T3" s="392">
        <v>60042.74</v>
      </c>
      <c r="U3" s="392">
        <v>0</v>
      </c>
      <c r="V3" s="392">
        <v>3060.82</v>
      </c>
      <c r="W3" s="392">
        <v>49591.29</v>
      </c>
      <c r="X3" s="392">
        <v>19406.76</v>
      </c>
      <c r="Y3" s="392">
        <v>245.96</v>
      </c>
      <c r="Z3" s="31">
        <v>0</v>
      </c>
      <c r="AA3" s="393">
        <v>777401.52</v>
      </c>
    </row>
    <row r="4" s="31" customFormat="1" ht="13.5" spans="1:27">
      <c r="A4" s="35" t="s">
        <v>31</v>
      </c>
      <c r="B4" s="35" t="s">
        <v>88</v>
      </c>
      <c r="C4" s="31">
        <v>25227.49</v>
      </c>
      <c r="D4" s="31">
        <v>26016.93</v>
      </c>
      <c r="E4" s="31">
        <v>48320.8</v>
      </c>
      <c r="F4" s="31">
        <v>7272.33</v>
      </c>
      <c r="G4" s="31">
        <v>1544.74</v>
      </c>
      <c r="H4" s="31">
        <v>230.82</v>
      </c>
      <c r="I4" s="31">
        <v>8.66</v>
      </c>
      <c r="J4" s="31">
        <v>5793.8</v>
      </c>
      <c r="K4" s="31">
        <v>3802.42</v>
      </c>
      <c r="L4" s="31">
        <v>163.78</v>
      </c>
      <c r="M4" s="31">
        <v>3300.09</v>
      </c>
      <c r="N4" s="31">
        <v>43</v>
      </c>
      <c r="O4" s="31">
        <v>0</v>
      </c>
      <c r="P4" s="31">
        <v>2120.21</v>
      </c>
      <c r="Q4" s="31">
        <v>0</v>
      </c>
      <c r="R4" s="31">
        <v>5165.71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93">
        <v>129010.78</v>
      </c>
    </row>
    <row r="5" s="31" customFormat="1" ht="13.5" spans="1:27">
      <c r="A5" s="35"/>
      <c r="B5" s="35" t="s">
        <v>12</v>
      </c>
      <c r="C5" s="35">
        <f t="shared" ref="C5:J5" si="0">SUM(C2:C4)</f>
        <v>302729.84</v>
      </c>
      <c r="D5" s="35">
        <f t="shared" si="0"/>
        <v>312203.12</v>
      </c>
      <c r="E5" s="35">
        <f t="shared" si="0"/>
        <v>579849.62</v>
      </c>
      <c r="F5" s="35">
        <f t="shared" si="0"/>
        <v>87268.02</v>
      </c>
      <c r="G5" s="35">
        <f t="shared" si="0"/>
        <v>18536.84</v>
      </c>
      <c r="H5" s="35">
        <f t="shared" si="0"/>
        <v>2769.8</v>
      </c>
      <c r="I5" s="35">
        <f t="shared" si="0"/>
        <v>103.98</v>
      </c>
      <c r="J5" s="35">
        <f t="shared" si="0"/>
        <v>69525.58</v>
      </c>
      <c r="K5" s="35">
        <f t="shared" ref="K5:Z5" si="1">SUM(K2:K4)</f>
        <v>45629.1</v>
      </c>
      <c r="L5" s="35">
        <f t="shared" si="1"/>
        <v>1965.36</v>
      </c>
      <c r="M5" s="35">
        <f t="shared" si="1"/>
        <v>39601.14</v>
      </c>
      <c r="N5" s="35">
        <f t="shared" si="1"/>
        <v>516.04</v>
      </c>
      <c r="O5" s="35">
        <f t="shared" si="1"/>
        <v>0</v>
      </c>
      <c r="P5" s="35">
        <f t="shared" si="1"/>
        <v>25442.52</v>
      </c>
      <c r="Q5" s="35">
        <f t="shared" si="1"/>
        <v>0</v>
      </c>
      <c r="R5" s="35">
        <f t="shared" si="1"/>
        <v>61988.5</v>
      </c>
      <c r="S5" s="35">
        <f t="shared" si="1"/>
        <v>0</v>
      </c>
      <c r="T5" s="35">
        <f t="shared" si="1"/>
        <v>120085.48</v>
      </c>
      <c r="U5" s="35">
        <f t="shared" si="1"/>
        <v>0</v>
      </c>
      <c r="V5" s="35">
        <f t="shared" si="1"/>
        <v>6121.64</v>
      </c>
      <c r="W5" s="35">
        <f t="shared" si="1"/>
        <v>99182.58</v>
      </c>
      <c r="X5" s="35">
        <f t="shared" si="1"/>
        <v>38813.52</v>
      </c>
      <c r="Y5" s="35">
        <f t="shared" si="1"/>
        <v>491.92</v>
      </c>
      <c r="Z5" s="35">
        <f t="shared" si="1"/>
        <v>0</v>
      </c>
      <c r="AA5" s="393"/>
    </row>
    <row r="6" s="31" customFormat="1" ht="13.5" spans="1:27">
      <c r="A6" s="35"/>
      <c r="B6" s="35"/>
      <c r="C6" s="31">
        <f>C5-SUM(I9:J11)</f>
        <v>0</v>
      </c>
      <c r="D6" s="31">
        <f>D5-SUM(I12:J14)</f>
        <v>0</v>
      </c>
      <c r="E6" s="31">
        <f>E5-SUM(I15:J17)</f>
        <v>0</v>
      </c>
      <c r="F6" s="31">
        <f>F5-SUM(I18:J20)</f>
        <v>0</v>
      </c>
      <c r="G6" s="31">
        <f>G5-SUM(I21:J23)</f>
        <v>0</v>
      </c>
      <c r="H6" s="31">
        <f>H5-SUM(I24:J26)</f>
        <v>0</v>
      </c>
      <c r="I6" s="31">
        <f>I5-SUM(I27:J29)</f>
        <v>0</v>
      </c>
      <c r="J6" s="31">
        <f>J5-SUM(I30:J32)</f>
        <v>0</v>
      </c>
      <c r="K6" s="31">
        <f>K5-SUM(I33:J35)</f>
        <v>0</v>
      </c>
      <c r="L6" s="31">
        <f>L5-SUM(I36:J38)</f>
        <v>0</v>
      </c>
      <c r="M6" s="31">
        <f>M5-SUM(I39:J41)</f>
        <v>0</v>
      </c>
      <c r="N6" s="31">
        <f>N5-SUM(I42:J44)</f>
        <v>0</v>
      </c>
      <c r="O6" s="31">
        <f>O5-SUM(I45:J47)</f>
        <v>0</v>
      </c>
      <c r="P6" s="31">
        <f>P5-SUM(I48:J50)</f>
        <v>0</v>
      </c>
      <c r="Q6" s="31">
        <f>Q5-SUM(I51:J53)</f>
        <v>0</v>
      </c>
      <c r="R6" s="31">
        <f>R5-SUM(I54:J56)</f>
        <v>0</v>
      </c>
      <c r="S6" s="31">
        <f>S5-SUM(I57:J58)</f>
        <v>0</v>
      </c>
      <c r="T6" s="31">
        <f>T5-SUM(I59:J60)</f>
        <v>0</v>
      </c>
      <c r="U6" s="31">
        <f>U5-SUM(I61:J62)</f>
        <v>0</v>
      </c>
      <c r="V6" s="31">
        <f>V5-SUM(I63:J64)</f>
        <v>0</v>
      </c>
      <c r="W6" s="31">
        <f>W3*2-SUM(I65:J66)</f>
        <v>0</v>
      </c>
      <c r="X6" s="31">
        <f>X3*2-SUM(I67:J68)</f>
        <v>0</v>
      </c>
      <c r="Y6" s="31">
        <f>Y3*2-SUM(I69:J70)</f>
        <v>0</v>
      </c>
      <c r="Z6" s="31">
        <f>Z3*2-SUM(I71:J72)</f>
        <v>0</v>
      </c>
      <c r="AA6" s="393"/>
    </row>
    <row r="7" s="31" customFormat="1" ht="13.5" spans="1:21">
      <c r="A7" s="35"/>
      <c r="B7" s="35"/>
      <c r="T7" s="393"/>
      <c r="U7" s="393"/>
    </row>
    <row r="8" s="31" customFormat="1" spans="1:18">
      <c r="A8" s="652" t="s">
        <v>387</v>
      </c>
      <c r="B8" s="35"/>
      <c r="R8" s="393"/>
    </row>
    <row r="9" spans="1:10">
      <c r="A9" s="652" t="str">
        <f>$A$8</f>
        <v>2021.09月 </v>
      </c>
      <c r="B9" s="48" t="s">
        <v>0</v>
      </c>
      <c r="C9" s="168">
        <f>INDEX($1:$4,2,MATCH($B9,$1:$1,0))</f>
        <v>151364.92</v>
      </c>
      <c r="D9" s="280" t="str">
        <f>B9&amp;"（国际部）：出货收入"</f>
        <v>Online Ebay（国际部）：出货收入</v>
      </c>
      <c r="E9" s="280"/>
      <c r="F9" s="383" t="str">
        <f t="shared" ref="F9:F15" si="2">A9&amp;D9&amp;E9</f>
        <v>2021.09月 Online Ebay（国际部）：出货收入</v>
      </c>
      <c r="G9" s="281" t="s">
        <v>388</v>
      </c>
      <c r="H9" s="281" t="s">
        <v>389</v>
      </c>
      <c r="I9" s="312">
        <f>C9</f>
        <v>151364.92</v>
      </c>
      <c r="J9" s="312"/>
    </row>
    <row r="10" spans="1:10">
      <c r="A10" s="652" t="str">
        <f t="shared" ref="A10:A19" si="3">$A$8</f>
        <v>2021.09月 </v>
      </c>
      <c r="B10" s="48" t="s">
        <v>0</v>
      </c>
      <c r="C10" s="168">
        <f>INDEX($1:$4,4,MATCH($B10,$1:$1,0))</f>
        <v>25227.49</v>
      </c>
      <c r="D10" s="280" t="s">
        <v>390</v>
      </c>
      <c r="E10" s="280"/>
      <c r="F10" s="383" t="str">
        <f t="shared" si="2"/>
        <v>2021.09月 Online Ebay流水（国际部）：出货收入</v>
      </c>
      <c r="G10" s="281" t="s">
        <v>32</v>
      </c>
      <c r="H10" s="281" t="s">
        <v>33</v>
      </c>
      <c r="I10" s="312"/>
      <c r="J10" s="312">
        <f>C10</f>
        <v>25227.49</v>
      </c>
    </row>
    <row r="11" spans="1:10">
      <c r="A11" s="652" t="str">
        <f t="shared" si="3"/>
        <v>2021.09月 </v>
      </c>
      <c r="B11" s="48" t="s">
        <v>0</v>
      </c>
      <c r="C11" s="168">
        <f>INDEX($1:$4,3,MATCH($B11,$1:$1,0))</f>
        <v>126137.43</v>
      </c>
      <c r="D11" s="280" t="s">
        <v>390</v>
      </c>
      <c r="E11" s="280"/>
      <c r="F11" s="383" t="str">
        <f t="shared" si="2"/>
        <v>2021.09月 Online Ebay流水（国际部）：出货收入</v>
      </c>
      <c r="G11" s="281" t="s">
        <v>391</v>
      </c>
      <c r="H11" s="281" t="s">
        <v>392</v>
      </c>
      <c r="I11" s="312"/>
      <c r="J11" s="312">
        <f t="shared" ref="J11:J17" si="4">C11</f>
        <v>126137.43</v>
      </c>
    </row>
    <row r="12" spans="1:10">
      <c r="A12" s="652" t="str">
        <f t="shared" si="3"/>
        <v>2021.09月 </v>
      </c>
      <c r="B12" s="48" t="s">
        <v>90</v>
      </c>
      <c r="C12" s="168">
        <f>INDEX($1:$4,2,MATCH($B12,$1:$1,0))</f>
        <v>156101.56</v>
      </c>
      <c r="D12" s="48" t="s">
        <v>393</v>
      </c>
      <c r="F12" s="296" t="str">
        <f t="shared" si="2"/>
        <v>2021.09月 Simple Ebay流水（国际部）：出货收入</v>
      </c>
      <c r="G12" s="233" t="s">
        <v>394</v>
      </c>
      <c r="H12" s="233" t="s">
        <v>395</v>
      </c>
      <c r="I12" s="230">
        <f>C12</f>
        <v>156101.56</v>
      </c>
      <c r="J12" s="230"/>
    </row>
    <row r="13" spans="1:10">
      <c r="A13" s="652" t="str">
        <f t="shared" si="3"/>
        <v>2021.09月 </v>
      </c>
      <c r="B13" s="48" t="s">
        <v>90</v>
      </c>
      <c r="C13" s="168">
        <f>INDEX($1:$4,4,MATCH($B13,$1:$1,0))</f>
        <v>26016.93</v>
      </c>
      <c r="D13" s="48" t="s">
        <v>393</v>
      </c>
      <c r="F13" s="296" t="str">
        <f t="shared" si="2"/>
        <v>2021.09月 Simple Ebay流水（国际部）：出货收入</v>
      </c>
      <c r="G13" s="384" t="s">
        <v>396</v>
      </c>
      <c r="H13" s="385" t="s">
        <v>397</v>
      </c>
      <c r="I13" s="230"/>
      <c r="J13" s="389">
        <f t="shared" si="4"/>
        <v>26016.93</v>
      </c>
    </row>
    <row r="14" spans="1:10">
      <c r="A14" s="652" t="str">
        <f t="shared" si="3"/>
        <v>2021.09月 </v>
      </c>
      <c r="B14" s="48" t="s">
        <v>90</v>
      </c>
      <c r="C14" s="168">
        <f>INDEX($1:$4,3,MATCH($B14,$1:$1,0))</f>
        <v>130084.63</v>
      </c>
      <c r="D14" s="48" t="s">
        <v>393</v>
      </c>
      <c r="F14" s="296" t="str">
        <f t="shared" si="2"/>
        <v>2021.09月 Simple Ebay流水（国际部）：出货收入</v>
      </c>
      <c r="G14" s="233" t="s">
        <v>391</v>
      </c>
      <c r="H14" s="233" t="s">
        <v>392</v>
      </c>
      <c r="I14" s="230"/>
      <c r="J14" s="230">
        <f t="shared" si="4"/>
        <v>130084.63</v>
      </c>
    </row>
    <row r="15" spans="1:10">
      <c r="A15" s="652" t="str">
        <f t="shared" si="3"/>
        <v>2021.09月 </v>
      </c>
      <c r="B15" s="48" t="s">
        <v>77</v>
      </c>
      <c r="C15" s="168">
        <f>INDEX($1:$4,2,MATCH($B15,$1:$1,0))</f>
        <v>289924.81</v>
      </c>
      <c r="D15" s="280" t="s">
        <v>398</v>
      </c>
      <c r="E15" s="280"/>
      <c r="F15" s="383" t="str">
        <f t="shared" si="2"/>
        <v>2021.09月 Surfing Ebay流水（国际部）：出货收入</v>
      </c>
      <c r="G15" s="281" t="s">
        <v>399</v>
      </c>
      <c r="H15" s="281" t="s">
        <v>400</v>
      </c>
      <c r="I15" s="312">
        <f>C15</f>
        <v>289924.81</v>
      </c>
      <c r="J15" s="312"/>
    </row>
    <row r="16" spans="1:10">
      <c r="A16" s="652" t="str">
        <f t="shared" si="3"/>
        <v>2021.09月 </v>
      </c>
      <c r="B16" s="48" t="s">
        <v>77</v>
      </c>
      <c r="C16" s="168">
        <f>INDEX($1:$4,4,MATCH($B16,$1:$1,0))</f>
        <v>48320.8</v>
      </c>
      <c r="D16" s="280" t="s">
        <v>398</v>
      </c>
      <c r="E16" s="280"/>
      <c r="F16" s="383" t="str">
        <f t="shared" ref="F16:F29" si="5">A16&amp;D16&amp;E16</f>
        <v>2021.09月 Surfing Ebay流水（国际部）：出货收入</v>
      </c>
      <c r="G16" s="384" t="s">
        <v>396</v>
      </c>
      <c r="H16" s="384" t="s">
        <v>397</v>
      </c>
      <c r="I16" s="312"/>
      <c r="J16" s="390">
        <f t="shared" si="4"/>
        <v>48320.8</v>
      </c>
    </row>
    <row r="17" spans="1:10">
      <c r="A17" s="652" t="str">
        <f t="shared" si="3"/>
        <v>2021.09月 </v>
      </c>
      <c r="B17" s="48" t="s">
        <v>77</v>
      </c>
      <c r="C17" s="168">
        <f>INDEX($1:$4,3,MATCH($B17,$1:$1,0))</f>
        <v>241604.01</v>
      </c>
      <c r="D17" s="280" t="s">
        <v>398</v>
      </c>
      <c r="E17" s="280"/>
      <c r="F17" s="383" t="str">
        <f t="shared" si="5"/>
        <v>2021.09月 Surfing Ebay流水（国际部）：出货收入</v>
      </c>
      <c r="G17" s="281" t="s">
        <v>391</v>
      </c>
      <c r="H17" s="281" t="s">
        <v>392</v>
      </c>
      <c r="I17" s="312"/>
      <c r="J17" s="312">
        <f t="shared" si="4"/>
        <v>241604.01</v>
      </c>
    </row>
    <row r="18" spans="1:10">
      <c r="A18" s="652" t="str">
        <f t="shared" si="3"/>
        <v>2021.09月 </v>
      </c>
      <c r="B18" s="48" t="s">
        <v>93</v>
      </c>
      <c r="C18" s="168">
        <f>INDEX($1:$4,2,MATCH($B18,$1:$1,0))</f>
        <v>43634.01</v>
      </c>
      <c r="D18" s="48" t="s">
        <v>401</v>
      </c>
      <c r="F18" s="296" t="str">
        <f t="shared" si="5"/>
        <v>2021.09月 Showerenclouser Ebay流水（国际部）：出货收入</v>
      </c>
      <c r="G18" s="233" t="s">
        <v>402</v>
      </c>
      <c r="H18" s="233" t="s">
        <v>403</v>
      </c>
      <c r="I18" s="230">
        <f>C18</f>
        <v>43634.01</v>
      </c>
      <c r="J18" s="230"/>
    </row>
    <row r="19" spans="1:10">
      <c r="A19" s="652" t="str">
        <f t="shared" si="3"/>
        <v>2021.09月 </v>
      </c>
      <c r="B19" s="48" t="s">
        <v>93</v>
      </c>
      <c r="C19" s="168">
        <f>INDEX($1:$4,4,MATCH($B19,$1:$1,0))</f>
        <v>7272.33</v>
      </c>
      <c r="D19" s="48" t="s">
        <v>401</v>
      </c>
      <c r="F19" s="296" t="str">
        <f t="shared" si="5"/>
        <v>2021.09月 Showerenclouser Ebay流水（国际部）：出货收入</v>
      </c>
      <c r="G19" s="233" t="s">
        <v>32</v>
      </c>
      <c r="H19" s="233" t="s">
        <v>33</v>
      </c>
      <c r="I19" s="230"/>
      <c r="J19" s="230">
        <f t="shared" ref="J19:J23" si="6">C19</f>
        <v>7272.33</v>
      </c>
    </row>
    <row r="20" spans="1:10">
      <c r="A20" s="652" t="str">
        <f t="shared" ref="A20:A29" si="7">$A$8</f>
        <v>2021.09月 </v>
      </c>
      <c r="B20" s="48" t="s">
        <v>93</v>
      </c>
      <c r="C20" s="168">
        <f>INDEX($1:$4,3,MATCH($B20,$1:$1,0))</f>
        <v>36361.68</v>
      </c>
      <c r="D20" s="48" t="s">
        <v>401</v>
      </c>
      <c r="F20" s="296" t="str">
        <f t="shared" si="5"/>
        <v>2021.09月 Showerenclouser Ebay流水（国际部）：出货收入</v>
      </c>
      <c r="G20" s="233" t="s">
        <v>391</v>
      </c>
      <c r="H20" s="233" t="s">
        <v>392</v>
      </c>
      <c r="I20" s="230"/>
      <c r="J20" s="230">
        <f t="shared" si="6"/>
        <v>36361.68</v>
      </c>
    </row>
    <row r="21" spans="1:10">
      <c r="A21" s="652" t="str">
        <f t="shared" si="7"/>
        <v>2021.09月 </v>
      </c>
      <c r="B21" s="48" t="s">
        <v>94</v>
      </c>
      <c r="C21" s="168">
        <f>INDEX($1:$4,2,MATCH($B21,$1:$1,0))</f>
        <v>9268.42</v>
      </c>
      <c r="D21" s="48" t="s">
        <v>404</v>
      </c>
      <c r="F21" s="296" t="str">
        <f t="shared" si="5"/>
        <v>2021.09月 SuperShower Ebay流水（国际部）：出货收入</v>
      </c>
      <c r="G21" s="233" t="s">
        <v>99</v>
      </c>
      <c r="H21" s="233" t="s">
        <v>405</v>
      </c>
      <c r="I21" s="230">
        <f>C21</f>
        <v>9268.42</v>
      </c>
      <c r="J21" s="230"/>
    </row>
    <row r="22" spans="1:10">
      <c r="A22" s="652" t="str">
        <f t="shared" si="7"/>
        <v>2021.09月 </v>
      </c>
      <c r="B22" s="48" t="s">
        <v>94</v>
      </c>
      <c r="C22" s="168">
        <f>INDEX($1:$4,4,MATCH($B22,$1:$1,0))</f>
        <v>1544.74</v>
      </c>
      <c r="D22" s="48" t="s">
        <v>404</v>
      </c>
      <c r="F22" s="296" t="str">
        <f t="shared" si="5"/>
        <v>2021.09月 SuperShower Ebay流水（国际部）：出货收入</v>
      </c>
      <c r="G22" s="233" t="s">
        <v>32</v>
      </c>
      <c r="H22" s="233" t="s">
        <v>33</v>
      </c>
      <c r="I22" s="230"/>
      <c r="J22" s="230">
        <f t="shared" si="6"/>
        <v>1544.74</v>
      </c>
    </row>
    <row r="23" spans="1:10">
      <c r="A23" s="652" t="str">
        <f t="shared" si="7"/>
        <v>2021.09月 </v>
      </c>
      <c r="B23" s="48" t="s">
        <v>94</v>
      </c>
      <c r="C23" s="168">
        <f>INDEX($1:$4,3,MATCH($B23,$1:$1,0))</f>
        <v>7723.68</v>
      </c>
      <c r="D23" s="48" t="s">
        <v>404</v>
      </c>
      <c r="F23" s="296" t="str">
        <f t="shared" si="5"/>
        <v>2021.09月 SuperShower Ebay流水（国际部）：出货收入</v>
      </c>
      <c r="G23" s="233" t="s">
        <v>391</v>
      </c>
      <c r="H23" s="233" t="s">
        <v>392</v>
      </c>
      <c r="I23" s="230"/>
      <c r="J23" s="230">
        <f t="shared" si="6"/>
        <v>7723.68</v>
      </c>
    </row>
    <row r="24" spans="1:10">
      <c r="A24" s="652" t="str">
        <f t="shared" si="7"/>
        <v>2021.09月 </v>
      </c>
      <c r="B24" s="48" t="s">
        <v>382</v>
      </c>
      <c r="C24" s="168">
        <f>INDEX($1:$4,2,MATCH($B24,$1:$1,0))</f>
        <v>1384.9</v>
      </c>
      <c r="D24" s="48" t="s">
        <v>406</v>
      </c>
      <c r="F24" s="296" t="str">
        <f t="shared" si="5"/>
        <v>2021.09月 OnlineBath Ebay流水（国际部）：出货收入</v>
      </c>
      <c r="G24" s="233" t="s">
        <v>106</v>
      </c>
      <c r="H24" s="233" t="s">
        <v>107</v>
      </c>
      <c r="I24" s="230">
        <f>C24</f>
        <v>1384.9</v>
      </c>
      <c r="J24" s="230"/>
    </row>
    <row r="25" spans="1:10">
      <c r="A25" s="652" t="str">
        <f t="shared" si="7"/>
        <v>2021.09月 </v>
      </c>
      <c r="B25" s="48" t="s">
        <v>382</v>
      </c>
      <c r="C25" s="168">
        <f>INDEX($1:$4,4,MATCH($B25,$1:$1,0))</f>
        <v>230.82</v>
      </c>
      <c r="D25" s="48" t="s">
        <v>406</v>
      </c>
      <c r="F25" s="296" t="str">
        <f t="shared" si="5"/>
        <v>2021.09月 OnlineBath Ebay流水（国际部）：出货收入</v>
      </c>
      <c r="G25" s="233" t="s">
        <v>32</v>
      </c>
      <c r="H25" s="233" t="s">
        <v>33</v>
      </c>
      <c r="I25" s="230"/>
      <c r="J25" s="230">
        <f t="shared" ref="J25:J29" si="8">C25</f>
        <v>230.82</v>
      </c>
    </row>
    <row r="26" spans="1:10">
      <c r="A26" s="652" t="str">
        <f t="shared" si="7"/>
        <v>2021.09月 </v>
      </c>
      <c r="B26" s="48" t="s">
        <v>382</v>
      </c>
      <c r="C26" s="168">
        <f>INDEX($1:$4,3,MATCH($B26,$1:$1,0))</f>
        <v>1154.08</v>
      </c>
      <c r="D26" s="48" t="s">
        <v>406</v>
      </c>
      <c r="F26" s="296" t="str">
        <f t="shared" si="5"/>
        <v>2021.09月 OnlineBath Ebay流水（国际部）：出货收入</v>
      </c>
      <c r="G26" s="233" t="s">
        <v>391</v>
      </c>
      <c r="H26" s="233" t="s">
        <v>392</v>
      </c>
      <c r="I26" s="230"/>
      <c r="J26" s="230">
        <f t="shared" si="8"/>
        <v>1154.08</v>
      </c>
    </row>
    <row r="27" spans="1:10">
      <c r="A27" s="652" t="str">
        <f t="shared" si="7"/>
        <v>2021.09月 </v>
      </c>
      <c r="B27" s="48" t="s">
        <v>108</v>
      </c>
      <c r="C27" s="168">
        <f>INDEX($1:$4,2,MATCH($B27,$1:$1,0))</f>
        <v>51.99</v>
      </c>
      <c r="D27" s="48" t="s">
        <v>406</v>
      </c>
      <c r="F27" s="296" t="str">
        <f t="shared" si="5"/>
        <v>2021.09月 OnlineBath Ebay流水（国际部）：出货收入</v>
      </c>
      <c r="G27" s="233" t="s">
        <v>113</v>
      </c>
      <c r="H27" s="233" t="s">
        <v>114</v>
      </c>
      <c r="I27" s="230">
        <f>C27</f>
        <v>51.99</v>
      </c>
      <c r="J27" s="230"/>
    </row>
    <row r="28" spans="1:10">
      <c r="A28" s="652" t="str">
        <f t="shared" si="7"/>
        <v>2021.09月 </v>
      </c>
      <c r="B28" s="48" t="s">
        <v>108</v>
      </c>
      <c r="C28" s="168">
        <f>INDEX($1:$4,4,MATCH($B28,$1:$1,0))</f>
        <v>8.66</v>
      </c>
      <c r="D28" s="48" t="s">
        <v>406</v>
      </c>
      <c r="F28" s="296" t="str">
        <f t="shared" si="5"/>
        <v>2021.09月 OnlineBath Ebay流水（国际部）：出货收入</v>
      </c>
      <c r="G28" s="233" t="s">
        <v>32</v>
      </c>
      <c r="H28" s="233" t="s">
        <v>33</v>
      </c>
      <c r="I28" s="230"/>
      <c r="J28" s="230">
        <f t="shared" si="8"/>
        <v>8.66</v>
      </c>
    </row>
    <row r="29" spans="1:10">
      <c r="A29" s="652" t="str">
        <f t="shared" si="7"/>
        <v>2021.09月 </v>
      </c>
      <c r="B29" s="48" t="s">
        <v>108</v>
      </c>
      <c r="C29" s="168">
        <f>INDEX($1:$4,3,MATCH($B29,$1:$1,0))</f>
        <v>43.33</v>
      </c>
      <c r="D29" s="48" t="s">
        <v>406</v>
      </c>
      <c r="F29" s="296" t="str">
        <f t="shared" si="5"/>
        <v>2021.09月 OnlineBath Ebay流水（国际部）：出货收入</v>
      </c>
      <c r="G29" s="233" t="s">
        <v>391</v>
      </c>
      <c r="H29" s="233" t="s">
        <v>392</v>
      </c>
      <c r="I29" s="230"/>
      <c r="J29" s="230">
        <f t="shared" si="8"/>
        <v>43.33</v>
      </c>
    </row>
    <row r="30" spans="1:10">
      <c r="A30" s="652" t="str">
        <f t="shared" ref="A30:A39" si="9">$A$8</f>
        <v>2021.09月 </v>
      </c>
      <c r="B30" s="48" t="s">
        <v>140</v>
      </c>
      <c r="C30" s="168">
        <f>INDEX($1:$4,2,MATCH($B30,$1:$1,0))</f>
        <v>34762.79</v>
      </c>
      <c r="D30" s="280" t="s">
        <v>407</v>
      </c>
      <c r="E30" s="280"/>
      <c r="F30" s="383" t="str">
        <f t="shared" ref="F30:F56" si="10">A30&amp;D30&amp;E30</f>
        <v>2021.09月 Mano 流水（国际部）：出货收入</v>
      </c>
      <c r="G30" s="281" t="s">
        <v>147</v>
      </c>
      <c r="H30" s="281" t="s">
        <v>148</v>
      </c>
      <c r="I30" s="312">
        <f>C30</f>
        <v>34762.79</v>
      </c>
      <c r="J30" s="312"/>
    </row>
    <row r="31" spans="1:10">
      <c r="A31" s="652" t="str">
        <f t="shared" si="9"/>
        <v>2021.09月 </v>
      </c>
      <c r="B31" s="48" t="s">
        <v>140</v>
      </c>
      <c r="C31" s="168">
        <f>INDEX($1:$4,4,MATCH($B31,$1:$1,0))</f>
        <v>5793.8</v>
      </c>
      <c r="D31" s="280" t="s">
        <v>407</v>
      </c>
      <c r="E31" s="280"/>
      <c r="F31" s="383" t="str">
        <f t="shared" si="10"/>
        <v>2021.09月 Mano 流水（国际部）：出货收入</v>
      </c>
      <c r="G31" s="281" t="s">
        <v>32</v>
      </c>
      <c r="H31" s="281" t="s">
        <v>33</v>
      </c>
      <c r="I31" s="312"/>
      <c r="J31" s="312">
        <f>C31</f>
        <v>5793.8</v>
      </c>
    </row>
    <row r="32" spans="1:10">
      <c r="A32" s="652" t="str">
        <f t="shared" si="9"/>
        <v>2021.09月 </v>
      </c>
      <c r="B32" s="48" t="s">
        <v>140</v>
      </c>
      <c r="C32" s="168">
        <f>INDEX($1:$4,3,MATCH($B32,$1:$1,0))</f>
        <v>28968.99</v>
      </c>
      <c r="D32" s="280" t="s">
        <v>407</v>
      </c>
      <c r="E32" s="280"/>
      <c r="F32" s="383" t="str">
        <f t="shared" si="10"/>
        <v>2021.09月 Mano 流水（国际部）：出货收入</v>
      </c>
      <c r="G32" s="281" t="s">
        <v>391</v>
      </c>
      <c r="H32" s="281" t="s">
        <v>392</v>
      </c>
      <c r="I32" s="312"/>
      <c r="J32" s="312">
        <f>C32</f>
        <v>28968.99</v>
      </c>
    </row>
    <row r="33" spans="1:10">
      <c r="A33" s="652" t="str">
        <f t="shared" si="9"/>
        <v>2021.09月 </v>
      </c>
      <c r="B33" s="386" t="s">
        <v>162</v>
      </c>
      <c r="C33" s="168">
        <f>INDEX($1:$4,2,MATCH($B33,$1:$1,0))</f>
        <v>22814.55</v>
      </c>
      <c r="D33" s="48" t="s">
        <v>408</v>
      </c>
      <c r="F33" s="296" t="str">
        <f t="shared" si="10"/>
        <v>2021.09月 Shopify 流水（国际部）：出货收入</v>
      </c>
      <c r="G33" s="233" t="s">
        <v>179</v>
      </c>
      <c r="H33" s="233" t="s">
        <v>180</v>
      </c>
      <c r="I33" s="230">
        <f>C33</f>
        <v>22814.55</v>
      </c>
      <c r="J33" s="230"/>
    </row>
    <row r="34" spans="1:10">
      <c r="A34" s="652" t="str">
        <f t="shared" si="9"/>
        <v>2021.09月 </v>
      </c>
      <c r="B34" s="48" t="s">
        <v>162</v>
      </c>
      <c r="C34" s="168">
        <f>INDEX($1:$4,4,MATCH($B34,$1:$1,0))</f>
        <v>3802.42</v>
      </c>
      <c r="D34" s="48" t="s">
        <v>408</v>
      </c>
      <c r="F34" s="296" t="str">
        <f t="shared" si="10"/>
        <v>2021.09月 Shopify 流水（国际部）：出货收入</v>
      </c>
      <c r="G34" s="233" t="s">
        <v>32</v>
      </c>
      <c r="H34" s="233" t="s">
        <v>33</v>
      </c>
      <c r="I34" s="230"/>
      <c r="J34" s="230">
        <f t="shared" ref="J34:J38" si="11">C34</f>
        <v>3802.42</v>
      </c>
    </row>
    <row r="35" spans="1:10">
      <c r="A35" s="652" t="str">
        <f t="shared" si="9"/>
        <v>2021.09月 </v>
      </c>
      <c r="B35" s="48" t="s">
        <v>162</v>
      </c>
      <c r="C35" s="168">
        <f>INDEX($1:$4,3,MATCH($B35,$1:$1,0))</f>
        <v>19012.13</v>
      </c>
      <c r="D35" s="48" t="s">
        <v>408</v>
      </c>
      <c r="F35" s="296" t="str">
        <f t="shared" si="10"/>
        <v>2021.09月 Shopify 流水（国际部）：出货收入</v>
      </c>
      <c r="G35" s="233" t="s">
        <v>391</v>
      </c>
      <c r="H35" s="233" t="s">
        <v>392</v>
      </c>
      <c r="I35" s="230"/>
      <c r="J35" s="230">
        <f t="shared" si="11"/>
        <v>19012.13</v>
      </c>
    </row>
    <row r="36" spans="1:10">
      <c r="A36" s="652" t="str">
        <f t="shared" si="9"/>
        <v>2021.09月 </v>
      </c>
      <c r="B36" s="386" t="s">
        <v>234</v>
      </c>
      <c r="C36" s="168">
        <f>INDEX($1:$4,2,MATCH($B36,$1:$1,0))</f>
        <v>982.68</v>
      </c>
      <c r="D36" s="280" t="s">
        <v>409</v>
      </c>
      <c r="E36" s="280"/>
      <c r="F36" s="383" t="str">
        <f t="shared" si="10"/>
        <v>2021.09月 Homefast paypal 流水（国际部）：出货收入</v>
      </c>
      <c r="G36" s="281" t="s">
        <v>237</v>
      </c>
      <c r="H36" s="281" t="s">
        <v>238</v>
      </c>
      <c r="I36" s="312">
        <f>C36</f>
        <v>982.68</v>
      </c>
      <c r="J36" s="312"/>
    </row>
    <row r="37" spans="1:10">
      <c r="A37" s="652" t="str">
        <f t="shared" si="9"/>
        <v>2021.09月 </v>
      </c>
      <c r="B37" s="48" t="s">
        <v>234</v>
      </c>
      <c r="C37" s="168">
        <f>INDEX($1:$4,4,MATCH($B37,$1:$1,0))</f>
        <v>163.78</v>
      </c>
      <c r="D37" s="280" t="s">
        <v>409</v>
      </c>
      <c r="E37" s="280"/>
      <c r="F37" s="383" t="str">
        <f t="shared" si="10"/>
        <v>2021.09月 Homefast paypal 流水（国际部）：出货收入</v>
      </c>
      <c r="G37" s="384" t="s">
        <v>396</v>
      </c>
      <c r="H37" s="385" t="s">
        <v>397</v>
      </c>
      <c r="I37" s="312"/>
      <c r="J37" s="391">
        <f t="shared" si="11"/>
        <v>163.78</v>
      </c>
    </row>
    <row r="38" spans="1:10">
      <c r="A38" s="652" t="str">
        <f t="shared" si="9"/>
        <v>2021.09月 </v>
      </c>
      <c r="B38" s="48" t="s">
        <v>234</v>
      </c>
      <c r="C38" s="168">
        <f>INDEX($1:$4,3,MATCH($B38,$1:$1,0))</f>
        <v>818.9</v>
      </c>
      <c r="D38" s="280" t="s">
        <v>409</v>
      </c>
      <c r="E38" s="280"/>
      <c r="F38" s="383" t="str">
        <f t="shared" si="10"/>
        <v>2021.09月 Homefast paypal 流水（国际部）：出货收入</v>
      </c>
      <c r="G38" s="281" t="s">
        <v>391</v>
      </c>
      <c r="H38" s="281" t="s">
        <v>392</v>
      </c>
      <c r="I38" s="312"/>
      <c r="J38" s="312">
        <f t="shared" si="11"/>
        <v>818.9</v>
      </c>
    </row>
    <row r="39" spans="1:10">
      <c r="A39" s="652" t="str">
        <f t="shared" si="9"/>
        <v>2021.09月 </v>
      </c>
      <c r="B39" s="386" t="s">
        <v>194</v>
      </c>
      <c r="C39" s="168">
        <f>INDEX($1:$4,2,MATCH($B39,$1:$1,0))</f>
        <v>19800.57</v>
      </c>
      <c r="D39" s="48" t="s">
        <v>410</v>
      </c>
      <c r="F39" s="296" t="str">
        <f t="shared" si="10"/>
        <v>2021.09月 Aica paypal 流水（国际部）：出货收入</v>
      </c>
      <c r="G39" s="233" t="s">
        <v>208</v>
      </c>
      <c r="H39" s="233" t="s">
        <v>209</v>
      </c>
      <c r="I39" s="230">
        <f>C39</f>
        <v>19800.57</v>
      </c>
      <c r="J39" s="230"/>
    </row>
    <row r="40" spans="1:10">
      <c r="A40" s="652" t="str">
        <f t="shared" ref="A40:A49" si="12">$A$8</f>
        <v>2021.09月 </v>
      </c>
      <c r="B40" s="48" t="s">
        <v>194</v>
      </c>
      <c r="C40" s="168">
        <f>INDEX($1:$4,4,MATCH($B40,$1:$1,0))</f>
        <v>3300.09</v>
      </c>
      <c r="D40" s="48" t="s">
        <v>410</v>
      </c>
      <c r="F40" s="296" t="str">
        <f t="shared" si="10"/>
        <v>2021.09月 Aica paypal 流水（国际部）：出货收入</v>
      </c>
      <c r="G40" s="233" t="s">
        <v>32</v>
      </c>
      <c r="H40" s="233" t="s">
        <v>33</v>
      </c>
      <c r="I40" s="230"/>
      <c r="J40" s="230">
        <f t="shared" ref="J40:J44" si="13">C40</f>
        <v>3300.09</v>
      </c>
    </row>
    <row r="41" spans="1:10">
      <c r="A41" s="652" t="str">
        <f t="shared" si="12"/>
        <v>2021.09月 </v>
      </c>
      <c r="B41" s="48" t="s">
        <v>194</v>
      </c>
      <c r="C41" s="168">
        <f>INDEX($1:$4,3,MATCH($B41,$1:$1,0))</f>
        <v>16500.48</v>
      </c>
      <c r="D41" s="48" t="s">
        <v>410</v>
      </c>
      <c r="F41" s="296" t="str">
        <f t="shared" si="10"/>
        <v>2021.09月 Aica paypal 流水（国际部）：出货收入</v>
      </c>
      <c r="G41" s="233" t="s">
        <v>391</v>
      </c>
      <c r="H41" s="233" t="s">
        <v>392</v>
      </c>
      <c r="I41" s="230"/>
      <c r="J41" s="230">
        <f t="shared" si="13"/>
        <v>16500.48</v>
      </c>
    </row>
    <row r="42" spans="1:10">
      <c r="A42" s="652" t="str">
        <f t="shared" si="12"/>
        <v>2021.09月 </v>
      </c>
      <c r="B42" s="386" t="s">
        <v>226</v>
      </c>
      <c r="C42" s="168">
        <f>INDEX($1:$4,2,MATCH($B42,$1:$1,0))</f>
        <v>258.02</v>
      </c>
      <c r="D42" s="280" t="s">
        <v>411</v>
      </c>
      <c r="E42" s="280"/>
      <c r="F42" s="383" t="str">
        <f t="shared" si="10"/>
        <v>2021.09月 perfect paypal 流水（国际部）：出货收入</v>
      </c>
      <c r="G42" s="281" t="s">
        <v>231</v>
      </c>
      <c r="H42" s="281" t="s">
        <v>232</v>
      </c>
      <c r="I42" s="312">
        <f>C42</f>
        <v>258.02</v>
      </c>
      <c r="J42" s="312"/>
    </row>
    <row r="43" spans="1:10">
      <c r="A43" s="652" t="str">
        <f t="shared" si="12"/>
        <v>2021.09月 </v>
      </c>
      <c r="B43" s="48" t="s">
        <v>226</v>
      </c>
      <c r="C43" s="168">
        <f>INDEX($1:$4,4,MATCH($B43,$1:$1,0))</f>
        <v>43</v>
      </c>
      <c r="D43" s="280" t="s">
        <v>411</v>
      </c>
      <c r="E43" s="280"/>
      <c r="F43" s="383" t="str">
        <f t="shared" si="10"/>
        <v>2021.09月 perfect paypal 流水（国际部）：出货收入</v>
      </c>
      <c r="G43" s="384" t="s">
        <v>396</v>
      </c>
      <c r="H43" s="385" t="s">
        <v>397</v>
      </c>
      <c r="I43" s="312"/>
      <c r="J43" s="390">
        <f t="shared" si="13"/>
        <v>43</v>
      </c>
    </row>
    <row r="44" spans="1:10">
      <c r="A44" s="652" t="str">
        <f t="shared" si="12"/>
        <v>2021.09月 </v>
      </c>
      <c r="B44" s="48" t="s">
        <v>226</v>
      </c>
      <c r="C44" s="168">
        <f>INDEX($1:$4,3,MATCH($B44,$1:$1,0))</f>
        <v>215.02</v>
      </c>
      <c r="D44" s="280" t="s">
        <v>411</v>
      </c>
      <c r="E44" s="280"/>
      <c r="F44" s="383" t="str">
        <f t="shared" si="10"/>
        <v>2021.09月 perfect paypal 流水（国际部）：出货收入</v>
      </c>
      <c r="G44" s="281" t="s">
        <v>391</v>
      </c>
      <c r="H44" s="281" t="s">
        <v>392</v>
      </c>
      <c r="I44" s="312"/>
      <c r="J44" s="312">
        <f t="shared" si="13"/>
        <v>215.02</v>
      </c>
    </row>
    <row r="45" hidden="1" spans="1:10">
      <c r="A45" s="652" t="str">
        <f t="shared" si="12"/>
        <v>2021.09月 </v>
      </c>
      <c r="B45" s="386" t="s">
        <v>272</v>
      </c>
      <c r="C45" s="168">
        <f>INDEX($1:$4,2,MATCH($B45,$1:$1,0))</f>
        <v>0</v>
      </c>
      <c r="D45" s="48" t="s">
        <v>412</v>
      </c>
      <c r="F45" s="296" t="str">
        <f t="shared" si="10"/>
        <v>2021.09月 Amazon批发网站 流水（国际部）：出货收入</v>
      </c>
      <c r="G45" s="233" t="s">
        <v>279</v>
      </c>
      <c r="H45" s="233" t="s">
        <v>280</v>
      </c>
      <c r="I45" s="230">
        <f>C45</f>
        <v>0</v>
      </c>
      <c r="J45" s="230"/>
    </row>
    <row r="46" hidden="1" spans="1:10">
      <c r="A46" s="652" t="str">
        <f t="shared" si="12"/>
        <v>2021.09月 </v>
      </c>
      <c r="B46" s="48" t="s">
        <v>272</v>
      </c>
      <c r="C46" s="168">
        <f>INDEX($1:$4,4,MATCH($B46,$1:$1,0))</f>
        <v>0</v>
      </c>
      <c r="D46" s="48" t="s">
        <v>412</v>
      </c>
      <c r="F46" s="296" t="str">
        <f t="shared" si="10"/>
        <v>2021.09月 Amazon批发网站 流水（国际部）：出货收入</v>
      </c>
      <c r="G46" s="233" t="s">
        <v>32</v>
      </c>
      <c r="H46" s="233" t="s">
        <v>33</v>
      </c>
      <c r="I46" s="230"/>
      <c r="J46" s="230">
        <f t="shared" ref="J46:J50" si="14">C46</f>
        <v>0</v>
      </c>
    </row>
    <row r="47" hidden="1" spans="1:10">
      <c r="A47" s="652" t="str">
        <f t="shared" si="12"/>
        <v>2021.09月 </v>
      </c>
      <c r="B47" s="48" t="s">
        <v>272</v>
      </c>
      <c r="C47" s="168">
        <f>INDEX($1:$4,3,MATCH($B47,$1:$1,0))</f>
        <v>0</v>
      </c>
      <c r="D47" s="48" t="s">
        <v>412</v>
      </c>
      <c r="F47" s="296" t="str">
        <f t="shared" si="10"/>
        <v>2021.09月 Amazon批发网站 流水（国际部）：出货收入</v>
      </c>
      <c r="G47" s="233" t="s">
        <v>391</v>
      </c>
      <c r="H47" s="233" t="s">
        <v>392</v>
      </c>
      <c r="I47" s="230"/>
      <c r="J47" s="230">
        <f t="shared" si="14"/>
        <v>0</v>
      </c>
    </row>
    <row r="48" spans="1:10">
      <c r="A48" s="652" t="str">
        <f t="shared" si="12"/>
        <v>2021.09月 </v>
      </c>
      <c r="B48" s="386" t="s">
        <v>239</v>
      </c>
      <c r="C48" s="168">
        <f>INDEX($1:$4,2,MATCH($B48,$1:$1,0))</f>
        <v>12721.26</v>
      </c>
      <c r="D48" s="280" t="s">
        <v>413</v>
      </c>
      <c r="E48" s="280"/>
      <c r="F48" s="383" t="str">
        <f t="shared" si="10"/>
        <v>2021.09月 银行现金 流水（国际部）：出货收入</v>
      </c>
      <c r="G48" s="281" t="s">
        <v>255</v>
      </c>
      <c r="H48" s="281" t="s">
        <v>256</v>
      </c>
      <c r="I48" s="312">
        <f>C48</f>
        <v>12721.26</v>
      </c>
      <c r="J48" s="312"/>
    </row>
    <row r="49" spans="1:10">
      <c r="A49" s="652" t="str">
        <f t="shared" si="12"/>
        <v>2021.09月 </v>
      </c>
      <c r="B49" s="48" t="s">
        <v>239</v>
      </c>
      <c r="C49" s="168">
        <f>INDEX($1:$4,4,MATCH($B49,$1:$1,0))</f>
        <v>2120.21</v>
      </c>
      <c r="D49" s="280" t="s">
        <v>413</v>
      </c>
      <c r="E49" s="280"/>
      <c r="F49" s="383" t="str">
        <f t="shared" si="10"/>
        <v>2021.09月 银行现金 流水（国际部）：出货收入</v>
      </c>
      <c r="G49" s="384" t="s">
        <v>396</v>
      </c>
      <c r="H49" s="384" t="s">
        <v>397</v>
      </c>
      <c r="I49" s="312"/>
      <c r="J49" s="312">
        <f t="shared" si="14"/>
        <v>2120.21</v>
      </c>
    </row>
    <row r="50" spans="1:10">
      <c r="A50" s="652" t="str">
        <f t="shared" ref="A50:A59" si="15">$A$8</f>
        <v>2021.09月 </v>
      </c>
      <c r="B50" s="48" t="s">
        <v>239</v>
      </c>
      <c r="C50" s="168">
        <f>INDEX($1:$4,3,MATCH($B50,$1:$1,0))</f>
        <v>10601.05</v>
      </c>
      <c r="D50" s="280" t="s">
        <v>413</v>
      </c>
      <c r="E50" s="280"/>
      <c r="F50" s="383" t="str">
        <f t="shared" si="10"/>
        <v>2021.09月 银行现金 流水（国际部）：出货收入</v>
      </c>
      <c r="G50" s="281" t="s">
        <v>391</v>
      </c>
      <c r="H50" s="281" t="s">
        <v>392</v>
      </c>
      <c r="I50" s="312"/>
      <c r="J50" s="312">
        <f t="shared" si="14"/>
        <v>10601.05</v>
      </c>
    </row>
    <row r="51" hidden="1" spans="1:10">
      <c r="A51" s="652" t="str">
        <f t="shared" si="15"/>
        <v>2021.09月 </v>
      </c>
      <c r="B51" s="48" t="s">
        <v>359</v>
      </c>
      <c r="C51" s="168">
        <f>INDEX($1:$4,2,MATCH($B51,$1:$1,0))</f>
        <v>0</v>
      </c>
      <c r="D51" s="48" t="s">
        <v>414</v>
      </c>
      <c r="F51" s="296" t="str">
        <f t="shared" si="10"/>
        <v>2021.09月 Excellent Paypal 流水（国际部）：出货收入</v>
      </c>
      <c r="G51" s="233" t="s">
        <v>362</v>
      </c>
      <c r="H51" s="233" t="s">
        <v>363</v>
      </c>
      <c r="I51" s="230">
        <f>C51</f>
        <v>0</v>
      </c>
      <c r="J51" s="230"/>
    </row>
    <row r="52" hidden="1" spans="1:10">
      <c r="A52" s="652" t="str">
        <f t="shared" si="15"/>
        <v>2021.09月 </v>
      </c>
      <c r="B52" s="48" t="s">
        <v>359</v>
      </c>
      <c r="C52" s="168">
        <f>INDEX($1:$4,4,MATCH($B52,$1:$1,0))</f>
        <v>0</v>
      </c>
      <c r="D52" s="48" t="s">
        <v>414</v>
      </c>
      <c r="F52" s="296" t="str">
        <f t="shared" ref="F52:F72" si="16">A52&amp;D52&amp;E52</f>
        <v>2021.09月 Excellent Paypal 流水（国际部）：出货收入</v>
      </c>
      <c r="G52" s="233" t="s">
        <v>32</v>
      </c>
      <c r="H52" s="233" t="s">
        <v>33</v>
      </c>
      <c r="I52" s="230"/>
      <c r="J52" s="230">
        <f t="shared" ref="J52:J56" si="17">C52</f>
        <v>0</v>
      </c>
    </row>
    <row r="53" hidden="1" spans="1:10">
      <c r="A53" s="652" t="str">
        <f t="shared" si="15"/>
        <v>2021.09月 </v>
      </c>
      <c r="B53" s="48" t="s">
        <v>359</v>
      </c>
      <c r="C53" s="168">
        <f>INDEX($1:$4,3,MATCH($B53,$1:$1,0))</f>
        <v>0</v>
      </c>
      <c r="D53" s="48" t="s">
        <v>414</v>
      </c>
      <c r="F53" s="296" t="str">
        <f t="shared" si="16"/>
        <v>2021.09月 Excellent Paypal 流水（国际部）：出货收入</v>
      </c>
      <c r="G53" s="233" t="s">
        <v>391</v>
      </c>
      <c r="H53" s="233" t="s">
        <v>392</v>
      </c>
      <c r="I53" s="230"/>
      <c r="J53" s="230">
        <f t="shared" si="17"/>
        <v>0</v>
      </c>
    </row>
    <row r="54" spans="1:10">
      <c r="A54" s="652" t="str">
        <f t="shared" si="15"/>
        <v>2021.09月 </v>
      </c>
      <c r="B54" s="280" t="s">
        <v>364</v>
      </c>
      <c r="C54" s="297">
        <f>INDEX($1:$4,2,MATCH($B54,$1:$1,0))</f>
        <v>30994.25</v>
      </c>
      <c r="D54" s="280" t="s">
        <v>415</v>
      </c>
      <c r="E54" s="280"/>
      <c r="F54" s="383" t="str">
        <f t="shared" si="16"/>
        <v>2021.09月 Excellent Amazon 流水（国际部）：出货收入</v>
      </c>
      <c r="G54" s="281" t="s">
        <v>368</v>
      </c>
      <c r="H54" s="281" t="s">
        <v>369</v>
      </c>
      <c r="I54" s="312">
        <f t="shared" ref="I54:I59" si="18">C54</f>
        <v>30994.25</v>
      </c>
      <c r="J54" s="312"/>
    </row>
    <row r="55" spans="1:10">
      <c r="A55" s="652" t="str">
        <f t="shared" si="15"/>
        <v>2021.09月 </v>
      </c>
      <c r="B55" s="280" t="s">
        <v>364</v>
      </c>
      <c r="C55" s="297">
        <f>INDEX($1:$4,4,MATCH($B55,$1:$1,0))</f>
        <v>5165.71</v>
      </c>
      <c r="D55" s="280" t="s">
        <v>415</v>
      </c>
      <c r="E55" s="280"/>
      <c r="F55" s="383" t="str">
        <f t="shared" si="16"/>
        <v>2021.09月 Excellent Amazon 流水（国际部）：出货收入</v>
      </c>
      <c r="G55" s="281" t="s">
        <v>32</v>
      </c>
      <c r="H55" s="281" t="s">
        <v>33</v>
      </c>
      <c r="I55" s="312"/>
      <c r="J55" s="312">
        <f t="shared" ref="J55:J60" si="19">C55</f>
        <v>5165.71</v>
      </c>
    </row>
    <row r="56" spans="1:10">
      <c r="A56" s="652" t="str">
        <f t="shared" si="15"/>
        <v>2021.09月 </v>
      </c>
      <c r="B56" s="280" t="s">
        <v>364</v>
      </c>
      <c r="C56" s="297">
        <f>INDEX($1:$4,3,MATCH($B56,$1:$1,0))</f>
        <v>25828.54</v>
      </c>
      <c r="D56" s="280" t="s">
        <v>415</v>
      </c>
      <c r="E56" s="280"/>
      <c r="F56" s="383" t="str">
        <f t="shared" si="16"/>
        <v>2021.09月 Excellent Amazon 流水（国际部）：出货收入</v>
      </c>
      <c r="G56" s="281" t="s">
        <v>391</v>
      </c>
      <c r="H56" s="281" t="s">
        <v>392</v>
      </c>
      <c r="I56" s="312"/>
      <c r="J56" s="312">
        <f t="shared" si="19"/>
        <v>25828.54</v>
      </c>
    </row>
    <row r="57" hidden="1" spans="1:10">
      <c r="A57" s="652" t="str">
        <f t="shared" si="15"/>
        <v>2021.09月 </v>
      </c>
      <c r="B57" s="386" t="s">
        <v>281</v>
      </c>
      <c r="C57" s="168">
        <f>INDEX($1:$4,3,MATCH($B57,$1:$1,0))</f>
        <v>0</v>
      </c>
      <c r="D57" s="48" t="s">
        <v>416</v>
      </c>
      <c r="F57" s="296" t="str">
        <f t="shared" si="16"/>
        <v>2021.09月 xinyang_ltd Ebay paypal流水（国际部）：出货收入</v>
      </c>
      <c r="G57" s="387" t="s">
        <v>270</v>
      </c>
      <c r="H57" s="387" t="s">
        <v>271</v>
      </c>
      <c r="I57" s="230">
        <f t="shared" si="18"/>
        <v>0</v>
      </c>
      <c r="J57" s="230"/>
    </row>
    <row r="58" hidden="1" spans="1:10">
      <c r="A58" s="652" t="str">
        <f t="shared" si="15"/>
        <v>2021.09月 </v>
      </c>
      <c r="B58" s="386" t="s">
        <v>281</v>
      </c>
      <c r="C58" s="168">
        <f>INDEX($1:$4,3,MATCH($B58,$1:$1,0))</f>
        <v>0</v>
      </c>
      <c r="D58" s="48" t="s">
        <v>416</v>
      </c>
      <c r="F58" s="296" t="str">
        <f t="shared" si="16"/>
        <v>2021.09月 xinyang_ltd Ebay paypal流水（国际部）：出货收入</v>
      </c>
      <c r="G58" s="233" t="s">
        <v>391</v>
      </c>
      <c r="H58" s="233" t="s">
        <v>392</v>
      </c>
      <c r="I58" s="230"/>
      <c r="J58" s="230">
        <f t="shared" si="19"/>
        <v>0</v>
      </c>
    </row>
    <row r="59" spans="1:10">
      <c r="A59" s="652" t="str">
        <f t="shared" si="15"/>
        <v>2021.09月 </v>
      </c>
      <c r="B59" s="386" t="s">
        <v>345</v>
      </c>
      <c r="C59" s="168">
        <f>INDEX($1:$4,3,MATCH($B59,$1:$1,0))</f>
        <v>60042.74</v>
      </c>
      <c r="D59" s="48" t="s">
        <v>417</v>
      </c>
      <c r="F59" s="296" t="str">
        <f t="shared" si="16"/>
        <v>2021.09月 xinyang_ltd Ebay 流水（国际部）：出货收入</v>
      </c>
      <c r="G59" s="387" t="s">
        <v>270</v>
      </c>
      <c r="H59" s="387" t="s">
        <v>271</v>
      </c>
      <c r="I59" s="230">
        <f t="shared" si="18"/>
        <v>60042.74</v>
      </c>
      <c r="J59" s="230"/>
    </row>
    <row r="60" customFormat="1" spans="1:10">
      <c r="A60" s="652" t="str">
        <f t="shared" ref="A60:A70" si="20">$A$8</f>
        <v>2021.09月 </v>
      </c>
      <c r="B60" s="48" t="s">
        <v>345</v>
      </c>
      <c r="C60" s="168">
        <f>INDEX($1:$4,3,MATCH($B60,$1:$1,0))</f>
        <v>60042.74</v>
      </c>
      <c r="D60" s="48" t="s">
        <v>417</v>
      </c>
      <c r="E60" s="48"/>
      <c r="F60" s="296" t="str">
        <f t="shared" si="16"/>
        <v>2021.09月 xinyang_ltd Ebay 流水（国际部）：出货收入</v>
      </c>
      <c r="G60" s="233" t="s">
        <v>391</v>
      </c>
      <c r="H60" s="233" t="s">
        <v>392</v>
      </c>
      <c r="I60" s="230"/>
      <c r="J60" s="230">
        <f t="shared" si="19"/>
        <v>60042.74</v>
      </c>
    </row>
    <row r="61" customFormat="1" hidden="1" spans="1:25">
      <c r="A61" s="652" t="str">
        <f t="shared" si="20"/>
        <v>2021.09月 </v>
      </c>
      <c r="B61" s="386" t="s">
        <v>293</v>
      </c>
      <c r="C61" s="168">
        <f>INDEX($1:$4,3,MATCH($B61,$1:$1,0))</f>
        <v>0</v>
      </c>
      <c r="D61" s="48" t="s">
        <v>418</v>
      </c>
      <c r="E61" s="48"/>
      <c r="F61" s="296" t="str">
        <f t="shared" si="16"/>
        <v>2021.09月 xinyang_SA Ebay（paypal）（国际部）：出货收入</v>
      </c>
      <c r="G61" s="388" t="s">
        <v>299</v>
      </c>
      <c r="H61" s="388" t="s">
        <v>300</v>
      </c>
      <c r="I61" s="230">
        <f>C61</f>
        <v>0</v>
      </c>
      <c r="J61" s="230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customFormat="1" hidden="1" spans="1:10">
      <c r="A62" s="652" t="str">
        <f t="shared" si="20"/>
        <v>2021.09月 </v>
      </c>
      <c r="B62" s="386" t="s">
        <v>293</v>
      </c>
      <c r="C62" s="168">
        <f>INDEX($1:$4,3,MATCH($B62,$1:$1,0))</f>
        <v>0</v>
      </c>
      <c r="D62" s="48" t="s">
        <v>418</v>
      </c>
      <c r="E62" s="48"/>
      <c r="F62" s="296" t="str">
        <f t="shared" si="16"/>
        <v>2021.09月 xinyang_SA Ebay（paypal）（国际部）：出货收入</v>
      </c>
      <c r="G62" s="233" t="s">
        <v>391</v>
      </c>
      <c r="H62" s="233" t="s">
        <v>392</v>
      </c>
      <c r="I62" s="230"/>
      <c r="J62" s="230">
        <f>C62</f>
        <v>0</v>
      </c>
    </row>
    <row r="63" customFormat="1" spans="1:25">
      <c r="A63" s="652" t="str">
        <f t="shared" si="20"/>
        <v>2021.09月 </v>
      </c>
      <c r="B63" s="386" t="s">
        <v>350</v>
      </c>
      <c r="C63" s="168">
        <f>INDEX($1:$4,3,MATCH($B63,$1:$1,0))</f>
        <v>3060.82</v>
      </c>
      <c r="D63" s="48" t="s">
        <v>418</v>
      </c>
      <c r="E63" s="48"/>
      <c r="F63" s="296" t="str">
        <f t="shared" si="16"/>
        <v>2021.09月 xinyang_SA Ebay（paypal）（国际部）：出货收入</v>
      </c>
      <c r="G63" s="388" t="s">
        <v>299</v>
      </c>
      <c r="H63" s="388" t="s">
        <v>300</v>
      </c>
      <c r="I63" s="230">
        <f>C63</f>
        <v>3060.82</v>
      </c>
      <c r="J63" s="230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customFormat="1" spans="1:10">
      <c r="A64" s="652" t="str">
        <f t="shared" si="20"/>
        <v>2021.09月 </v>
      </c>
      <c r="B64" s="386" t="s">
        <v>350</v>
      </c>
      <c r="C64" s="168">
        <f>INDEX($1:$4,3,MATCH($B64,$1:$1,0))</f>
        <v>3060.82</v>
      </c>
      <c r="D64" s="48" t="s">
        <v>418</v>
      </c>
      <c r="E64" s="48"/>
      <c r="F64" s="296" t="str">
        <f t="shared" si="16"/>
        <v>2021.09月 xinyang_SA Ebay（paypal）（国际部）：出货收入</v>
      </c>
      <c r="G64" s="233" t="s">
        <v>391</v>
      </c>
      <c r="H64" s="233" t="s">
        <v>392</v>
      </c>
      <c r="I64" s="230"/>
      <c r="J64" s="230">
        <f>C64</f>
        <v>3060.82</v>
      </c>
    </row>
    <row r="65" customFormat="1" spans="1:10">
      <c r="A65" s="652" t="str">
        <f t="shared" si="20"/>
        <v>2021.09月 </v>
      </c>
      <c r="B65" s="395" t="s">
        <v>304</v>
      </c>
      <c r="C65" s="297">
        <f>INDEX($1:$4,3,MATCH($B65,$1:$1,0))</f>
        <v>49591.29</v>
      </c>
      <c r="D65" s="280" t="s">
        <v>419</v>
      </c>
      <c r="E65" s="280"/>
      <c r="F65" s="383" t="str">
        <f t="shared" si="16"/>
        <v>2021.09月 信洋Amazon 流水（国际部）：出货收入</v>
      </c>
      <c r="G65" s="281" t="s">
        <v>337</v>
      </c>
      <c r="H65" s="281" t="s">
        <v>338</v>
      </c>
      <c r="I65" s="312">
        <f t="shared" ref="I65:I69" si="21">C65</f>
        <v>49591.29</v>
      </c>
      <c r="J65" s="312"/>
    </row>
    <row r="66" s="42" customFormat="1" spans="1:10">
      <c r="A66" s="652" t="str">
        <f t="shared" si="20"/>
        <v>2021.09月 </v>
      </c>
      <c r="B66" s="395" t="s">
        <v>304</v>
      </c>
      <c r="C66" s="297">
        <f>INDEX($1:$4,3,MATCH($B66,$1:$1,0))</f>
        <v>49591.29</v>
      </c>
      <c r="D66" s="280" t="s">
        <v>419</v>
      </c>
      <c r="E66" s="280"/>
      <c r="F66" s="383" t="str">
        <f t="shared" si="16"/>
        <v>2021.09月 信洋Amazon 流水（国际部）：出货收入</v>
      </c>
      <c r="G66" s="281" t="s">
        <v>391</v>
      </c>
      <c r="H66" s="281" t="s">
        <v>392</v>
      </c>
      <c r="I66" s="312"/>
      <c r="J66" s="312">
        <f t="shared" ref="J66:J70" si="22">C66</f>
        <v>49591.29</v>
      </c>
    </row>
    <row r="67" spans="1:10">
      <c r="A67" s="652" t="str">
        <f t="shared" si="20"/>
        <v>2021.09月 </v>
      </c>
      <c r="B67" s="396" t="s">
        <v>339</v>
      </c>
      <c r="C67" s="397">
        <f>INDEX($1:$4,3,MATCH($B67,$1:$1,0))</f>
        <v>19406.76</v>
      </c>
      <c r="D67" s="398" t="s">
        <v>420</v>
      </c>
      <c r="E67" s="398"/>
      <c r="F67" s="399" t="str">
        <f t="shared" si="16"/>
        <v>2021.09月 惠洋Amazon 流水（国际部）：出货收入</v>
      </c>
      <c r="G67" s="400" t="s">
        <v>343</v>
      </c>
      <c r="H67" s="400" t="s">
        <v>344</v>
      </c>
      <c r="I67" s="415">
        <f t="shared" si="21"/>
        <v>19406.76</v>
      </c>
      <c r="J67" s="415"/>
    </row>
    <row r="68" spans="1:10">
      <c r="A68" s="652" t="str">
        <f t="shared" si="20"/>
        <v>2021.09月 </v>
      </c>
      <c r="B68" s="396" t="s">
        <v>339</v>
      </c>
      <c r="C68" s="397">
        <f>INDEX($1:$4,3,MATCH($B68,$1:$1,0))</f>
        <v>19406.76</v>
      </c>
      <c r="D68" s="398" t="s">
        <v>420</v>
      </c>
      <c r="E68" s="398"/>
      <c r="F68" s="399" t="str">
        <f t="shared" si="16"/>
        <v>2021.09月 惠洋Amazon 流水（国际部）：出货收入</v>
      </c>
      <c r="G68" s="400" t="s">
        <v>391</v>
      </c>
      <c r="H68" s="400" t="s">
        <v>392</v>
      </c>
      <c r="I68" s="415"/>
      <c r="J68" s="415">
        <f t="shared" si="22"/>
        <v>19406.76</v>
      </c>
    </row>
    <row r="69" spans="1:10">
      <c r="A69" s="652" t="str">
        <f t="shared" si="20"/>
        <v>2021.09月 </v>
      </c>
      <c r="B69" s="396" t="s">
        <v>383</v>
      </c>
      <c r="C69" s="397">
        <f>INDEX($1:$4,3,MATCH($B69,$1:$1,0))</f>
        <v>245.96</v>
      </c>
      <c r="D69" s="398" t="s">
        <v>421</v>
      </c>
      <c r="E69" s="398"/>
      <c r="F69" s="399" t="str">
        <f t="shared" si="16"/>
        <v>2021.09月 wayfair 流水（国际部）：出货收入</v>
      </c>
      <c r="G69" s="400" t="s">
        <v>355</v>
      </c>
      <c r="H69" s="400" t="s">
        <v>356</v>
      </c>
      <c r="I69" s="415">
        <f t="shared" si="21"/>
        <v>245.96</v>
      </c>
      <c r="J69" s="415"/>
    </row>
    <row r="70" spans="1:10">
      <c r="A70" s="652" t="str">
        <f t="shared" si="20"/>
        <v>2021.09月 </v>
      </c>
      <c r="B70" s="396" t="s">
        <v>383</v>
      </c>
      <c r="C70" s="397">
        <f>INDEX($1:$4,3,MATCH($B70,$1:$1,0))</f>
        <v>245.96</v>
      </c>
      <c r="D70" s="398" t="s">
        <v>421</v>
      </c>
      <c r="E70" s="398"/>
      <c r="F70" s="399" t="str">
        <f t="shared" si="16"/>
        <v>2021.09月 wayfair 流水（国际部）：出货收入</v>
      </c>
      <c r="G70" s="400" t="s">
        <v>391</v>
      </c>
      <c r="H70" s="400" t="s">
        <v>392</v>
      </c>
      <c r="I70" s="415"/>
      <c r="J70" s="415">
        <f t="shared" si="22"/>
        <v>245.96</v>
      </c>
    </row>
    <row r="71" spans="1:10">
      <c r="A71" s="652" t="s">
        <v>422</v>
      </c>
      <c r="B71" s="386" t="s">
        <v>384</v>
      </c>
      <c r="C71" s="168">
        <f>INDEX($1:$4,3,MATCH($B71,$1:$1,0))</f>
        <v>0</v>
      </c>
      <c r="D71" s="280" t="s">
        <v>419</v>
      </c>
      <c r="E71" s="280"/>
      <c r="F71" s="383" t="str">
        <f t="shared" si="16"/>
        <v>2021.07月 信洋Amazon 流水（国际部）：出货收入</v>
      </c>
      <c r="G71" s="281" t="s">
        <v>337</v>
      </c>
      <c r="H71" s="281" t="s">
        <v>338</v>
      </c>
      <c r="I71" s="312">
        <f>C71</f>
        <v>0</v>
      </c>
      <c r="J71" s="312"/>
    </row>
    <row r="72" spans="1:10">
      <c r="A72" s="652" t="s">
        <v>422</v>
      </c>
      <c r="B72" s="48" t="s">
        <v>384</v>
      </c>
      <c r="C72" s="168">
        <f>INDEX($1:$4,3,MATCH($B72,$1:$1,0))</f>
        <v>0</v>
      </c>
      <c r="D72" s="280" t="s">
        <v>419</v>
      </c>
      <c r="E72" s="280"/>
      <c r="F72" s="383" t="str">
        <f t="shared" si="16"/>
        <v>2021.07月 信洋Amazon 流水（国际部）：出货收入</v>
      </c>
      <c r="G72" s="281" t="s">
        <v>391</v>
      </c>
      <c r="H72" s="281" t="s">
        <v>392</v>
      </c>
      <c r="I72" s="312"/>
      <c r="J72" s="312">
        <f>C72</f>
        <v>0</v>
      </c>
    </row>
    <row r="73" spans="4:10">
      <c r="D73" s="280"/>
      <c r="E73" s="280"/>
      <c r="F73" s="187"/>
      <c r="G73" s="401"/>
      <c r="H73" s="401"/>
      <c r="I73" s="189"/>
      <c r="J73" s="189"/>
    </row>
    <row r="74" spans="4:10">
      <c r="D74" s="280"/>
      <c r="E74" s="280"/>
      <c r="F74" s="187"/>
      <c r="G74" s="401"/>
      <c r="H74" s="401"/>
      <c r="I74" s="189"/>
      <c r="J74" s="189"/>
    </row>
    <row r="75" spans="4:10">
      <c r="D75" s="280"/>
      <c r="E75" s="280"/>
      <c r="F75" s="187"/>
      <c r="G75" s="401"/>
      <c r="H75" s="401"/>
      <c r="I75" s="189"/>
      <c r="J75" s="189"/>
    </row>
    <row r="77" ht="19.5" spans="1:1">
      <c r="A77" s="402" t="s">
        <v>423</v>
      </c>
    </row>
    <row r="78" spans="1:10">
      <c r="A78" s="652" t="s">
        <v>387</v>
      </c>
      <c r="B78" s="48" t="s">
        <v>424</v>
      </c>
      <c r="C78" s="168">
        <f>-J80</f>
        <v>8710.09</v>
      </c>
      <c r="D78" s="290" t="str">
        <f>A78&amp;B78&amp;C78</f>
        <v>2021.09月 Online Ebay（国际部）：退款8710.09</v>
      </c>
      <c r="E78" s="237" t="s">
        <v>388</v>
      </c>
      <c r="F78" s="237" t="s">
        <v>389</v>
      </c>
      <c r="G78" s="172">
        <f t="shared" ref="G78:G82" si="23">C78</f>
        <v>8710.09</v>
      </c>
      <c r="H78" s="147"/>
      <c r="I78" s="35"/>
      <c r="J78" s="20" t="s">
        <v>241</v>
      </c>
    </row>
    <row r="79" ht="15" spans="1:10">
      <c r="A79" s="652" t="s">
        <v>387</v>
      </c>
      <c r="B79" s="48" t="s">
        <v>424</v>
      </c>
      <c r="C79" s="168">
        <f t="shared" ref="C79:C83" si="24">C78</f>
        <v>8710.09</v>
      </c>
      <c r="D79" s="184" t="str">
        <f>A79&amp;B79&amp;C79</f>
        <v>2021.09月 Online Ebay（国际部）：退款8710.09</v>
      </c>
      <c r="E79" s="403" t="s">
        <v>425</v>
      </c>
      <c r="F79" s="403" t="s">
        <v>426</v>
      </c>
      <c r="G79" s="404"/>
      <c r="H79" s="207">
        <f t="shared" ref="H79:H83" si="25">G78</f>
        <v>8710.09</v>
      </c>
      <c r="I79" s="416" t="s">
        <v>381</v>
      </c>
      <c r="J79" s="417" t="s">
        <v>294</v>
      </c>
    </row>
    <row r="80" spans="1:10">
      <c r="A80" s="652" t="s">
        <v>387</v>
      </c>
      <c r="B80" s="48" t="s">
        <v>427</v>
      </c>
      <c r="C80" s="168">
        <f>-J81</f>
        <v>7725.42</v>
      </c>
      <c r="D80" s="178" t="str">
        <f>A80&amp;B80&amp;C80</f>
        <v>2021.09月 Simple Ebay（国际部）：退款7725.42</v>
      </c>
      <c r="E80" s="179" t="s">
        <v>394</v>
      </c>
      <c r="F80" s="179" t="s">
        <v>395</v>
      </c>
      <c r="G80" s="71">
        <f t="shared" si="23"/>
        <v>7725.42</v>
      </c>
      <c r="H80" s="151"/>
      <c r="I80" s="418" t="s">
        <v>0</v>
      </c>
      <c r="J80" s="419">
        <v>-8710.09</v>
      </c>
    </row>
    <row r="81" ht="15" spans="1:10">
      <c r="A81" s="652" t="s">
        <v>387</v>
      </c>
      <c r="B81" s="48" t="s">
        <v>427</v>
      </c>
      <c r="C81" s="168">
        <f t="shared" si="24"/>
        <v>7725.42</v>
      </c>
      <c r="D81" s="178" t="str">
        <f t="shared" ref="D81:D91" si="26">A81&amp;B81&amp;C81</f>
        <v>2021.09月 Simple Ebay（国际部）：退款7725.42</v>
      </c>
      <c r="E81" s="179" t="s">
        <v>428</v>
      </c>
      <c r="F81" s="179" t="s">
        <v>429</v>
      </c>
      <c r="G81" s="71"/>
      <c r="H81" s="151">
        <f t="shared" si="25"/>
        <v>7725.42</v>
      </c>
      <c r="I81" s="418" t="s">
        <v>90</v>
      </c>
      <c r="J81" s="419">
        <v>-7725.42</v>
      </c>
    </row>
    <row r="82" spans="1:10">
      <c r="A82" s="652" t="s">
        <v>387</v>
      </c>
      <c r="B82" s="48" t="s">
        <v>430</v>
      </c>
      <c r="C82" s="168">
        <f>-J82</f>
        <v>14027.8</v>
      </c>
      <c r="D82" s="173" t="str">
        <f t="shared" si="26"/>
        <v>2021.09月 Surfing Ebay（国际部）：退款14027.8</v>
      </c>
      <c r="E82" s="174" t="s">
        <v>399</v>
      </c>
      <c r="F82" s="174" t="s">
        <v>400</v>
      </c>
      <c r="G82" s="172">
        <f t="shared" si="23"/>
        <v>14027.8</v>
      </c>
      <c r="H82" s="147"/>
      <c r="I82" s="418" t="s">
        <v>77</v>
      </c>
      <c r="J82" s="419">
        <v>-14027.8</v>
      </c>
    </row>
    <row r="83" ht="15" spans="1:10">
      <c r="A83" s="652" t="s">
        <v>387</v>
      </c>
      <c r="B83" s="48" t="s">
        <v>430</v>
      </c>
      <c r="C83" s="168">
        <f t="shared" si="24"/>
        <v>14027.8</v>
      </c>
      <c r="D83" s="173" t="str">
        <f t="shared" si="26"/>
        <v>2021.09月 Surfing Ebay（国际部）：退款14027.8</v>
      </c>
      <c r="E83" s="174" t="s">
        <v>431</v>
      </c>
      <c r="F83" s="174" t="s">
        <v>432</v>
      </c>
      <c r="G83" s="71"/>
      <c r="H83" s="151">
        <f t="shared" si="25"/>
        <v>14027.8</v>
      </c>
      <c r="I83" s="418" t="s">
        <v>93</v>
      </c>
      <c r="J83" s="419">
        <v>-1398.53</v>
      </c>
    </row>
    <row r="84" spans="1:10">
      <c r="A84" s="652" t="s">
        <v>387</v>
      </c>
      <c r="B84" s="48" t="s">
        <v>433</v>
      </c>
      <c r="C84" s="168">
        <f>-J83</f>
        <v>1398.53</v>
      </c>
      <c r="D84" s="178" t="str">
        <f t="shared" si="26"/>
        <v>2021.09月 Showerenclosure Ebay（国际部）：退款1398.53</v>
      </c>
      <c r="E84" s="179" t="s">
        <v>402</v>
      </c>
      <c r="F84" s="179" t="s">
        <v>403</v>
      </c>
      <c r="G84" s="172">
        <f t="shared" ref="G84:G88" si="27">C84</f>
        <v>1398.53</v>
      </c>
      <c r="H84" s="147"/>
      <c r="I84" s="48" t="s">
        <v>94</v>
      </c>
      <c r="J84" s="168">
        <v>-673.74</v>
      </c>
    </row>
    <row r="85" ht="15" spans="1:10">
      <c r="A85" s="652" t="s">
        <v>387</v>
      </c>
      <c r="B85" s="48" t="s">
        <v>433</v>
      </c>
      <c r="C85" s="168">
        <f t="shared" ref="C85:C89" si="28">C84</f>
        <v>1398.53</v>
      </c>
      <c r="D85" s="178" t="str">
        <f t="shared" si="26"/>
        <v>2021.09月 Showerenclosure Ebay（国际部）：退款1398.53</v>
      </c>
      <c r="E85" s="179" t="s">
        <v>434</v>
      </c>
      <c r="F85" s="179" t="s">
        <v>435</v>
      </c>
      <c r="G85" s="71"/>
      <c r="H85" s="151">
        <f t="shared" ref="H85:H89" si="29">G84</f>
        <v>1398.53</v>
      </c>
      <c r="I85" s="48" t="s">
        <v>382</v>
      </c>
      <c r="J85" s="168">
        <v>-25.25</v>
      </c>
    </row>
    <row r="86" spans="1:10">
      <c r="A86" s="652" t="s">
        <v>387</v>
      </c>
      <c r="B86" s="48" t="s">
        <v>436</v>
      </c>
      <c r="C86" s="168">
        <f>-J84</f>
        <v>673.74</v>
      </c>
      <c r="D86" s="178" t="str">
        <f t="shared" si="26"/>
        <v>2021.09月 SuperShower Ebay（国际部）：退款673.74</v>
      </c>
      <c r="E86" s="179" t="s">
        <v>99</v>
      </c>
      <c r="F86" s="179" t="s">
        <v>405</v>
      </c>
      <c r="G86" s="172">
        <f t="shared" si="27"/>
        <v>673.74</v>
      </c>
      <c r="H86" s="147"/>
      <c r="I86" s="48" t="s">
        <v>108</v>
      </c>
      <c r="J86" s="168">
        <v>0</v>
      </c>
    </row>
    <row r="87" ht="15" spans="1:10">
      <c r="A87" s="652" t="s">
        <v>387</v>
      </c>
      <c r="B87" s="48" t="s">
        <v>436</v>
      </c>
      <c r="C87" s="168">
        <f t="shared" si="28"/>
        <v>673.74</v>
      </c>
      <c r="D87" s="178" t="str">
        <f t="shared" si="26"/>
        <v>2021.09月 SuperShower Ebay（国际部）：退款673.74</v>
      </c>
      <c r="E87" s="179" t="s">
        <v>95</v>
      </c>
      <c r="F87" s="179" t="s">
        <v>96</v>
      </c>
      <c r="G87" s="71"/>
      <c r="H87" s="151">
        <f t="shared" si="29"/>
        <v>673.74</v>
      </c>
      <c r="I87" s="418" t="s">
        <v>140</v>
      </c>
      <c r="J87" s="419">
        <v>-1408.24</v>
      </c>
    </row>
    <row r="88" spans="1:10">
      <c r="A88" s="652" t="s">
        <v>387</v>
      </c>
      <c r="B88" s="48" t="s">
        <v>437</v>
      </c>
      <c r="C88" s="168">
        <f>-J85</f>
        <v>25.25</v>
      </c>
      <c r="D88" s="178" t="str">
        <f t="shared" si="26"/>
        <v>2021.09月 OnlineBath Ebay（国际部）：退款25.25</v>
      </c>
      <c r="E88" s="179" t="s">
        <v>106</v>
      </c>
      <c r="F88" s="179" t="s">
        <v>107</v>
      </c>
      <c r="G88" s="172">
        <f t="shared" si="27"/>
        <v>25.25</v>
      </c>
      <c r="H88" s="147"/>
      <c r="I88" s="418" t="s">
        <v>162</v>
      </c>
      <c r="J88" s="419">
        <v>-735.51</v>
      </c>
    </row>
    <row r="89" ht="15" spans="1:10">
      <c r="A89" s="652" t="s">
        <v>387</v>
      </c>
      <c r="B89" s="48" t="s">
        <v>437</v>
      </c>
      <c r="C89" s="168">
        <f t="shared" si="28"/>
        <v>25.25</v>
      </c>
      <c r="D89" s="178" t="str">
        <f t="shared" si="26"/>
        <v>2021.09月 OnlineBath Ebay（国际部）：退款25.25</v>
      </c>
      <c r="E89" s="179" t="s">
        <v>102</v>
      </c>
      <c r="F89" s="179" t="s">
        <v>103</v>
      </c>
      <c r="G89" s="71"/>
      <c r="H89" s="151">
        <f t="shared" si="29"/>
        <v>25.25</v>
      </c>
      <c r="I89" s="418" t="s">
        <v>234</v>
      </c>
      <c r="J89" s="419">
        <v>-792.21</v>
      </c>
    </row>
    <row r="90" spans="1:10">
      <c r="A90" s="652" t="s">
        <v>387</v>
      </c>
      <c r="B90" s="48" t="s">
        <v>438</v>
      </c>
      <c r="C90" s="168">
        <f>-J86</f>
        <v>0</v>
      </c>
      <c r="D90" s="178" t="str">
        <f t="shared" si="26"/>
        <v>2021.09月 Skybathroom Ebay（国际部）：退款0</v>
      </c>
      <c r="E90" s="179" t="s">
        <v>113</v>
      </c>
      <c r="F90" s="179" t="s">
        <v>114</v>
      </c>
      <c r="G90" s="172">
        <f>C90</f>
        <v>0</v>
      </c>
      <c r="H90" s="147"/>
      <c r="I90" s="418" t="s">
        <v>194</v>
      </c>
      <c r="J90" s="419">
        <v>-2364.1</v>
      </c>
    </row>
    <row r="91" ht="15" spans="1:10">
      <c r="A91" s="652" t="s">
        <v>387</v>
      </c>
      <c r="B91" s="48" t="s">
        <v>438</v>
      </c>
      <c r="C91" s="168">
        <f>C90</f>
        <v>0</v>
      </c>
      <c r="D91" s="178" t="str">
        <f t="shared" si="26"/>
        <v>2021.09月 Skybathroom Ebay（国际部）：退款0</v>
      </c>
      <c r="E91" s="179" t="s">
        <v>109</v>
      </c>
      <c r="F91" s="179" t="s">
        <v>110</v>
      </c>
      <c r="G91" s="71"/>
      <c r="H91" s="151">
        <f>G90</f>
        <v>0</v>
      </c>
      <c r="I91" s="418" t="s">
        <v>226</v>
      </c>
      <c r="J91" s="419">
        <v>-677.41</v>
      </c>
    </row>
    <row r="92" spans="1:10">
      <c r="A92" s="652" t="s">
        <v>387</v>
      </c>
      <c r="B92" s="48" t="s">
        <v>439</v>
      </c>
      <c r="C92" s="168">
        <f>-J87</f>
        <v>1408.24</v>
      </c>
      <c r="D92" s="173" t="str">
        <f t="shared" ref="D92:D107" si="30">A92&amp;B92&amp;C92</f>
        <v>2021.09月 mano（国际部）：退款1408.24</v>
      </c>
      <c r="E92" s="174" t="s">
        <v>147</v>
      </c>
      <c r="F92" s="174" t="s">
        <v>148</v>
      </c>
      <c r="G92" s="172">
        <f>C92</f>
        <v>1408.24</v>
      </c>
      <c r="H92" s="147"/>
      <c r="I92" s="418" t="s">
        <v>272</v>
      </c>
      <c r="J92" s="419">
        <v>0</v>
      </c>
    </row>
    <row r="93" s="48" customFormat="1" ht="15" spans="1:10">
      <c r="A93" s="652" t="s">
        <v>387</v>
      </c>
      <c r="B93" s="48" t="s">
        <v>439</v>
      </c>
      <c r="C93" s="168">
        <f>C92</f>
        <v>1408.24</v>
      </c>
      <c r="D93" s="173" t="str">
        <f t="shared" si="30"/>
        <v>2021.09月 mano（国际部）：退款1408.24</v>
      </c>
      <c r="E93" s="174" t="s">
        <v>145</v>
      </c>
      <c r="F93" s="174" t="s">
        <v>146</v>
      </c>
      <c r="G93" s="71"/>
      <c r="H93" s="151">
        <f>G92</f>
        <v>1408.24</v>
      </c>
      <c r="I93" s="418" t="s">
        <v>239</v>
      </c>
      <c r="J93" s="419">
        <v>-1272.68</v>
      </c>
    </row>
    <row r="94" s="48" customFormat="1" spans="1:10">
      <c r="A94" s="652" t="s">
        <v>387</v>
      </c>
      <c r="B94" s="48" t="s">
        <v>440</v>
      </c>
      <c r="C94" s="168">
        <f>-J88</f>
        <v>735.51</v>
      </c>
      <c r="D94" s="178" t="str">
        <f t="shared" si="30"/>
        <v>2021.09月 shopify（国际部）：退款735.51</v>
      </c>
      <c r="E94" s="179" t="s">
        <v>179</v>
      </c>
      <c r="F94" s="179" t="s">
        <v>180</v>
      </c>
      <c r="G94" s="172">
        <f>C94</f>
        <v>735.51</v>
      </c>
      <c r="H94" s="147"/>
      <c r="I94" s="418" t="s">
        <v>359</v>
      </c>
      <c r="J94" s="419">
        <v>0</v>
      </c>
    </row>
    <row r="95" s="42" customFormat="1" ht="15" spans="1:10">
      <c r="A95" s="652" t="s">
        <v>387</v>
      </c>
      <c r="B95" s="48" t="s">
        <v>440</v>
      </c>
      <c r="C95" s="168">
        <f>C94</f>
        <v>735.51</v>
      </c>
      <c r="D95" s="178" t="str">
        <f t="shared" si="30"/>
        <v>2021.09月 shopify（国际部）：退款735.51</v>
      </c>
      <c r="E95" s="179" t="s">
        <v>177</v>
      </c>
      <c r="F95" s="179" t="s">
        <v>178</v>
      </c>
      <c r="G95" s="71"/>
      <c r="H95" s="151">
        <f>G94</f>
        <v>735.51</v>
      </c>
      <c r="I95" s="418" t="s">
        <v>364</v>
      </c>
      <c r="J95" s="419">
        <v>-3443.89</v>
      </c>
    </row>
    <row r="96" s="42" customFormat="1" spans="1:10">
      <c r="A96" s="652" t="s">
        <v>387</v>
      </c>
      <c r="B96" s="48" t="s">
        <v>441</v>
      </c>
      <c r="C96" s="261">
        <f>-J89</f>
        <v>792.21</v>
      </c>
      <c r="D96" s="178" t="str">
        <f t="shared" si="30"/>
        <v>2021.09月 Homefast paypal流水：退款792.21</v>
      </c>
      <c r="E96" s="174" t="s">
        <v>237</v>
      </c>
      <c r="F96" s="174" t="s">
        <v>238</v>
      </c>
      <c r="G96" s="172">
        <f t="shared" ref="G96:G100" si="31">C96</f>
        <v>792.21</v>
      </c>
      <c r="H96" s="147"/>
      <c r="I96" s="418"/>
      <c r="J96" s="419"/>
    </row>
    <row r="97" s="42" customFormat="1" ht="15" spans="1:10">
      <c r="A97" s="652" t="s">
        <v>387</v>
      </c>
      <c r="B97" s="48" t="s">
        <v>441</v>
      </c>
      <c r="C97" s="168">
        <f>C96</f>
        <v>792.21</v>
      </c>
      <c r="D97" s="178" t="str">
        <f t="shared" si="30"/>
        <v>2021.09月 Homefast paypal流水：退款792.21</v>
      </c>
      <c r="E97" s="174" t="s">
        <v>235</v>
      </c>
      <c r="F97" s="174" t="s">
        <v>236</v>
      </c>
      <c r="G97" s="71"/>
      <c r="H97" s="151">
        <f t="shared" ref="H97:H101" si="32">G96</f>
        <v>792.21</v>
      </c>
      <c r="I97" s="168"/>
      <c r="J97" s="168"/>
    </row>
    <row r="98" s="42" customFormat="1" spans="1:10">
      <c r="A98" s="652" t="s">
        <v>387</v>
      </c>
      <c r="B98" s="48" t="s">
        <v>442</v>
      </c>
      <c r="C98" s="261">
        <f>-J90</f>
        <v>2364.1</v>
      </c>
      <c r="D98" s="178" t="str">
        <f t="shared" si="30"/>
        <v>2021.09月 Aica paypal 流水（国际部）：退款2364.1</v>
      </c>
      <c r="E98" s="174" t="s">
        <v>208</v>
      </c>
      <c r="F98" s="174" t="s">
        <v>209</v>
      </c>
      <c r="G98" s="172">
        <f t="shared" si="31"/>
        <v>2364.1</v>
      </c>
      <c r="H98" s="147"/>
      <c r="I98" s="393"/>
      <c r="J98" s="419"/>
    </row>
    <row r="99" s="42" customFormat="1" ht="15" spans="1:10">
      <c r="A99" s="652" t="s">
        <v>387</v>
      </c>
      <c r="B99" s="48" t="s">
        <v>442</v>
      </c>
      <c r="C99" s="261">
        <f t="shared" ref="C99:C103" si="33">C98</f>
        <v>2364.1</v>
      </c>
      <c r="D99" s="178" t="str">
        <f t="shared" si="30"/>
        <v>2021.09月 Aica paypal 流水（国际部）：退款2364.1</v>
      </c>
      <c r="E99" s="179" t="s">
        <v>206</v>
      </c>
      <c r="F99" s="179" t="s">
        <v>207</v>
      </c>
      <c r="G99" s="71"/>
      <c r="H99" s="151">
        <f t="shared" si="32"/>
        <v>2364.1</v>
      </c>
      <c r="I99" s="48"/>
      <c r="J99" s="48"/>
    </row>
    <row r="100" s="42" customFormat="1" spans="1:8">
      <c r="A100" s="652" t="s">
        <v>387</v>
      </c>
      <c r="B100" s="48" t="s">
        <v>443</v>
      </c>
      <c r="C100" s="261">
        <f>-J91</f>
        <v>677.41</v>
      </c>
      <c r="D100" s="178" t="str">
        <f t="shared" si="30"/>
        <v>2021.09月 Perfect paypal 流水（国际部）：退款677.41</v>
      </c>
      <c r="E100" s="174" t="s">
        <v>231</v>
      </c>
      <c r="F100" s="174" t="s">
        <v>232</v>
      </c>
      <c r="G100" s="172">
        <f t="shared" si="31"/>
        <v>677.41</v>
      </c>
      <c r="H100" s="147"/>
    </row>
    <row r="101" customFormat="1" ht="15" spans="1:10">
      <c r="A101" s="652" t="s">
        <v>387</v>
      </c>
      <c r="B101" s="48" t="s">
        <v>443</v>
      </c>
      <c r="C101" s="261">
        <f t="shared" si="33"/>
        <v>677.41</v>
      </c>
      <c r="D101" s="178" t="str">
        <f t="shared" si="30"/>
        <v>2021.09月 Perfect paypal 流水（国际部）：退款677.41</v>
      </c>
      <c r="E101" s="240" t="s">
        <v>229</v>
      </c>
      <c r="F101" s="240" t="s">
        <v>444</v>
      </c>
      <c r="G101" s="71"/>
      <c r="H101" s="151">
        <f t="shared" si="32"/>
        <v>677.41</v>
      </c>
      <c r="I101" s="42"/>
      <c r="J101" s="42"/>
    </row>
    <row r="102" spans="1:10">
      <c r="A102" s="652" t="s">
        <v>387</v>
      </c>
      <c r="B102" s="48" t="s">
        <v>445</v>
      </c>
      <c r="C102" s="261">
        <f>-J93</f>
        <v>1272.68</v>
      </c>
      <c r="D102" s="178" t="str">
        <f t="shared" si="30"/>
        <v>2021.09月 银行现金（国际部）：退款1272.68</v>
      </c>
      <c r="E102" s="174" t="s">
        <v>255</v>
      </c>
      <c r="F102" s="174" t="s">
        <v>256</v>
      </c>
      <c r="G102" s="172">
        <f t="shared" ref="G102:G106" si="34">C102</f>
        <v>1272.68</v>
      </c>
      <c r="H102" s="147"/>
      <c r="I102" s="42"/>
      <c r="J102" s="42"/>
    </row>
    <row r="103" ht="15" spans="1:10">
      <c r="A103" s="652" t="s">
        <v>387</v>
      </c>
      <c r="B103" s="48" t="s">
        <v>445</v>
      </c>
      <c r="C103" s="261">
        <f t="shared" si="33"/>
        <v>1272.68</v>
      </c>
      <c r="D103" s="178" t="str">
        <f t="shared" si="30"/>
        <v>2021.09月 银行现金（国际部）：退款1272.68</v>
      </c>
      <c r="E103" s="240" t="s">
        <v>253</v>
      </c>
      <c r="F103" s="240" t="s">
        <v>254</v>
      </c>
      <c r="G103" s="71"/>
      <c r="H103" s="151">
        <f t="shared" ref="H103:H107" si="35">G102</f>
        <v>1272.68</v>
      </c>
      <c r="I103" s="42"/>
      <c r="J103" s="42"/>
    </row>
    <row r="104" hidden="1" spans="1:10">
      <c r="A104" s="652" t="s">
        <v>387</v>
      </c>
      <c r="B104" s="42" t="s">
        <v>446</v>
      </c>
      <c r="C104" s="168">
        <f>-J94</f>
        <v>0</v>
      </c>
      <c r="D104" s="178" t="str">
        <f t="shared" si="30"/>
        <v>2021.09月 Excellent Paypal流水（国际部）：退款0</v>
      </c>
      <c r="E104" s="174" t="s">
        <v>362</v>
      </c>
      <c r="F104" s="174" t="s">
        <v>363</v>
      </c>
      <c r="G104" s="172">
        <f t="shared" si="34"/>
        <v>0</v>
      </c>
      <c r="H104" s="147"/>
      <c r="I104" s="42"/>
      <c r="J104" s="42"/>
    </row>
    <row r="105" ht="15" hidden="1" spans="1:10">
      <c r="A105" s="652" t="s">
        <v>387</v>
      </c>
      <c r="B105" s="42" t="s">
        <v>446</v>
      </c>
      <c r="C105" s="168">
        <f>C104</f>
        <v>0</v>
      </c>
      <c r="D105" s="178" t="str">
        <f t="shared" si="30"/>
        <v>2021.09月 Excellent Paypal流水（国际部）：退款0</v>
      </c>
      <c r="E105" s="240" t="s">
        <v>360</v>
      </c>
      <c r="F105" s="240" t="s">
        <v>361</v>
      </c>
      <c r="G105" s="71"/>
      <c r="H105" s="151">
        <f t="shared" si="35"/>
        <v>0</v>
      </c>
      <c r="I105" s="42"/>
      <c r="J105" s="42"/>
    </row>
    <row r="106" spans="1:10">
      <c r="A106" s="652" t="s">
        <v>387</v>
      </c>
      <c r="B106" s="42" t="s">
        <v>447</v>
      </c>
      <c r="C106" s="168">
        <f>-J95</f>
        <v>3443.89</v>
      </c>
      <c r="D106" s="178" t="str">
        <f t="shared" si="30"/>
        <v>2021.09月 Excellent Amazon流水（国际部）：退款3443.89</v>
      </c>
      <c r="E106" s="174" t="s">
        <v>368</v>
      </c>
      <c r="F106" s="174" t="s">
        <v>369</v>
      </c>
      <c r="G106" s="172">
        <f t="shared" si="34"/>
        <v>3443.89</v>
      </c>
      <c r="H106" s="147"/>
      <c r="I106"/>
      <c r="J106"/>
    </row>
    <row r="107" ht="15" spans="1:8">
      <c r="A107" s="652" t="s">
        <v>387</v>
      </c>
      <c r="B107" s="42" t="s">
        <v>447</v>
      </c>
      <c r="C107" s="168">
        <f>C106</f>
        <v>3443.89</v>
      </c>
      <c r="D107" s="178" t="str">
        <f t="shared" si="30"/>
        <v>2021.09月 Excellent Amazon流水（国际部）：退款3443.89</v>
      </c>
      <c r="E107" s="240" t="s">
        <v>366</v>
      </c>
      <c r="F107" s="240" t="s">
        <v>367</v>
      </c>
      <c r="G107" s="71"/>
      <c r="H107" s="151">
        <f t="shared" si="35"/>
        <v>3443.89</v>
      </c>
    </row>
    <row r="108" spans="2:8">
      <c r="B108" s="42"/>
      <c r="C108" s="261"/>
      <c r="D108" s="63"/>
      <c r="E108" s="64"/>
      <c r="F108" s="64"/>
      <c r="G108" s="75"/>
      <c r="H108" s="75"/>
    </row>
    <row r="109" spans="1:8">
      <c r="A109" s="42"/>
      <c r="B109" s="42"/>
      <c r="C109" s="261"/>
      <c r="D109" s="63"/>
      <c r="E109" s="64"/>
      <c r="F109" s="64"/>
      <c r="G109" s="75"/>
      <c r="H109" s="75"/>
    </row>
    <row r="110" ht="18.75" spans="1:8">
      <c r="A110" s="402" t="s">
        <v>448</v>
      </c>
      <c r="B110"/>
      <c r="C110"/>
      <c r="D110"/>
      <c r="E110"/>
      <c r="F110"/>
      <c r="G110"/>
      <c r="H110"/>
    </row>
    <row r="111" spans="1:8">
      <c r="A111" s="655" t="s">
        <v>387</v>
      </c>
      <c r="B111" s="405" t="s">
        <v>449</v>
      </c>
      <c r="C111" s="406"/>
      <c r="D111" s="179" t="str">
        <f t="shared" ref="D111:D119" si="36">A111&amp;B111</f>
        <v>2021.09月 Homefast paypal流水（国际部）：退款（2020.7月前下单）</v>
      </c>
      <c r="E111" s="407" t="s">
        <v>396</v>
      </c>
      <c r="F111" s="408" t="s">
        <v>397</v>
      </c>
      <c r="G111" s="409"/>
      <c r="H111" s="410">
        <f>-H113-H112</f>
        <v>-12.51</v>
      </c>
    </row>
    <row r="112" spans="1:8">
      <c r="A112" s="655" t="s">
        <v>387</v>
      </c>
      <c r="B112" s="405" t="s">
        <v>449</v>
      </c>
      <c r="C112" s="406"/>
      <c r="D112" s="179" t="str">
        <f t="shared" si="36"/>
        <v>2021.09月 Homefast paypal流水（国际部）：退款（2020.7月前下单）</v>
      </c>
      <c r="E112" s="407" t="s">
        <v>391</v>
      </c>
      <c r="F112" s="408" t="s">
        <v>392</v>
      </c>
      <c r="G112" s="409"/>
      <c r="H112" s="411">
        <f>ROUND(-H113/1.2,2)</f>
        <v>-62.53</v>
      </c>
    </row>
    <row r="113" spans="1:8">
      <c r="A113" s="655" t="s">
        <v>387</v>
      </c>
      <c r="B113" s="405" t="s">
        <v>449</v>
      </c>
      <c r="C113" s="406"/>
      <c r="D113" s="179" t="str">
        <f t="shared" si="36"/>
        <v>2021.09月 Homefast paypal流水（国际部）：退款（2020.7月前下单）</v>
      </c>
      <c r="E113" s="407" t="s">
        <v>235</v>
      </c>
      <c r="F113" s="408" t="s">
        <v>236</v>
      </c>
      <c r="G113" s="409"/>
      <c r="H113" s="411">
        <v>75.04</v>
      </c>
    </row>
    <row r="114" spans="1:8">
      <c r="A114" s="655" t="s">
        <v>387</v>
      </c>
      <c r="B114" s="405" t="s">
        <v>450</v>
      </c>
      <c r="C114" s="406"/>
      <c r="D114" s="179" t="str">
        <f t="shared" si="36"/>
        <v>2021.09月 Aica paypal流水（国际部）：退款（2020.7月前下单）</v>
      </c>
      <c r="E114" s="407" t="s">
        <v>32</v>
      </c>
      <c r="F114" s="408" t="s">
        <v>33</v>
      </c>
      <c r="G114" s="409"/>
      <c r="H114" s="411">
        <f>-H116-H115</f>
        <v>-10.83</v>
      </c>
    </row>
    <row r="115" spans="1:8">
      <c r="A115" s="655" t="s">
        <v>387</v>
      </c>
      <c r="B115" s="405" t="s">
        <v>450</v>
      </c>
      <c r="C115" s="406"/>
      <c r="D115" s="179" t="str">
        <f t="shared" si="36"/>
        <v>2021.09月 Aica paypal流水（国际部）：退款（2020.7月前下单）</v>
      </c>
      <c r="E115" s="407" t="s">
        <v>391</v>
      </c>
      <c r="F115" s="408" t="s">
        <v>392</v>
      </c>
      <c r="G115" s="409"/>
      <c r="H115" s="411">
        <f>ROUND(-H116/1.2,2)</f>
        <v>-54.17</v>
      </c>
    </row>
    <row r="116" spans="1:8">
      <c r="A116" s="655" t="s">
        <v>387</v>
      </c>
      <c r="B116" s="405" t="s">
        <v>450</v>
      </c>
      <c r="C116" s="406"/>
      <c r="D116" s="179" t="str">
        <f t="shared" si="36"/>
        <v>2021.09月 Aica paypal流水（国际部）：退款（2020.7月前下单）</v>
      </c>
      <c r="E116" s="407" t="s">
        <v>206</v>
      </c>
      <c r="F116" s="408" t="s">
        <v>207</v>
      </c>
      <c r="G116" s="409"/>
      <c r="H116" s="411">
        <v>65</v>
      </c>
    </row>
    <row r="117" spans="1:8">
      <c r="A117" s="651" t="s">
        <v>451</v>
      </c>
      <c r="B117" s="42" t="s">
        <v>452</v>
      </c>
      <c r="C117" s="261"/>
      <c r="D117" s="179" t="str">
        <f t="shared" si="36"/>
        <v>2021.06月 银行现金（国际部）：退款（2020.7月前下单）</v>
      </c>
      <c r="E117" s="179" t="s">
        <v>396</v>
      </c>
      <c r="F117" s="247" t="s">
        <v>397</v>
      </c>
      <c r="G117" s="248"/>
      <c r="H117" s="411">
        <f>-H119-H118</f>
        <v>-16.67</v>
      </c>
    </row>
    <row r="118" spans="1:8">
      <c r="A118" s="651" t="s">
        <v>451</v>
      </c>
      <c r="B118" s="42" t="s">
        <v>452</v>
      </c>
      <c r="C118" s="261"/>
      <c r="D118" s="179" t="str">
        <f t="shared" si="36"/>
        <v>2021.06月 银行现金（国际部）：退款（2020.7月前下单）</v>
      </c>
      <c r="E118" s="179" t="s">
        <v>391</v>
      </c>
      <c r="F118" s="247" t="s">
        <v>392</v>
      </c>
      <c r="G118" s="248"/>
      <c r="H118" s="412">
        <f>ROUND(-H119/1.2,2)</f>
        <v>-83.33</v>
      </c>
    </row>
    <row r="119" spans="1:8">
      <c r="A119" s="651" t="s">
        <v>451</v>
      </c>
      <c r="B119" s="42" t="s">
        <v>452</v>
      </c>
      <c r="C119" s="261"/>
      <c r="D119" s="179" t="str">
        <f t="shared" si="36"/>
        <v>2021.06月 银行现金（国际部）：退款（2020.7月前下单）</v>
      </c>
      <c r="E119" s="179" t="s">
        <v>253</v>
      </c>
      <c r="F119" s="247" t="s">
        <v>254</v>
      </c>
      <c r="G119" s="248"/>
      <c r="H119" s="413">
        <v>100</v>
      </c>
    </row>
    <row r="120" spans="1:8">
      <c r="A120" s="651" t="s">
        <v>453</v>
      </c>
      <c r="B120" s="42" t="s">
        <v>454</v>
      </c>
      <c r="C120" s="261"/>
      <c r="D120" s="247" t="str">
        <f t="shared" ref="D120:D134" si="37">A120&amp;B120</f>
        <v>2021.04月 Perfect paypal流水（国际部）：退款（2020.8月下单）</v>
      </c>
      <c r="E120" s="247" t="s">
        <v>396</v>
      </c>
      <c r="F120" s="247" t="s">
        <v>397</v>
      </c>
      <c r="G120" s="248"/>
      <c r="H120" s="411">
        <f>-H122-H121</f>
        <v>-13</v>
      </c>
    </row>
    <row r="121" spans="1:8">
      <c r="A121" s="651" t="s">
        <v>453</v>
      </c>
      <c r="B121" s="42" t="s">
        <v>454</v>
      </c>
      <c r="C121" s="261"/>
      <c r="D121" s="247" t="str">
        <f t="shared" si="37"/>
        <v>2021.04月 Perfect paypal流水（国际部）：退款（2020.8月下单）</v>
      </c>
      <c r="E121" s="247" t="s">
        <v>391</v>
      </c>
      <c r="F121" s="247" t="s">
        <v>392</v>
      </c>
      <c r="G121" s="248"/>
      <c r="H121" s="412">
        <f>ROUND(-H122/1.2,2)</f>
        <v>-64.99</v>
      </c>
    </row>
    <row r="122" spans="1:8">
      <c r="A122" s="651" t="s">
        <v>453</v>
      </c>
      <c r="B122" s="42" t="s">
        <v>454</v>
      </c>
      <c r="C122" s="261"/>
      <c r="D122" s="247" t="str">
        <f t="shared" si="37"/>
        <v>2021.04月 Perfect paypal流水（国际部）：退款（2020.8月下单）</v>
      </c>
      <c r="E122" s="414" t="s">
        <v>229</v>
      </c>
      <c r="F122" s="414" t="s">
        <v>230</v>
      </c>
      <c r="G122" s="248"/>
      <c r="H122" s="248">
        <v>77.99</v>
      </c>
    </row>
    <row r="123" spans="1:8">
      <c r="A123" s="652" t="s">
        <v>455</v>
      </c>
      <c r="B123" s="48" t="s">
        <v>456</v>
      </c>
      <c r="D123" s="247" t="str">
        <f t="shared" si="37"/>
        <v>2020.09月 Shopify（国际部）：退款（2020.8月下单）</v>
      </c>
      <c r="E123" s="247" t="s">
        <v>32</v>
      </c>
      <c r="F123" s="247" t="s">
        <v>33</v>
      </c>
      <c r="G123" s="248">
        <v>65.43</v>
      </c>
      <c r="H123" s="248"/>
    </row>
    <row r="124" spans="1:8">
      <c r="A124" s="652" t="s">
        <v>455</v>
      </c>
      <c r="B124" s="48" t="s">
        <v>456</v>
      </c>
      <c r="D124" s="247" t="str">
        <f t="shared" si="37"/>
        <v>2020.09月 Shopify（国际部）：退款（2020.8月下单）</v>
      </c>
      <c r="E124" s="247" t="s">
        <v>391</v>
      </c>
      <c r="F124" s="247" t="s">
        <v>392</v>
      </c>
      <c r="G124" s="248"/>
      <c r="H124" s="248">
        <v>-327.16</v>
      </c>
    </row>
    <row r="125" spans="1:8">
      <c r="A125" s="652" t="s">
        <v>455</v>
      </c>
      <c r="B125" s="48" t="s">
        <v>456</v>
      </c>
      <c r="D125" s="247" t="str">
        <f t="shared" si="37"/>
        <v>2020.09月 Shopify（国际部）：退款（2020.8月下单）</v>
      </c>
      <c r="E125" s="247" t="s">
        <v>179</v>
      </c>
      <c r="F125" s="247" t="s">
        <v>180</v>
      </c>
      <c r="G125" s="248"/>
      <c r="H125" s="248">
        <v>392.59</v>
      </c>
    </row>
    <row r="126" spans="1:8">
      <c r="A126" s="652" t="s">
        <v>455</v>
      </c>
      <c r="B126" s="48" t="s">
        <v>457</v>
      </c>
      <c r="D126" s="247" t="str">
        <f t="shared" si="37"/>
        <v>2020.09月 Online Ebay流水（国际部）：退款（2020.8月下单）</v>
      </c>
      <c r="E126" s="247" t="s">
        <v>32</v>
      </c>
      <c r="F126" s="247" t="s">
        <v>33</v>
      </c>
      <c r="G126" s="248">
        <v>332.69</v>
      </c>
      <c r="H126" s="248"/>
    </row>
    <row r="127" spans="1:8">
      <c r="A127" s="652" t="s">
        <v>455</v>
      </c>
      <c r="B127" s="48" t="s">
        <v>457</v>
      </c>
      <c r="D127" s="247" t="str">
        <f t="shared" si="37"/>
        <v>2020.09月 Online Ebay流水（国际部）：退款（2020.8月下单）</v>
      </c>
      <c r="E127" s="247" t="s">
        <v>391</v>
      </c>
      <c r="F127" s="247" t="s">
        <v>392</v>
      </c>
      <c r="G127" s="248"/>
      <c r="H127" s="248">
        <v>-1663.45</v>
      </c>
    </row>
    <row r="128" spans="1:8">
      <c r="A128" s="652" t="s">
        <v>455</v>
      </c>
      <c r="B128" s="48" t="s">
        <v>457</v>
      </c>
      <c r="D128" s="247" t="str">
        <f t="shared" si="37"/>
        <v>2020.09月 Online Ebay流水（国际部）：退款（2020.8月下单）</v>
      </c>
      <c r="E128" s="247" t="s">
        <v>388</v>
      </c>
      <c r="F128" s="247" t="s">
        <v>389</v>
      </c>
      <c r="G128" s="248"/>
      <c r="H128" s="248">
        <v>1996.14</v>
      </c>
    </row>
    <row r="129" spans="1:8">
      <c r="A129" s="652" t="s">
        <v>455</v>
      </c>
      <c r="B129" s="48" t="s">
        <v>458</v>
      </c>
      <c r="D129" s="247" t="str">
        <f t="shared" si="37"/>
        <v>2020.09月 Simple Ebay流水（国际部）：退款（2020.8月下单）</v>
      </c>
      <c r="E129" s="247" t="s">
        <v>396</v>
      </c>
      <c r="F129" s="247" t="s">
        <v>397</v>
      </c>
      <c r="G129" s="248"/>
      <c r="H129" s="248">
        <v>-111.49</v>
      </c>
    </row>
    <row r="130" spans="1:8">
      <c r="A130" s="652" t="s">
        <v>455</v>
      </c>
      <c r="B130" s="48" t="s">
        <v>458</v>
      </c>
      <c r="D130" s="247" t="str">
        <f t="shared" si="37"/>
        <v>2020.09月 Simple Ebay流水（国际部）：退款（2020.8月下单）</v>
      </c>
      <c r="E130" s="247" t="s">
        <v>391</v>
      </c>
      <c r="F130" s="247" t="s">
        <v>392</v>
      </c>
      <c r="G130" s="248"/>
      <c r="H130" s="248">
        <v>-557.45</v>
      </c>
    </row>
    <row r="131" spans="1:8">
      <c r="A131" s="652" t="s">
        <v>455</v>
      </c>
      <c r="B131" s="48" t="s">
        <v>458</v>
      </c>
      <c r="D131" s="414" t="str">
        <f t="shared" si="37"/>
        <v>2020.09月 Simple Ebay流水（国际部）：退款（2020.8月下单）</v>
      </c>
      <c r="E131" s="414" t="s">
        <v>394</v>
      </c>
      <c r="F131" s="414" t="s">
        <v>395</v>
      </c>
      <c r="G131" s="420"/>
      <c r="H131" s="420">
        <v>668.94</v>
      </c>
    </row>
    <row r="132" spans="1:8">
      <c r="A132" s="652" t="s">
        <v>455</v>
      </c>
      <c r="B132" s="48" t="s">
        <v>459</v>
      </c>
      <c r="D132" s="247" t="str">
        <f t="shared" si="37"/>
        <v>2020.09月 Showerenclosure Ebay流水（国际部）：退款（2020.8月下单）</v>
      </c>
      <c r="E132" s="247" t="s">
        <v>32</v>
      </c>
      <c r="F132" s="247" t="s">
        <v>33</v>
      </c>
      <c r="G132" s="248">
        <v>332.69</v>
      </c>
      <c r="H132" s="248"/>
    </row>
    <row r="133" spans="1:8">
      <c r="A133" s="652" t="s">
        <v>455</v>
      </c>
      <c r="B133" s="48" t="s">
        <v>459</v>
      </c>
      <c r="D133" s="247" t="str">
        <f t="shared" si="37"/>
        <v>2020.09月 Showerenclosure Ebay流水（国际部）：退款（2020.8月下单）</v>
      </c>
      <c r="E133" s="247" t="s">
        <v>391</v>
      </c>
      <c r="F133" s="247" t="s">
        <v>392</v>
      </c>
      <c r="G133" s="248"/>
      <c r="H133" s="248">
        <v>-1663.45</v>
      </c>
    </row>
    <row r="134" spans="1:8">
      <c r="A134" s="652" t="s">
        <v>455</v>
      </c>
      <c r="B134" s="48" t="s">
        <v>459</v>
      </c>
      <c r="D134" s="247" t="str">
        <f t="shared" si="37"/>
        <v>2020.09月 Showerenclosure Ebay流水（国际部）：退款（2020.8月下单）</v>
      </c>
      <c r="E134" s="247" t="s">
        <v>402</v>
      </c>
      <c r="F134" s="247" t="s">
        <v>403</v>
      </c>
      <c r="G134" s="248"/>
      <c r="H134" s="248">
        <v>1996.14</v>
      </c>
    </row>
    <row r="144" spans="1:1">
      <c r="A144" s="48" t="s">
        <v>460</v>
      </c>
    </row>
    <row r="145" spans="1:8">
      <c r="A145" s="48" t="str">
        <f>$A$144</f>
        <v>结转2021.09月 </v>
      </c>
      <c r="B145" s="48" t="s">
        <v>461</v>
      </c>
      <c r="D145" s="421" t="str">
        <f>A145&amp;B145</f>
        <v>结转2021.09月 在途商品为库存商品（主体产品）</v>
      </c>
      <c r="E145" s="247" t="s">
        <v>462</v>
      </c>
      <c r="F145" s="247" t="s">
        <v>463</v>
      </c>
      <c r="G145" s="248">
        <v>746880.63</v>
      </c>
      <c r="H145" s="248"/>
    </row>
    <row r="146" spans="1:8">
      <c r="A146" s="48" t="str">
        <f t="shared" ref="A146:A156" si="38">$A$144</f>
        <v>结转2021.09月 </v>
      </c>
      <c r="B146" s="48" t="s">
        <v>461</v>
      </c>
      <c r="D146" s="421" t="str">
        <f t="shared" ref="D146:D156" si="39">A146&amp;B146</f>
        <v>结转2021.09月 在途商品为库存商品（主体产品）</v>
      </c>
      <c r="E146" s="247" t="s">
        <v>464</v>
      </c>
      <c r="F146" s="247" t="s">
        <v>465</v>
      </c>
      <c r="G146" s="248"/>
      <c r="H146" s="248">
        <f>G145</f>
        <v>746880.63</v>
      </c>
    </row>
    <row r="147" spans="1:8">
      <c r="A147" s="48" t="str">
        <f t="shared" si="38"/>
        <v>结转2021.09月 </v>
      </c>
      <c r="B147" s="48" t="s">
        <v>466</v>
      </c>
      <c r="D147" s="421" t="str">
        <f t="shared" si="39"/>
        <v>结转2021.09月 在途商品为库存商品（配件产品）</v>
      </c>
      <c r="E147" s="247" t="s">
        <v>462</v>
      </c>
      <c r="F147" s="247" t="s">
        <v>463</v>
      </c>
      <c r="G147" s="248">
        <v>3210.17000000004</v>
      </c>
      <c r="H147" s="248"/>
    </row>
    <row r="148" spans="1:8">
      <c r="A148" s="48" t="str">
        <f t="shared" si="38"/>
        <v>结转2021.09月 </v>
      </c>
      <c r="B148" s="48" t="s">
        <v>466</v>
      </c>
      <c r="D148" s="421" t="str">
        <f t="shared" si="39"/>
        <v>结转2021.09月 在途商品为库存商品（配件产品）</v>
      </c>
      <c r="E148" s="247" t="s">
        <v>464</v>
      </c>
      <c r="F148" s="247" t="s">
        <v>465</v>
      </c>
      <c r="G148" s="248"/>
      <c r="H148" s="248">
        <f>G147</f>
        <v>3210.17000000004</v>
      </c>
    </row>
    <row r="149" spans="1:8">
      <c r="A149" s="48" t="str">
        <f t="shared" si="38"/>
        <v>结转2021.09月 </v>
      </c>
      <c r="B149" s="48" t="s">
        <v>467</v>
      </c>
      <c r="D149" s="421" t="str">
        <f t="shared" si="39"/>
        <v>结转2021.09月 退货入仓（主体产品）</v>
      </c>
      <c r="E149" s="247" t="s">
        <v>462</v>
      </c>
      <c r="F149" s="247" t="s">
        <v>463</v>
      </c>
      <c r="G149" s="248">
        <v>25789.97</v>
      </c>
      <c r="H149" s="248"/>
    </row>
    <row r="150" spans="1:8">
      <c r="A150" s="48" t="str">
        <f t="shared" si="38"/>
        <v>结转2021.09月 </v>
      </c>
      <c r="B150" s="48" t="s">
        <v>467</v>
      </c>
      <c r="D150" s="421" t="str">
        <f t="shared" si="39"/>
        <v>结转2021.09月 退货入仓（主体产品）</v>
      </c>
      <c r="E150" s="247" t="s">
        <v>468</v>
      </c>
      <c r="F150" s="247" t="s">
        <v>469</v>
      </c>
      <c r="G150" s="248">
        <f>-G149</f>
        <v>-25789.97</v>
      </c>
      <c r="H150" s="248"/>
    </row>
    <row r="151" spans="1:8">
      <c r="A151" s="48" t="str">
        <f t="shared" si="38"/>
        <v>结转2021.09月 </v>
      </c>
      <c r="B151" s="48" t="s">
        <v>470</v>
      </c>
      <c r="D151" s="421" t="str">
        <f t="shared" si="39"/>
        <v>结转2021.09月 退货入仓（配件产品）</v>
      </c>
      <c r="E151" s="247" t="s">
        <v>462</v>
      </c>
      <c r="F151" s="247" t="s">
        <v>463</v>
      </c>
      <c r="G151" s="248">
        <v>10.31</v>
      </c>
      <c r="H151" s="248"/>
    </row>
    <row r="152" spans="1:8">
      <c r="A152" s="48" t="str">
        <f t="shared" si="38"/>
        <v>结转2021.09月 </v>
      </c>
      <c r="B152" s="48" t="s">
        <v>470</v>
      </c>
      <c r="D152" s="421" t="str">
        <f t="shared" si="39"/>
        <v>结转2021.09月 退货入仓（配件产品）</v>
      </c>
      <c r="E152" s="247" t="s">
        <v>468</v>
      </c>
      <c r="F152" s="247" t="s">
        <v>469</v>
      </c>
      <c r="G152" s="248">
        <f>-G151</f>
        <v>-10.31</v>
      </c>
      <c r="H152" s="248"/>
    </row>
    <row r="153" spans="1:8">
      <c r="A153" s="48" t="str">
        <f t="shared" si="38"/>
        <v>结转2021.09月 </v>
      </c>
      <c r="B153" s="48" t="s">
        <v>471</v>
      </c>
      <c r="D153" s="421" t="str">
        <f t="shared" si="39"/>
        <v>结转2021.09月 主营业务成本(主体产品)</v>
      </c>
      <c r="E153" s="247" t="s">
        <v>468</v>
      </c>
      <c r="F153" s="247" t="s">
        <v>469</v>
      </c>
      <c r="G153" s="248">
        <v>520006.01</v>
      </c>
      <c r="H153" s="248"/>
    </row>
    <row r="154" spans="1:8">
      <c r="A154" s="48" t="str">
        <f t="shared" si="38"/>
        <v>结转2021.09月 </v>
      </c>
      <c r="B154" s="48" t="s">
        <v>471</v>
      </c>
      <c r="D154" s="421" t="str">
        <f t="shared" si="39"/>
        <v>结转2021.09月 主营业务成本(主体产品)</v>
      </c>
      <c r="E154" s="247" t="s">
        <v>462</v>
      </c>
      <c r="F154" s="247" t="s">
        <v>463</v>
      </c>
      <c r="G154" s="248"/>
      <c r="H154" s="248">
        <f>G153</f>
        <v>520006.01</v>
      </c>
    </row>
    <row r="155" spans="1:8">
      <c r="A155" s="48" t="str">
        <f t="shared" si="38"/>
        <v>结转2021.09月 </v>
      </c>
      <c r="B155" s="48" t="s">
        <v>472</v>
      </c>
      <c r="D155" s="421" t="str">
        <f t="shared" si="39"/>
        <v>结转2021.09月 月主营业务成本(配件产品)</v>
      </c>
      <c r="E155" s="247" t="s">
        <v>468</v>
      </c>
      <c r="F155" s="247" t="s">
        <v>469</v>
      </c>
      <c r="G155" s="248">
        <v>809.45</v>
      </c>
      <c r="H155" s="248"/>
    </row>
    <row r="156" spans="1:8">
      <c r="A156" s="48" t="str">
        <f t="shared" si="38"/>
        <v>结转2021.09月 </v>
      </c>
      <c r="B156" s="48" t="s">
        <v>472</v>
      </c>
      <c r="D156" s="421" t="str">
        <f t="shared" si="39"/>
        <v>结转2021.09月 月主营业务成本(配件产品)</v>
      </c>
      <c r="E156" s="414" t="s">
        <v>462</v>
      </c>
      <c r="F156" s="414" t="s">
        <v>463</v>
      </c>
      <c r="G156" s="420"/>
      <c r="H156" s="420">
        <f>G155</f>
        <v>809.45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4:H105"/>
  <sheetViews>
    <sheetView tabSelected="1" topLeftCell="A72" workbookViewId="0">
      <selection activeCell="G88" sqref="G60:H67 G88:H91"/>
    </sheetView>
  </sheetViews>
  <sheetFormatPr defaultColWidth="9" defaultRowHeight="15" outlineLevelCol="7"/>
  <cols>
    <col min="1" max="1" width="14" style="89" customWidth="1"/>
    <col min="2" max="2" width="22.375" style="89" customWidth="1"/>
    <col min="3" max="3" width="25.75" style="89" customWidth="1"/>
    <col min="4" max="4" width="61.875" style="89" customWidth="1"/>
    <col min="5" max="5" width="15.375" style="89" customWidth="1"/>
    <col min="6" max="6" width="41" style="89" customWidth="1"/>
    <col min="7" max="7" width="13.25" style="89" customWidth="1"/>
    <col min="8" max="8" width="13.25" style="328" customWidth="1"/>
    <col min="9" max="9" width="14.125" style="89"/>
    <col min="10" max="16384" width="9" style="89"/>
  </cols>
  <sheetData>
    <row r="4" spans="2:2">
      <c r="B4" s="329"/>
    </row>
    <row r="6" ht="15.75" spans="1:8">
      <c r="A6" s="656" t="s">
        <v>473</v>
      </c>
      <c r="B6" s="89" t="s">
        <v>474</v>
      </c>
      <c r="C6" s="89" t="s">
        <v>475</v>
      </c>
      <c r="D6" s="331" t="str">
        <f t="shared" ref="D6:D18" si="0">"计提"&amp;A6&amp;B6&amp;C6</f>
        <v>计提2020.09月AICA 个税+保险-办公室</v>
      </c>
      <c r="E6" s="332" t="s">
        <v>476</v>
      </c>
      <c r="F6" s="332" t="s">
        <v>477</v>
      </c>
      <c r="G6" s="333">
        <v>1186.08</v>
      </c>
      <c r="H6" s="334"/>
    </row>
    <row r="7" spans="1:8">
      <c r="A7" s="656" t="s">
        <v>473</v>
      </c>
      <c r="B7" s="89" t="s">
        <v>474</v>
      </c>
      <c r="C7" s="89" t="s">
        <v>478</v>
      </c>
      <c r="D7" s="335" t="str">
        <f t="shared" si="0"/>
        <v>计提2020.09月AICA 个税+保险-仓库员工</v>
      </c>
      <c r="E7" s="336" t="s">
        <v>479</v>
      </c>
      <c r="F7" s="336" t="s">
        <v>480</v>
      </c>
      <c r="G7" s="337">
        <v>2246.96</v>
      </c>
      <c r="H7" s="338"/>
    </row>
    <row r="8" spans="1:8">
      <c r="A8" s="656" t="s">
        <v>473</v>
      </c>
      <c r="B8" s="89" t="s">
        <v>474</v>
      </c>
      <c r="C8" s="89" t="s">
        <v>481</v>
      </c>
      <c r="D8" s="331" t="str">
        <f t="shared" si="0"/>
        <v>计提2020.09月AICA 个税+保险-公司</v>
      </c>
      <c r="E8" s="332" t="s">
        <v>482</v>
      </c>
      <c r="F8" s="332" t="s">
        <v>483</v>
      </c>
      <c r="G8" s="333">
        <v>1891.15</v>
      </c>
      <c r="H8" s="334"/>
    </row>
    <row r="9" spans="1:8">
      <c r="A9" s="656" t="s">
        <v>473</v>
      </c>
      <c r="B9" s="89" t="s">
        <v>474</v>
      </c>
      <c r="C9" s="89" t="s">
        <v>484</v>
      </c>
      <c r="D9" s="331" t="str">
        <f t="shared" si="0"/>
        <v>计提2020.09月AICA 个税+保险-拓展五金Tony+sun man+li zhang peng+Jarnail</v>
      </c>
      <c r="E9" s="332" t="s">
        <v>65</v>
      </c>
      <c r="F9" s="332" t="s">
        <v>66</v>
      </c>
      <c r="G9" s="339">
        <v>1503.26</v>
      </c>
      <c r="H9" s="334"/>
    </row>
    <row r="10" spans="1:8">
      <c r="A10" s="656" t="s">
        <v>473</v>
      </c>
      <c r="B10" s="89" t="s">
        <v>474</v>
      </c>
      <c r="C10" s="89" t="s">
        <v>485</v>
      </c>
      <c r="D10" s="331" t="str">
        <f t="shared" si="0"/>
        <v>计提2020.09月AICA 个税+保险-王敬尧（个人+公司部分）</v>
      </c>
      <c r="E10" s="332" t="s">
        <v>486</v>
      </c>
      <c r="F10" s="332" t="s">
        <v>487</v>
      </c>
      <c r="G10" s="339">
        <v>539.57</v>
      </c>
      <c r="H10" s="334"/>
    </row>
    <row r="11" spans="1:8">
      <c r="A11" s="656" t="s">
        <v>473</v>
      </c>
      <c r="B11" s="89" t="s">
        <v>474</v>
      </c>
      <c r="C11" s="89" t="s">
        <v>488</v>
      </c>
      <c r="D11" s="331" t="str">
        <f t="shared" si="0"/>
        <v>计提2020.09月AICA 个税+保险-公司+办公室+仓库+拓展+王敬尧</v>
      </c>
      <c r="E11" s="332" t="s">
        <v>489</v>
      </c>
      <c r="F11" s="332" t="s">
        <v>490</v>
      </c>
      <c r="G11" s="333"/>
      <c r="H11" s="334">
        <f>SUM(G6:G10)</f>
        <v>7367.02</v>
      </c>
    </row>
    <row r="12" hidden="1" spans="1:8">
      <c r="A12" s="656" t="s">
        <v>473</v>
      </c>
      <c r="B12" s="89" t="s">
        <v>474</v>
      </c>
      <c r="C12" s="89" t="s">
        <v>491</v>
      </c>
      <c r="D12" s="331" t="str">
        <f t="shared" si="0"/>
        <v>计提2020.09月AICA 个税+保险-王敬尧(公司部分)</v>
      </c>
      <c r="E12" s="332" t="s">
        <v>486</v>
      </c>
      <c r="F12" s="332" t="s">
        <v>487</v>
      </c>
      <c r="G12" s="333">
        <v>174.57</v>
      </c>
      <c r="H12" s="334"/>
    </row>
    <row r="13" hidden="1" spans="1:8">
      <c r="A13" s="656" t="s">
        <v>473</v>
      </c>
      <c r="B13" s="89" t="s">
        <v>474</v>
      </c>
      <c r="C13" s="89" t="s">
        <v>488</v>
      </c>
      <c r="D13" s="331" t="str">
        <f t="shared" si="0"/>
        <v>计提2020.09月AICA 个税+保险-公司+办公室+仓库+拓展+王敬尧</v>
      </c>
      <c r="E13" s="332" t="s">
        <v>482</v>
      </c>
      <c r="F13" s="332" t="s">
        <v>483</v>
      </c>
      <c r="G13" s="333">
        <f>-G12</f>
        <v>-174.57</v>
      </c>
      <c r="H13" s="334"/>
    </row>
    <row r="14" spans="1:8">
      <c r="A14" s="656" t="s">
        <v>473</v>
      </c>
      <c r="B14" s="89" t="s">
        <v>474</v>
      </c>
      <c r="C14" s="89" t="s">
        <v>492</v>
      </c>
      <c r="D14" s="340" t="str">
        <f t="shared" si="0"/>
        <v>计提2020.09月AICA 养老金-办公室</v>
      </c>
      <c r="E14" s="341" t="s">
        <v>476</v>
      </c>
      <c r="F14" s="341" t="s">
        <v>477</v>
      </c>
      <c r="G14" s="342">
        <v>262.72</v>
      </c>
      <c r="H14" s="343"/>
    </row>
    <row r="15" spans="1:8">
      <c r="A15" s="656" t="s">
        <v>473</v>
      </c>
      <c r="B15" s="89" t="s">
        <v>474</v>
      </c>
      <c r="C15" s="89" t="s">
        <v>493</v>
      </c>
      <c r="D15" s="340" t="str">
        <f t="shared" si="0"/>
        <v>计提2020.09月AICA 养老金-仓库</v>
      </c>
      <c r="E15" s="341" t="s">
        <v>479</v>
      </c>
      <c r="F15" s="341" t="s">
        <v>480</v>
      </c>
      <c r="G15" s="342">
        <v>363.24</v>
      </c>
      <c r="H15" s="343"/>
    </row>
    <row r="16" spans="1:8">
      <c r="A16" s="656" t="s">
        <v>473</v>
      </c>
      <c r="B16" s="89" t="s">
        <v>474</v>
      </c>
      <c r="C16" s="89" t="s">
        <v>494</v>
      </c>
      <c r="D16" s="340" t="str">
        <f t="shared" si="0"/>
        <v>计提2020.09月AICA 养老金-公司</v>
      </c>
      <c r="E16" s="341" t="s">
        <v>482</v>
      </c>
      <c r="F16" s="341" t="s">
        <v>483</v>
      </c>
      <c r="G16" s="342">
        <v>469.48</v>
      </c>
      <c r="H16" s="343"/>
    </row>
    <row r="17" spans="1:8">
      <c r="A17" s="656" t="s">
        <v>473</v>
      </c>
      <c r="B17" s="89" t="s">
        <v>474</v>
      </c>
      <c r="C17" s="89" t="s">
        <v>495</v>
      </c>
      <c r="D17" s="340" t="str">
        <f t="shared" si="0"/>
        <v>计提2020.09月AICA 养老金-拓展五金Tony+suman+lizhangpeng</v>
      </c>
      <c r="E17" s="332" t="s">
        <v>65</v>
      </c>
      <c r="F17" s="332" t="s">
        <v>66</v>
      </c>
      <c r="G17" s="339">
        <v>311.24</v>
      </c>
      <c r="H17" s="343"/>
    </row>
    <row r="18" spans="1:8">
      <c r="A18" s="656" t="s">
        <v>473</v>
      </c>
      <c r="B18" s="89" t="s">
        <v>474</v>
      </c>
      <c r="C18" s="89" t="s">
        <v>496</v>
      </c>
      <c r="D18" s="331" t="str">
        <f t="shared" si="0"/>
        <v>计提2020.09月AICA 养老金-王敬尧（个人+公司部分）</v>
      </c>
      <c r="E18" s="332" t="s">
        <v>486</v>
      </c>
      <c r="F18" s="332" t="s">
        <v>487</v>
      </c>
      <c r="G18" s="339">
        <v>140</v>
      </c>
      <c r="H18" s="334"/>
    </row>
    <row r="19" spans="1:8">
      <c r="A19" s="656" t="s">
        <v>473</v>
      </c>
      <c r="B19" s="89" t="s">
        <v>474</v>
      </c>
      <c r="C19" s="89" t="s">
        <v>497</v>
      </c>
      <c r="D19" s="340" t="str">
        <f t="shared" ref="D19:D32" si="1">"计提"&amp;A19&amp;B19&amp;C19</f>
        <v>计提2020.09月AICA 养老金-公司+办公室+仓库</v>
      </c>
      <c r="E19" s="341" t="s">
        <v>489</v>
      </c>
      <c r="F19" s="341" t="s">
        <v>490</v>
      </c>
      <c r="G19" s="342"/>
      <c r="H19" s="343">
        <f>SUM(G14:G18)</f>
        <v>1546.68</v>
      </c>
    </row>
    <row r="20" spans="1:8">
      <c r="A20" s="656" t="s">
        <v>473</v>
      </c>
      <c r="B20" s="89" t="s">
        <v>498</v>
      </c>
      <c r="C20" s="89" t="s">
        <v>475</v>
      </c>
      <c r="D20" s="344" t="str">
        <f t="shared" si="1"/>
        <v>计提2020.09月Perfect个税+保险-办公室</v>
      </c>
      <c r="E20" s="345" t="s">
        <v>476</v>
      </c>
      <c r="F20" s="345" t="s">
        <v>477</v>
      </c>
      <c r="G20" s="346">
        <v>436.82</v>
      </c>
      <c r="H20" s="347"/>
    </row>
    <row r="21" spans="1:8">
      <c r="A21" s="656" t="s">
        <v>473</v>
      </c>
      <c r="B21" s="89" t="s">
        <v>498</v>
      </c>
      <c r="C21" s="89" t="s">
        <v>478</v>
      </c>
      <c r="D21" s="344" t="str">
        <f t="shared" si="1"/>
        <v>计提2020.09月Perfect个税+保险-仓库员工</v>
      </c>
      <c r="E21" s="345" t="s">
        <v>479</v>
      </c>
      <c r="F21" s="345" t="s">
        <v>480</v>
      </c>
      <c r="G21" s="346">
        <v>506.92</v>
      </c>
      <c r="H21" s="347"/>
    </row>
    <row r="22" hidden="1" spans="1:8">
      <c r="A22" s="656" t="s">
        <v>473</v>
      </c>
      <c r="B22" s="89" t="s">
        <v>498</v>
      </c>
      <c r="C22" s="89" t="s">
        <v>481</v>
      </c>
      <c r="D22" s="344" t="str">
        <f t="shared" si="1"/>
        <v>计提2020.09月Perfect个税+保险-公司</v>
      </c>
      <c r="E22" s="348" t="s">
        <v>482</v>
      </c>
      <c r="F22" s="348" t="s">
        <v>483</v>
      </c>
      <c r="G22" s="346">
        <v>0</v>
      </c>
      <c r="H22" s="347"/>
    </row>
    <row r="23" spans="1:8">
      <c r="A23" s="656" t="s">
        <v>473</v>
      </c>
      <c r="B23" s="89" t="s">
        <v>498</v>
      </c>
      <c r="C23" s="89" t="s">
        <v>499</v>
      </c>
      <c r="D23" s="344" t="str">
        <f t="shared" si="1"/>
        <v>计提2020.09月Perfect个税+保险-办公室+仓库</v>
      </c>
      <c r="E23" s="345" t="s">
        <v>489</v>
      </c>
      <c r="F23" s="345" t="s">
        <v>490</v>
      </c>
      <c r="G23" s="346"/>
      <c r="H23" s="347">
        <f>SUM(G20:G22)</f>
        <v>943.74</v>
      </c>
    </row>
    <row r="24" spans="1:8">
      <c r="A24" s="656" t="s">
        <v>473</v>
      </c>
      <c r="B24" s="89" t="s">
        <v>498</v>
      </c>
      <c r="C24" s="89" t="s">
        <v>492</v>
      </c>
      <c r="D24" s="349" t="str">
        <f t="shared" si="1"/>
        <v>计提2020.09月Perfect养老金-办公室</v>
      </c>
      <c r="E24" s="348" t="s">
        <v>476</v>
      </c>
      <c r="F24" s="348" t="s">
        <v>477</v>
      </c>
      <c r="G24" s="350">
        <v>132.25</v>
      </c>
      <c r="H24" s="351"/>
    </row>
    <row r="25" spans="1:8">
      <c r="A25" s="656" t="s">
        <v>473</v>
      </c>
      <c r="B25" s="89" t="s">
        <v>498</v>
      </c>
      <c r="C25" s="89" t="s">
        <v>493</v>
      </c>
      <c r="D25" s="349" t="str">
        <f t="shared" si="1"/>
        <v>计提2020.09月Perfect养老金-仓库</v>
      </c>
      <c r="E25" s="348" t="s">
        <v>479</v>
      </c>
      <c r="F25" s="348" t="s">
        <v>480</v>
      </c>
      <c r="G25" s="350">
        <v>24</v>
      </c>
      <c r="H25" s="351"/>
    </row>
    <row r="26" spans="1:8">
      <c r="A26" s="656" t="s">
        <v>473</v>
      </c>
      <c r="B26" s="89" t="s">
        <v>498</v>
      </c>
      <c r="C26" s="89" t="s">
        <v>494</v>
      </c>
      <c r="D26" s="352" t="str">
        <f t="shared" si="1"/>
        <v>计提2020.09月Perfect养老金-公司</v>
      </c>
      <c r="E26" s="348" t="s">
        <v>482</v>
      </c>
      <c r="F26" s="348" t="s">
        <v>483</v>
      </c>
      <c r="G26" s="350">
        <v>93.75</v>
      </c>
      <c r="H26" s="351"/>
    </row>
    <row r="27" spans="1:8">
      <c r="A27" s="656" t="s">
        <v>473</v>
      </c>
      <c r="B27" s="89" t="s">
        <v>498</v>
      </c>
      <c r="C27" s="89" t="s">
        <v>497</v>
      </c>
      <c r="D27" s="352" t="str">
        <f t="shared" si="1"/>
        <v>计提2020.09月Perfect养老金-公司+办公室+仓库</v>
      </c>
      <c r="E27" s="348" t="s">
        <v>489</v>
      </c>
      <c r="F27" s="348" t="s">
        <v>490</v>
      </c>
      <c r="G27" s="350"/>
      <c r="H27" s="351">
        <f>SUM(G24:G26)</f>
        <v>250</v>
      </c>
    </row>
    <row r="28" spans="1:8">
      <c r="A28" s="656" t="s">
        <v>473</v>
      </c>
      <c r="B28" s="89" t="s">
        <v>500</v>
      </c>
      <c r="C28" s="89" t="s">
        <v>501</v>
      </c>
      <c r="D28" s="353" t="str">
        <f t="shared" si="1"/>
        <v>计提2020.09月Excellent个税+保险-仓库</v>
      </c>
      <c r="E28" s="341" t="s">
        <v>479</v>
      </c>
      <c r="F28" s="341" t="s">
        <v>480</v>
      </c>
      <c r="G28" s="342">
        <v>201.34</v>
      </c>
      <c r="H28" s="343"/>
    </row>
    <row r="29" spans="1:8">
      <c r="A29" s="656" t="s">
        <v>473</v>
      </c>
      <c r="B29" s="89" t="s">
        <v>500</v>
      </c>
      <c r="C29" s="89" t="s">
        <v>502</v>
      </c>
      <c r="D29" s="353" t="str">
        <f t="shared" si="1"/>
        <v>计提2020.09月Excellent个税+保险-公司+办公室+仓库</v>
      </c>
      <c r="E29" s="341" t="s">
        <v>489</v>
      </c>
      <c r="F29" s="341" t="s">
        <v>490</v>
      </c>
      <c r="G29" s="342"/>
      <c r="H29" s="343">
        <f>G28</f>
        <v>201.34</v>
      </c>
    </row>
    <row r="30" hidden="1" spans="1:8">
      <c r="A30" s="656" t="s">
        <v>473</v>
      </c>
      <c r="B30" s="89" t="s">
        <v>500</v>
      </c>
      <c r="C30" s="89" t="s">
        <v>493</v>
      </c>
      <c r="D30" s="354" t="str">
        <f t="shared" si="1"/>
        <v>计提2020.09月Excellent养老金-仓库</v>
      </c>
      <c r="E30" s="355" t="s">
        <v>479</v>
      </c>
      <c r="F30" s="355" t="s">
        <v>480</v>
      </c>
      <c r="G30" s="356"/>
      <c r="H30" s="357"/>
    </row>
    <row r="31" hidden="1" spans="1:8">
      <c r="A31" s="656" t="s">
        <v>473</v>
      </c>
      <c r="B31" s="89" t="s">
        <v>500</v>
      </c>
      <c r="C31" s="89" t="s">
        <v>493</v>
      </c>
      <c r="D31" s="354" t="str">
        <f t="shared" si="1"/>
        <v>计提2020.09月Excellent养老金-仓库</v>
      </c>
      <c r="E31" s="355" t="s">
        <v>482</v>
      </c>
      <c r="F31" s="355" t="s">
        <v>483</v>
      </c>
      <c r="G31" s="356"/>
      <c r="H31" s="357"/>
    </row>
    <row r="32" hidden="1" spans="1:8">
      <c r="A32" s="656" t="s">
        <v>473</v>
      </c>
      <c r="B32" s="89" t="s">
        <v>500</v>
      </c>
      <c r="C32" s="89" t="s">
        <v>497</v>
      </c>
      <c r="D32" s="353" t="str">
        <f t="shared" si="1"/>
        <v>计提2020.09月Excellent养老金-公司+办公室+仓库</v>
      </c>
      <c r="E32" s="341" t="s">
        <v>489</v>
      </c>
      <c r="F32" s="341" t="s">
        <v>490</v>
      </c>
      <c r="G32" s="342"/>
      <c r="H32" s="343">
        <f>SUM(G30:G31)</f>
        <v>0</v>
      </c>
    </row>
    <row r="33" ht="30" spans="1:8">
      <c r="A33" s="656" t="s">
        <v>473</v>
      </c>
      <c r="B33" s="89" t="s">
        <v>503</v>
      </c>
      <c r="C33" s="89" t="s">
        <v>504</v>
      </c>
      <c r="D33" s="358" t="str">
        <f t="shared" ref="D33:D42" si="2">B33&amp;A33&amp;C33</f>
        <v>计提仓库员工Michael 2020.09月工资</v>
      </c>
      <c r="E33" s="332" t="s">
        <v>479</v>
      </c>
      <c r="F33" s="359" t="s">
        <v>480</v>
      </c>
      <c r="G33" s="333">
        <v>1958.91666666667</v>
      </c>
      <c r="H33" s="343"/>
    </row>
    <row r="34" spans="1:8">
      <c r="A34" s="656" t="s">
        <v>473</v>
      </c>
      <c r="B34" s="89" t="s">
        <v>503</v>
      </c>
      <c r="C34" s="89" t="s">
        <v>504</v>
      </c>
      <c r="D34" s="331" t="str">
        <f t="shared" si="2"/>
        <v>计提仓库员工Michael 2020.09月工资</v>
      </c>
      <c r="E34" s="332" t="s">
        <v>505</v>
      </c>
      <c r="F34" s="332" t="s">
        <v>506</v>
      </c>
      <c r="G34" s="333"/>
      <c r="H34" s="334">
        <f>G33</f>
        <v>1958.91666666667</v>
      </c>
    </row>
    <row r="35" ht="30" spans="1:8">
      <c r="A35" s="656" t="s">
        <v>473</v>
      </c>
      <c r="B35" s="89" t="s">
        <v>507</v>
      </c>
      <c r="C35" s="89" t="s">
        <v>504</v>
      </c>
      <c r="D35" s="349" t="str">
        <f t="shared" si="2"/>
        <v>计提仓库员工TJ 2020.09月工资</v>
      </c>
      <c r="E35" s="348" t="s">
        <v>479</v>
      </c>
      <c r="F35" s="360" t="s">
        <v>480</v>
      </c>
      <c r="G35" s="350">
        <v>2491.33333333333</v>
      </c>
      <c r="H35" s="351"/>
    </row>
    <row r="36" spans="1:8">
      <c r="A36" s="656" t="s">
        <v>473</v>
      </c>
      <c r="B36" s="89" t="s">
        <v>507</v>
      </c>
      <c r="C36" s="89" t="s">
        <v>504</v>
      </c>
      <c r="D36" s="349" t="str">
        <f t="shared" si="2"/>
        <v>计提仓库员工TJ 2020.09月工资</v>
      </c>
      <c r="E36" s="348" t="s">
        <v>505</v>
      </c>
      <c r="F36" s="348" t="s">
        <v>506</v>
      </c>
      <c r="G36" s="350"/>
      <c r="H36" s="351">
        <f>G35</f>
        <v>2491.33333333333</v>
      </c>
    </row>
    <row r="37" ht="30" hidden="1" spans="1:8">
      <c r="A37" s="656" t="s">
        <v>473</v>
      </c>
      <c r="B37" s="89" t="s">
        <v>508</v>
      </c>
      <c r="C37" s="89" t="s">
        <v>509</v>
      </c>
      <c r="D37" s="340" t="str">
        <f t="shared" si="2"/>
        <v>计提仓库员工Omar 2020.09月工资现金部分 1203.87</v>
      </c>
      <c r="E37" s="341" t="s">
        <v>479</v>
      </c>
      <c r="F37" s="361" t="s">
        <v>480</v>
      </c>
      <c r="G37" s="342">
        <v>1203.87</v>
      </c>
      <c r="H37" s="343"/>
    </row>
    <row r="38" hidden="1" spans="1:8">
      <c r="A38" s="656" t="s">
        <v>473</v>
      </c>
      <c r="B38" s="89" t="s">
        <v>508</v>
      </c>
      <c r="C38" s="89" t="str">
        <f>C37</f>
        <v>月工资现金部分 1203.87</v>
      </c>
      <c r="D38" s="362" t="str">
        <f t="shared" si="2"/>
        <v>计提仓库员工Omar 2020.09月工资现金部分 1203.87</v>
      </c>
      <c r="E38" s="363" t="s">
        <v>505</v>
      </c>
      <c r="F38" s="363" t="s">
        <v>506</v>
      </c>
      <c r="G38" s="364"/>
      <c r="H38" s="365">
        <f>G37</f>
        <v>1203.87</v>
      </c>
    </row>
    <row r="39" ht="30" spans="1:8">
      <c r="A39" s="656" t="s">
        <v>473</v>
      </c>
      <c r="B39" s="89" t="s">
        <v>510</v>
      </c>
      <c r="C39" s="89" t="s">
        <v>511</v>
      </c>
      <c r="D39" s="349" t="str">
        <f t="shared" si="2"/>
        <v>计提仓库员工Abdul2020.09月工资现金部分</v>
      </c>
      <c r="E39" s="348" t="s">
        <v>479</v>
      </c>
      <c r="F39" s="360" t="s">
        <v>480</v>
      </c>
      <c r="G39" s="350">
        <v>1143.4</v>
      </c>
      <c r="H39" s="351"/>
    </row>
    <row r="40" spans="1:8">
      <c r="A40" s="656" t="s">
        <v>473</v>
      </c>
      <c r="B40" s="89" t="s">
        <v>510</v>
      </c>
      <c r="C40" s="89" t="s">
        <v>511</v>
      </c>
      <c r="D40" s="349" t="str">
        <f t="shared" si="2"/>
        <v>计提仓库员工Abdul2020.09月工资现金部分</v>
      </c>
      <c r="E40" s="348" t="s">
        <v>505</v>
      </c>
      <c r="F40" s="348" t="s">
        <v>506</v>
      </c>
      <c r="G40" s="350"/>
      <c r="H40" s="351">
        <f>G39</f>
        <v>1143.4</v>
      </c>
    </row>
    <row r="41" s="89" customFormat="1" ht="30" spans="1:8">
      <c r="A41" s="656" t="s">
        <v>473</v>
      </c>
      <c r="B41" s="89" t="s">
        <v>512</v>
      </c>
      <c r="C41" s="89" t="s">
        <v>511</v>
      </c>
      <c r="D41" s="358" t="str">
        <f t="shared" si="2"/>
        <v>计提仓库员工Ahmed2020.09月工资现金部分</v>
      </c>
      <c r="E41" s="332" t="s">
        <v>479</v>
      </c>
      <c r="F41" s="359" t="s">
        <v>480</v>
      </c>
      <c r="G41" s="333">
        <v>711.383333333333</v>
      </c>
      <c r="H41" s="334"/>
    </row>
    <row r="42" s="89" customFormat="1" ht="15.75" spans="1:8">
      <c r="A42" s="656" t="s">
        <v>473</v>
      </c>
      <c r="B42" s="89" t="s">
        <v>512</v>
      </c>
      <c r="C42" s="89" t="s">
        <v>511</v>
      </c>
      <c r="D42" s="366" t="str">
        <f t="shared" si="2"/>
        <v>计提仓库员工Ahmed2020.09月工资现金部分</v>
      </c>
      <c r="E42" s="367" t="s">
        <v>505</v>
      </c>
      <c r="F42" s="367" t="s">
        <v>506</v>
      </c>
      <c r="G42" s="368"/>
      <c r="H42" s="369">
        <f>G41</f>
        <v>711.383333333333</v>
      </c>
    </row>
    <row r="45" customFormat="1" ht="13.5"/>
    <row r="46" customFormat="1" ht="13.5"/>
    <row r="47" customFormat="1" ht="13.5"/>
    <row r="48" customFormat="1" ht="13.5"/>
    <row r="49" customFormat="1" ht="13.5"/>
    <row r="50" customFormat="1" ht="13.5"/>
    <row r="51" customFormat="1" ht="13.5"/>
    <row r="52" customFormat="1" ht="13.5"/>
    <row r="53" customFormat="1" ht="13.5"/>
    <row r="54" customFormat="1" ht="13.5"/>
    <row r="55" customFormat="1" ht="13.5"/>
    <row r="56" customFormat="1" ht="13.5"/>
    <row r="59" spans="2:2">
      <c r="B59" s="370">
        <v>8.7918</v>
      </c>
    </row>
    <row r="60" ht="21" customHeight="1" spans="1:8">
      <c r="A60" s="249" t="s">
        <v>513</v>
      </c>
      <c r="B60" s="249" t="s">
        <v>514</v>
      </c>
      <c r="C60" s="371">
        <v>195360</v>
      </c>
      <c r="D60" s="39" t="str">
        <f>A60&amp;B60&amp;"(RMB："&amp;C60&amp;",汇率："&amp;$B$59&amp;"）"</f>
        <v>海洋代垫英国海运费 2柜OS21-0628Y-3+5(RMB：195360,汇率：8.7918）</v>
      </c>
      <c r="E60" s="40" t="s">
        <v>464</v>
      </c>
      <c r="F60" s="40" t="s">
        <v>465</v>
      </c>
      <c r="G60" s="41">
        <f t="shared" ref="G60:G64" si="3">ROUND(C60/$B$59,2)</f>
        <v>22220.71</v>
      </c>
      <c r="H60" s="41"/>
    </row>
    <row r="61" ht="21" customHeight="1" spans="1:8">
      <c r="A61" s="249" t="s">
        <v>513</v>
      </c>
      <c r="B61" s="249" t="str">
        <f>B60</f>
        <v>2柜OS21-0628Y-3+5</v>
      </c>
      <c r="C61" s="371">
        <f t="shared" ref="C61:C65" si="4">C60</f>
        <v>195360</v>
      </c>
      <c r="D61" s="39" t="str">
        <f t="shared" ref="D61:D87" si="5">A61&amp;B61&amp;"(RMB："&amp;C61&amp;",汇率："&amp;$B$59&amp;"）"</f>
        <v>海洋代垫英国海运费 2柜OS21-0628Y-3+5(RMB：195360,汇率：8.7918）</v>
      </c>
      <c r="E61" s="40" t="s">
        <v>515</v>
      </c>
      <c r="F61" s="372" t="s">
        <v>516</v>
      </c>
      <c r="G61" s="41"/>
      <c r="H61" s="41">
        <f t="shared" ref="H61:H65" si="6">G60</f>
        <v>22220.71</v>
      </c>
    </row>
    <row r="62" s="89" customFormat="1" ht="21" customHeight="1" spans="1:8">
      <c r="A62" s="249" t="s">
        <v>513</v>
      </c>
      <c r="B62" s="249" t="s">
        <v>517</v>
      </c>
      <c r="C62" s="371">
        <v>97680</v>
      </c>
      <c r="D62" s="39" t="str">
        <f t="shared" si="5"/>
        <v>海洋代垫英国海运费 1柜OS21-0625Y-JZ-6(RMB：97680,汇率：8.7918）</v>
      </c>
      <c r="E62" s="40" t="s">
        <v>464</v>
      </c>
      <c r="F62" s="40" t="s">
        <v>465</v>
      </c>
      <c r="G62" s="41">
        <f t="shared" si="3"/>
        <v>11110.35</v>
      </c>
      <c r="H62" s="41"/>
    </row>
    <row r="63" s="89" customFormat="1" ht="21" customHeight="1" spans="1:8">
      <c r="A63" s="249" t="s">
        <v>513</v>
      </c>
      <c r="B63" s="249" t="str">
        <f>B62</f>
        <v>1柜OS21-0625Y-JZ-6</v>
      </c>
      <c r="C63" s="371">
        <f t="shared" si="4"/>
        <v>97680</v>
      </c>
      <c r="D63" s="39" t="str">
        <f t="shared" si="5"/>
        <v>海洋代垫英国海运费 1柜OS21-0625Y-JZ-6(RMB：97680,汇率：8.7918）</v>
      </c>
      <c r="E63" s="40" t="s">
        <v>515</v>
      </c>
      <c r="F63" s="372" t="s">
        <v>516</v>
      </c>
      <c r="G63" s="41"/>
      <c r="H63" s="41">
        <f t="shared" si="6"/>
        <v>11110.35</v>
      </c>
    </row>
    <row r="64" s="89" customFormat="1" ht="21" customHeight="1" spans="1:8">
      <c r="A64" s="249" t="s">
        <v>513</v>
      </c>
      <c r="B64" s="249" t="s">
        <v>518</v>
      </c>
      <c r="C64" s="371">
        <v>110544</v>
      </c>
      <c r="D64" s="39" t="str">
        <f t="shared" si="5"/>
        <v>海洋代垫英国海运费 1柜OS21-0316Y-JZ-1(RMB：110544,汇率：8.7918）</v>
      </c>
      <c r="E64" s="40" t="s">
        <v>464</v>
      </c>
      <c r="F64" s="40" t="s">
        <v>465</v>
      </c>
      <c r="G64" s="41">
        <f t="shared" si="3"/>
        <v>12573.53</v>
      </c>
      <c r="H64" s="41"/>
    </row>
    <row r="65" s="89" customFormat="1" ht="21" customHeight="1" spans="1:8">
      <c r="A65" s="249" t="s">
        <v>513</v>
      </c>
      <c r="B65" s="249" t="str">
        <f>B64</f>
        <v>1柜OS21-0316Y-JZ-1</v>
      </c>
      <c r="C65" s="371">
        <f t="shared" si="4"/>
        <v>110544</v>
      </c>
      <c r="D65" s="39" t="str">
        <f t="shared" si="5"/>
        <v>海洋代垫英国海运费 1柜OS21-0316Y-JZ-1(RMB：110544,汇率：8.7918）</v>
      </c>
      <c r="E65" s="40" t="s">
        <v>515</v>
      </c>
      <c r="F65" s="372" t="s">
        <v>516</v>
      </c>
      <c r="G65" s="41"/>
      <c r="H65" s="41">
        <f t="shared" si="6"/>
        <v>12573.53</v>
      </c>
    </row>
    <row r="66" s="89" customFormat="1" ht="21" customHeight="1" spans="1:8">
      <c r="A66" s="249" t="s">
        <v>513</v>
      </c>
      <c r="B66" s="249" t="s">
        <v>519</v>
      </c>
      <c r="C66" s="371">
        <v>221088</v>
      </c>
      <c r="D66" s="39" t="str">
        <f t="shared" si="5"/>
        <v>海洋代垫英国海运费 2柜OS21-0628Y-4+6(RMB：221088,汇率：8.7918）</v>
      </c>
      <c r="E66" s="40" t="s">
        <v>464</v>
      </c>
      <c r="F66" s="40" t="s">
        <v>465</v>
      </c>
      <c r="G66" s="41">
        <f t="shared" ref="G66:G70" si="7">ROUND(C66/$B$59,2)</f>
        <v>25147.07</v>
      </c>
      <c r="H66" s="41"/>
    </row>
    <row r="67" s="89" customFormat="1" ht="21" customHeight="1" spans="1:8">
      <c r="A67" s="249" t="s">
        <v>513</v>
      </c>
      <c r="B67" s="249" t="str">
        <f t="shared" ref="B67:B71" si="8">B66</f>
        <v>2柜OS21-0628Y-4+6</v>
      </c>
      <c r="C67" s="371">
        <f t="shared" ref="C67:C71" si="9">C66</f>
        <v>221088</v>
      </c>
      <c r="D67" s="39" t="str">
        <f t="shared" si="5"/>
        <v>海洋代垫英国海运费 2柜OS21-0628Y-4+6(RMB：221088,汇率：8.7918）</v>
      </c>
      <c r="E67" s="40" t="s">
        <v>515</v>
      </c>
      <c r="F67" s="372" t="s">
        <v>516</v>
      </c>
      <c r="G67" s="41"/>
      <c r="H67" s="41">
        <f t="shared" ref="H67:H71" si="10">G66</f>
        <v>25147.07</v>
      </c>
    </row>
    <row r="68" s="89" customFormat="1" ht="21" customHeight="1" spans="1:8">
      <c r="A68" s="373" t="s">
        <v>513</v>
      </c>
      <c r="B68" s="373" t="s">
        <v>520</v>
      </c>
      <c r="C68" s="374">
        <v>109200</v>
      </c>
      <c r="D68" s="39" t="str">
        <f t="shared" si="5"/>
        <v>海洋代垫英国海运费 1柜OS21-0625Y-JZ-3(RMB：109200,汇率：8.7918）</v>
      </c>
      <c r="E68" s="40" t="s">
        <v>464</v>
      </c>
      <c r="F68" s="40" t="s">
        <v>465</v>
      </c>
      <c r="G68" s="41">
        <f t="shared" si="7"/>
        <v>12420.66</v>
      </c>
      <c r="H68" s="41"/>
    </row>
    <row r="69" s="89" customFormat="1" ht="21" customHeight="1" spans="1:8">
      <c r="A69" s="373" t="s">
        <v>513</v>
      </c>
      <c r="B69" s="373" t="str">
        <f t="shared" si="8"/>
        <v>1柜OS21-0625Y-JZ-3</v>
      </c>
      <c r="C69" s="374">
        <f t="shared" si="9"/>
        <v>109200</v>
      </c>
      <c r="D69" s="39" t="str">
        <f t="shared" si="5"/>
        <v>海洋代垫英国海运费 1柜OS21-0625Y-JZ-3(RMB：109200,汇率：8.7918）</v>
      </c>
      <c r="E69" s="40" t="s">
        <v>515</v>
      </c>
      <c r="F69" s="372" t="s">
        <v>516</v>
      </c>
      <c r="G69" s="41"/>
      <c r="H69" s="41">
        <f t="shared" si="10"/>
        <v>12420.66</v>
      </c>
    </row>
    <row r="70" s="89" customFormat="1" ht="21" customHeight="1" spans="1:8">
      <c r="A70" s="373" t="s">
        <v>513</v>
      </c>
      <c r="B70" s="373" t="s">
        <v>521</v>
      </c>
      <c r="C70" s="374">
        <v>208429.91</v>
      </c>
      <c r="D70" s="39" t="str">
        <f t="shared" si="5"/>
        <v>海洋代垫英国海运费 2柜OS21-0625Y-JZ-1+2P(RMB：208429.91,汇率：8.7918）</v>
      </c>
      <c r="E70" s="40" t="s">
        <v>464</v>
      </c>
      <c r="F70" s="40" t="s">
        <v>465</v>
      </c>
      <c r="G70" s="41">
        <f t="shared" si="7"/>
        <v>23707.31</v>
      </c>
      <c r="H70" s="41"/>
    </row>
    <row r="71" s="89" customFormat="1" ht="21" customHeight="1" spans="1:8">
      <c r="A71" s="373" t="s">
        <v>513</v>
      </c>
      <c r="B71" s="373" t="str">
        <f>B70</f>
        <v>2柜OS21-0625Y-JZ-1+2P</v>
      </c>
      <c r="C71" s="374">
        <f t="shared" si="9"/>
        <v>208429.91</v>
      </c>
      <c r="D71" s="39" t="str">
        <f t="shared" si="5"/>
        <v>海洋代垫英国海运费 2柜OS21-0625Y-JZ-1+2P(RMB：208429.91,汇率：8.7918）</v>
      </c>
      <c r="E71" s="40" t="s">
        <v>515</v>
      </c>
      <c r="F71" s="372" t="s">
        <v>516</v>
      </c>
      <c r="G71" s="41"/>
      <c r="H71" s="41">
        <f t="shared" si="10"/>
        <v>23707.31</v>
      </c>
    </row>
    <row r="72" s="89" customFormat="1" ht="21" customHeight="1" spans="1:8">
      <c r="A72" s="373" t="s">
        <v>513</v>
      </c>
      <c r="B72" s="373" t="s">
        <v>522</v>
      </c>
      <c r="C72" s="374">
        <v>101990</v>
      </c>
      <c r="D72" s="39" t="str">
        <f t="shared" si="5"/>
        <v>海洋代垫英国海运费 1柜OS21-0625Y-JZ-5(RMB：101990,汇率：8.7918）</v>
      </c>
      <c r="E72" s="40" t="s">
        <v>464</v>
      </c>
      <c r="F72" s="40" t="s">
        <v>465</v>
      </c>
      <c r="G72" s="41">
        <f t="shared" ref="G72:G76" si="11">ROUND(C72/$B$59,2)</f>
        <v>11600.58</v>
      </c>
      <c r="H72" s="41"/>
    </row>
    <row r="73" s="89" customFormat="1" ht="21" customHeight="1" spans="1:8">
      <c r="A73" s="373" t="s">
        <v>513</v>
      </c>
      <c r="B73" s="373" t="str">
        <f>B72</f>
        <v>1柜OS21-0625Y-JZ-5</v>
      </c>
      <c r="C73" s="374">
        <f t="shared" ref="C73:C77" si="12">C72</f>
        <v>101990</v>
      </c>
      <c r="D73" s="39" t="str">
        <f t="shared" si="5"/>
        <v>海洋代垫英国海运费 1柜OS21-0625Y-JZ-5(RMB：101990,汇率：8.7918）</v>
      </c>
      <c r="E73" s="40" t="s">
        <v>515</v>
      </c>
      <c r="F73" s="372" t="s">
        <v>516</v>
      </c>
      <c r="G73" s="41"/>
      <c r="H73" s="41">
        <f t="shared" ref="H73:H77" si="13">G72</f>
        <v>11600.58</v>
      </c>
    </row>
    <row r="74" s="89" customFormat="1" ht="21" customHeight="1" spans="1:8">
      <c r="A74" s="373" t="s">
        <v>513</v>
      </c>
      <c r="B74" s="373" t="s">
        <v>523</v>
      </c>
      <c r="C74" s="374">
        <v>209600</v>
      </c>
      <c r="D74" s="39" t="str">
        <f t="shared" si="5"/>
        <v>海洋代垫英国海运费 2柜OS21-0628Y-1+2(RMB：209600,汇率：8.7918）</v>
      </c>
      <c r="E74" s="40" t="s">
        <v>464</v>
      </c>
      <c r="F74" s="40" t="s">
        <v>465</v>
      </c>
      <c r="G74" s="41">
        <f t="shared" si="11"/>
        <v>23840.4</v>
      </c>
      <c r="H74" s="41"/>
    </row>
    <row r="75" s="89" customFormat="1" ht="21" customHeight="1" spans="1:8">
      <c r="A75" s="373" t="s">
        <v>513</v>
      </c>
      <c r="B75" s="373" t="str">
        <f t="shared" ref="B73:B77" si="14">B74</f>
        <v>2柜OS21-0628Y-1+2</v>
      </c>
      <c r="C75" s="374">
        <f t="shared" si="12"/>
        <v>209600</v>
      </c>
      <c r="D75" s="39" t="str">
        <f t="shared" si="5"/>
        <v>海洋代垫英国海运费 2柜OS21-0628Y-1+2(RMB：209600,汇率：8.7918）</v>
      </c>
      <c r="E75" s="40" t="s">
        <v>515</v>
      </c>
      <c r="F75" s="372" t="s">
        <v>516</v>
      </c>
      <c r="G75" s="41"/>
      <c r="H75" s="41">
        <f t="shared" si="13"/>
        <v>23840.4</v>
      </c>
    </row>
    <row r="76" s="89" customFormat="1" ht="21" customHeight="1" spans="1:8">
      <c r="A76" s="373" t="s">
        <v>513</v>
      </c>
      <c r="B76" s="373" t="s">
        <v>524</v>
      </c>
      <c r="C76" s="374">
        <v>221088</v>
      </c>
      <c r="D76" s="39" t="str">
        <f t="shared" si="5"/>
        <v>海洋代垫英国海运费 1柜OS21-0528Y-2+3(RMB：221088,汇率：8.7918）</v>
      </c>
      <c r="E76" s="40" t="s">
        <v>464</v>
      </c>
      <c r="F76" s="40" t="s">
        <v>465</v>
      </c>
      <c r="G76" s="41">
        <f t="shared" si="11"/>
        <v>25147.07</v>
      </c>
      <c r="H76" s="41"/>
    </row>
    <row r="77" s="89" customFormat="1" ht="21" customHeight="1" spans="1:8">
      <c r="A77" s="373" t="s">
        <v>513</v>
      </c>
      <c r="B77" s="373" t="str">
        <f t="shared" si="14"/>
        <v>1柜OS21-0528Y-2+3</v>
      </c>
      <c r="C77" s="374">
        <f t="shared" si="12"/>
        <v>221088</v>
      </c>
      <c r="D77" s="39" t="str">
        <f t="shared" si="5"/>
        <v>海洋代垫英国海运费 1柜OS21-0528Y-2+3(RMB：221088,汇率：8.7918）</v>
      </c>
      <c r="E77" s="40" t="s">
        <v>515</v>
      </c>
      <c r="F77" s="372" t="s">
        <v>516</v>
      </c>
      <c r="G77" s="41"/>
      <c r="H77" s="41">
        <f t="shared" si="13"/>
        <v>25147.07</v>
      </c>
    </row>
    <row r="78" s="89" customFormat="1" ht="21" customHeight="1" spans="1:8">
      <c r="A78" s="373" t="s">
        <v>513</v>
      </c>
      <c r="B78" s="373" t="s">
        <v>525</v>
      </c>
      <c r="C78" s="374">
        <v>443520</v>
      </c>
      <c r="D78" s="39" t="str">
        <f t="shared" si="5"/>
        <v>海洋代垫英国海运费 4柜OS21-0525Y-JZ-5+6+7+8(RMB：443520,汇率：8.7918）</v>
      </c>
      <c r="E78" s="40" t="s">
        <v>464</v>
      </c>
      <c r="F78" s="40" t="s">
        <v>465</v>
      </c>
      <c r="G78" s="41">
        <f t="shared" ref="G78:G82" si="15">ROUND(C78/$B$59,2)</f>
        <v>50447.01</v>
      </c>
      <c r="H78" s="41"/>
    </row>
    <row r="79" s="89" customFormat="1" ht="21" customHeight="1" spans="1:8">
      <c r="A79" s="373" t="s">
        <v>513</v>
      </c>
      <c r="B79" s="373" t="str">
        <f t="shared" ref="B79:B83" si="16">B78</f>
        <v>4柜OS21-0525Y-JZ-5+6+7+8</v>
      </c>
      <c r="C79" s="374">
        <f t="shared" ref="C79:C83" si="17">C78</f>
        <v>443520</v>
      </c>
      <c r="D79" s="39" t="str">
        <f t="shared" si="5"/>
        <v>海洋代垫英国海运费 4柜OS21-0525Y-JZ-5+6+7+8(RMB：443520,汇率：8.7918）</v>
      </c>
      <c r="E79" s="40" t="s">
        <v>515</v>
      </c>
      <c r="F79" s="372" t="s">
        <v>516</v>
      </c>
      <c r="G79" s="41"/>
      <c r="H79" s="41">
        <f t="shared" ref="H79:H83" si="18">G78</f>
        <v>50447.01</v>
      </c>
    </row>
    <row r="80" s="89" customFormat="1" ht="21" customHeight="1" spans="1:8">
      <c r="A80" s="373" t="s">
        <v>513</v>
      </c>
      <c r="B80" s="373" t="s">
        <v>526</v>
      </c>
      <c r="C80" s="374">
        <v>544500</v>
      </c>
      <c r="D80" s="39" t="str">
        <f t="shared" ref="D80:D87" si="19">A80&amp;B80&amp;"(RMB："&amp;C80&amp;",汇率："&amp;$B$59&amp;"）"</f>
        <v>海洋代垫英国海运费 5柜OS21-0528Y-6+7+8+9+10(RMB：544500,汇率：8.7918）</v>
      </c>
      <c r="E80" s="40" t="s">
        <v>464</v>
      </c>
      <c r="F80" s="40" t="s">
        <v>465</v>
      </c>
      <c r="G80" s="41">
        <f t="shared" si="15"/>
        <v>61932.71</v>
      </c>
      <c r="H80" s="41"/>
    </row>
    <row r="81" s="89" customFormat="1" ht="21" customHeight="1" spans="1:8">
      <c r="A81" s="373" t="s">
        <v>513</v>
      </c>
      <c r="B81" s="373" t="str">
        <f t="shared" si="16"/>
        <v>5柜OS21-0528Y-6+7+8+9+10</v>
      </c>
      <c r="C81" s="374">
        <f t="shared" si="17"/>
        <v>544500</v>
      </c>
      <c r="D81" s="39" t="str">
        <f t="shared" si="19"/>
        <v>海洋代垫英国海运费 5柜OS21-0528Y-6+7+8+9+10(RMB：544500,汇率：8.7918）</v>
      </c>
      <c r="E81" s="40" t="s">
        <v>515</v>
      </c>
      <c r="F81" s="372" t="s">
        <v>516</v>
      </c>
      <c r="G81" s="41"/>
      <c r="H81" s="41">
        <f t="shared" si="18"/>
        <v>61932.71</v>
      </c>
    </row>
    <row r="82" s="89" customFormat="1" ht="21" customHeight="1" spans="1:8">
      <c r="A82" s="375" t="s">
        <v>513</v>
      </c>
      <c r="B82" s="375" t="s">
        <v>527</v>
      </c>
      <c r="C82" s="374">
        <v>108900</v>
      </c>
      <c r="D82" s="39" t="str">
        <f t="shared" si="19"/>
        <v>海洋代垫英国海运费 1柜OS21-0528Y-1(RMB：108900,汇率：8.7918）</v>
      </c>
      <c r="E82" s="40" t="s">
        <v>464</v>
      </c>
      <c r="F82" s="40" t="s">
        <v>465</v>
      </c>
      <c r="G82" s="41">
        <f t="shared" si="15"/>
        <v>12386.54</v>
      </c>
      <c r="H82" s="41"/>
    </row>
    <row r="83" s="89" customFormat="1" ht="21" customHeight="1" spans="1:8">
      <c r="A83" s="375" t="s">
        <v>513</v>
      </c>
      <c r="B83" s="375" t="str">
        <f t="shared" si="16"/>
        <v>1柜OS21-0528Y-1</v>
      </c>
      <c r="C83" s="374">
        <f t="shared" si="17"/>
        <v>108900</v>
      </c>
      <c r="D83" s="39" t="str">
        <f t="shared" si="19"/>
        <v>海洋代垫英国海运费 1柜OS21-0528Y-1(RMB：108900,汇率：8.7918）</v>
      </c>
      <c r="E83" s="40" t="s">
        <v>515</v>
      </c>
      <c r="F83" s="372" t="s">
        <v>516</v>
      </c>
      <c r="G83" s="41"/>
      <c r="H83" s="41">
        <f t="shared" si="18"/>
        <v>12386.54</v>
      </c>
    </row>
    <row r="84" s="89" customFormat="1" ht="21" customHeight="1" spans="1:8">
      <c r="A84" s="375" t="s">
        <v>513</v>
      </c>
      <c r="B84" s="375" t="s">
        <v>528</v>
      </c>
      <c r="C84" s="374">
        <v>325710</v>
      </c>
      <c r="D84" s="39" t="str">
        <f t="shared" si="19"/>
        <v>海洋代垫英国海运费 3柜OS21-0418Y-JZ-7+8/0420Y-11(RMB：325710,汇率：8.7918）</v>
      </c>
      <c r="E84" s="40" t="s">
        <v>464</v>
      </c>
      <c r="F84" s="40" t="s">
        <v>465</v>
      </c>
      <c r="G84" s="41">
        <f>ROUND(C84/$B$59,2)</f>
        <v>37047.02</v>
      </c>
      <c r="H84" s="41"/>
    </row>
    <row r="85" s="89" customFormat="1" ht="21" customHeight="1" spans="1:8">
      <c r="A85" s="375" t="s">
        <v>513</v>
      </c>
      <c r="B85" s="375" t="str">
        <f>B84</f>
        <v>3柜OS21-0418Y-JZ-7+8/0420Y-11</v>
      </c>
      <c r="C85" s="374">
        <f>C84</f>
        <v>325710</v>
      </c>
      <c r="D85" s="39" t="str">
        <f t="shared" si="19"/>
        <v>海洋代垫英国海运费 3柜OS21-0418Y-JZ-7+8/0420Y-11(RMB：325710,汇率：8.7918）</v>
      </c>
      <c r="E85" s="40" t="s">
        <v>515</v>
      </c>
      <c r="F85" s="372" t="s">
        <v>516</v>
      </c>
      <c r="G85" s="41"/>
      <c r="H85" s="41">
        <f>G84</f>
        <v>37047.02</v>
      </c>
    </row>
    <row r="86" s="89" customFormat="1" ht="21" customHeight="1" spans="1:8">
      <c r="A86" s="375" t="s">
        <v>513</v>
      </c>
      <c r="B86" s="375" t="s">
        <v>529</v>
      </c>
      <c r="C86" s="374">
        <v>217798</v>
      </c>
      <c r="D86" s="39" t="str">
        <f t="shared" si="19"/>
        <v>海洋代垫英国海运费 2柜OS21-0420Y-9+7(RMB：217798,汇率：8.7918）</v>
      </c>
      <c r="E86" s="40" t="s">
        <v>464</v>
      </c>
      <c r="F86" s="40" t="s">
        <v>465</v>
      </c>
      <c r="G86" s="41">
        <f>ROUND(C86/$B$59,2)</f>
        <v>24772.86</v>
      </c>
      <c r="H86" s="41"/>
    </row>
    <row r="87" s="89" customFormat="1" ht="21" customHeight="1" spans="1:8">
      <c r="A87" s="375" t="s">
        <v>513</v>
      </c>
      <c r="B87" s="375" t="str">
        <f>B86</f>
        <v>2柜OS21-0420Y-9+7</v>
      </c>
      <c r="C87" s="374">
        <f>C86</f>
        <v>217798</v>
      </c>
      <c r="D87" s="39" t="str">
        <f t="shared" si="19"/>
        <v>海洋代垫英国海运费 2柜OS21-0420Y-9+7(RMB：217798,汇率：8.7918）</v>
      </c>
      <c r="E87" s="40" t="s">
        <v>515</v>
      </c>
      <c r="F87" s="372" t="s">
        <v>516</v>
      </c>
      <c r="G87" s="41"/>
      <c r="H87" s="41">
        <f>G86</f>
        <v>24772.86</v>
      </c>
    </row>
    <row r="88" ht="28.5" spans="1:8">
      <c r="A88" s="249" t="s">
        <v>530</v>
      </c>
      <c r="B88" s="249"/>
      <c r="C88" s="371">
        <v>3000</v>
      </c>
      <c r="D88" s="39" t="str">
        <f t="shared" ref="D88:D97" si="20">A88&amp;B88&amp;"(RMB："&amp;C88&amp;",汇率："&amp;$B$59&amp;"）"</f>
        <v>海洋代垫英国办公室租金(RMB：3000,汇率：8.7918）</v>
      </c>
      <c r="E88" s="40" t="s">
        <v>531</v>
      </c>
      <c r="F88" s="372" t="s">
        <v>532</v>
      </c>
      <c r="G88" s="41">
        <f>ROUND(C88/$B$59,2)</f>
        <v>341.23</v>
      </c>
      <c r="H88" s="41"/>
    </row>
    <row r="89" ht="28.5" spans="1:8">
      <c r="A89" s="249" t="s">
        <v>530</v>
      </c>
      <c r="B89" s="249"/>
      <c r="C89" s="371">
        <f>C88</f>
        <v>3000</v>
      </c>
      <c r="D89" s="39" t="str">
        <f t="shared" si="20"/>
        <v>海洋代垫英国办公室租金(RMB：3000,汇率：8.7918）</v>
      </c>
      <c r="E89" s="40" t="s">
        <v>515</v>
      </c>
      <c r="F89" s="372" t="s">
        <v>516</v>
      </c>
      <c r="G89" s="41"/>
      <c r="H89" s="41">
        <f>G88</f>
        <v>341.23</v>
      </c>
    </row>
    <row r="90" ht="28.5" spans="1:8">
      <c r="A90" s="249" t="s">
        <v>533</v>
      </c>
      <c r="B90" s="249"/>
      <c r="C90" s="371">
        <v>400</v>
      </c>
      <c r="D90" s="39" t="str">
        <f t="shared" si="20"/>
        <v>海洋代垫英国办公室电信费(RMB：400,汇率：8.7918）</v>
      </c>
      <c r="E90" s="40" t="s">
        <v>534</v>
      </c>
      <c r="F90" s="372" t="s">
        <v>535</v>
      </c>
      <c r="G90" s="41">
        <f>ROUND(C90/$B$59,2)</f>
        <v>45.5</v>
      </c>
      <c r="H90" s="41"/>
    </row>
    <row r="91" ht="28.5" spans="1:8">
      <c r="A91" s="249" t="s">
        <v>533</v>
      </c>
      <c r="B91" s="249"/>
      <c r="C91" s="371">
        <f>C90</f>
        <v>400</v>
      </c>
      <c r="D91" s="39" t="str">
        <f t="shared" si="20"/>
        <v>海洋代垫英国办公室电信费(RMB：400,汇率：8.7918）</v>
      </c>
      <c r="E91" s="40" t="s">
        <v>515</v>
      </c>
      <c r="F91" s="372" t="s">
        <v>516</v>
      </c>
      <c r="G91" s="41"/>
      <c r="H91" s="41">
        <f>G90</f>
        <v>45.5</v>
      </c>
    </row>
    <row r="92" spans="1:8">
      <c r="A92" s="257" t="s">
        <v>536</v>
      </c>
      <c r="B92" s="257"/>
      <c r="C92" s="376">
        <v>2300</v>
      </c>
      <c r="D92" s="39" t="str">
        <f t="shared" si="20"/>
        <v>海洋代垫IJ6400主机1台(RMB：2300,汇率：8.7918）</v>
      </c>
      <c r="E92" s="329">
        <v>1601</v>
      </c>
      <c r="F92" s="329" t="s">
        <v>537</v>
      </c>
      <c r="G92" s="41">
        <f>ROUND(C92/$B$59,2)</f>
        <v>261.61</v>
      </c>
      <c r="H92" s="41"/>
    </row>
    <row r="93" customFormat="1" ht="28.5" spans="1:8">
      <c r="A93" s="257" t="str">
        <f>A92</f>
        <v>海洋代垫IJ6400主机1台</v>
      </c>
      <c r="B93" s="257"/>
      <c r="C93" s="376">
        <f>C92</f>
        <v>2300</v>
      </c>
      <c r="D93" s="39" t="str">
        <f t="shared" si="20"/>
        <v>海洋代垫IJ6400主机1台(RMB：2300,汇率：8.7918）</v>
      </c>
      <c r="E93" s="40" t="s">
        <v>515</v>
      </c>
      <c r="F93" s="372" t="s">
        <v>516</v>
      </c>
      <c r="G93" s="41"/>
      <c r="H93" s="41">
        <f>G92</f>
        <v>261.61</v>
      </c>
    </row>
    <row r="94" s="89" customFormat="1" spans="1:8">
      <c r="A94" s="257" t="s">
        <v>538</v>
      </c>
      <c r="B94" s="257"/>
      <c r="C94" s="376">
        <v>116</v>
      </c>
      <c r="D94" s="39" t="str">
        <f t="shared" si="20"/>
        <v>海洋代垫公牛1091C-5米排插2个(RMB：116,汇率：8.7918）</v>
      </c>
      <c r="E94" s="89" t="s">
        <v>539</v>
      </c>
      <c r="F94" s="89" t="s">
        <v>540</v>
      </c>
      <c r="G94" s="41">
        <f>ROUND(C94/$B$59,2)</f>
        <v>13.19</v>
      </c>
      <c r="H94" s="41"/>
    </row>
    <row r="95" s="89" customFormat="1" ht="28.5" spans="1:8">
      <c r="A95" s="257" t="s">
        <v>538</v>
      </c>
      <c r="B95" s="257"/>
      <c r="C95" s="376">
        <f>C94</f>
        <v>116</v>
      </c>
      <c r="D95" s="39" t="str">
        <f t="shared" si="20"/>
        <v>海洋代垫公牛1091C-5米排插2个(RMB：116,汇率：8.7918）</v>
      </c>
      <c r="E95" s="40" t="s">
        <v>515</v>
      </c>
      <c r="F95" s="372" t="s">
        <v>516</v>
      </c>
      <c r="G95" s="41"/>
      <c r="H95" s="41">
        <f>G94</f>
        <v>13.19</v>
      </c>
    </row>
    <row r="96" s="89" customFormat="1" spans="1:8">
      <c r="A96" s="257" t="s">
        <v>541</v>
      </c>
      <c r="B96" s="257"/>
      <c r="C96" s="376">
        <v>486</v>
      </c>
      <c r="D96" s="39" t="str">
        <f t="shared" si="20"/>
        <v>海洋代垫丽确A4纸2箱(RMB：486,汇率：8.7918）</v>
      </c>
      <c r="E96" s="89" t="s">
        <v>539</v>
      </c>
      <c r="F96" s="89" t="s">
        <v>540</v>
      </c>
      <c r="G96" s="41">
        <f>ROUND(C96/$B$59,2)</f>
        <v>55.28</v>
      </c>
      <c r="H96" s="41"/>
    </row>
    <row r="97" s="89" customFormat="1" ht="28.5" spans="1:8">
      <c r="A97" s="257" t="s">
        <v>541</v>
      </c>
      <c r="B97" s="257"/>
      <c r="C97" s="376">
        <f>C96</f>
        <v>486</v>
      </c>
      <c r="D97" s="39" t="str">
        <f t="shared" si="20"/>
        <v>海洋代垫丽确A4纸2箱(RMB：486,汇率：8.7918）</v>
      </c>
      <c r="E97" s="40" t="s">
        <v>515</v>
      </c>
      <c r="F97" s="372" t="s">
        <v>516</v>
      </c>
      <c r="G97" s="41"/>
      <c r="H97" s="41">
        <f>G96</f>
        <v>55.28</v>
      </c>
    </row>
    <row r="98" s="89" customFormat="1" spans="1:8">
      <c r="A98" s="257" t="s">
        <v>542</v>
      </c>
      <c r="B98" s="257"/>
      <c r="C98" s="376">
        <v>6849</v>
      </c>
      <c r="D98" s="39" t="str">
        <f t="shared" ref="D98:D105" si="21">A98&amp;B98&amp;"(RMB："&amp;C98&amp;",汇率："&amp;$B$59&amp;"）"</f>
        <v>海洋代垫英国注册商标(RMB：6849,汇率：8.7918）</v>
      </c>
      <c r="E98" s="89" t="s">
        <v>543</v>
      </c>
      <c r="F98" s="89" t="s">
        <v>544</v>
      </c>
      <c r="G98" s="41">
        <f t="shared" ref="G98:G102" si="22">ROUND(C98/$B$59,2)</f>
        <v>779.02</v>
      </c>
      <c r="H98" s="41"/>
    </row>
    <row r="99" s="89" customFormat="1" ht="28.5" spans="1:8">
      <c r="A99" s="257" t="str">
        <f>A98</f>
        <v>海洋代垫英国注册商标</v>
      </c>
      <c r="B99" s="257"/>
      <c r="C99" s="376">
        <f t="shared" ref="C99:C103" si="23">C98</f>
        <v>6849</v>
      </c>
      <c r="D99" s="39" t="str">
        <f t="shared" si="21"/>
        <v>海洋代垫英国注册商标(RMB：6849,汇率：8.7918）</v>
      </c>
      <c r="E99" s="40" t="s">
        <v>515</v>
      </c>
      <c r="F99" s="372" t="s">
        <v>516</v>
      </c>
      <c r="G99" s="41"/>
      <c r="H99" s="41">
        <f t="shared" ref="H99:H103" si="24">G98</f>
        <v>779.02</v>
      </c>
    </row>
    <row r="100" s="89" customFormat="1" spans="1:8">
      <c r="A100" s="257" t="s">
        <v>545</v>
      </c>
      <c r="B100" s="257"/>
      <c r="C100" s="376">
        <v>2500</v>
      </c>
      <c r="D100" s="39" t="str">
        <f t="shared" si="21"/>
        <v>海洋代垫信洋税检（RMB:5000），国际部与拓展部各1半(RMB：2500,汇率：8.7918）</v>
      </c>
      <c r="E100" s="89" t="s">
        <v>539</v>
      </c>
      <c r="F100" s="89" t="s">
        <v>540</v>
      </c>
      <c r="G100" s="41">
        <f t="shared" si="22"/>
        <v>284.36</v>
      </c>
      <c r="H100" s="41"/>
    </row>
    <row r="101" s="89" customFormat="1" ht="28.5" spans="1:8">
      <c r="A101" s="257" t="str">
        <f>A100</f>
        <v>海洋代垫信洋税检（RMB:5000），国际部与拓展部各1半</v>
      </c>
      <c r="B101" s="257"/>
      <c r="C101" s="376">
        <f>C100</f>
        <v>2500</v>
      </c>
      <c r="D101" s="39" t="str">
        <f t="shared" si="21"/>
        <v>海洋代垫信洋税检（RMB:5000），国际部与拓展部各1半(RMB：2500,汇率：8.7918）</v>
      </c>
      <c r="E101" s="40" t="s">
        <v>515</v>
      </c>
      <c r="F101" s="372" t="s">
        <v>516</v>
      </c>
      <c r="G101" s="41"/>
      <c r="H101" s="41">
        <f t="shared" si="24"/>
        <v>284.36</v>
      </c>
    </row>
    <row r="102" s="89" customFormat="1" spans="1:8">
      <c r="A102" s="89" t="s">
        <v>546</v>
      </c>
      <c r="B102" s="89" t="s">
        <v>547</v>
      </c>
      <c r="C102" s="377">
        <v>1100</v>
      </c>
      <c r="D102" s="39" t="str">
        <f t="shared" si="21"/>
        <v>海洋代垫国际 红包发放(RMB：1100,汇率：8.7918）</v>
      </c>
      <c r="E102" s="89" t="s">
        <v>548</v>
      </c>
      <c r="F102" s="89" t="s">
        <v>549</v>
      </c>
      <c r="G102" s="41">
        <f t="shared" si="22"/>
        <v>125.12</v>
      </c>
      <c r="H102" s="41"/>
    </row>
    <row r="103" s="89" customFormat="1" ht="28.5" spans="1:8">
      <c r="A103" s="89" t="s">
        <v>546</v>
      </c>
      <c r="B103" s="89" t="s">
        <v>547</v>
      </c>
      <c r="C103" s="377">
        <f t="shared" si="23"/>
        <v>1100</v>
      </c>
      <c r="D103" s="39" t="str">
        <f t="shared" si="21"/>
        <v>海洋代垫国际 红包发放(RMB：1100,汇率：8.7918）</v>
      </c>
      <c r="E103" s="40" t="s">
        <v>515</v>
      </c>
      <c r="F103" s="372" t="s">
        <v>516</v>
      </c>
      <c r="G103" s="41"/>
      <c r="H103" s="41">
        <f t="shared" si="24"/>
        <v>125.12</v>
      </c>
    </row>
    <row r="104" spans="1:8">
      <c r="A104" s="378" t="s">
        <v>550</v>
      </c>
      <c r="C104" s="377">
        <v>101.8</v>
      </c>
      <c r="D104" s="39" t="str">
        <f t="shared" si="21"/>
        <v>海洋代垫白云学院招聘油费+高速费(RMB：101.8,汇率：8.7918）</v>
      </c>
      <c r="E104" s="89" t="s">
        <v>551</v>
      </c>
      <c r="F104" s="89" t="s">
        <v>552</v>
      </c>
      <c r="G104" s="41">
        <f>ROUND(C104/$B$59,2)</f>
        <v>11.58</v>
      </c>
      <c r="H104" s="41"/>
    </row>
    <row r="105" ht="28.5" spans="1:8">
      <c r="A105" s="378" t="str">
        <f>A104</f>
        <v>海洋代垫白云学院招聘油费+高速费</v>
      </c>
      <c r="C105" s="377">
        <f>C104</f>
        <v>101.8</v>
      </c>
      <c r="D105" s="39" t="str">
        <f t="shared" si="21"/>
        <v>海洋代垫白云学院招聘油费+高速费(RMB：101.8,汇率：8.7918）</v>
      </c>
      <c r="E105" s="40" t="s">
        <v>515</v>
      </c>
      <c r="F105" s="372" t="s">
        <v>516</v>
      </c>
      <c r="G105" s="41"/>
      <c r="H105" s="41">
        <f>G104</f>
        <v>11.58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S62"/>
  <sheetViews>
    <sheetView workbookViewId="0">
      <selection activeCell="G26" sqref="G26"/>
    </sheetView>
  </sheetViews>
  <sheetFormatPr defaultColWidth="9" defaultRowHeight="14.25"/>
  <cols>
    <col min="1" max="1" width="20.375" style="267" customWidth="1"/>
    <col min="2" max="2" width="26.875" style="48" customWidth="1"/>
    <col min="3" max="3" width="13.75" style="48" customWidth="1"/>
    <col min="4" max="4" width="16.25" style="48" customWidth="1"/>
    <col min="5" max="5" width="45" style="48" customWidth="1"/>
    <col min="6" max="6" width="17.125" style="48" customWidth="1"/>
    <col min="7" max="7" width="19" style="48" customWidth="1"/>
    <col min="8" max="8" width="33.25" style="48" customWidth="1"/>
    <col min="9" max="9" width="27.125" style="48" customWidth="1"/>
    <col min="10" max="10" width="11.5" style="48"/>
    <col min="11" max="11" width="12.625" style="48"/>
    <col min="12" max="16" width="9" style="48"/>
    <col min="17" max="17" width="25.25" style="48" customWidth="1"/>
    <col min="18" max="16384" width="9" style="48"/>
  </cols>
  <sheetData>
    <row r="1" ht="22.5" spans="1:10">
      <c r="A1" s="268" t="s">
        <v>553</v>
      </c>
      <c r="B1" s="268"/>
      <c r="C1" s="268"/>
      <c r="D1" s="268"/>
      <c r="E1" s="268"/>
      <c r="F1" s="268"/>
      <c r="G1" s="268"/>
      <c r="H1"/>
      <c r="I1"/>
      <c r="J1"/>
    </row>
    <row r="2" ht="22.5" spans="1:10">
      <c r="A2" s="269" t="s">
        <v>554</v>
      </c>
      <c r="B2" s="269" t="s">
        <v>555</v>
      </c>
      <c r="C2" s="269" t="s">
        <v>556</v>
      </c>
      <c r="D2" s="269" t="s">
        <v>557</v>
      </c>
      <c r="E2" s="269" t="s">
        <v>558</v>
      </c>
      <c r="F2" s="269" t="s">
        <v>559</v>
      </c>
      <c r="G2" s="269" t="s">
        <v>560</v>
      </c>
      <c r="H2"/>
      <c r="I2"/>
      <c r="J2"/>
    </row>
    <row r="3" ht="22.5" spans="1:10">
      <c r="A3" s="269" t="s">
        <v>561</v>
      </c>
      <c r="B3" s="269" t="s">
        <v>562</v>
      </c>
      <c r="C3" s="270">
        <v>200.188</v>
      </c>
      <c r="D3" s="269">
        <v>8.884</v>
      </c>
      <c r="E3" s="271">
        <v>1778.470192</v>
      </c>
      <c r="F3" s="271">
        <v>1244.9291344</v>
      </c>
      <c r="G3" s="271">
        <v>533.5410576</v>
      </c>
      <c r="H3"/>
      <c r="I3"/>
      <c r="J3"/>
    </row>
    <row r="4" ht="22.5" spans="1:10">
      <c r="A4" s="269" t="s">
        <v>563</v>
      </c>
      <c r="B4" s="269" t="s">
        <v>564</v>
      </c>
      <c r="C4" s="270">
        <v>0</v>
      </c>
      <c r="D4" s="269"/>
      <c r="E4" s="271">
        <v>0</v>
      </c>
      <c r="F4" s="271">
        <v>0</v>
      </c>
      <c r="G4" s="271">
        <v>0</v>
      </c>
      <c r="H4"/>
      <c r="I4"/>
      <c r="J4"/>
    </row>
    <row r="5" customFormat="1" ht="22.5" spans="1:7">
      <c r="A5" s="269"/>
      <c r="B5" s="269" t="s">
        <v>565</v>
      </c>
      <c r="C5" s="270">
        <v>200.188</v>
      </c>
      <c r="D5" s="269"/>
      <c r="E5" s="271">
        <v>1778.470192</v>
      </c>
      <c r="F5" s="271">
        <v>1244.9291344</v>
      </c>
      <c r="G5" s="271">
        <v>533.5410576</v>
      </c>
    </row>
    <row r="6" ht="15" spans="2:5">
      <c r="B6" s="272" t="s">
        <v>566</v>
      </c>
      <c r="C6" s="273">
        <v>8.896</v>
      </c>
      <c r="D6" s="274">
        <f>C6</f>
        <v>8.896</v>
      </c>
      <c r="E6" s="274">
        <v>7.6377</v>
      </c>
    </row>
    <row r="7" ht="18" customHeight="1" spans="2:11">
      <c r="B7" s="657" t="s">
        <v>567</v>
      </c>
      <c r="C7" s="275">
        <f>G3</f>
        <v>533.5410576</v>
      </c>
      <c r="D7" s="275"/>
      <c r="E7" s="276" t="str">
        <f>$A$1&amp;$B7&amp;"(RMB："&amp;ROUND($C7,2)&amp;",汇率："&amp;$D$3&amp;")"</f>
        <v>英国外贸三批发部2021年08月绩效-陈荣(SELINA)月计提30%(RMB：533.54,汇率：8.884)</v>
      </c>
      <c r="F7" s="277"/>
      <c r="G7" s="277"/>
      <c r="H7" s="278" t="s">
        <v>568</v>
      </c>
      <c r="I7" s="278" t="s">
        <v>569</v>
      </c>
      <c r="J7" s="310">
        <f>K8</f>
        <v>59.98</v>
      </c>
      <c r="K7" s="311"/>
    </row>
    <row r="8" ht="18" customHeight="1" spans="2:11">
      <c r="B8" s="657" t="s">
        <v>567</v>
      </c>
      <c r="C8" s="275">
        <f>G3</f>
        <v>533.5410576</v>
      </c>
      <c r="D8" s="275"/>
      <c r="E8" s="178" t="str">
        <f>$A$1&amp;$B8&amp;"(RMB："&amp;ROUND($C8,2)&amp;",汇率："&amp;$D$3&amp;")"</f>
        <v>英国外贸三批发部2021年08月绩效-陈荣(SELINA)月计提30%(RMB：533.54,汇率：8.884)</v>
      </c>
      <c r="F8" s="227"/>
      <c r="G8" s="227"/>
      <c r="H8" s="247" t="s">
        <v>505</v>
      </c>
      <c r="I8" s="247" t="s">
        <v>506</v>
      </c>
      <c r="J8" s="248"/>
      <c r="K8" s="263">
        <f>ROUND(C8/$C$6,2)</f>
        <v>59.98</v>
      </c>
    </row>
    <row r="9" ht="18" hidden="1" customHeight="1" spans="1:11">
      <c r="A9" s="267" t="s">
        <v>142</v>
      </c>
      <c r="B9" s="657" t="s">
        <v>570</v>
      </c>
      <c r="C9" s="279">
        <f>E4</f>
        <v>0</v>
      </c>
      <c r="D9" s="279"/>
      <c r="E9" s="173" t="str">
        <f>$A$1&amp;$B9&amp;"(RMB："&amp;ROUND($C9,2)&amp;",汇率："&amp;$D$3&amp;")"</f>
        <v>英国外贸三批发部2021年08月绩效-廖灵(LIZZY)(RMB：0,汇率：8.884)</v>
      </c>
      <c r="F9" s="280"/>
      <c r="G9" s="280"/>
      <c r="H9" s="281" t="s">
        <v>568</v>
      </c>
      <c r="I9" s="281" t="s">
        <v>569</v>
      </c>
      <c r="J9" s="312">
        <f>ROUND(C9/$C$6,2)</f>
        <v>0</v>
      </c>
      <c r="K9" s="313"/>
    </row>
    <row r="10" ht="18" hidden="1" customHeight="1" spans="1:11">
      <c r="A10" s="267" t="s">
        <v>142</v>
      </c>
      <c r="B10" s="657" t="s">
        <v>571</v>
      </c>
      <c r="C10" s="279">
        <f>F4</f>
        <v>0</v>
      </c>
      <c r="D10" s="279"/>
      <c r="E10" s="173" t="str">
        <f>$A$1&amp;$B10&amp;"(RMB："&amp;ROUND($C10,2)&amp;",汇率："&amp;$D$3&amp;")"</f>
        <v>英国外贸三批发部2021年08月绩效-廖灵(LIZZY)月发70%(RMB：0,汇率：8.884)</v>
      </c>
      <c r="F10" s="280"/>
      <c r="G10" s="280"/>
      <c r="H10" s="281" t="s">
        <v>515</v>
      </c>
      <c r="I10" s="314" t="s">
        <v>516</v>
      </c>
      <c r="J10" s="312"/>
      <c r="K10" s="313">
        <f>ROUND(C10/$C$6,2)</f>
        <v>0</v>
      </c>
    </row>
    <row r="11" ht="18" hidden="1" customHeight="1" spans="1:11">
      <c r="A11" s="267" t="s">
        <v>142</v>
      </c>
      <c r="B11" s="657" t="s">
        <v>572</v>
      </c>
      <c r="C11" s="279">
        <f>G4</f>
        <v>0</v>
      </c>
      <c r="D11" s="279"/>
      <c r="E11" s="173" t="str">
        <f>$A$1&amp;$B11&amp;"(RMB："&amp;ROUND($C11,2)&amp;",汇率："&amp;$D$3&amp;")"</f>
        <v>英国外贸三批发部2021年08月绩效-廖灵(LIZZY)年底发30%(RMB：0,汇率：8.884)</v>
      </c>
      <c r="F11" s="282"/>
      <c r="G11" s="282"/>
      <c r="H11" s="281" t="s">
        <v>505</v>
      </c>
      <c r="I11" s="281" t="s">
        <v>506</v>
      </c>
      <c r="J11" s="312"/>
      <c r="K11" s="313">
        <f>J9-K10</f>
        <v>0</v>
      </c>
    </row>
    <row r="12" ht="18" customHeight="1" spans="1:11">
      <c r="A12" s="267" t="s">
        <v>294</v>
      </c>
      <c r="B12" s="657" t="s">
        <v>573</v>
      </c>
      <c r="C12" s="275">
        <v>1052.69</v>
      </c>
      <c r="D12" s="275">
        <v>451.15</v>
      </c>
      <c r="E12" s="276" t="str">
        <f t="shared" ref="E12:E17" si="0">A12&amp;$B12&amp;"(RMB："&amp;ROUND($C12,2)&amp;",汇率："&amp;$D$6&amp;")，余30%年底发放（RMB:"&amp;D12&amp;")"</f>
        <v>2021.08月-陈荣(SELINA)德国批发单提成月发70%(RMB：1052.69,汇率：8.896)，余30%年底发放（RMB:451.15)</v>
      </c>
      <c r="F12" s="277"/>
      <c r="G12" s="277"/>
      <c r="H12" s="283" t="s">
        <v>568</v>
      </c>
      <c r="I12" s="283" t="s">
        <v>569</v>
      </c>
      <c r="J12" s="315">
        <f t="shared" ref="J12:J16" si="1">-ROUND(C12/$D$6,2)</f>
        <v>-118.33</v>
      </c>
      <c r="K12" s="316"/>
    </row>
    <row r="13" ht="18" customHeight="1" spans="1:11">
      <c r="A13" s="267" t="s">
        <v>294</v>
      </c>
      <c r="B13" s="657" t="s">
        <v>573</v>
      </c>
      <c r="C13" s="275">
        <f>C12</f>
        <v>1052.69</v>
      </c>
      <c r="D13" s="275">
        <f>D12</f>
        <v>451.15</v>
      </c>
      <c r="E13" s="178" t="str">
        <f t="shared" si="0"/>
        <v>2021.08月-陈荣(SELINA)德国批发单提成月发70%(RMB：1052.69,汇率：8.896)，余30%年底发放（RMB:451.15)</v>
      </c>
      <c r="F13" s="284"/>
      <c r="G13" s="284"/>
      <c r="H13" s="179" t="s">
        <v>574</v>
      </c>
      <c r="I13" s="179" t="s">
        <v>575</v>
      </c>
      <c r="J13" s="54">
        <f t="shared" ref="J13:J17" si="2">-J12</f>
        <v>118.33</v>
      </c>
      <c r="K13" s="317"/>
    </row>
    <row r="14" ht="18" customHeight="1" spans="1:11">
      <c r="A14" s="267" t="s">
        <v>294</v>
      </c>
      <c r="B14" s="657" t="s">
        <v>576</v>
      </c>
      <c r="C14" s="275">
        <v>9.91</v>
      </c>
      <c r="D14" s="275">
        <v>4.24</v>
      </c>
      <c r="E14" s="178" t="str">
        <f t="shared" si="0"/>
        <v>2021.08月-代五金付陈荣(SELINA)德国批发单提成月发70%(RMB：9.91,汇率：8.896)，余30%年底发放（RMB:4.24)</v>
      </c>
      <c r="F14" s="284"/>
      <c r="G14" s="284"/>
      <c r="H14" s="179" t="s">
        <v>568</v>
      </c>
      <c r="I14" s="179" t="s">
        <v>569</v>
      </c>
      <c r="J14" s="54">
        <f t="shared" si="1"/>
        <v>-1.11</v>
      </c>
      <c r="K14" s="206"/>
    </row>
    <row r="15" ht="18" customHeight="1" spans="1:11">
      <c r="A15" s="267" t="s">
        <v>294</v>
      </c>
      <c r="B15" s="657" t="s">
        <v>576</v>
      </c>
      <c r="C15" s="275">
        <v>9.91</v>
      </c>
      <c r="D15" s="275">
        <v>4.24</v>
      </c>
      <c r="E15" s="178" t="str">
        <f t="shared" si="0"/>
        <v>2021.08月-代五金付陈荣(SELINA)德国批发单提成月发70%(RMB：9.91,汇率：8.896)，余30%年底发放（RMB:4.24)</v>
      </c>
      <c r="F15" s="284"/>
      <c r="G15" s="284"/>
      <c r="H15" s="179" t="s">
        <v>65</v>
      </c>
      <c r="I15" s="179" t="s">
        <v>66</v>
      </c>
      <c r="J15" s="54">
        <f t="shared" si="2"/>
        <v>1.11</v>
      </c>
      <c r="K15" s="317"/>
    </row>
    <row r="16" ht="18" customHeight="1" spans="1:11">
      <c r="A16" s="267" t="s">
        <v>282</v>
      </c>
      <c r="B16" s="657" t="s">
        <v>577</v>
      </c>
      <c r="C16" s="275"/>
      <c r="D16" s="275"/>
      <c r="E16" s="178" t="str">
        <f t="shared" si="0"/>
        <v>2021.07月-代镜柜付陈荣(SELINA)德国批发单提成月发70%(RMB：0,汇率：8.896)，余30%年底发放（RMB:)</v>
      </c>
      <c r="F16" s="284"/>
      <c r="G16" s="284"/>
      <c r="H16" s="179" t="s">
        <v>568</v>
      </c>
      <c r="I16" s="179" t="s">
        <v>569</v>
      </c>
      <c r="J16" s="54">
        <f t="shared" si="1"/>
        <v>0</v>
      </c>
      <c r="K16" s="206"/>
    </row>
    <row r="17" ht="18" customHeight="1" spans="1:11">
      <c r="A17" s="267" t="s">
        <v>282</v>
      </c>
      <c r="B17" s="657" t="s">
        <v>577</v>
      </c>
      <c r="C17" s="275"/>
      <c r="D17" s="275"/>
      <c r="E17" s="285" t="str">
        <f t="shared" si="0"/>
        <v>2021.07月-代镜柜付陈荣(SELINA)德国批发单提成月发70%(RMB：0,汇率：8.896)，余30%年底发放（RMB:)</v>
      </c>
      <c r="F17" s="286"/>
      <c r="G17" s="286"/>
      <c r="H17" s="240" t="s">
        <v>59</v>
      </c>
      <c r="I17" s="240" t="s">
        <v>60</v>
      </c>
      <c r="J17" s="241">
        <f t="shared" si="2"/>
        <v>0</v>
      </c>
      <c r="K17" s="318"/>
    </row>
    <row r="18" ht="18" customHeight="1" spans="2:10">
      <c r="B18" s="267"/>
      <c r="C18" s="287"/>
      <c r="D18" s="287"/>
      <c r="E18" s="288"/>
      <c r="F18" s="227"/>
      <c r="G18" s="227"/>
      <c r="H18" s="289"/>
      <c r="I18" s="289"/>
      <c r="J18" s="319"/>
    </row>
    <row r="20" ht="15" spans="1:3">
      <c r="A20" s="273" t="s">
        <v>88</v>
      </c>
      <c r="B20" s="272" t="s">
        <v>566</v>
      </c>
      <c r="C20" s="273">
        <v>8.896</v>
      </c>
    </row>
    <row r="21" s="266" customFormat="1" spans="1:10">
      <c r="A21" s="267" t="s">
        <v>578</v>
      </c>
      <c r="B21" s="168">
        <v>10163.98</v>
      </c>
      <c r="C21" s="290" t="str">
        <f t="shared" ref="C21:C27" si="3">"海洋垫付"&amp;$A$20&amp;$A21&amp;"（RMB:"&amp;$B21&amp;",汇率："&amp;$C$20&amp;"）"</f>
        <v>海洋垫付2021.09月中国员工社保-个人部分（RMB:10163.98,汇率：8.896）</v>
      </c>
      <c r="D21" s="291"/>
      <c r="E21" s="291"/>
      <c r="F21" s="291"/>
      <c r="G21" s="292" t="s">
        <v>579</v>
      </c>
      <c r="H21" s="292" t="s">
        <v>580</v>
      </c>
      <c r="I21" s="320">
        <f t="shared" ref="I21:I27" si="4">ROUND(B21/$C$20,2)</f>
        <v>1142.53</v>
      </c>
      <c r="J21" s="321"/>
    </row>
    <row r="22" s="266" customFormat="1" spans="1:10">
      <c r="A22" s="267" t="s">
        <v>581</v>
      </c>
      <c r="B22" s="168">
        <v>20218.47</v>
      </c>
      <c r="C22" s="173" t="str">
        <f t="shared" si="3"/>
        <v>海洋垫付2021.09月中国员工社保-单位部分（RMB:20218.47,汇率：8.896）</v>
      </c>
      <c r="D22" s="293"/>
      <c r="E22" s="293"/>
      <c r="F22" s="293"/>
      <c r="G22" s="281" t="s">
        <v>582</v>
      </c>
      <c r="H22" s="281" t="s">
        <v>583</v>
      </c>
      <c r="I22" s="312">
        <f t="shared" si="4"/>
        <v>2272.76</v>
      </c>
      <c r="J22" s="313"/>
    </row>
    <row r="23" s="266" customFormat="1" ht="15" spans="1:10">
      <c r="A23" s="267" t="s">
        <v>584</v>
      </c>
      <c r="B23" s="168">
        <f>SUM(B21:B22)</f>
        <v>30382.45</v>
      </c>
      <c r="C23" s="184" t="str">
        <f t="shared" si="3"/>
        <v>海洋垫付2021.09月中国员工社保-个人+单位部分（RMB:30382.45,汇率：8.896）</v>
      </c>
      <c r="D23" s="294"/>
      <c r="E23" s="294"/>
      <c r="F23" s="294"/>
      <c r="G23" s="295" t="s">
        <v>515</v>
      </c>
      <c r="H23" s="295" t="s">
        <v>516</v>
      </c>
      <c r="I23" s="322"/>
      <c r="J23" s="323">
        <f t="shared" ref="J23:J27" si="5">I21+I22</f>
        <v>3415.29</v>
      </c>
    </row>
    <row r="24" s="266" customFormat="1" spans="1:10">
      <c r="A24" s="267" t="s">
        <v>585</v>
      </c>
      <c r="B24" s="168">
        <v>68.5</v>
      </c>
      <c r="C24" s="290" t="str">
        <f t="shared" si="3"/>
        <v>海洋垫付2021.09月中国国际部领取工衣明细（RMB:68.5,汇率：8.896）</v>
      </c>
      <c r="D24" s="291"/>
      <c r="E24" s="291"/>
      <c r="F24" s="291"/>
      <c r="G24" s="292" t="s">
        <v>579</v>
      </c>
      <c r="H24" s="292" t="s">
        <v>580</v>
      </c>
      <c r="I24" s="320">
        <f t="shared" si="4"/>
        <v>7.7</v>
      </c>
      <c r="J24" s="321"/>
    </row>
    <row r="25" s="266" customFormat="1" ht="15" spans="1:10">
      <c r="A25" s="267" t="s">
        <v>585</v>
      </c>
      <c r="B25" s="168">
        <f>B24</f>
        <v>68.5</v>
      </c>
      <c r="C25" s="184" t="str">
        <f t="shared" si="3"/>
        <v>海洋垫付2021.09月中国国际部领取工衣明细（RMB:68.5,汇率：8.896）</v>
      </c>
      <c r="D25" s="294"/>
      <c r="E25" s="294"/>
      <c r="F25" s="294"/>
      <c r="G25" s="295" t="s">
        <v>515</v>
      </c>
      <c r="H25" s="295" t="s">
        <v>516</v>
      </c>
      <c r="I25" s="322"/>
      <c r="J25" s="323">
        <f t="shared" si="5"/>
        <v>7.7</v>
      </c>
    </row>
    <row r="26" s="266" customFormat="1" spans="1:10">
      <c r="A26" s="267" t="s">
        <v>586</v>
      </c>
      <c r="B26" s="168">
        <v>1420.32</v>
      </c>
      <c r="C26" s="290" t="str">
        <f t="shared" si="3"/>
        <v>海洋垫付2021.09月中国国际部房租水电（RMB:1420.32,汇率：8.896）</v>
      </c>
      <c r="D26" s="291"/>
      <c r="E26" s="291"/>
      <c r="F26" s="291"/>
      <c r="G26" s="292" t="s">
        <v>579</v>
      </c>
      <c r="H26" s="292" t="s">
        <v>580</v>
      </c>
      <c r="I26" s="320">
        <f t="shared" si="4"/>
        <v>159.66</v>
      </c>
      <c r="J26" s="321"/>
    </row>
    <row r="27" s="266" customFormat="1" ht="15" spans="1:10">
      <c r="A27" s="267" t="s">
        <v>586</v>
      </c>
      <c r="B27" s="168">
        <f>B26</f>
        <v>1420.32</v>
      </c>
      <c r="C27" s="184" t="str">
        <f t="shared" si="3"/>
        <v>海洋垫付2021.09月中国国际部房租水电（RMB:1420.32,汇率：8.896）</v>
      </c>
      <c r="D27" s="294"/>
      <c r="E27" s="294"/>
      <c r="F27" s="294"/>
      <c r="G27" s="295" t="s">
        <v>515</v>
      </c>
      <c r="H27" s="295" t="s">
        <v>516</v>
      </c>
      <c r="I27" s="322"/>
      <c r="J27" s="323">
        <f t="shared" si="5"/>
        <v>159.66</v>
      </c>
    </row>
    <row r="28" s="266" customFormat="1" spans="1:10">
      <c r="A28" s="267"/>
      <c r="B28" s="168"/>
      <c r="C28" s="149"/>
      <c r="D28" s="293"/>
      <c r="E28" s="293"/>
      <c r="F28" s="293"/>
      <c r="G28" s="281"/>
      <c r="H28" s="281"/>
      <c r="I28" s="312"/>
      <c r="J28" s="312"/>
    </row>
    <row r="29" s="266" customFormat="1" spans="1:10">
      <c r="A29" s="267"/>
      <c r="C29" s="296"/>
      <c r="G29" s="233"/>
      <c r="H29" s="233"/>
      <c r="I29" s="230"/>
      <c r="J29" s="230"/>
    </row>
    <row r="30" s="266" customFormat="1" ht="15" spans="1:10">
      <c r="A30" s="273" t="s">
        <v>294</v>
      </c>
      <c r="B30" s="272" t="s">
        <v>566</v>
      </c>
      <c r="C30" s="273">
        <v>8.896</v>
      </c>
      <c r="G30" s="233"/>
      <c r="H30" s="233"/>
      <c r="I30" s="230"/>
      <c r="J30" s="230"/>
    </row>
    <row r="31" s="266" customFormat="1" spans="1:10">
      <c r="A31" s="267" t="s">
        <v>587</v>
      </c>
      <c r="B31" s="168">
        <v>38</v>
      </c>
      <c r="C31" s="290" t="str">
        <f>"海洋垫付"&amp;$A$30&amp;$A31&amp;"（RMB:"&amp;$B31&amp;",汇率："&amp;$C$20&amp;"）"</f>
        <v>海洋垫付2021.08月中国员工-罚款借款或其他（RMB:38,汇率：8.896）</v>
      </c>
      <c r="D31" s="291"/>
      <c r="E31" s="291"/>
      <c r="F31" s="291"/>
      <c r="G31" s="292" t="s">
        <v>568</v>
      </c>
      <c r="H31" s="292" t="s">
        <v>569</v>
      </c>
      <c r="I31" s="320">
        <f t="shared" ref="I31:I34" si="6">ROUND(B31/$C$30,2)</f>
        <v>4.27</v>
      </c>
      <c r="J31" s="321"/>
    </row>
    <row r="32" s="266" customFormat="1" hidden="1" spans="1:10">
      <c r="A32" s="267" t="s">
        <v>588</v>
      </c>
      <c r="B32" s="168"/>
      <c r="C32" s="173" t="str">
        <f t="shared" ref="C32:C45" si="7">"海洋垫付"&amp;$A$30&amp;$A32&amp;"（RMB:"&amp;$B32&amp;",汇率："&amp;$C$20&amp;"）"</f>
        <v>海洋垫付2021.08月中国员工-月绩效扣款（RMB:,汇率：8.896）</v>
      </c>
      <c r="D32" s="293"/>
      <c r="E32" s="293"/>
      <c r="F32" s="293"/>
      <c r="G32" s="281" t="s">
        <v>568</v>
      </c>
      <c r="H32" s="281" t="s">
        <v>569</v>
      </c>
      <c r="I32" s="312">
        <f t="shared" si="6"/>
        <v>0</v>
      </c>
      <c r="J32" s="313"/>
    </row>
    <row r="33" s="266" customFormat="1" spans="1:10">
      <c r="A33" s="267" t="s">
        <v>589</v>
      </c>
      <c r="B33" s="273">
        <f>SUM(B31:B32)</f>
        <v>38</v>
      </c>
      <c r="C33" s="173" t="str">
        <f t="shared" si="7"/>
        <v>海洋垫付2021.08月中国员工-月绩效扣款+罚款借款或其他（RMB:38,汇率：8.896）</v>
      </c>
      <c r="D33" s="293"/>
      <c r="E33" s="293"/>
      <c r="F33" s="293"/>
      <c r="G33" s="281" t="s">
        <v>590</v>
      </c>
      <c r="H33" s="281" t="s">
        <v>591</v>
      </c>
      <c r="I33" s="312"/>
      <c r="J33" s="313">
        <f>SUM(I31:I32)</f>
        <v>4.27</v>
      </c>
    </row>
    <row r="34" s="266" customFormat="1" spans="1:10">
      <c r="A34" s="267" t="s">
        <v>592</v>
      </c>
      <c r="B34" s="168">
        <v>1400</v>
      </c>
      <c r="C34" s="173" t="str">
        <f t="shared" si="7"/>
        <v>海洋垫付2021.08月中国员工（肖伟雄）-年底绩效（RMB:1400,汇率：8.896）</v>
      </c>
      <c r="D34" s="293"/>
      <c r="E34" s="293"/>
      <c r="F34" s="293"/>
      <c r="G34" s="281" t="s">
        <v>568</v>
      </c>
      <c r="H34" s="281" t="s">
        <v>569</v>
      </c>
      <c r="I34" s="312">
        <f t="shared" si="6"/>
        <v>157.37</v>
      </c>
      <c r="J34" s="313"/>
    </row>
    <row r="35" s="266" customFormat="1" spans="1:10">
      <c r="A35" s="267" t="s">
        <v>592</v>
      </c>
      <c r="B35" s="297">
        <f>B34</f>
        <v>1400</v>
      </c>
      <c r="C35" s="173" t="str">
        <f t="shared" si="7"/>
        <v>海洋垫付2021.08月中国员工（肖伟雄）-年底绩效（RMB:1400,汇率：8.896）</v>
      </c>
      <c r="D35" s="293"/>
      <c r="E35" s="293"/>
      <c r="F35" s="293"/>
      <c r="G35" s="281" t="s">
        <v>505</v>
      </c>
      <c r="H35" s="281" t="s">
        <v>506</v>
      </c>
      <c r="I35" s="312"/>
      <c r="J35" s="313">
        <f>I34</f>
        <v>157.37</v>
      </c>
    </row>
    <row r="36" s="266" customFormat="1" spans="1:10">
      <c r="A36" s="267" t="s">
        <v>593</v>
      </c>
      <c r="B36" s="168">
        <v>428</v>
      </c>
      <c r="C36" s="173" t="str">
        <f t="shared" si="7"/>
        <v>海洋垫付2021.08月中国员工-餐费（RMB:428,汇率：8.896）</v>
      </c>
      <c r="D36" s="293"/>
      <c r="E36" s="293"/>
      <c r="F36" s="293"/>
      <c r="G36" s="281" t="s">
        <v>568</v>
      </c>
      <c r="H36" s="281" t="s">
        <v>569</v>
      </c>
      <c r="I36" s="312">
        <f t="shared" ref="I36:I40" si="8">ROUND(B36/$C$30,2)</f>
        <v>48.11</v>
      </c>
      <c r="J36" s="313"/>
    </row>
    <row r="37" s="266" customFormat="1" spans="1:10">
      <c r="A37" s="267" t="s">
        <v>594</v>
      </c>
      <c r="B37" s="168">
        <v>1532.9</v>
      </c>
      <c r="C37" s="173" t="str">
        <f t="shared" si="7"/>
        <v>海洋垫付2021.08月中国员工-住宿水电（RMB:1532.9,汇率：8.896）</v>
      </c>
      <c r="D37" s="293"/>
      <c r="E37" s="293"/>
      <c r="F37" s="293"/>
      <c r="G37" s="281" t="s">
        <v>568</v>
      </c>
      <c r="H37" s="281" t="s">
        <v>569</v>
      </c>
      <c r="I37" s="312">
        <f t="shared" si="8"/>
        <v>172.31</v>
      </c>
      <c r="J37" s="313"/>
    </row>
    <row r="38" s="266" customFormat="1" spans="1:10">
      <c r="A38" s="267" t="s">
        <v>595</v>
      </c>
      <c r="B38" s="168">
        <v>1658.43</v>
      </c>
      <c r="C38" s="173" t="str">
        <f t="shared" si="7"/>
        <v>海洋垫付2021.08月中国员工-个人所得税（RMB:1658.43,汇率：8.896）</v>
      </c>
      <c r="D38" s="293"/>
      <c r="E38" s="293"/>
      <c r="F38" s="293"/>
      <c r="G38" s="281" t="s">
        <v>568</v>
      </c>
      <c r="H38" s="281" t="s">
        <v>569</v>
      </c>
      <c r="I38" s="312">
        <f t="shared" si="8"/>
        <v>186.42</v>
      </c>
      <c r="J38" s="313"/>
    </row>
    <row r="39" s="266" customFormat="1" hidden="1" spans="1:10">
      <c r="A39" s="267" t="s">
        <v>596</v>
      </c>
      <c r="B39" s="168"/>
      <c r="C39" s="173" t="str">
        <f t="shared" si="7"/>
        <v>海洋垫付2021.08月中国员工-商业保险（RMB:,汇率：8.896）</v>
      </c>
      <c r="D39" s="293"/>
      <c r="E39" s="293"/>
      <c r="F39" s="293"/>
      <c r="G39" s="281" t="s">
        <v>568</v>
      </c>
      <c r="H39" s="281" t="s">
        <v>569</v>
      </c>
      <c r="I39" s="312">
        <f t="shared" si="8"/>
        <v>0</v>
      </c>
      <c r="J39" s="313"/>
    </row>
    <row r="40" s="266" customFormat="1" hidden="1" spans="1:10">
      <c r="A40" s="267" t="s">
        <v>597</v>
      </c>
      <c r="B40" s="168"/>
      <c r="C40" s="173" t="str">
        <f t="shared" si="7"/>
        <v>海洋垫付2021.08月中国员工-工衣/体检费（RMB:,汇率：8.896）</v>
      </c>
      <c r="D40" s="293"/>
      <c r="E40" s="293"/>
      <c r="F40" s="293"/>
      <c r="G40" s="281" t="s">
        <v>568</v>
      </c>
      <c r="H40" s="281" t="s">
        <v>569</v>
      </c>
      <c r="I40" s="312">
        <f t="shared" si="8"/>
        <v>0</v>
      </c>
      <c r="J40" s="313"/>
    </row>
    <row r="41" s="266" customFormat="1" spans="1:10">
      <c r="A41" s="267" t="s">
        <v>598</v>
      </c>
      <c r="B41" s="273">
        <f>SUM(B36:B40)</f>
        <v>3619.33</v>
      </c>
      <c r="C41" s="173" t="str">
        <f t="shared" si="7"/>
        <v>海洋垫付2021.08月中国员工-个人所得税+住宿水电+餐费+商业保险+工衣（RMB:3619.33,汇率：8.896）</v>
      </c>
      <c r="D41" s="293"/>
      <c r="E41" s="293"/>
      <c r="F41" s="293"/>
      <c r="G41" s="281" t="s">
        <v>515</v>
      </c>
      <c r="H41" s="281" t="s">
        <v>516</v>
      </c>
      <c r="I41" s="312"/>
      <c r="J41" s="313">
        <f>SUM(I36:I40)</f>
        <v>406.84</v>
      </c>
    </row>
    <row r="42" s="266" customFormat="1" spans="1:10">
      <c r="A42" s="267" t="s">
        <v>599</v>
      </c>
      <c r="B42" s="168">
        <v>149905.79</v>
      </c>
      <c r="C42" s="173" t="str">
        <f t="shared" si="7"/>
        <v>海洋垫付2021.08月中国员工-实发工资（RMB:149905.79,汇率：8.896）</v>
      </c>
      <c r="D42" s="293"/>
      <c r="E42" s="293"/>
      <c r="F42" s="293"/>
      <c r="G42" s="281" t="s">
        <v>568</v>
      </c>
      <c r="H42" s="281" t="s">
        <v>569</v>
      </c>
      <c r="I42" s="312">
        <f>ROUND(B42/$C$30,2)</f>
        <v>16850.92</v>
      </c>
      <c r="J42" s="313"/>
    </row>
    <row r="43" s="266" customFormat="1" spans="1:10">
      <c r="A43" s="267" t="s">
        <v>599</v>
      </c>
      <c r="B43" s="297">
        <f>B42</f>
        <v>149905.79</v>
      </c>
      <c r="C43" s="173" t="str">
        <f t="shared" si="7"/>
        <v>海洋垫付2021.08月中国员工-实发工资（RMB:149905.79,汇率：8.896）</v>
      </c>
      <c r="D43" s="293"/>
      <c r="E43" s="293"/>
      <c r="F43" s="293"/>
      <c r="G43" s="281" t="s">
        <v>515</v>
      </c>
      <c r="H43" s="281" t="s">
        <v>516</v>
      </c>
      <c r="I43" s="312"/>
      <c r="J43" s="313">
        <f>I42</f>
        <v>16850.92</v>
      </c>
    </row>
    <row r="44" s="266" customFormat="1" spans="1:10">
      <c r="A44" s="267" t="s">
        <v>600</v>
      </c>
      <c r="B44" s="168">
        <v>1</v>
      </c>
      <c r="C44" s="173" t="str">
        <f t="shared" si="7"/>
        <v>海洋垫付2021.08月中国员工-实发工资-手续费（RMB:1,汇率：8.896）</v>
      </c>
      <c r="D44" s="293"/>
      <c r="E44" s="293"/>
      <c r="F44" s="293"/>
      <c r="G44" s="281" t="s">
        <v>601</v>
      </c>
      <c r="H44" s="281" t="s">
        <v>602</v>
      </c>
      <c r="I44" s="312">
        <f>ROUND(B44/$C$30,2)</f>
        <v>0.11</v>
      </c>
      <c r="J44" s="313"/>
    </row>
    <row r="45" s="266" customFormat="1" spans="1:10">
      <c r="A45" s="267" t="s">
        <v>600</v>
      </c>
      <c r="B45" s="297">
        <f>B44</f>
        <v>1</v>
      </c>
      <c r="C45" s="173" t="str">
        <f t="shared" si="7"/>
        <v>海洋垫付2021.08月中国员工-实发工资-手续费（RMB:1,汇率：8.896）</v>
      </c>
      <c r="D45" s="293"/>
      <c r="E45" s="293"/>
      <c r="F45" s="293"/>
      <c r="G45" s="281" t="s">
        <v>515</v>
      </c>
      <c r="H45" s="281" t="s">
        <v>516</v>
      </c>
      <c r="I45" s="312"/>
      <c r="J45" s="313">
        <f>I44</f>
        <v>0.11</v>
      </c>
    </row>
    <row r="46" s="266" customFormat="1" spans="1:10">
      <c r="A46" s="298"/>
      <c r="B46" s="299"/>
      <c r="C46" s="300" t="s">
        <v>603</v>
      </c>
      <c r="D46" s="301"/>
      <c r="E46" s="301"/>
      <c r="F46" s="301"/>
      <c r="G46" s="302" t="s">
        <v>568</v>
      </c>
      <c r="H46" s="302" t="s">
        <v>569</v>
      </c>
      <c r="I46" s="324">
        <v>1131</v>
      </c>
      <c r="J46" s="325"/>
    </row>
    <row r="47" s="266" customFormat="1" ht="15" spans="1:10">
      <c r="A47" s="298"/>
      <c r="B47" s="299"/>
      <c r="C47" s="303" t="s">
        <v>603</v>
      </c>
      <c r="D47" s="304"/>
      <c r="E47" s="304"/>
      <c r="F47" s="304"/>
      <c r="G47" s="305" t="s">
        <v>579</v>
      </c>
      <c r="H47" s="305" t="s">
        <v>580</v>
      </c>
      <c r="I47" s="326"/>
      <c r="J47" s="327">
        <v>1131</v>
      </c>
    </row>
    <row r="48" s="266" customFormat="1" spans="1:1">
      <c r="A48" s="267"/>
    </row>
    <row r="52" ht="15" spans="1:19">
      <c r="A52" s="267" t="s">
        <v>604</v>
      </c>
      <c r="B52" s="168" t="s">
        <v>605</v>
      </c>
      <c r="C52" s="168" t="s">
        <v>606</v>
      </c>
      <c r="O52" t="s">
        <v>83</v>
      </c>
      <c r="P52" t="s">
        <v>121</v>
      </c>
      <c r="Q52" t="s">
        <v>122</v>
      </c>
      <c r="R52" s="48" t="s">
        <v>568</v>
      </c>
      <c r="S52" s="48" t="s">
        <v>569</v>
      </c>
    </row>
    <row r="53" spans="1:9">
      <c r="A53" s="267" t="s">
        <v>20</v>
      </c>
      <c r="B53" s="168">
        <v>438.16</v>
      </c>
      <c r="C53" s="168">
        <v>36.07</v>
      </c>
      <c r="D53" s="306" t="str">
        <f>"英国代垫 "&amp;A53&amp;$A$52&amp;$B$52&amp;B53&amp;$C$52&amp;C53</f>
        <v>英国代垫 五金2021.09月发7月客服绩效: 国内438.16 国外36.07</v>
      </c>
      <c r="E53" s="219"/>
      <c r="F53" s="219"/>
      <c r="G53" s="219" t="str">
        <f t="shared" ref="G53:G57" si="9">VLOOKUP(A53,$O$52:$Q$65,2,0)</f>
        <v>1221.60</v>
      </c>
      <c r="H53" s="219" t="str">
        <f t="shared" ref="H53:H57" si="10">VLOOKUP(A53,$O$52:$Q$65,3,0)</f>
        <v>其他应收款 - 拓展部五金部</v>
      </c>
      <c r="I53" s="202">
        <f t="shared" ref="I53:I57" si="11">(B53+C53)</f>
        <v>474.23</v>
      </c>
    </row>
    <row r="54" spans="1:19">
      <c r="A54" s="267" t="s">
        <v>20</v>
      </c>
      <c r="B54" s="168">
        <f t="shared" ref="B54:B58" si="12">B53</f>
        <v>438.16</v>
      </c>
      <c r="C54" s="168">
        <f t="shared" ref="C54:C58" si="13">C53</f>
        <v>36.07</v>
      </c>
      <c r="D54" s="307" t="str">
        <f t="shared" ref="D54:D62" si="14">"英国代垫 "&amp;A54&amp;$A$52&amp;$B$52&amp;B54&amp;$C$52&amp;C54</f>
        <v>英国代垫 五金2021.09月发7月客服绩效: 国内438.16 国外36.07</v>
      </c>
      <c r="G54" s="267" t="str">
        <f t="shared" ref="G54:G58" si="15">VLOOKUP(A54,$O$52:$S$63,4,0)</f>
        <v>6601.001.001</v>
      </c>
      <c r="H54" s="48" t="str">
        <f t="shared" ref="H54:H58" si="16">VLOOKUP(A54,$O$52:$S$63,5,0)</f>
        <v>销售费用 - 用人成本 - 国内人员工资</v>
      </c>
      <c r="I54" s="203">
        <f t="shared" ref="I54:I58" si="17">-I53</f>
        <v>-474.23</v>
      </c>
      <c r="O54" t="s">
        <v>19</v>
      </c>
      <c r="P54" t="s">
        <v>71</v>
      </c>
      <c r="Q54" t="s">
        <v>72</v>
      </c>
      <c r="R54" s="48" t="s">
        <v>568</v>
      </c>
      <c r="S54" s="48" t="s">
        <v>569</v>
      </c>
    </row>
    <row r="55" spans="1:9">
      <c r="A55" s="267" t="s">
        <v>19</v>
      </c>
      <c r="B55" s="168">
        <v>3.54</v>
      </c>
      <c r="C55" s="168">
        <v>0</v>
      </c>
      <c r="D55" s="307" t="str">
        <f t="shared" si="14"/>
        <v>英国代垫 水龙头2021.09月发7月客服绩效: 国内3.54 国外0</v>
      </c>
      <c r="G55" s="48" t="str">
        <f t="shared" si="9"/>
        <v>1221.100</v>
      </c>
      <c r="H55" s="48" t="str">
        <f t="shared" si="10"/>
        <v>其他应收款 - 拓展部-水龙头</v>
      </c>
      <c r="I55" s="203">
        <f t="shared" si="11"/>
        <v>3.54</v>
      </c>
    </row>
    <row r="56" spans="1:19">
      <c r="A56" s="267" t="s">
        <v>19</v>
      </c>
      <c r="B56" s="168">
        <f t="shared" si="12"/>
        <v>3.54</v>
      </c>
      <c r="C56" s="168">
        <f t="shared" si="13"/>
        <v>0</v>
      </c>
      <c r="D56" s="307" t="str">
        <f t="shared" si="14"/>
        <v>英国代垫 水龙头2021.09月发7月客服绩效: 国内3.54 国外0</v>
      </c>
      <c r="G56" s="267" t="str">
        <f t="shared" si="15"/>
        <v>6601.001.001</v>
      </c>
      <c r="H56" s="48" t="str">
        <f t="shared" si="16"/>
        <v>销售费用 - 用人成本 - 国内人员工资</v>
      </c>
      <c r="I56" s="203">
        <f t="shared" si="17"/>
        <v>-3.54</v>
      </c>
      <c r="O56" t="s">
        <v>20</v>
      </c>
      <c r="P56" t="s">
        <v>65</v>
      </c>
      <c r="Q56" t="s">
        <v>66</v>
      </c>
      <c r="R56" s="48" t="s">
        <v>568</v>
      </c>
      <c r="S56" s="48" t="s">
        <v>569</v>
      </c>
    </row>
    <row r="57" spans="1:9">
      <c r="A57" s="267" t="s">
        <v>18</v>
      </c>
      <c r="B57" s="168">
        <v>0</v>
      </c>
      <c r="C57" s="168">
        <v>0</v>
      </c>
      <c r="D57" s="307" t="str">
        <f t="shared" si="14"/>
        <v>英国代垫 镜柜2021.09月发7月客服绩效: 国内0 国外0</v>
      </c>
      <c r="G57" s="48" t="str">
        <f t="shared" si="9"/>
        <v>1221.86</v>
      </c>
      <c r="H57" s="48" t="str">
        <f t="shared" si="10"/>
        <v>其他应收款 - 事业部</v>
      </c>
      <c r="I57" s="203">
        <f t="shared" si="11"/>
        <v>0</v>
      </c>
    </row>
    <row r="58" spans="1:19">
      <c r="A58" s="267" t="s">
        <v>18</v>
      </c>
      <c r="B58" s="168">
        <f t="shared" si="12"/>
        <v>0</v>
      </c>
      <c r="C58" s="168">
        <f t="shared" si="13"/>
        <v>0</v>
      </c>
      <c r="D58" s="307" t="str">
        <f t="shared" si="14"/>
        <v>英国代垫 镜柜2021.09月发7月客服绩效: 国内0 国外0</v>
      </c>
      <c r="G58" s="267" t="str">
        <f t="shared" si="15"/>
        <v>6601.001.001</v>
      </c>
      <c r="H58" s="48" t="str">
        <f t="shared" si="16"/>
        <v>销售费用 - 用人成本 - 国内人员工资</v>
      </c>
      <c r="I58" s="203">
        <f t="shared" si="17"/>
        <v>0</v>
      </c>
      <c r="O58" t="s">
        <v>18</v>
      </c>
      <c r="P58" t="s">
        <v>59</v>
      </c>
      <c r="Q58" t="s">
        <v>60</v>
      </c>
      <c r="R58" s="48" t="s">
        <v>568</v>
      </c>
      <c r="S58" s="48" t="s">
        <v>569</v>
      </c>
    </row>
    <row r="59" spans="1:9">
      <c r="A59" s="267" t="s">
        <v>83</v>
      </c>
      <c r="B59" s="168"/>
      <c r="C59" s="168"/>
      <c r="D59" s="307" t="str">
        <f t="shared" si="14"/>
        <v>英国代垫 陶瓷2021.09月发7月客服绩效: 国内 国外</v>
      </c>
      <c r="G59" s="48" t="str">
        <f>VLOOKUP(A59,$O$52:$Q$65,2,0)</f>
        <v>1221.103</v>
      </c>
      <c r="H59" s="48" t="str">
        <f>VLOOKUP(A59,$O$52:$Q$65,3,0)</f>
        <v>拓展部-陶瓷部</v>
      </c>
      <c r="I59" s="203">
        <f>(B59+C59)</f>
        <v>0</v>
      </c>
    </row>
    <row r="60" spans="1:19">
      <c r="A60" s="267" t="s">
        <v>83</v>
      </c>
      <c r="B60" s="168">
        <f>B59</f>
        <v>0</v>
      </c>
      <c r="C60" s="168">
        <f>C59</f>
        <v>0</v>
      </c>
      <c r="D60" s="307" t="str">
        <f t="shared" si="14"/>
        <v>英国代垫 陶瓷2021.09月发7月客服绩效: 国内0 国外0</v>
      </c>
      <c r="G60" s="267" t="str">
        <f>VLOOKUP(A60,$O$52:$S$63,4,0)</f>
        <v>6601.001.001</v>
      </c>
      <c r="H60" s="48" t="str">
        <f>VLOOKUP(A60,$O$52:$S$63,5,0)</f>
        <v>销售费用 - 用人成本 - 国内人员工资</v>
      </c>
      <c r="I60" s="203">
        <f>-I59</f>
        <v>0</v>
      </c>
      <c r="O60" t="s">
        <v>84</v>
      </c>
      <c r="P60" t="s">
        <v>129</v>
      </c>
      <c r="Q60" t="s">
        <v>130</v>
      </c>
      <c r="R60" s="48" t="s">
        <v>568</v>
      </c>
      <c r="S60" s="48" t="s">
        <v>569</v>
      </c>
    </row>
    <row r="61" spans="1:9">
      <c r="A61" s="267" t="s">
        <v>84</v>
      </c>
      <c r="B61" s="168"/>
      <c r="C61" s="168"/>
      <c r="D61" s="307" t="str">
        <f t="shared" si="14"/>
        <v>英国代垫 防火板2021.09月发7月客服绩效: 国内 国外</v>
      </c>
      <c r="G61" s="48" t="str">
        <f>VLOOKUP(A61,$O$52:$Q$65,2,0)</f>
        <v>1221.107</v>
      </c>
      <c r="H61" s="48" t="str">
        <f>VLOOKUP(A61,$O$52:$Q$65,3,0)</f>
        <v>拓展部-防火底板</v>
      </c>
      <c r="I61" s="203">
        <f>(B61+C61)</f>
        <v>0</v>
      </c>
    </row>
    <row r="62" ht="15" spans="1:9">
      <c r="A62" s="267" t="s">
        <v>84</v>
      </c>
      <c r="B62" s="168">
        <f>B61</f>
        <v>0</v>
      </c>
      <c r="C62" s="168">
        <f>C61</f>
        <v>0</v>
      </c>
      <c r="D62" s="308" t="str">
        <f t="shared" si="14"/>
        <v>英国代垫 防火板2021.09月发7月客服绩效: 国内0 国外0</v>
      </c>
      <c r="E62" s="197"/>
      <c r="F62" s="197"/>
      <c r="G62" s="309" t="str">
        <f>VLOOKUP(A62,$O$52:$S$63,4,0)</f>
        <v>6601.001.001</v>
      </c>
      <c r="H62" s="197" t="str">
        <f>VLOOKUP(A62,$O$52:$S$63,5,0)</f>
        <v>销售费用 - 用人成本 - 国内人员工资</v>
      </c>
      <c r="I62" s="218">
        <f>-I61</f>
        <v>0</v>
      </c>
    </row>
  </sheetData>
  <mergeCells count="1">
    <mergeCell ref="A1:G1"/>
  </mergeCells>
  <conditionalFormatting sqref="C3">
    <cfRule type="cellIs" dxfId="1" priority="16" stopIfTrue="1" operator="lessThan">
      <formula>0</formula>
    </cfRule>
  </conditionalFormatting>
  <conditionalFormatting sqref="C4">
    <cfRule type="cellIs" dxfId="1" priority="17" stopIfTrue="1" operator="lessThan">
      <formula>0</formula>
    </cfRule>
  </conditionalFormatting>
  <conditionalFormatting sqref="C5">
    <cfRule type="cellIs" dxfId="1" priority="10" stopIfTrue="1" operator="lessThan">
      <formula>0</formula>
    </cfRule>
  </conditionalFormatting>
  <conditionalFormatting sqref="E5">
    <cfRule type="cellIs" dxfId="1" priority="14" stopIfTrue="1" operator="lessThan">
      <formula>0</formula>
    </cfRule>
  </conditionalFormatting>
  <conditionalFormatting sqref="F5:G5">
    <cfRule type="cellIs" dxfId="1" priority="13" stopIfTrue="1" operator="lessThan">
      <formula>0</formula>
    </cfRule>
  </conditionalFormatting>
  <conditionalFormatting sqref="C7:D7">
    <cfRule type="cellIs" dxfId="1" priority="20" stopIfTrue="1" operator="lessThan">
      <formula>0</formula>
    </cfRule>
  </conditionalFormatting>
  <conditionalFormatting sqref="C8:D8">
    <cfRule type="cellIs" dxfId="1" priority="18" stopIfTrue="1" operator="lessThan">
      <formula>0</formula>
    </cfRule>
  </conditionalFormatting>
  <conditionalFormatting sqref="C12:D12">
    <cfRule type="cellIs" dxfId="1" priority="7" stopIfTrue="1" operator="lessThan">
      <formula>0</formula>
    </cfRule>
  </conditionalFormatting>
  <conditionalFormatting sqref="C13:D13">
    <cfRule type="cellIs" dxfId="1" priority="5" stopIfTrue="1" operator="lessThan">
      <formula>0</formula>
    </cfRule>
  </conditionalFormatting>
  <conditionalFormatting sqref="C16:D16">
    <cfRule type="cellIs" dxfId="1" priority="2" stopIfTrue="1" operator="lessThan">
      <formula>0</formula>
    </cfRule>
  </conditionalFormatting>
  <conditionalFormatting sqref="C17:D17">
    <cfRule type="cellIs" dxfId="1" priority="1" stopIfTrue="1" operator="lessThan">
      <formula>0</formula>
    </cfRule>
  </conditionalFormatting>
  <conditionalFormatting sqref="C18:D18">
    <cfRule type="cellIs" dxfId="1" priority="3" stopIfTrue="1" operator="lessThan">
      <formula>0</formula>
    </cfRule>
  </conditionalFormatting>
  <conditionalFormatting sqref="E3:E4">
    <cfRule type="cellIs" dxfId="1" priority="15" stopIfTrue="1" operator="lessThan">
      <formula>0</formula>
    </cfRule>
  </conditionalFormatting>
  <conditionalFormatting sqref="F3:F4">
    <cfRule type="cellIs" dxfId="1" priority="12" stopIfTrue="1" operator="lessThan">
      <formula>0</formula>
    </cfRule>
  </conditionalFormatting>
  <conditionalFormatting sqref="G3:G4">
    <cfRule type="cellIs" dxfId="1" priority="11" stopIfTrue="1" operator="lessThan">
      <formula>0</formula>
    </cfRule>
  </conditionalFormatting>
  <conditionalFormatting sqref="C14:D15">
    <cfRule type="cellIs" dxfId="1" priority="4" stopIfTrue="1" operator="lessThan">
      <formula>0</formula>
    </cfRule>
  </conditionalFormatting>
  <pageMargins left="0.75" right="0.75" top="1" bottom="1" header="0.5" footer="0.5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AB183"/>
  <sheetViews>
    <sheetView topLeftCell="A99" workbookViewId="0">
      <selection activeCell="G144" sqref="G144"/>
    </sheetView>
  </sheetViews>
  <sheetFormatPr defaultColWidth="9" defaultRowHeight="14.25"/>
  <cols>
    <col min="1" max="1" width="17.5" style="48" customWidth="1"/>
    <col min="2" max="2" width="14.375" style="48" customWidth="1"/>
    <col min="3" max="3" width="12" style="48" customWidth="1"/>
    <col min="4" max="4" width="23.5" style="168" customWidth="1"/>
    <col min="5" max="5" width="58.125" style="48" customWidth="1"/>
    <col min="6" max="6" width="18.875" style="48" customWidth="1"/>
    <col min="7" max="7" width="46.25" style="48" customWidth="1"/>
    <col min="8" max="8" width="12.625" style="48" customWidth="1"/>
    <col min="9" max="9" width="11.5" style="48" customWidth="1"/>
    <col min="10" max="10" width="9" style="48"/>
    <col min="11" max="11" width="15.625" style="48" customWidth="1"/>
    <col min="12" max="12" width="10.875" style="48" customWidth="1"/>
    <col min="13" max="13" width="9.25" style="48"/>
    <col min="14" max="14" width="9" style="48"/>
    <col min="15" max="15" width="18.375" style="48" customWidth="1"/>
    <col min="16" max="20" width="9" style="48"/>
    <col min="21" max="21" width="21.5" style="48" customWidth="1"/>
    <col min="22" max="16384" width="9" style="48"/>
  </cols>
  <sheetData>
    <row r="1" ht="15" spans="1:16">
      <c r="A1" s="167" t="s">
        <v>387</v>
      </c>
      <c r="D1" s="168">
        <f>24822.69-3553.13</f>
        <v>21269.56</v>
      </c>
      <c r="O1" s="48" t="s">
        <v>32</v>
      </c>
      <c r="P1" s="48" t="s">
        <v>33</v>
      </c>
    </row>
    <row r="2" s="167" customFormat="1" spans="1:20">
      <c r="A2" s="167" t="str">
        <f>$A$1</f>
        <v>2021.09月 </v>
      </c>
      <c r="B2" s="167" t="s">
        <v>20</v>
      </c>
      <c r="C2" s="167" t="s">
        <v>607</v>
      </c>
      <c r="D2" s="169" t="str">
        <f>H3&amp;H2&amp;"="&amp;I4</f>
        <v>49484.78-7623.18=41861.6</v>
      </c>
      <c r="E2" s="170" t="str">
        <f>A2&amp;C2&amp;B2&amp;D2</f>
        <v>2021.09月 销售补贴 五金49484.78-7623.18=41861.6</v>
      </c>
      <c r="F2" s="171" t="str">
        <f>INDEX(O:O,MATCH($B2,$O:$O,0)+4)</f>
        <v>6601.002.002.002</v>
      </c>
      <c r="G2" s="171" t="str">
        <f>INDEX(P:P,MATCH($B2,$O:$O,0)+4)</f>
        <v>销售费用 - 销售平台费用 - Ebay费用 - 五金事业部-Ebay费</v>
      </c>
      <c r="H2" s="172">
        <v>-7623.18</v>
      </c>
      <c r="I2" s="204"/>
      <c r="O2" t="s">
        <v>83</v>
      </c>
      <c r="P2"/>
      <c r="Q2" s="48"/>
      <c r="R2" s="48"/>
      <c r="S2" s="48"/>
      <c r="T2" s="48"/>
    </row>
    <row r="3" spans="1:20">
      <c r="A3" s="167" t="str">
        <f t="shared" ref="A3:A12" si="0">$A$1</f>
        <v>2021.09月 </v>
      </c>
      <c r="B3" s="48" t="s">
        <v>20</v>
      </c>
      <c r="C3" s="48" t="s">
        <v>607</v>
      </c>
      <c r="D3" s="169" t="str">
        <f>D2</f>
        <v>49484.78-7623.18=41861.6</v>
      </c>
      <c r="E3" s="173" t="str">
        <f t="shared" ref="E3:E19" si="1">A3&amp;C3&amp;B3&amp;D3</f>
        <v>2021.09月 销售补贴 五金49484.78-7623.18=41861.6</v>
      </c>
      <c r="F3" s="174" t="str">
        <f>O$1</f>
        <v>2221</v>
      </c>
      <c r="G3" s="149" t="str">
        <f>P$1</f>
        <v>应交税费</v>
      </c>
      <c r="H3" s="71">
        <v>49484.78</v>
      </c>
      <c r="I3" s="151"/>
      <c r="O3" t="s">
        <v>121</v>
      </c>
      <c r="P3" t="s">
        <v>122</v>
      </c>
      <c r="Q3" s="167"/>
      <c r="R3" s="167"/>
      <c r="S3" s="167"/>
      <c r="T3" s="167"/>
    </row>
    <row r="4" spans="1:16">
      <c r="A4" s="167" t="str">
        <f t="shared" si="0"/>
        <v>2021.09月 </v>
      </c>
      <c r="B4" s="48" t="s">
        <v>20</v>
      </c>
      <c r="C4" s="48" t="s">
        <v>607</v>
      </c>
      <c r="D4" s="169" t="str">
        <f>D2</f>
        <v>49484.78-7623.18=41861.6</v>
      </c>
      <c r="E4" s="173" t="str">
        <f t="shared" si="1"/>
        <v>2021.09月 销售补贴 五金49484.78-7623.18=41861.6</v>
      </c>
      <c r="F4" s="37" t="str">
        <f>INDEX(O:O,MATCH($B4,$O:$O,0)+1)</f>
        <v>1221.60</v>
      </c>
      <c r="G4" s="37" t="str">
        <f>INDEX(P:P,MATCH($B4,$O:$O,0)+1)</f>
        <v>其他应收款 - 拓展部五金部</v>
      </c>
      <c r="H4" s="73"/>
      <c r="I4" s="151">
        <f>SUM(H2:H3)</f>
        <v>41861.6</v>
      </c>
      <c r="O4" t="s">
        <v>608</v>
      </c>
      <c r="P4" t="s">
        <v>609</v>
      </c>
    </row>
    <row r="5" s="167" customFormat="1" spans="1:20">
      <c r="A5" s="167" t="str">
        <f t="shared" si="0"/>
        <v>2021.09月 </v>
      </c>
      <c r="B5" s="167" t="s">
        <v>19</v>
      </c>
      <c r="C5" s="167" t="s">
        <v>607</v>
      </c>
      <c r="D5" s="169" t="str">
        <f>H6&amp;H5&amp;"="&amp;I7</f>
        <v>4968.45-906.1=4062.35</v>
      </c>
      <c r="E5" s="175" t="str">
        <f t="shared" si="1"/>
        <v>2021.09月 销售补贴 水龙头4968.45-906.1=4062.35</v>
      </c>
      <c r="F5" s="176" t="str">
        <f>INDEX(O:O,MATCH($B5,$O:$O,0)+4)</f>
        <v>6601.002.002.004</v>
      </c>
      <c r="G5" s="176" t="str">
        <f>INDEX(P:P,MATCH($B5,$O:$O,0)+4)</f>
        <v>销售费用 - 销售平台费用 - Ebay费用 - 水龙头事业部-Ebay费</v>
      </c>
      <c r="H5" s="177">
        <v>-906.1</v>
      </c>
      <c r="I5" s="205"/>
      <c r="O5" t="s">
        <v>125</v>
      </c>
      <c r="P5" t="s">
        <v>223</v>
      </c>
      <c r="Q5" s="48"/>
      <c r="R5" s="48"/>
      <c r="S5" s="48"/>
      <c r="T5" s="48"/>
    </row>
    <row r="6" spans="1:20">
      <c r="A6" s="167" t="str">
        <f t="shared" si="0"/>
        <v>2021.09月 </v>
      </c>
      <c r="B6" s="48" t="s">
        <v>19</v>
      </c>
      <c r="C6" s="48" t="s">
        <v>607</v>
      </c>
      <c r="D6" s="169" t="str">
        <f>D5</f>
        <v>4968.45-906.1=4062.35</v>
      </c>
      <c r="E6" s="178" t="str">
        <f t="shared" si="1"/>
        <v>2021.09月 销售补贴 水龙头4968.45-906.1=4062.35</v>
      </c>
      <c r="F6" s="179" t="str">
        <f>O$1</f>
        <v>2221</v>
      </c>
      <c r="G6" s="180" t="str">
        <f>P$1</f>
        <v>应交税费</v>
      </c>
      <c r="H6" s="177">
        <v>4968.45</v>
      </c>
      <c r="I6" s="206"/>
      <c r="O6" s="48" t="s">
        <v>123</v>
      </c>
      <c r="P6" s="48" t="s">
        <v>220</v>
      </c>
      <c r="Q6" s="167"/>
      <c r="R6" s="167"/>
      <c r="S6" s="167"/>
      <c r="T6" s="167"/>
    </row>
    <row r="7" spans="1:28">
      <c r="A7" s="167" t="str">
        <f t="shared" si="0"/>
        <v>2021.09月 </v>
      </c>
      <c r="B7" s="48" t="s">
        <v>19</v>
      </c>
      <c r="C7" s="48" t="s">
        <v>607</v>
      </c>
      <c r="D7" s="169" t="str">
        <f>D5</f>
        <v>4968.45-906.1=4062.35</v>
      </c>
      <c r="E7" s="178" t="str">
        <f t="shared" si="1"/>
        <v>2021.09月 销售补贴 水龙头4968.45-906.1=4062.35</v>
      </c>
      <c r="F7" s="176" t="str">
        <f>INDEX(O:O,MATCH($B7,$O:$O,0)+1)</f>
        <v>1221.100</v>
      </c>
      <c r="G7" s="176" t="str">
        <f>INDEX(P:P,MATCH($B7,$O:$O,0)+1)</f>
        <v>其他应收款 - 拓展部-水龙头</v>
      </c>
      <c r="H7" s="54"/>
      <c r="I7" s="206">
        <f>SUM(H5:H6)</f>
        <v>4062.35</v>
      </c>
      <c r="O7" s="167" t="s">
        <v>610</v>
      </c>
      <c r="P7" s="167" t="s">
        <v>611</v>
      </c>
      <c r="Q7"/>
      <c r="Z7" s="167"/>
      <c r="AA7" s="167"/>
      <c r="AB7" s="167"/>
    </row>
    <row r="8" s="167" customFormat="1" spans="1:28">
      <c r="A8" s="167" t="str">
        <f t="shared" si="0"/>
        <v>2021.09月 </v>
      </c>
      <c r="B8" s="167" t="s">
        <v>18</v>
      </c>
      <c r="C8" s="167" t="s">
        <v>607</v>
      </c>
      <c r="D8" s="169" t="str">
        <f>H9&amp;H8&amp;"="&amp;I10</f>
        <v>9984.57-1550.42=8434.15</v>
      </c>
      <c r="E8" s="181" t="str">
        <f t="shared" si="1"/>
        <v>2021.09月 销售补贴 镜柜9984.57-1550.42=8434.15</v>
      </c>
      <c r="F8" s="37" t="str">
        <f>INDEX(O:O,MATCH($B8,$O:$O,0)+4)</f>
        <v>6601.002.002.003</v>
      </c>
      <c r="G8" s="37" t="str">
        <f>INDEX(P:P,MATCH($B8,$O:$O,0)+4)</f>
        <v>销售费用 - 销售平台费用 - Ebay费用 - 镜柜事业部-Ebay费</v>
      </c>
      <c r="H8" s="71">
        <v>-1550.42</v>
      </c>
      <c r="I8" s="150"/>
      <c r="O8" t="s">
        <v>612</v>
      </c>
      <c r="P8" t="s">
        <v>613</v>
      </c>
      <c r="Q8"/>
      <c r="U8" s="48"/>
      <c r="V8" s="48"/>
      <c r="W8" s="48"/>
      <c r="X8" s="48"/>
      <c r="Y8" s="48"/>
      <c r="Z8" s="48"/>
      <c r="AA8" s="48"/>
      <c r="AB8" s="48"/>
    </row>
    <row r="9" spans="1:17">
      <c r="A9" s="167" t="str">
        <f t="shared" si="0"/>
        <v>2021.09月 </v>
      </c>
      <c r="B9" s="48" t="s">
        <v>18</v>
      </c>
      <c r="C9" s="48" t="s">
        <v>607</v>
      </c>
      <c r="D9" s="169" t="str">
        <f>D8</f>
        <v>9984.57-1550.42=8434.15</v>
      </c>
      <c r="E9" s="173" t="str">
        <f t="shared" si="1"/>
        <v>2021.09月 销售补贴 镜柜9984.57-1550.42=8434.15</v>
      </c>
      <c r="F9" s="174" t="str">
        <f>O$1</f>
        <v>2221</v>
      </c>
      <c r="G9" s="149" t="str">
        <f>P$1</f>
        <v>应交税费</v>
      </c>
      <c r="H9" s="71">
        <v>9984.57</v>
      </c>
      <c r="I9" s="151"/>
      <c r="O9" t="s">
        <v>614</v>
      </c>
      <c r="P9" t="s">
        <v>615</v>
      </c>
      <c r="Q9"/>
    </row>
    <row r="10" spans="1:28">
      <c r="A10" s="167" t="str">
        <f t="shared" si="0"/>
        <v>2021.09月 </v>
      </c>
      <c r="B10" s="48" t="s">
        <v>18</v>
      </c>
      <c r="C10" s="48" t="s">
        <v>607</v>
      </c>
      <c r="D10" s="169" t="str">
        <f>D8</f>
        <v>9984.57-1550.42=8434.15</v>
      </c>
      <c r="E10" s="173" t="str">
        <f t="shared" si="1"/>
        <v>2021.09月 销售补贴 镜柜9984.57-1550.42=8434.15</v>
      </c>
      <c r="F10" s="37" t="str">
        <f>INDEX(O:O,MATCH($B10,$O:$O,0)+1)</f>
        <v>1221.86</v>
      </c>
      <c r="G10" s="37" t="str">
        <f>INDEX(P:P,MATCH($B10,$O:$O,0)+1)</f>
        <v>其他应收款 - 事业部</v>
      </c>
      <c r="H10" s="73"/>
      <c r="I10" s="151">
        <f>SUM(H8:H9)</f>
        <v>8434.15</v>
      </c>
      <c r="O10" t="s">
        <v>616</v>
      </c>
      <c r="P10" t="s">
        <v>617</v>
      </c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</row>
    <row r="11" s="167" customFormat="1" spans="1:28">
      <c r="A11" s="167" t="str">
        <f t="shared" si="0"/>
        <v>2021.09月 </v>
      </c>
      <c r="B11" s="167" t="s">
        <v>83</v>
      </c>
      <c r="C11" s="167" t="s">
        <v>607</v>
      </c>
      <c r="D11" s="169" t="str">
        <f>H12&amp;H11&amp;"="&amp;I13</f>
        <v>3822.48-582.85=3239.63</v>
      </c>
      <c r="E11" s="175" t="str">
        <f t="shared" si="1"/>
        <v>2021.09月 销售补贴 陶瓷3822.48-582.85=3239.63</v>
      </c>
      <c r="F11" s="176" t="str">
        <f>INDEX(O:O,MATCH($B11,$O:$O,0)+4)</f>
        <v>6601.002.002.005</v>
      </c>
      <c r="G11" s="176" t="str">
        <f>INDEX(P:P,MATCH($B11,$O:$O,0)+4)</f>
        <v>销售费用 - 销售平台费用 - Ebay费用 - 陶瓷事业部-Ebay费</v>
      </c>
      <c r="H11" s="177">
        <v>-582.85</v>
      </c>
      <c r="I11" s="205"/>
      <c r="O11" s="48" t="s">
        <v>618</v>
      </c>
      <c r="P11" s="48" t="s">
        <v>619</v>
      </c>
      <c r="Q11" s="48"/>
      <c r="R11" s="48"/>
      <c r="S11" s="48"/>
      <c r="T11" s="48"/>
      <c r="AA11" s="48"/>
      <c r="AB11" s="48"/>
    </row>
    <row r="12" s="48" customFormat="1" spans="1:16">
      <c r="A12" s="167" t="str">
        <f t="shared" si="0"/>
        <v>2021.09月 </v>
      </c>
      <c r="B12" s="48" t="s">
        <v>83</v>
      </c>
      <c r="C12" s="48" t="s">
        <v>607</v>
      </c>
      <c r="D12" s="169" t="str">
        <f>D11</f>
        <v>3822.48-582.85=3239.63</v>
      </c>
      <c r="E12" s="178" t="str">
        <f t="shared" si="1"/>
        <v>2021.09月 销售补贴 陶瓷3822.48-582.85=3239.63</v>
      </c>
      <c r="F12" s="179" t="str">
        <f>O$1</f>
        <v>2221</v>
      </c>
      <c r="G12" s="180" t="str">
        <f>P$1</f>
        <v>应交税费</v>
      </c>
      <c r="H12" s="177">
        <v>3822.48</v>
      </c>
      <c r="I12" s="206"/>
      <c r="O12"/>
      <c r="P12"/>
    </row>
    <row r="13" s="48" customFormat="1" spans="1:16">
      <c r="A13" s="167" t="str">
        <f t="shared" ref="A13:A26" si="2">$A$1</f>
        <v>2021.09月 </v>
      </c>
      <c r="B13" s="48" t="s">
        <v>83</v>
      </c>
      <c r="C13" s="48" t="s">
        <v>607</v>
      </c>
      <c r="D13" s="169" t="str">
        <f>D11</f>
        <v>3822.48-582.85=3239.63</v>
      </c>
      <c r="E13" s="178" t="str">
        <f t="shared" si="1"/>
        <v>2021.09月 销售补贴 陶瓷3822.48-582.85=3239.63</v>
      </c>
      <c r="F13" s="176" t="str">
        <f>INDEX(O:O,MATCH($B13,$O:$O,0)+1)</f>
        <v>1221.103</v>
      </c>
      <c r="G13" s="176" t="str">
        <f>INDEX(P:P,MATCH($B13,$O:$O,0)+1)</f>
        <v>拓展部-陶瓷部</v>
      </c>
      <c r="H13" s="54"/>
      <c r="I13" s="206">
        <f>SUM(H11:H12)</f>
        <v>3239.63</v>
      </c>
      <c r="O13" t="s">
        <v>19</v>
      </c>
      <c r="P13"/>
    </row>
    <row r="14" s="48" customFormat="1" spans="1:20">
      <c r="A14" s="167" t="str">
        <f t="shared" si="2"/>
        <v>2021.09月 </v>
      </c>
      <c r="B14" s="167" t="s">
        <v>233</v>
      </c>
      <c r="C14" s="167" t="s">
        <v>607</v>
      </c>
      <c r="D14" s="169" t="str">
        <f>H15&amp;H14&amp;"="&amp;I16</f>
        <v>922.18-145.46=776.72</v>
      </c>
      <c r="E14" s="181" t="str">
        <f t="shared" si="1"/>
        <v>2021.09月 销售补贴 防火底板922.18-145.46=776.72</v>
      </c>
      <c r="F14" s="37" t="str">
        <f>INDEX(O:O,MATCH($B14,$O:$O,0)+4)</f>
        <v>6601.002.002.006</v>
      </c>
      <c r="G14" s="37" t="str">
        <f>INDEX(P:P,MATCH($B14,$O:$O,0)+4)</f>
        <v>防火底板事业部-Ebay费</v>
      </c>
      <c r="H14" s="71">
        <v>-145.46</v>
      </c>
      <c r="I14" s="150"/>
      <c r="O14" t="s">
        <v>71</v>
      </c>
      <c r="P14" t="s">
        <v>72</v>
      </c>
      <c r="Q14" s="167"/>
      <c r="R14" s="167"/>
      <c r="S14" s="167"/>
      <c r="T14" s="167"/>
    </row>
    <row r="15" s="48" customFormat="1" spans="1:16">
      <c r="A15" s="167" t="str">
        <f t="shared" si="2"/>
        <v>2021.09月 </v>
      </c>
      <c r="B15" s="48" t="s">
        <v>233</v>
      </c>
      <c r="C15" s="48" t="s">
        <v>607</v>
      </c>
      <c r="D15" s="169" t="str">
        <f>D14</f>
        <v>922.18-145.46=776.72</v>
      </c>
      <c r="E15" s="173" t="str">
        <f t="shared" si="1"/>
        <v>2021.09月 销售补贴 防火底板922.18-145.46=776.72</v>
      </c>
      <c r="F15" s="174" t="str">
        <f>O$1</f>
        <v>2221</v>
      </c>
      <c r="G15" s="149" t="str">
        <f>P$1</f>
        <v>应交税费</v>
      </c>
      <c r="H15" s="71">
        <v>922.18</v>
      </c>
      <c r="I15" s="151"/>
      <c r="O15" t="s">
        <v>620</v>
      </c>
      <c r="P15" t="s">
        <v>621</v>
      </c>
    </row>
    <row r="16" s="48" customFormat="1" spans="1:28">
      <c r="A16" s="167" t="str">
        <f t="shared" si="2"/>
        <v>2021.09月 </v>
      </c>
      <c r="B16" s="48" t="s">
        <v>233</v>
      </c>
      <c r="C16" s="48" t="s">
        <v>607</v>
      </c>
      <c r="D16" s="169" t="str">
        <f>D14</f>
        <v>922.18-145.46=776.72</v>
      </c>
      <c r="E16" s="173" t="str">
        <f t="shared" si="1"/>
        <v>2021.09月 销售补贴 防火底板922.18-145.46=776.72</v>
      </c>
      <c r="F16" s="37" t="str">
        <f>INDEX(O:O,MATCH($B16,$O:$O,0)+1)</f>
        <v>1221.107</v>
      </c>
      <c r="G16" s="37" t="str">
        <f>INDEX(P:P,MATCH($B16,$O:$O,0)+1)</f>
        <v>拓展部-防火底板</v>
      </c>
      <c r="H16" s="73"/>
      <c r="I16" s="151">
        <f>SUM(H14:H15)</f>
        <v>776.72</v>
      </c>
      <c r="O16" t="s">
        <v>75</v>
      </c>
      <c r="P16" t="s">
        <v>76</v>
      </c>
      <c r="U16" s="167"/>
      <c r="V16" s="167"/>
      <c r="W16" s="167"/>
      <c r="X16" s="167"/>
      <c r="Y16" s="167"/>
      <c r="Z16" s="167"/>
      <c r="AA16" s="167"/>
      <c r="AB16" s="167"/>
    </row>
    <row r="17" s="167" customFormat="1" spans="1:28">
      <c r="A17" s="167" t="str">
        <f t="shared" si="2"/>
        <v>2021.09月 </v>
      </c>
      <c r="B17" s="167" t="s">
        <v>20</v>
      </c>
      <c r="C17" s="182" t="s">
        <v>622</v>
      </c>
      <c r="D17" s="183" t="s">
        <v>623</v>
      </c>
      <c r="E17" s="175" t="str">
        <f t="shared" si="1"/>
        <v>2021.09月 仓储费 五金暂估计提 4000</v>
      </c>
      <c r="F17" s="176" t="str">
        <f>INDEX(O:O,MATCH($B17,$O:$O,0)+2)</f>
        <v>6601.004.005.002</v>
      </c>
      <c r="G17" s="176" t="str">
        <f>INDEX(P:P,MATCH($B17,$O:$O,0)+2)</f>
        <v>销售费用 - 仓库费用 - 仓库租金 - 五金事业部-仓租</v>
      </c>
      <c r="H17" s="177">
        <v>-4000</v>
      </c>
      <c r="I17" s="205"/>
      <c r="O17" s="48" t="s">
        <v>73</v>
      </c>
      <c r="P17" s="48" t="s">
        <v>74</v>
      </c>
      <c r="Z17" s="48"/>
      <c r="AA17" s="48"/>
      <c r="AB17" s="48"/>
    </row>
    <row r="18" spans="1:28">
      <c r="A18" s="167" t="str">
        <f t="shared" si="2"/>
        <v>2021.09月 </v>
      </c>
      <c r="B18" s="48" t="s">
        <v>20</v>
      </c>
      <c r="C18" s="42" t="s">
        <v>622</v>
      </c>
      <c r="D18" s="183" t="str">
        <f>D17</f>
        <v>暂估计提 4000</v>
      </c>
      <c r="E18" s="178" t="str">
        <f t="shared" ref="E18:E28" si="3">A18&amp;C18&amp;B18&amp;D18</f>
        <v>2021.09月 仓储费 五金暂估计提 4000</v>
      </c>
      <c r="F18" s="176" t="str">
        <f>INDEX(O:O,MATCH($B18,$O:$O,0)+1)</f>
        <v>1221.60</v>
      </c>
      <c r="G18" s="176" t="str">
        <f>INDEX(P:P,MATCH($B18,$O:$O,0)+1)</f>
        <v>其他应收款 - 拓展部五金部</v>
      </c>
      <c r="H18" s="54">
        <f>-H17</f>
        <v>4000</v>
      </c>
      <c r="I18" s="206"/>
      <c r="O18" s="48" t="s">
        <v>624</v>
      </c>
      <c r="P18" s="48" t="s">
        <v>625</v>
      </c>
      <c r="Z18" s="167"/>
      <c r="AA18" s="167"/>
      <c r="AB18" s="167"/>
    </row>
    <row r="19" s="167" customFormat="1" spans="1:28">
      <c r="A19" s="167" t="str">
        <f t="shared" si="2"/>
        <v>2021.09月 </v>
      </c>
      <c r="B19" s="167" t="s">
        <v>18</v>
      </c>
      <c r="C19" s="182" t="s">
        <v>622</v>
      </c>
      <c r="D19" s="183" t="s">
        <v>626</v>
      </c>
      <c r="E19" s="181" t="str">
        <f t="shared" si="3"/>
        <v>2021.09月 仓储费 镜柜暂估计提 1000</v>
      </c>
      <c r="F19" s="37" t="str">
        <f>INDEX(O:O,MATCH($B19,$O:$O,0)+2)</f>
        <v>6601.004.005.003</v>
      </c>
      <c r="G19" s="37" t="str">
        <f>INDEX(P:P,MATCH($B19,$O:$O,0)+2)</f>
        <v>销售费用 - 仓库费用 - 仓库租金 - 镜柜事业部-仓租</v>
      </c>
      <c r="H19" s="71">
        <v>-1000</v>
      </c>
      <c r="I19" s="150"/>
      <c r="O19" s="48" t="s">
        <v>627</v>
      </c>
      <c r="P19" s="48" t="s">
        <v>628</v>
      </c>
      <c r="Q19" s="48"/>
      <c r="R19" s="48"/>
      <c r="S19" s="48"/>
      <c r="T19" s="48"/>
      <c r="Z19" s="48"/>
      <c r="AA19" s="48"/>
      <c r="AB19" s="48"/>
    </row>
    <row r="20" spans="1:28">
      <c r="A20" s="167" t="str">
        <f t="shared" si="2"/>
        <v>2021.09月 </v>
      </c>
      <c r="B20" s="48" t="s">
        <v>18</v>
      </c>
      <c r="C20" s="42" t="s">
        <v>622</v>
      </c>
      <c r="D20" s="183" t="str">
        <f t="shared" ref="D20:D24" si="4">D19</f>
        <v>暂估计提 1000</v>
      </c>
      <c r="E20" s="173" t="str">
        <f t="shared" si="3"/>
        <v>2021.09月 仓储费 镜柜暂估计提 1000</v>
      </c>
      <c r="F20" s="37" t="str">
        <f>INDEX(O:O,MATCH($B20,$O:$O,0)+1)</f>
        <v>1221.86</v>
      </c>
      <c r="G20" s="37" t="str">
        <f>INDEX(P:P,MATCH($B20,$O:$O,0)+1)</f>
        <v>其他应收款 - 事业部</v>
      </c>
      <c r="H20" s="73">
        <f t="shared" ref="H20:H24" si="5">-H19</f>
        <v>1000</v>
      </c>
      <c r="I20" s="151"/>
      <c r="O20" s="167" t="s">
        <v>629</v>
      </c>
      <c r="P20" s="167" t="s">
        <v>630</v>
      </c>
      <c r="Q20" s="167"/>
      <c r="R20" s="167"/>
      <c r="Z20"/>
      <c r="AA20"/>
      <c r="AB20"/>
    </row>
    <row r="21" s="167" customFormat="1" spans="1:28">
      <c r="A21" s="167" t="str">
        <f t="shared" si="2"/>
        <v>2021.09月 </v>
      </c>
      <c r="B21" s="167" t="s">
        <v>19</v>
      </c>
      <c r="C21" s="182" t="s">
        <v>622</v>
      </c>
      <c r="D21" s="183" t="s">
        <v>631</v>
      </c>
      <c r="E21" s="175" t="str">
        <f t="shared" si="3"/>
        <v>2021.09月 仓储费 水龙头暂估计提 300</v>
      </c>
      <c r="F21" s="176" t="str">
        <f>INDEX(O:O,MATCH($B21,$O:$O,0)+2)</f>
        <v>6601.004.005.004</v>
      </c>
      <c r="G21" s="176" t="str">
        <f>INDEX(P:P,MATCH($B21,$O:$O,0)+2)</f>
        <v>销售费用 - 仓库费用 - 仓库租金 - 水龙头事业部-仓租</v>
      </c>
      <c r="H21" s="177">
        <v>-300</v>
      </c>
      <c r="I21" s="205"/>
      <c r="O21" s="48" t="s">
        <v>616</v>
      </c>
      <c r="P21" s="48" t="s">
        <v>617</v>
      </c>
      <c r="Q21" s="48"/>
      <c r="R21" s="48"/>
      <c r="S21" s="48"/>
      <c r="T21" s="48"/>
      <c r="Z21"/>
      <c r="AA21"/>
      <c r="AB21"/>
    </row>
    <row r="22" spans="1:28">
      <c r="A22" s="167" t="str">
        <f t="shared" si="2"/>
        <v>2021.09月 </v>
      </c>
      <c r="B22" s="48" t="s">
        <v>19</v>
      </c>
      <c r="C22" s="42" t="s">
        <v>622</v>
      </c>
      <c r="D22" s="183" t="str">
        <f t="shared" si="4"/>
        <v>暂估计提 300</v>
      </c>
      <c r="E22" s="178" t="str">
        <f t="shared" si="3"/>
        <v>2021.09月 仓储费 水龙头暂估计提 300</v>
      </c>
      <c r="F22" s="176" t="str">
        <f>INDEX(O:O,MATCH($B22,$O:$O,0)+1)</f>
        <v>1221.100</v>
      </c>
      <c r="G22" s="176" t="str">
        <f>INDEX(P:P,MATCH($B22,$O:$O,0)+1)</f>
        <v>其他应收款 - 拓展部-水龙头</v>
      </c>
      <c r="H22" s="54">
        <f t="shared" si="5"/>
        <v>300</v>
      </c>
      <c r="I22" s="206"/>
      <c r="O22" s="48" t="s">
        <v>632</v>
      </c>
      <c r="P22" s="48" t="s">
        <v>633</v>
      </c>
      <c r="W22" s="167"/>
      <c r="X22" s="167"/>
      <c r="Y22" s="167"/>
      <c r="Z22" s="167"/>
      <c r="AA22"/>
      <c r="AB22"/>
    </row>
    <row r="23" customFormat="1" spans="1:20">
      <c r="A23" s="167" t="str">
        <f t="shared" si="2"/>
        <v>2021.09月 </v>
      </c>
      <c r="B23" s="167" t="s">
        <v>233</v>
      </c>
      <c r="C23" s="182" t="s">
        <v>622</v>
      </c>
      <c r="D23" s="183" t="s">
        <v>634</v>
      </c>
      <c r="E23" s="181" t="str">
        <f t="shared" si="3"/>
        <v>2021.09月 仓储费 防火底板暂估计提 20</v>
      </c>
      <c r="F23" s="37" t="str">
        <f>INDEX(O:O,MATCH($B23,$O:$O,0)+2)</f>
        <v>6601.004.005.006</v>
      </c>
      <c r="G23" s="37" t="str">
        <f>INDEX(P:P,MATCH($B23,$O:$O,0)+2)</f>
        <v>销售费用 - 仓库费用 - 仓库租金 - 防火板事业部-仓租</v>
      </c>
      <c r="H23" s="71">
        <v>-20</v>
      </c>
      <c r="I23" s="150"/>
      <c r="O23" s="48"/>
      <c r="P23" s="48"/>
      <c r="Q23" s="167"/>
      <c r="R23" s="167"/>
      <c r="S23" s="167"/>
      <c r="T23" s="167"/>
    </row>
    <row r="24" customFormat="1" ht="15" spans="1:28">
      <c r="A24" s="167" t="str">
        <f t="shared" si="2"/>
        <v>2021.09月 </v>
      </c>
      <c r="B24" s="48" t="s">
        <v>233</v>
      </c>
      <c r="C24" s="42" t="s">
        <v>622</v>
      </c>
      <c r="D24" s="183" t="str">
        <f t="shared" si="4"/>
        <v>暂估计提 20</v>
      </c>
      <c r="E24" s="184" t="str">
        <f t="shared" si="3"/>
        <v>2021.09月 仓储费 防火底板暂估计提 20</v>
      </c>
      <c r="F24" s="185" t="str">
        <f>INDEX(O:O,MATCH($B24,$O:$O,0)+1)</f>
        <v>1221.107</v>
      </c>
      <c r="G24" s="185" t="str">
        <f>INDEX(P:P,MATCH($B24,$O:$O,0)+1)</f>
        <v>拓展部-防火底板</v>
      </c>
      <c r="H24" s="186">
        <f t="shared" si="5"/>
        <v>20</v>
      </c>
      <c r="I24" s="207"/>
      <c r="Q24" s="48"/>
      <c r="R24" s="48"/>
      <c r="S24" s="48"/>
      <c r="T24" s="48"/>
      <c r="AA24" s="167"/>
      <c r="AB24" s="167"/>
    </row>
    <row r="25" customFormat="1" spans="1:20">
      <c r="A25" s="167" t="str">
        <f t="shared" si="2"/>
        <v>2021.09月 </v>
      </c>
      <c r="B25" s="167" t="s">
        <v>83</v>
      </c>
      <c r="C25" s="182" t="s">
        <v>622</v>
      </c>
      <c r="D25" s="183" t="s">
        <v>635</v>
      </c>
      <c r="E25" s="181" t="str">
        <f t="shared" si="3"/>
        <v>2021.09月 仓储费 陶瓷暂估计提 100</v>
      </c>
      <c r="F25" s="37" t="str">
        <f>INDEX(O:O,MATCH($B25,$O:$O,0)+2)</f>
        <v>6601.004.005.005</v>
      </c>
      <c r="G25" s="37" t="str">
        <f>INDEX(P:P,MATCH($B25,$O:$O,0)+2)</f>
        <v>销售费用 - 仓库费用 - 仓库租金 - 陶瓷事业部-仓租</v>
      </c>
      <c r="H25" s="71">
        <v>-100</v>
      </c>
      <c r="I25" s="150"/>
      <c r="O25" s="48"/>
      <c r="P25" s="48"/>
      <c r="Q25" s="167"/>
      <c r="R25" s="167"/>
      <c r="S25" s="167"/>
      <c r="T25" s="167"/>
    </row>
    <row r="26" customFormat="1" ht="15" spans="1:28">
      <c r="A26" s="167" t="str">
        <f t="shared" si="2"/>
        <v>2021.09月 </v>
      </c>
      <c r="B26" s="167" t="s">
        <v>83</v>
      </c>
      <c r="C26" s="42" t="s">
        <v>622</v>
      </c>
      <c r="D26" s="183" t="str">
        <f>D25</f>
        <v>暂估计提 100</v>
      </c>
      <c r="E26" s="184" t="str">
        <f t="shared" si="3"/>
        <v>2021.09月 仓储费 陶瓷暂估计提 100</v>
      </c>
      <c r="F26" s="185" t="str">
        <f>INDEX(O:O,MATCH($B26,$O:$O,0)+1)</f>
        <v>1221.103</v>
      </c>
      <c r="G26" s="185" t="str">
        <f>INDEX(P:P,MATCH($B26,$O:$O,0)+1)</f>
        <v>拓展部-陶瓷部</v>
      </c>
      <c r="H26" s="186">
        <f>-H25</f>
        <v>100</v>
      </c>
      <c r="I26" s="207"/>
      <c r="Q26" s="48"/>
      <c r="R26" s="48"/>
      <c r="S26" s="48"/>
      <c r="T26" s="48"/>
      <c r="AA26" s="167"/>
      <c r="AB26" s="167"/>
    </row>
    <row r="27" customFormat="1" spans="1:28">
      <c r="A27" s="167"/>
      <c r="B27" s="48"/>
      <c r="C27" s="42"/>
      <c r="D27" s="183"/>
      <c r="E27" s="187"/>
      <c r="F27" s="188"/>
      <c r="G27" s="188"/>
      <c r="H27" s="189"/>
      <c r="I27" s="189"/>
      <c r="Q27" s="48"/>
      <c r="R27" s="48"/>
      <c r="S27" s="48"/>
      <c r="T27" s="48"/>
      <c r="AA27" s="167"/>
      <c r="AB27" s="167"/>
    </row>
    <row r="28" customFormat="1" spans="1:28">
      <c r="A28" s="167"/>
      <c r="B28" s="48"/>
      <c r="C28" s="42"/>
      <c r="D28" s="183"/>
      <c r="E28" s="187"/>
      <c r="F28" s="188"/>
      <c r="G28" s="188"/>
      <c r="H28" s="189"/>
      <c r="I28" s="189"/>
      <c r="Q28" s="48"/>
      <c r="R28" s="48"/>
      <c r="S28" s="48"/>
      <c r="T28" s="48"/>
      <c r="AA28" s="167"/>
      <c r="AB28" s="167"/>
    </row>
    <row r="29" customFormat="1" spans="4:28">
      <c r="D29" s="31"/>
      <c r="O29" t="s">
        <v>20</v>
      </c>
      <c r="Q29" s="48"/>
      <c r="R29" s="48"/>
      <c r="S29" s="48"/>
      <c r="T29" s="48"/>
      <c r="AA29" s="48"/>
      <c r="AB29" s="48"/>
    </row>
    <row r="30" customFormat="1" ht="15" spans="1:28">
      <c r="A30" s="167" t="s">
        <v>387</v>
      </c>
      <c r="D30" s="31"/>
      <c r="O30" t="s">
        <v>65</v>
      </c>
      <c r="P30" t="s">
        <v>66</v>
      </c>
      <c r="Q30" s="48"/>
      <c r="R30" s="48"/>
      <c r="S30" s="48"/>
      <c r="T30" s="48"/>
      <c r="AA30" s="167"/>
      <c r="AB30" s="167"/>
    </row>
    <row r="31" s="167" customFormat="1" spans="1:28">
      <c r="A31" s="167" t="str">
        <f>$A$30</f>
        <v>2021.09月 </v>
      </c>
      <c r="B31" s="167" t="s">
        <v>20</v>
      </c>
      <c r="C31" s="167" t="s">
        <v>636</v>
      </c>
      <c r="D31" s="169">
        <f>ROUND(L32,2)</f>
        <v>76.12</v>
      </c>
      <c r="E31" s="190" t="str">
        <f>A31&amp;B31&amp;C31&amp;D31</f>
        <v>2021.09月 五金hermes运费 76.12</v>
      </c>
      <c r="F31" s="191" t="str">
        <f>INDEX(O:O,MATCH($B31,$O:$O,0)+5)</f>
        <v>6601.005.006.002</v>
      </c>
      <c r="G31" s="191" t="str">
        <f>INDEX(P:P,MATCH($B31,$O:$O,0)+5)</f>
        <v>销售费用 - 运输成本 - Hermes运费 - 五金事业部-Hermes</v>
      </c>
      <c r="H31" s="192">
        <f>-D31</f>
        <v>-76.12</v>
      </c>
      <c r="I31" s="208"/>
      <c r="K31" s="209" t="s">
        <v>88</v>
      </c>
      <c r="L31" s="210" t="s">
        <v>637</v>
      </c>
      <c r="M31" s="210" t="s">
        <v>638</v>
      </c>
      <c r="O31" t="s">
        <v>639</v>
      </c>
      <c r="P31" t="s">
        <v>640</v>
      </c>
      <c r="Q31" s="48"/>
      <c r="R31" s="48"/>
      <c r="S31" s="48"/>
      <c r="T31" s="48"/>
      <c r="AA31" s="48"/>
      <c r="AB31" s="48"/>
    </row>
    <row r="32" spans="1:28">
      <c r="A32" s="167" t="str">
        <f t="shared" ref="A32:A41" si="6">$A$30</f>
        <v>2021.09月 </v>
      </c>
      <c r="B32" s="48" t="s">
        <v>20</v>
      </c>
      <c r="C32" s="48" t="s">
        <v>636</v>
      </c>
      <c r="D32" s="169">
        <f>D31</f>
        <v>76.12</v>
      </c>
      <c r="E32" s="59" t="str">
        <f>A32&amp;B32&amp;C32&amp;D32</f>
        <v>2021.09月 五金hermes运费 76.12</v>
      </c>
      <c r="F32" s="193" t="str">
        <f>INDEX(O:O,MATCH($B32,$O:$O,0)+1)</f>
        <v>1221.60</v>
      </c>
      <c r="G32" s="193" t="str">
        <f>INDEX(P:P,MATCH($B32,$O:$O,0)+1)</f>
        <v>其他应收款 - 拓展部五金部</v>
      </c>
      <c r="H32" s="41">
        <f>-H31</f>
        <v>76.12</v>
      </c>
      <c r="I32" s="211"/>
      <c r="K32" s="212" t="s">
        <v>641</v>
      </c>
      <c r="L32" s="213">
        <v>76.12</v>
      </c>
      <c r="M32" s="212">
        <v>16</v>
      </c>
      <c r="O32" t="s">
        <v>69</v>
      </c>
      <c r="P32" t="s">
        <v>70</v>
      </c>
      <c r="Q32" s="167"/>
      <c r="U32" s="167"/>
      <c r="V32" s="167"/>
      <c r="W32" s="167"/>
      <c r="X32" s="167"/>
      <c r="Y32" s="167"/>
      <c r="Z32" s="167"/>
      <c r="AA32" s="167"/>
      <c r="AB32" s="167"/>
    </row>
    <row r="33" s="167" customFormat="1" spans="1:28">
      <c r="A33" s="167" t="str">
        <f t="shared" si="6"/>
        <v>2021.09月 </v>
      </c>
      <c r="B33" s="167" t="s">
        <v>20</v>
      </c>
      <c r="C33" s="167" t="s">
        <v>642</v>
      </c>
      <c r="D33" s="169">
        <f>ROUND(L33,2)</f>
        <v>15658.54</v>
      </c>
      <c r="E33" s="194" t="str">
        <f>A33&amp;B33&amp;C33&amp;D33</f>
        <v>2021.09月 五金tnt运费 15658.54</v>
      </c>
      <c r="F33" s="193" t="str">
        <f>INDEX(O:O,MATCH($B33,$O:$O,0)+6)</f>
        <v>6601.005.007.002</v>
      </c>
      <c r="G33" s="193" t="str">
        <f>INDEX(P:P,MATCH($B33,$O:$O,0)+6)</f>
        <v>销售费用 - 运输成本 - TNT运费 - 五金事业部-TNT</v>
      </c>
      <c r="H33" s="195">
        <f>-D33</f>
        <v>-15658.54</v>
      </c>
      <c r="I33" s="214"/>
      <c r="K33" s="212" t="s">
        <v>643</v>
      </c>
      <c r="L33" s="213">
        <v>15658.536075</v>
      </c>
      <c r="M33" s="212">
        <v>643</v>
      </c>
      <c r="O33" s="167" t="s">
        <v>67</v>
      </c>
      <c r="P33" s="167" t="s">
        <v>68</v>
      </c>
      <c r="U33" s="48"/>
      <c r="V33" s="48"/>
      <c r="W33" s="48"/>
      <c r="X33" s="48"/>
      <c r="Y33" s="48"/>
      <c r="Z33" s="48"/>
      <c r="AA33" s="48"/>
      <c r="AB33" s="48"/>
    </row>
    <row r="34" spans="1:28">
      <c r="A34" s="167" t="str">
        <f t="shared" si="6"/>
        <v>2021.09月 </v>
      </c>
      <c r="B34" s="48" t="s">
        <v>20</v>
      </c>
      <c r="C34" s="48" t="s">
        <v>642</v>
      </c>
      <c r="D34" s="169">
        <f>D33</f>
        <v>15658.54</v>
      </c>
      <c r="E34" s="59" t="str">
        <f t="shared" ref="E34:E97" si="7">A34&amp;B34&amp;C34&amp;D34</f>
        <v>2021.09月 五金tnt运费 15658.54</v>
      </c>
      <c r="F34" s="193" t="str">
        <f>INDEX(O:O,MATCH($B34,$O:$O,0)+1)</f>
        <v>1221.60</v>
      </c>
      <c r="G34" s="193" t="str">
        <f>INDEX(P:P,MATCH($B34,$O:$O,0)+1)</f>
        <v>其他应收款 - 拓展部五金部</v>
      </c>
      <c r="H34" s="55">
        <f>-H33</f>
        <v>15658.54</v>
      </c>
      <c r="I34" s="211"/>
      <c r="K34" s="212" t="s">
        <v>644</v>
      </c>
      <c r="L34" s="213">
        <v>6447.5474025974</v>
      </c>
      <c r="M34" s="212">
        <v>137</v>
      </c>
      <c r="O34" s="48" t="s">
        <v>645</v>
      </c>
      <c r="P34" s="48" t="s">
        <v>646</v>
      </c>
      <c r="T34" s="167"/>
      <c r="AA34" s="167"/>
      <c r="AB34" s="167"/>
    </row>
    <row r="35" s="167" customFormat="1" spans="1:28">
      <c r="A35" s="167" t="str">
        <f t="shared" si="6"/>
        <v>2021.09月 </v>
      </c>
      <c r="B35" s="167" t="s">
        <v>20</v>
      </c>
      <c r="C35" s="167" t="s">
        <v>647</v>
      </c>
      <c r="D35" s="169">
        <f>ROUND(L34,2)</f>
        <v>6447.55</v>
      </c>
      <c r="E35" s="194" t="str">
        <f t="shared" si="7"/>
        <v>2021.09月 五金pl运费 6447.55</v>
      </c>
      <c r="F35" s="193" t="str">
        <f>INDEX(O:O,MATCH($B35,$O:$O,0)+7)</f>
        <v>6601.005.005.002</v>
      </c>
      <c r="G35" s="193" t="str">
        <f>INDEX(P:P,MATCH($B35,$O:$O,0)+7)</f>
        <v>销售费用 - 运输成本 - PL运费 - 五金事业部-Palletline</v>
      </c>
      <c r="H35" s="196">
        <f t="shared" ref="H35:H39" si="8">-D35</f>
        <v>-6447.55</v>
      </c>
      <c r="I35" s="214"/>
      <c r="K35" s="212" t="s">
        <v>648</v>
      </c>
      <c r="L35" s="213">
        <v>2629.21666666667</v>
      </c>
      <c r="M35" s="212"/>
      <c r="O35" s="48" t="s">
        <v>649</v>
      </c>
      <c r="P35" s="48" t="s">
        <v>650</v>
      </c>
      <c r="Q35" s="48"/>
      <c r="R35" s="48"/>
      <c r="S35" s="48"/>
      <c r="AA35" s="48"/>
      <c r="AB35" s="48"/>
    </row>
    <row r="36" spans="1:28">
      <c r="A36" s="167" t="str">
        <f t="shared" si="6"/>
        <v>2021.09月 </v>
      </c>
      <c r="B36" s="48" t="s">
        <v>20</v>
      </c>
      <c r="C36" s="48" t="s">
        <v>647</v>
      </c>
      <c r="D36" s="169">
        <f t="shared" ref="D36:D40" si="9">D35</f>
        <v>6447.55</v>
      </c>
      <c r="E36" s="59" t="str">
        <f t="shared" si="7"/>
        <v>2021.09月 五金pl运费 6447.55</v>
      </c>
      <c r="F36" s="193" t="str">
        <f>INDEX(O:O,MATCH($B36,$O:$O,0)+1)</f>
        <v>1221.60</v>
      </c>
      <c r="G36" s="193" t="str">
        <f>INDEX(P:P,MATCH($B36,$O:$O,0)+1)</f>
        <v>其他应收款 - 拓展部五金部</v>
      </c>
      <c r="H36" s="41">
        <f t="shared" ref="H36:H40" si="10">-H35</f>
        <v>6447.55</v>
      </c>
      <c r="I36" s="211"/>
      <c r="K36" s="212" t="s">
        <v>651</v>
      </c>
      <c r="L36" s="213"/>
      <c r="M36" s="212"/>
      <c r="O36" s="167" t="s">
        <v>652</v>
      </c>
      <c r="P36" s="167" t="s">
        <v>653</v>
      </c>
      <c r="Q36" s="167"/>
      <c r="R36" s="167"/>
      <c r="S36" s="167"/>
      <c r="T36" s="167"/>
      <c r="AA36" s="167"/>
      <c r="AB36" s="167"/>
    </row>
    <row r="37" s="167" customFormat="1" spans="1:28">
      <c r="A37" s="167" t="str">
        <f t="shared" si="6"/>
        <v>2021.09月 </v>
      </c>
      <c r="B37" s="167" t="s">
        <v>20</v>
      </c>
      <c r="C37" s="167" t="s">
        <v>654</v>
      </c>
      <c r="D37" s="169">
        <f>ROUND(L35,2)</f>
        <v>2629.22</v>
      </c>
      <c r="E37" s="194" t="str">
        <f t="shared" si="7"/>
        <v>2021.09月 五金pl托盘费 2629.22</v>
      </c>
      <c r="F37" s="193" t="str">
        <f>INDEX(O:O,MATCH($B37,$O:$O,0)+8)</f>
        <v>6601.005.001</v>
      </c>
      <c r="G37" s="193" t="str">
        <f>INDEX(P:P,MATCH($B37,$O:$O,0)+8)</f>
        <v>销售费用 - 运输成本 - 运输用托盘
</v>
      </c>
      <c r="H37" s="196">
        <f t="shared" si="8"/>
        <v>-2629.22</v>
      </c>
      <c r="I37" s="214"/>
      <c r="K37" s="212" t="s">
        <v>655</v>
      </c>
      <c r="L37" s="212"/>
      <c r="M37" s="215"/>
      <c r="O37" s="48" t="s">
        <v>616</v>
      </c>
      <c r="P37" s="48" t="s">
        <v>656</v>
      </c>
      <c r="Q37" s="48"/>
      <c r="R37" s="48"/>
      <c r="S37" s="48"/>
      <c r="AA37" s="48"/>
      <c r="AB37" s="48"/>
    </row>
    <row r="38" spans="1:20">
      <c r="A38" s="167" t="str">
        <f t="shared" si="6"/>
        <v>2021.09月 </v>
      </c>
      <c r="B38" s="48" t="s">
        <v>20</v>
      </c>
      <c r="C38" s="48" t="s">
        <v>654</v>
      </c>
      <c r="D38" s="169">
        <f t="shared" si="9"/>
        <v>2629.22</v>
      </c>
      <c r="E38" s="59" t="str">
        <f t="shared" si="7"/>
        <v>2021.09月 五金pl托盘费 2629.22</v>
      </c>
      <c r="F38" s="193" t="str">
        <f>INDEX(O:O,MATCH($B38,$O:$O,0)+1)</f>
        <v>1221.60</v>
      </c>
      <c r="G38" s="193" t="str">
        <f>INDEX(P:P,MATCH($B38,$O:$O,0)+1)</f>
        <v>其他应收款 - 拓展部五金部</v>
      </c>
      <c r="H38" s="41">
        <f t="shared" si="10"/>
        <v>2629.22</v>
      </c>
      <c r="I38" s="211"/>
      <c r="K38" s="209" t="s">
        <v>12</v>
      </c>
      <c r="L38" s="210">
        <v>24811.4201442641</v>
      </c>
      <c r="M38" s="210">
        <v>796</v>
      </c>
      <c r="O38" s="167" t="s">
        <v>657</v>
      </c>
      <c r="P38" s="167" t="s">
        <v>658</v>
      </c>
      <c r="Q38" s="167"/>
      <c r="R38" s="167"/>
      <c r="S38" s="167"/>
      <c r="T38" s="167"/>
    </row>
    <row r="39" s="167" customFormat="1" hidden="1" spans="1:28">
      <c r="A39" s="167" t="str">
        <f t="shared" si="6"/>
        <v>2021.09月 </v>
      </c>
      <c r="B39" s="48" t="s">
        <v>20</v>
      </c>
      <c r="C39" s="167" t="s">
        <v>659</v>
      </c>
      <c r="D39" s="169">
        <f>L36</f>
        <v>0</v>
      </c>
      <c r="E39" s="194" t="str">
        <f t="shared" si="7"/>
        <v>2021.09月 五金pl运费（调货）0</v>
      </c>
      <c r="F39" s="193" t="str">
        <f>INDEX(O:O,MATCH($B39,$O:$O,0)+7)</f>
        <v>6601.005.005.002</v>
      </c>
      <c r="G39" s="193" t="str">
        <f>INDEX(P:P,MATCH($B39,$O:$O,0)+7)</f>
        <v>销售费用 - 运输成本 - PL运费 - 五金事业部-Palletline</v>
      </c>
      <c r="H39" s="196">
        <f t="shared" si="8"/>
        <v>0</v>
      </c>
      <c r="I39" s="214"/>
      <c r="K39" s="216" t="s">
        <v>660</v>
      </c>
      <c r="L39" s="216">
        <v>39642.72</v>
      </c>
      <c r="M39" s="216">
        <v>3119</v>
      </c>
      <c r="O39"/>
      <c r="P39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 hidden="1" spans="1:20">
      <c r="A40" s="167" t="str">
        <f t="shared" si="6"/>
        <v>2021.09月 </v>
      </c>
      <c r="B40" s="48" t="s">
        <v>20</v>
      </c>
      <c r="C40" s="167" t="s">
        <v>659</v>
      </c>
      <c r="D40" s="169">
        <f t="shared" si="9"/>
        <v>0</v>
      </c>
      <c r="E40" s="59" t="str">
        <f t="shared" si="7"/>
        <v>2021.09月 五金pl运费（调货）0</v>
      </c>
      <c r="F40" s="193" t="str">
        <f>INDEX(O:O,MATCH($B40,$O:$O,0)+1)</f>
        <v>1221.60</v>
      </c>
      <c r="G40" s="193" t="str">
        <f>INDEX(P:P,MATCH($B40,$O:$O,0)+1)</f>
        <v>其他应收款 - 拓展部五金部</v>
      </c>
      <c r="H40" s="41">
        <f t="shared" si="10"/>
        <v>0</v>
      </c>
      <c r="I40" s="211"/>
      <c r="O40" t="s">
        <v>18</v>
      </c>
      <c r="P40"/>
      <c r="Q40" s="167"/>
      <c r="R40" s="167"/>
      <c r="S40" s="167"/>
      <c r="T40" s="167"/>
    </row>
    <row r="41" hidden="1" spans="1:16">
      <c r="A41" s="167" t="str">
        <f t="shared" si="6"/>
        <v>2021.09月 </v>
      </c>
      <c r="B41" s="48" t="s">
        <v>20</v>
      </c>
      <c r="C41" s="167" t="s">
        <v>661</v>
      </c>
      <c r="D41" s="169">
        <f>L37</f>
        <v>0</v>
      </c>
      <c r="E41" s="194" t="str">
        <f t="shared" si="7"/>
        <v>2021.09月 五金pl托盘费 （调货）0</v>
      </c>
      <c r="F41" s="193" t="str">
        <f>INDEX(O:O,MATCH($B41,$O:$O,0)+8)</f>
        <v>6601.005.001</v>
      </c>
      <c r="G41" s="193" t="str">
        <f>INDEX(P:P,MATCH($B41,$O:$O,0)+8)</f>
        <v>销售费用 - 运输成本 - 运输用托盘
</v>
      </c>
      <c r="H41" s="196">
        <f t="shared" ref="H41:H45" si="11">-D41</f>
        <v>0</v>
      </c>
      <c r="I41" s="214"/>
      <c r="O41" t="s">
        <v>59</v>
      </c>
      <c r="P41" t="s">
        <v>60</v>
      </c>
    </row>
    <row r="42" hidden="1" spans="1:20">
      <c r="A42" s="167" t="str">
        <f t="shared" ref="A42:A51" si="12">$A$30</f>
        <v>2021.09月 </v>
      </c>
      <c r="B42" s="48" t="s">
        <v>20</v>
      </c>
      <c r="C42" s="167" t="s">
        <v>661</v>
      </c>
      <c r="D42" s="169">
        <f>D41</f>
        <v>0</v>
      </c>
      <c r="E42" s="59" t="str">
        <f t="shared" si="7"/>
        <v>2021.09月 五金pl托盘费 （调货）0</v>
      </c>
      <c r="F42" s="193" t="str">
        <f>INDEX(O:O,MATCH($B42,$O:$O,0)+1)</f>
        <v>1221.60</v>
      </c>
      <c r="G42" s="193" t="str">
        <f>INDEX(P:P,MATCH($B42,$O:$O,0)+1)</f>
        <v>其他应收款 - 拓展部五金部</v>
      </c>
      <c r="H42" s="41">
        <f t="shared" ref="H42:H46" si="13">-H41</f>
        <v>0</v>
      </c>
      <c r="I42" s="211"/>
      <c r="O42" t="s">
        <v>662</v>
      </c>
      <c r="P42" t="s">
        <v>663</v>
      </c>
      <c r="Q42" s="167"/>
      <c r="R42" s="167"/>
      <c r="S42" s="167"/>
      <c r="T42" s="167"/>
    </row>
    <row r="43" ht="13" customHeight="1" spans="1:16">
      <c r="A43" s="167" t="str">
        <f t="shared" si="12"/>
        <v>2021.09月 </v>
      </c>
      <c r="B43" s="167" t="s">
        <v>20</v>
      </c>
      <c r="C43" s="167" t="s">
        <v>664</v>
      </c>
      <c r="D43" s="168">
        <f>L39</f>
        <v>39642.72</v>
      </c>
      <c r="E43" s="194" t="str">
        <f t="shared" si="7"/>
        <v>2021.09月 五金van运费 39642.72</v>
      </c>
      <c r="F43" s="193" t="str">
        <f>INDEX(O:O,MATCH($B43,$O:$O,0)+9)</f>
        <v>6601.005.004.023</v>
      </c>
      <c r="G43" s="193" t="str">
        <f>INDEX(P:P,MATCH($B43,$O:$O,0)+9)</f>
        <v>销售费用 - 运输成本 - Van司机运费 - 五金事业部-Van</v>
      </c>
      <c r="H43" s="196">
        <f t="shared" si="11"/>
        <v>-39642.72</v>
      </c>
      <c r="I43" s="214"/>
      <c r="O43" t="s">
        <v>63</v>
      </c>
      <c r="P43" t="s">
        <v>64</v>
      </c>
    </row>
    <row r="44" ht="15" spans="1:20">
      <c r="A44" s="167" t="str">
        <f t="shared" si="12"/>
        <v>2021.09月 </v>
      </c>
      <c r="B44" s="197" t="s">
        <v>20</v>
      </c>
      <c r="C44" s="197" t="s">
        <v>664</v>
      </c>
      <c r="D44" s="198">
        <f>D43</f>
        <v>39642.72</v>
      </c>
      <c r="E44" s="61" t="str">
        <f t="shared" si="7"/>
        <v>2021.09月 五金van运费 39642.72</v>
      </c>
      <c r="F44" s="199" t="str">
        <f>INDEX(O:O,MATCH($B44,$O:$O,0)+1)</f>
        <v>1221.60</v>
      </c>
      <c r="G44" s="199" t="str">
        <f>INDEX(P:P,MATCH($B44,$O:$O,0)+1)</f>
        <v>其他应收款 - 拓展部五金部</v>
      </c>
      <c r="H44" s="200">
        <f t="shared" si="13"/>
        <v>39642.72</v>
      </c>
      <c r="I44" s="217"/>
      <c r="O44" s="48" t="s">
        <v>61</v>
      </c>
      <c r="P44" s="48" t="s">
        <v>62</v>
      </c>
      <c r="Q44"/>
      <c r="R44"/>
      <c r="S44"/>
      <c r="T44"/>
    </row>
    <row r="45" spans="1:20">
      <c r="A45" s="167" t="str">
        <f t="shared" si="12"/>
        <v>2021.09月 </v>
      </c>
      <c r="B45" s="167" t="s">
        <v>19</v>
      </c>
      <c r="C45" s="167" t="s">
        <v>636</v>
      </c>
      <c r="D45" s="168">
        <f>ROUND(L46,2)</f>
        <v>391.59</v>
      </c>
      <c r="E45" s="190" t="str">
        <f t="shared" si="7"/>
        <v>2021.09月 水龙头hermes运费 391.59</v>
      </c>
      <c r="F45" s="191" t="str">
        <f>INDEX(O:O,MATCH($B45,$O:$O,0)+5)</f>
        <v>6601.005.006.004</v>
      </c>
      <c r="G45" s="191" t="str">
        <f>INDEX(P:P,MATCH($B45,$O:$O,0)+5)</f>
        <v>销售费用 - 运输成本 - Hermes运费 - 水龙头事业部-Hermes</v>
      </c>
      <c r="H45" s="192">
        <f t="shared" si="11"/>
        <v>-391.59</v>
      </c>
      <c r="I45" s="208"/>
      <c r="K45" s="209" t="s">
        <v>88</v>
      </c>
      <c r="L45" s="210" t="s">
        <v>637</v>
      </c>
      <c r="M45" s="210" t="s">
        <v>638</v>
      </c>
      <c r="O45" s="48" t="s">
        <v>665</v>
      </c>
      <c r="P45" s="48" t="s">
        <v>666</v>
      </c>
      <c r="T45"/>
    </row>
    <row r="46" spans="1:20">
      <c r="A46" s="167" t="str">
        <f t="shared" si="12"/>
        <v>2021.09月 </v>
      </c>
      <c r="B46" s="48" t="s">
        <v>19</v>
      </c>
      <c r="C46" s="48" t="s">
        <v>636</v>
      </c>
      <c r="D46" s="168">
        <f>D45</f>
        <v>391.59</v>
      </c>
      <c r="E46" s="59" t="str">
        <f t="shared" si="7"/>
        <v>2021.09月 水龙头hermes运费 391.59</v>
      </c>
      <c r="F46" s="193" t="str">
        <f>INDEX(O:O,MATCH($B46,$O:$O,0)+1)</f>
        <v>1221.100</v>
      </c>
      <c r="G46" s="193" t="str">
        <f>INDEX(P:P,MATCH($B46,$O:$O,0)+1)</f>
        <v>其他应收款 - 拓展部-水龙头</v>
      </c>
      <c r="H46" s="41">
        <f t="shared" si="13"/>
        <v>391.59</v>
      </c>
      <c r="I46" s="211"/>
      <c r="K46" s="212" t="s">
        <v>641</v>
      </c>
      <c r="L46" s="213">
        <v>391.589999999999</v>
      </c>
      <c r="M46" s="212">
        <v>149</v>
      </c>
      <c r="O46" s="167" t="s">
        <v>667</v>
      </c>
      <c r="P46" s="167" t="s">
        <v>668</v>
      </c>
      <c r="Q46" s="167"/>
      <c r="R46" s="167"/>
      <c r="S46" s="167"/>
      <c r="T46"/>
    </row>
    <row r="47" spans="1:20">
      <c r="A47" s="167" t="str">
        <f t="shared" si="12"/>
        <v>2021.09月 </v>
      </c>
      <c r="B47" s="167" t="s">
        <v>19</v>
      </c>
      <c r="C47" s="167" t="s">
        <v>642</v>
      </c>
      <c r="D47" s="168">
        <f>ROUND(L47,2)</f>
        <v>729.69</v>
      </c>
      <c r="E47" s="194" t="str">
        <f t="shared" si="7"/>
        <v>2021.09月 水龙头tnt运费 729.69</v>
      </c>
      <c r="F47" s="193" t="str">
        <f>INDEX(O:O,MATCH($B47,$O:$O,0)+6)</f>
        <v>6601.005.007.004</v>
      </c>
      <c r="G47" s="193" t="str">
        <f>INDEX(P:P,MATCH($B47,$O:$O,0)+6)</f>
        <v>销售费用 - 运输成本 - TNT运费 - 水龙头事业部-TNT</v>
      </c>
      <c r="H47" s="195">
        <f t="shared" ref="H47:H51" si="14">-D47</f>
        <v>-729.69</v>
      </c>
      <c r="I47" s="214"/>
      <c r="K47" s="212" t="s">
        <v>643</v>
      </c>
      <c r="L47" s="213">
        <v>729.6939</v>
      </c>
      <c r="M47" s="212">
        <v>73</v>
      </c>
      <c r="O47" s="48" t="s">
        <v>669</v>
      </c>
      <c r="P47" s="48" t="s">
        <v>670</v>
      </c>
      <c r="T47"/>
    </row>
    <row r="48" spans="1:20">
      <c r="A48" s="167" t="str">
        <f t="shared" si="12"/>
        <v>2021.09月 </v>
      </c>
      <c r="B48" s="48" t="s">
        <v>19</v>
      </c>
      <c r="C48" s="48" t="s">
        <v>642</v>
      </c>
      <c r="D48" s="168">
        <f>D47</f>
        <v>729.69</v>
      </c>
      <c r="E48" s="59" t="str">
        <f t="shared" si="7"/>
        <v>2021.09月 水龙头tnt运费 729.69</v>
      </c>
      <c r="F48" s="193" t="str">
        <f>INDEX(O:O,MATCH($B48,$O:$O,0)+1)</f>
        <v>1221.100</v>
      </c>
      <c r="G48" s="193" t="str">
        <f>INDEX(P:P,MATCH($B48,$O:$O,0)+1)</f>
        <v>其他应收款 - 拓展部-水龙头</v>
      </c>
      <c r="H48" s="55">
        <f t="shared" ref="H48:H52" si="15">-H47</f>
        <v>729.69</v>
      </c>
      <c r="I48" s="211"/>
      <c r="K48" s="212" t="s">
        <v>644</v>
      </c>
      <c r="L48" s="213">
        <v>223.392780830281</v>
      </c>
      <c r="M48" s="212">
        <v>20</v>
      </c>
      <c r="O48" s="167" t="s">
        <v>616</v>
      </c>
      <c r="P48" s="167" t="s">
        <v>617</v>
      </c>
      <c r="Q48" s="167"/>
      <c r="R48" s="167"/>
      <c r="S48"/>
      <c r="T48"/>
    </row>
    <row r="49" spans="1:20">
      <c r="A49" s="167" t="str">
        <f t="shared" si="12"/>
        <v>2021.09月 </v>
      </c>
      <c r="B49" s="167" t="s">
        <v>19</v>
      </c>
      <c r="C49" s="167" t="s">
        <v>647</v>
      </c>
      <c r="D49" s="168">
        <f>ROUND(L48,2)</f>
        <v>223.39</v>
      </c>
      <c r="E49" s="194" t="str">
        <f t="shared" si="7"/>
        <v>2021.09月 水龙头pl运费 223.39</v>
      </c>
      <c r="F49" s="193" t="str">
        <f>INDEX(O:O,MATCH($B49,$O:$O,0)+7)</f>
        <v>6601.005.005.004</v>
      </c>
      <c r="G49" s="193" t="str">
        <f>INDEX(P:P,MATCH($B49,$O:$O,0)+7)</f>
        <v>销售费用 - 运输成本 - PL运费 - 水龙头事业部-Palletline</v>
      </c>
      <c r="H49" s="196">
        <f t="shared" si="14"/>
        <v>-223.39</v>
      </c>
      <c r="I49" s="214"/>
      <c r="K49" s="212" t="s">
        <v>648</v>
      </c>
      <c r="L49" s="213">
        <v>151.779166666667</v>
      </c>
      <c r="M49" s="212"/>
      <c r="O49" s="48" t="s">
        <v>671</v>
      </c>
      <c r="P49" s="48" t="s">
        <v>672</v>
      </c>
      <c r="S49"/>
      <c r="T49"/>
    </row>
    <row r="50" spans="1:20">
      <c r="A50" s="167" t="str">
        <f t="shared" si="12"/>
        <v>2021.09月 </v>
      </c>
      <c r="B50" s="48" t="s">
        <v>19</v>
      </c>
      <c r="C50" s="48" t="s">
        <v>647</v>
      </c>
      <c r="D50" s="168">
        <f t="shared" ref="D50:D54" si="16">D49</f>
        <v>223.39</v>
      </c>
      <c r="E50" s="59" t="str">
        <f t="shared" si="7"/>
        <v>2021.09月 水龙头pl运费 223.39</v>
      </c>
      <c r="F50" s="193" t="str">
        <f>INDEX(O:O,MATCH($B50,$O:$O,0)+1)</f>
        <v>1221.100</v>
      </c>
      <c r="G50" s="193" t="str">
        <f>INDEX(P:P,MATCH($B50,$O:$O,0)+1)</f>
        <v>其他应收款 - 拓展部-水龙头</v>
      </c>
      <c r="H50" s="41">
        <f t="shared" si="15"/>
        <v>223.39</v>
      </c>
      <c r="I50" s="211"/>
      <c r="K50" s="212" t="s">
        <v>651</v>
      </c>
      <c r="L50" s="213">
        <v>174</v>
      </c>
      <c r="M50" s="212">
        <v>3</v>
      </c>
      <c r="O50"/>
      <c r="P50"/>
      <c r="Q50"/>
      <c r="R50"/>
      <c r="S50"/>
      <c r="T50"/>
    </row>
    <row r="51" spans="1:20">
      <c r="A51" s="167" t="str">
        <f t="shared" si="12"/>
        <v>2021.09月 </v>
      </c>
      <c r="B51" s="167" t="s">
        <v>19</v>
      </c>
      <c r="C51" s="167" t="s">
        <v>654</v>
      </c>
      <c r="D51" s="168">
        <f>ROUND(L49,2)</f>
        <v>151.78</v>
      </c>
      <c r="E51" s="194" t="str">
        <f t="shared" si="7"/>
        <v>2021.09月 水龙头pl托盘费 151.78</v>
      </c>
      <c r="F51" s="193" t="str">
        <f>INDEX(O:O,MATCH($B51,$O:$O,0)+8)</f>
        <v>6601.005.001</v>
      </c>
      <c r="G51" s="193" t="str">
        <f>INDEX(P:P,MATCH($B51,$O:$O,0)+8)</f>
        <v>销售费用 - 运输成本 - 运输用托盘</v>
      </c>
      <c r="H51" s="196">
        <f t="shared" si="14"/>
        <v>-151.78</v>
      </c>
      <c r="I51" s="214"/>
      <c r="K51" s="212" t="s">
        <v>655</v>
      </c>
      <c r="L51" s="212">
        <v>54.75</v>
      </c>
      <c r="M51" s="215"/>
      <c r="O51" t="s">
        <v>233</v>
      </c>
      <c r="P51"/>
      <c r="Q51"/>
      <c r="R51"/>
      <c r="S51"/>
      <c r="T51"/>
    </row>
    <row r="52" spans="1:20">
      <c r="A52" s="167" t="str">
        <f t="shared" ref="A52:A61" si="17">$A$30</f>
        <v>2021.09月 </v>
      </c>
      <c r="B52" s="48" t="s">
        <v>19</v>
      </c>
      <c r="C52" s="48" t="s">
        <v>654</v>
      </c>
      <c r="D52" s="168">
        <f t="shared" si="16"/>
        <v>151.78</v>
      </c>
      <c r="E52" s="59" t="str">
        <f t="shared" si="7"/>
        <v>2021.09月 水龙头pl托盘费 151.78</v>
      </c>
      <c r="F52" s="193" t="str">
        <f>INDEX(O:O,MATCH($B52,$O:$O,0)+1)</f>
        <v>1221.100</v>
      </c>
      <c r="G52" s="193" t="str">
        <f>INDEX(P:P,MATCH($B52,$O:$O,0)+1)</f>
        <v>其他应收款 - 拓展部-水龙头</v>
      </c>
      <c r="H52" s="41">
        <f t="shared" si="15"/>
        <v>151.78</v>
      </c>
      <c r="I52" s="211"/>
      <c r="K52" s="209" t="s">
        <v>12</v>
      </c>
      <c r="L52" s="210">
        <v>1725.20584749695</v>
      </c>
      <c r="M52" s="210">
        <v>245</v>
      </c>
      <c r="O52" t="s">
        <v>129</v>
      </c>
      <c r="P52" t="s">
        <v>130</v>
      </c>
      <c r="Q52"/>
      <c r="R52"/>
      <c r="S52"/>
      <c r="T52"/>
    </row>
    <row r="53" spans="1:20">
      <c r="A53" s="167" t="str">
        <f t="shared" si="17"/>
        <v>2021.09月 </v>
      </c>
      <c r="B53" s="167" t="s">
        <v>19</v>
      </c>
      <c r="C53" s="167" t="s">
        <v>659</v>
      </c>
      <c r="D53" s="168">
        <f>ROUND(L50,2)</f>
        <v>174</v>
      </c>
      <c r="E53" s="194" t="str">
        <f t="shared" si="7"/>
        <v>2021.09月 水龙头pl运费（调货）174</v>
      </c>
      <c r="F53" s="193" t="str">
        <f>INDEX(O:O,MATCH($B53,$O:$O,0)+7)</f>
        <v>6601.005.005.004</v>
      </c>
      <c r="G53" s="193" t="str">
        <f>INDEX(P:P,MATCH($B53,$O:$O,0)+7)</f>
        <v>销售费用 - 运输成本 - PL运费 - 水龙头事业部-Palletline</v>
      </c>
      <c r="H53" s="196">
        <f t="shared" ref="H53:H57" si="18">-D53</f>
        <v>-174</v>
      </c>
      <c r="I53" s="214"/>
      <c r="K53" s="216" t="s">
        <v>660</v>
      </c>
      <c r="L53" s="216">
        <v>4381.17</v>
      </c>
      <c r="M53" s="216">
        <v>757</v>
      </c>
      <c r="O53" t="s">
        <v>673</v>
      </c>
      <c r="P53" t="s">
        <v>674</v>
      </c>
      <c r="Q53" s="167"/>
      <c r="R53" s="167"/>
      <c r="S53" s="167"/>
      <c r="T53" s="167"/>
    </row>
    <row r="54" spans="1:16">
      <c r="A54" s="167" t="str">
        <f t="shared" si="17"/>
        <v>2021.09月 </v>
      </c>
      <c r="B54" s="48" t="s">
        <v>19</v>
      </c>
      <c r="C54" s="167" t="s">
        <v>659</v>
      </c>
      <c r="D54" s="168">
        <f t="shared" si="16"/>
        <v>174</v>
      </c>
      <c r="E54" s="59" t="str">
        <f t="shared" si="7"/>
        <v>2021.09月 水龙头pl运费（调货）174</v>
      </c>
      <c r="F54" s="193" t="str">
        <f>INDEX(O:O,MATCH($B54,$O:$O,0)+1)</f>
        <v>1221.100</v>
      </c>
      <c r="G54" s="193" t="str">
        <f>INDEX(P:P,MATCH($B54,$O:$O,0)+1)</f>
        <v>其他应收款 - 拓展部-水龙头</v>
      </c>
      <c r="H54" s="41">
        <f t="shared" ref="H54:H58" si="19">-H53</f>
        <v>174</v>
      </c>
      <c r="I54" s="211"/>
      <c r="O54" t="s">
        <v>133</v>
      </c>
      <c r="P54" t="s">
        <v>134</v>
      </c>
    </row>
    <row r="55" spans="1:16">
      <c r="A55" s="167" t="str">
        <f t="shared" si="17"/>
        <v>2021.09月 </v>
      </c>
      <c r="B55" s="167" t="s">
        <v>19</v>
      </c>
      <c r="C55" s="167" t="s">
        <v>661</v>
      </c>
      <c r="D55" s="168">
        <f>ROUND(L51,2)</f>
        <v>54.75</v>
      </c>
      <c r="E55" s="194" t="str">
        <f t="shared" si="7"/>
        <v>2021.09月 水龙头pl托盘费 （调货）54.75</v>
      </c>
      <c r="F55" s="193" t="str">
        <f>INDEX(O:O,MATCH($B55,$O:$O,0)+8)</f>
        <v>6601.005.001</v>
      </c>
      <c r="G55" s="193" t="str">
        <f>INDEX(P:P,MATCH($B55,$O:$O,0)+8)</f>
        <v>销售费用 - 运输成本 - 运输用托盘</v>
      </c>
      <c r="H55" s="196">
        <f t="shared" si="18"/>
        <v>-54.75</v>
      </c>
      <c r="I55" s="214"/>
      <c r="O55" s="48" t="s">
        <v>131</v>
      </c>
      <c r="P55" s="48" t="s">
        <v>132</v>
      </c>
    </row>
    <row r="56" spans="1:20">
      <c r="A56" s="167" t="str">
        <f t="shared" si="17"/>
        <v>2021.09月 </v>
      </c>
      <c r="B56" s="48" t="s">
        <v>19</v>
      </c>
      <c r="C56" s="167" t="s">
        <v>661</v>
      </c>
      <c r="D56" s="168">
        <f>D55</f>
        <v>54.75</v>
      </c>
      <c r="E56" s="59" t="str">
        <f t="shared" si="7"/>
        <v>2021.09月 水龙头pl托盘费 （调货）54.75</v>
      </c>
      <c r="F56" s="193" t="str">
        <f>INDEX(O:O,MATCH($B56,$O:$O,0)+1)</f>
        <v>1221.100</v>
      </c>
      <c r="G56" s="193" t="str">
        <f>INDEX(P:P,MATCH($B56,$O:$O,0)+1)</f>
        <v>其他应收款 - 拓展部-水龙头</v>
      </c>
      <c r="H56" s="41">
        <f t="shared" si="19"/>
        <v>54.75</v>
      </c>
      <c r="I56" s="211"/>
      <c r="O56" s="48" t="s">
        <v>675</v>
      </c>
      <c r="P56" s="48" t="s">
        <v>676</v>
      </c>
      <c r="T56" s="167"/>
    </row>
    <row r="57" spans="1:16">
      <c r="A57" s="167" t="str">
        <f t="shared" si="17"/>
        <v>2021.09月 </v>
      </c>
      <c r="B57" s="167" t="s">
        <v>19</v>
      </c>
      <c r="C57" s="167" t="s">
        <v>664</v>
      </c>
      <c r="D57" s="168">
        <f>ROUND(L53,2)</f>
        <v>4381.17</v>
      </c>
      <c r="E57" s="194" t="str">
        <f t="shared" si="7"/>
        <v>2021.09月 水龙头van运费 4381.17</v>
      </c>
      <c r="F57" s="193" t="str">
        <f>INDEX(O:O,MATCH($B57,$O:$O,0)+9)</f>
        <v>6601.005.004.025</v>
      </c>
      <c r="G57" s="193" t="str">
        <f>INDEX(P:P,MATCH($B57,$O:$O,0)+9)</f>
        <v>销售费用 - 运输成本 - Van司机运费 - 水龙头事业部-Van</v>
      </c>
      <c r="H57" s="196">
        <f t="shared" si="18"/>
        <v>-4381.17</v>
      </c>
      <c r="I57" s="214"/>
      <c r="O57" s="48" t="s">
        <v>677</v>
      </c>
      <c r="P57" s="48" t="s">
        <v>678</v>
      </c>
    </row>
    <row r="58" ht="15" spans="1:20">
      <c r="A58" s="167" t="str">
        <f t="shared" si="17"/>
        <v>2021.09月 </v>
      </c>
      <c r="B58" s="197" t="s">
        <v>19</v>
      </c>
      <c r="C58" s="197" t="s">
        <v>664</v>
      </c>
      <c r="D58" s="198">
        <f>D57</f>
        <v>4381.17</v>
      </c>
      <c r="E58" s="61" t="str">
        <f t="shared" si="7"/>
        <v>2021.09月 水龙头van运费 4381.17</v>
      </c>
      <c r="F58" s="199" t="str">
        <f>INDEX(O:O,MATCH($B58,$O:$O,0)+1)</f>
        <v>1221.100</v>
      </c>
      <c r="G58" s="199" t="str">
        <f>INDEX(P:P,MATCH($B58,$O:$O,0)+1)</f>
        <v>其他应收款 - 拓展部-水龙头</v>
      </c>
      <c r="H58" s="200">
        <f t="shared" si="19"/>
        <v>4381.17</v>
      </c>
      <c r="I58" s="217"/>
      <c r="O58" s="48" t="s">
        <v>679</v>
      </c>
      <c r="P58" s="48" t="s">
        <v>680</v>
      </c>
      <c r="T58" s="167"/>
    </row>
    <row r="59" spans="1:16">
      <c r="A59" s="167" t="str">
        <f t="shared" si="17"/>
        <v>2021.09月 </v>
      </c>
      <c r="B59" s="201" t="s">
        <v>18</v>
      </c>
      <c r="C59" s="201" t="s">
        <v>636</v>
      </c>
      <c r="D59" s="202">
        <f>L60</f>
        <v>9</v>
      </c>
      <c r="E59" s="190" t="str">
        <f t="shared" si="7"/>
        <v>2021.09月 镜柜hermes运费 9</v>
      </c>
      <c r="F59" s="191" t="str">
        <f>INDEX(O:O,MATCH($B59,$O:$O,0)+5)</f>
        <v>6601.005.006.003</v>
      </c>
      <c r="G59" s="191" t="str">
        <f>INDEX(P:P,MATCH($B59,$O:$O,0)+5)</f>
        <v>销售费用 - 运输成本 - Hermes运费 - 镜柜事业部-Hermes</v>
      </c>
      <c r="H59" s="192">
        <f t="shared" ref="H59:H63" si="20">-D59</f>
        <v>-9</v>
      </c>
      <c r="I59" s="208"/>
      <c r="K59" s="209" t="s">
        <v>88</v>
      </c>
      <c r="L59" s="210" t="s">
        <v>637</v>
      </c>
      <c r="M59" s="210" t="s">
        <v>638</v>
      </c>
      <c r="O59" t="s">
        <v>616</v>
      </c>
      <c r="P59" t="s">
        <v>617</v>
      </c>
    </row>
    <row r="60" spans="1:20">
      <c r="A60" s="167" t="str">
        <f t="shared" si="17"/>
        <v>2021.09月 </v>
      </c>
      <c r="B60" s="48" t="s">
        <v>18</v>
      </c>
      <c r="C60" s="48" t="s">
        <v>636</v>
      </c>
      <c r="D60" s="203">
        <f>D59</f>
        <v>9</v>
      </c>
      <c r="E60" s="59" t="str">
        <f t="shared" si="7"/>
        <v>2021.09月 镜柜hermes运费 9</v>
      </c>
      <c r="F60" s="193" t="str">
        <f>INDEX(O:O,MATCH($B60,$O:$O,0)+1)</f>
        <v>1221.86</v>
      </c>
      <c r="G60" s="193" t="str">
        <f>INDEX(P:P,MATCH($B60,$O:$O,0)+1)</f>
        <v>其他应收款 - 事业部</v>
      </c>
      <c r="H60" s="41">
        <f t="shared" ref="H60:H64" si="21">-H59</f>
        <v>9</v>
      </c>
      <c r="I60" s="211"/>
      <c r="K60" s="212" t="s">
        <v>641</v>
      </c>
      <c r="L60" s="213">
        <v>9</v>
      </c>
      <c r="M60" s="212">
        <v>2</v>
      </c>
      <c r="O60" s="48" t="s">
        <v>681</v>
      </c>
      <c r="P60" s="48" t="s">
        <v>682</v>
      </c>
      <c r="T60" s="167"/>
    </row>
    <row r="61" spans="1:13">
      <c r="A61" s="167" t="str">
        <f t="shared" si="17"/>
        <v>2021.09月 </v>
      </c>
      <c r="B61" s="167" t="s">
        <v>18</v>
      </c>
      <c r="C61" s="167" t="s">
        <v>642</v>
      </c>
      <c r="D61" s="203">
        <f>ROUND(L61,2)</f>
        <v>2429.87</v>
      </c>
      <c r="E61" s="194" t="str">
        <f t="shared" si="7"/>
        <v>2021.09月 镜柜tnt运费 2429.87</v>
      </c>
      <c r="F61" s="193" t="str">
        <f>INDEX(O:O,MATCH($B61,$O:$O,0)+6)</f>
        <v>6601.005.007.003</v>
      </c>
      <c r="G61" s="193" t="str">
        <f>INDEX(P:P,MATCH($B61,$O:$O,0)+6)</f>
        <v>销售费用 - 运输成本 - TNT运费 - 镜柜事业部-TNT</v>
      </c>
      <c r="H61" s="195">
        <f t="shared" si="20"/>
        <v>-2429.87</v>
      </c>
      <c r="I61" s="214"/>
      <c r="K61" s="212" t="s">
        <v>643</v>
      </c>
      <c r="L61" s="213">
        <v>2429.86575</v>
      </c>
      <c r="M61" s="212">
        <v>165</v>
      </c>
    </row>
    <row r="62" spans="1:13">
      <c r="A62" s="167" t="str">
        <f t="shared" ref="A62:A71" si="22">$A$30</f>
        <v>2021.09月 </v>
      </c>
      <c r="B62" s="48" t="s">
        <v>18</v>
      </c>
      <c r="C62" s="48" t="s">
        <v>642</v>
      </c>
      <c r="D62" s="203">
        <f>D61</f>
        <v>2429.87</v>
      </c>
      <c r="E62" s="59" t="str">
        <f t="shared" si="7"/>
        <v>2021.09月 镜柜tnt运费 2429.87</v>
      </c>
      <c r="F62" s="193" t="str">
        <f>INDEX(O:O,MATCH($B62,$O:$O,0)+1)</f>
        <v>1221.86</v>
      </c>
      <c r="G62" s="193" t="str">
        <f>INDEX(P:P,MATCH($B62,$O:$O,0)+1)</f>
        <v>其他应收款 - 事业部</v>
      </c>
      <c r="H62" s="55">
        <f t="shared" si="21"/>
        <v>2429.87</v>
      </c>
      <c r="I62" s="211"/>
      <c r="K62" s="212" t="s">
        <v>644</v>
      </c>
      <c r="L62" s="213">
        <v>914.334920634921</v>
      </c>
      <c r="M62" s="212">
        <v>35</v>
      </c>
    </row>
    <row r="63" spans="1:15">
      <c r="A63" s="167" t="str">
        <f t="shared" si="22"/>
        <v>2021.09月 </v>
      </c>
      <c r="B63" s="167" t="s">
        <v>18</v>
      </c>
      <c r="C63" s="167" t="s">
        <v>647</v>
      </c>
      <c r="D63" s="203">
        <f>ROUND(L62,2)</f>
        <v>914.33</v>
      </c>
      <c r="E63" s="194" t="str">
        <f t="shared" si="7"/>
        <v>2021.09月 镜柜pl运费 914.33</v>
      </c>
      <c r="F63" s="193" t="str">
        <f>INDEX(O:O,MATCH($B63,$O:$O,0)+7)</f>
        <v>6601.005.005.003</v>
      </c>
      <c r="G63" s="193" t="str">
        <f>INDEX(P:P,MATCH($B63,$O:$O,0)+7)</f>
        <v>销售费用 - 运输成本 - PL运费 - 镜柜事业部-Palletline</v>
      </c>
      <c r="H63" s="196">
        <f t="shared" si="20"/>
        <v>-914.33</v>
      </c>
      <c r="I63" s="214"/>
      <c r="K63" s="212" t="s">
        <v>648</v>
      </c>
      <c r="L63" s="213">
        <v>375.341666666667</v>
      </c>
      <c r="M63" s="212"/>
      <c r="O63" s="48" t="s">
        <v>683</v>
      </c>
    </row>
    <row r="64" spans="1:16">
      <c r="A64" s="167" t="str">
        <f t="shared" si="22"/>
        <v>2021.09月 </v>
      </c>
      <c r="B64" s="48" t="s">
        <v>18</v>
      </c>
      <c r="C64" s="48" t="s">
        <v>647</v>
      </c>
      <c r="D64" s="203">
        <f>D63</f>
        <v>914.33</v>
      </c>
      <c r="E64" s="59" t="str">
        <f t="shared" si="7"/>
        <v>2021.09月 镜柜pl运费 914.33</v>
      </c>
      <c r="F64" s="193" t="str">
        <f>INDEX(O:O,MATCH($B64,$O:$O,0)+1)</f>
        <v>1221.86</v>
      </c>
      <c r="G64" s="193" t="str">
        <f>INDEX(P:P,MATCH($B64,$O:$O,0)+1)</f>
        <v>其他应收款 - 事业部</v>
      </c>
      <c r="H64" s="41">
        <f t="shared" si="21"/>
        <v>914.33</v>
      </c>
      <c r="I64" s="211"/>
      <c r="K64" s="212" t="s">
        <v>651</v>
      </c>
      <c r="L64" s="213">
        <v>306</v>
      </c>
      <c r="M64" s="212">
        <v>2</v>
      </c>
      <c r="O64" s="48" t="s">
        <v>684</v>
      </c>
      <c r="P64" s="48" t="s">
        <v>685</v>
      </c>
    </row>
    <row r="65" spans="1:16">
      <c r="A65" s="167" t="str">
        <f t="shared" si="22"/>
        <v>2021.09月 </v>
      </c>
      <c r="B65" s="167" t="s">
        <v>18</v>
      </c>
      <c r="C65" s="167" t="s">
        <v>654</v>
      </c>
      <c r="D65" s="203">
        <f>ROUND(L63,2)</f>
        <v>375.34</v>
      </c>
      <c r="E65" s="194" t="str">
        <f t="shared" si="7"/>
        <v>2021.09月 镜柜pl托盘费 375.34</v>
      </c>
      <c r="F65" s="193" t="str">
        <f>INDEX(O:O,MATCH($B65,$O:$O,0)+8)</f>
        <v>6601.005.001</v>
      </c>
      <c r="G65" s="193" t="str">
        <f>INDEX(P:P,MATCH($B65,$O:$O,0)+8)</f>
        <v>销售费用 - 运输成本 - 运输用托盘</v>
      </c>
      <c r="H65" s="196">
        <f t="shared" ref="H65:H69" si="23">-D65</f>
        <v>-375.34</v>
      </c>
      <c r="I65" s="214"/>
      <c r="K65" s="212" t="s">
        <v>655</v>
      </c>
      <c r="L65" s="212">
        <v>127.75</v>
      </c>
      <c r="M65" s="215"/>
      <c r="O65" s="48" t="s">
        <v>686</v>
      </c>
      <c r="P65" s="48" t="s">
        <v>687</v>
      </c>
    </row>
    <row r="66" spans="1:16">
      <c r="A66" s="167" t="str">
        <f t="shared" si="22"/>
        <v>2021.09月 </v>
      </c>
      <c r="B66" s="48" t="s">
        <v>18</v>
      </c>
      <c r="C66" s="48" t="s">
        <v>654</v>
      </c>
      <c r="D66" s="203">
        <f>D65</f>
        <v>375.34</v>
      </c>
      <c r="E66" s="59" t="str">
        <f t="shared" si="7"/>
        <v>2021.09月 镜柜pl托盘费 375.34</v>
      </c>
      <c r="F66" s="193" t="str">
        <f>INDEX(O:O,MATCH($B66,$O:$O,0)+1)</f>
        <v>1221.86</v>
      </c>
      <c r="G66" s="193" t="str">
        <f>INDEX(P:P,MATCH($B66,$O:$O,0)+1)</f>
        <v>其他应收款 - 事业部</v>
      </c>
      <c r="H66" s="41">
        <f t="shared" ref="H66:H70" si="24">-H65</f>
        <v>375.34</v>
      </c>
      <c r="I66" s="211"/>
      <c r="K66" s="209" t="s">
        <v>12</v>
      </c>
      <c r="L66" s="210">
        <v>4162.29233730159</v>
      </c>
      <c r="M66" s="210">
        <v>204</v>
      </c>
      <c r="O66" s="48" t="s">
        <v>688</v>
      </c>
      <c r="P66" s="48" t="s">
        <v>689</v>
      </c>
    </row>
    <row r="67" spans="1:16">
      <c r="A67" s="167" t="str">
        <f t="shared" si="22"/>
        <v>2021.09月 </v>
      </c>
      <c r="B67" s="48" t="s">
        <v>18</v>
      </c>
      <c r="C67" s="167" t="s">
        <v>659</v>
      </c>
      <c r="D67" s="203">
        <f>ROUND(L64,2)</f>
        <v>306</v>
      </c>
      <c r="E67" s="194" t="str">
        <f t="shared" si="7"/>
        <v>2021.09月 镜柜pl运费（调货）306</v>
      </c>
      <c r="F67" s="193" t="str">
        <f>INDEX(O:O,MATCH($B67,$O:$O,0)+7)</f>
        <v>6601.005.005.003</v>
      </c>
      <c r="G67" s="193" t="str">
        <f>INDEX(P:P,MATCH($B67,$O:$O,0)+7)</f>
        <v>销售费用 - 运输成本 - PL运费 - 镜柜事业部-Palletline</v>
      </c>
      <c r="H67" s="196">
        <f t="shared" si="23"/>
        <v>-306</v>
      </c>
      <c r="I67" s="214"/>
      <c r="K67" s="216" t="s">
        <v>660</v>
      </c>
      <c r="L67" s="216">
        <v>13093.03</v>
      </c>
      <c r="M67" s="216">
        <v>1126</v>
      </c>
      <c r="O67" s="48" t="s">
        <v>690</v>
      </c>
      <c r="P67" s="48" t="s">
        <v>691</v>
      </c>
    </row>
    <row r="68" spans="1:16">
      <c r="A68" s="167" t="str">
        <f t="shared" si="22"/>
        <v>2021.09月 </v>
      </c>
      <c r="B68" s="48" t="s">
        <v>18</v>
      </c>
      <c r="C68" s="167" t="s">
        <v>659</v>
      </c>
      <c r="D68" s="203">
        <f>D67</f>
        <v>306</v>
      </c>
      <c r="E68" s="59" t="str">
        <f t="shared" si="7"/>
        <v>2021.09月 镜柜pl运费（调货）306</v>
      </c>
      <c r="F68" s="193" t="str">
        <f>INDEX(O:O,MATCH($B68,$O:$O,0)+1)</f>
        <v>1221.86</v>
      </c>
      <c r="G68" s="193" t="str">
        <f>INDEX(P:P,MATCH($B68,$O:$O,0)+1)</f>
        <v>其他应收款 - 事业部</v>
      </c>
      <c r="H68" s="41">
        <f t="shared" si="24"/>
        <v>306</v>
      </c>
      <c r="I68" s="211"/>
      <c r="O68" s="48" t="s">
        <v>267</v>
      </c>
      <c r="P68" s="48" t="s">
        <v>692</v>
      </c>
    </row>
    <row r="69" spans="1:16">
      <c r="A69" s="167" t="str">
        <f t="shared" si="22"/>
        <v>2021.09月 </v>
      </c>
      <c r="B69" s="48" t="s">
        <v>18</v>
      </c>
      <c r="C69" s="167" t="s">
        <v>661</v>
      </c>
      <c r="D69" s="203">
        <f>ROUND(L65,2)</f>
        <v>127.75</v>
      </c>
      <c r="E69" s="194" t="str">
        <f t="shared" si="7"/>
        <v>2021.09月 镜柜pl托盘费 （调货）127.75</v>
      </c>
      <c r="F69" s="193" t="str">
        <f>INDEX(O:O,MATCH($B69,$O:$O,0)+8)</f>
        <v>6601.005.001</v>
      </c>
      <c r="G69" s="193" t="str">
        <f>INDEX(P:P,MATCH($B69,$O:$O,0)+8)</f>
        <v>销售费用 - 运输成本 - 运输用托盘</v>
      </c>
      <c r="H69" s="196">
        <f t="shared" si="23"/>
        <v>-127.75</v>
      </c>
      <c r="I69" s="214"/>
      <c r="O69" s="48" t="s">
        <v>325</v>
      </c>
      <c r="P69" s="48" t="s">
        <v>693</v>
      </c>
    </row>
    <row r="70" spans="1:16">
      <c r="A70" s="167" t="str">
        <f t="shared" si="22"/>
        <v>2021.09月 </v>
      </c>
      <c r="B70" s="48" t="s">
        <v>18</v>
      </c>
      <c r="C70" s="167" t="s">
        <v>661</v>
      </c>
      <c r="D70" s="203">
        <f>D69</f>
        <v>127.75</v>
      </c>
      <c r="E70" s="59" t="str">
        <f t="shared" si="7"/>
        <v>2021.09月 镜柜pl托盘费 （调货）127.75</v>
      </c>
      <c r="F70" s="193" t="str">
        <f>INDEX(O:O,MATCH($B70,$O:$O,0)+1)</f>
        <v>1221.86</v>
      </c>
      <c r="G70" s="193" t="str">
        <f>INDEX(P:P,MATCH($B70,$O:$O,0)+1)</f>
        <v>其他应收款 - 事业部</v>
      </c>
      <c r="H70" s="41">
        <f t="shared" si="24"/>
        <v>127.75</v>
      </c>
      <c r="I70" s="211"/>
      <c r="O70" s="48" t="s">
        <v>694</v>
      </c>
      <c r="P70" s="48" t="s">
        <v>695</v>
      </c>
    </row>
    <row r="71" spans="1:16">
      <c r="A71" s="167" t="str">
        <f t="shared" si="22"/>
        <v>2021.09月 </v>
      </c>
      <c r="B71" s="167" t="s">
        <v>18</v>
      </c>
      <c r="C71" s="167" t="s">
        <v>664</v>
      </c>
      <c r="D71" s="203">
        <f>L67</f>
        <v>13093.03</v>
      </c>
      <c r="E71" s="194" t="str">
        <f t="shared" si="7"/>
        <v>2021.09月 镜柜van运费 13093.03</v>
      </c>
      <c r="F71" s="193" t="str">
        <f>INDEX(O:O,MATCH($B71,$O:$O,0)+9)</f>
        <v>6601.005.004.024</v>
      </c>
      <c r="G71" s="193" t="str">
        <f>INDEX(P:P,MATCH($B71,$O:$O,0)+9)</f>
        <v>销售费用 - 运输成本 - Van司机运费 - 镜柜事业部-Van</v>
      </c>
      <c r="H71" s="196">
        <f t="shared" ref="H71:H75" si="25">-D71</f>
        <v>-13093.03</v>
      </c>
      <c r="I71" s="214"/>
      <c r="O71" s="48" t="s">
        <v>696</v>
      </c>
      <c r="P71" s="48" t="s">
        <v>697</v>
      </c>
    </row>
    <row r="72" ht="15" spans="1:16">
      <c r="A72" s="167" t="str">
        <f t="shared" ref="A72:A81" si="26">$A$30</f>
        <v>2021.09月 </v>
      </c>
      <c r="B72" s="197" t="s">
        <v>18</v>
      </c>
      <c r="C72" s="197" t="s">
        <v>664</v>
      </c>
      <c r="D72" s="218">
        <f>D71</f>
        <v>13093.03</v>
      </c>
      <c r="E72" s="61" t="str">
        <f t="shared" si="7"/>
        <v>2021.09月 镜柜van运费 13093.03</v>
      </c>
      <c r="F72" s="199" t="str">
        <f>INDEX(O:O,MATCH($B72,$O:$O,0)+1)</f>
        <v>1221.86</v>
      </c>
      <c r="G72" s="199" t="str">
        <f>INDEX(P:P,MATCH($B72,$O:$O,0)+1)</f>
        <v>其他应收款 - 事业部</v>
      </c>
      <c r="H72" s="200">
        <f t="shared" ref="H72:H76" si="27">-H71</f>
        <v>13093.03</v>
      </c>
      <c r="I72" s="217"/>
      <c r="O72" s="48" t="s">
        <v>698</v>
      </c>
      <c r="P72" s="48" t="s">
        <v>699</v>
      </c>
    </row>
    <row r="73" hidden="1" spans="1:16">
      <c r="A73" s="167" t="str">
        <f t="shared" si="26"/>
        <v>2021.09月 </v>
      </c>
      <c r="B73" s="219" t="s">
        <v>83</v>
      </c>
      <c r="C73" s="201" t="s">
        <v>636</v>
      </c>
      <c r="D73" s="220"/>
      <c r="E73" s="190" t="str">
        <f t="shared" si="7"/>
        <v>2021.09月 陶瓷hermes运费 </v>
      </c>
      <c r="F73" s="191" t="str">
        <f>INDEX(O:O,MATCH($B73,$O:$O,0)+5)</f>
        <v>6601.005.006.005</v>
      </c>
      <c r="G73" s="191" t="str">
        <f>INDEX(P:P,MATCH($B73,$O:$O,0)+5)</f>
        <v>销售费用_运输成本_Hermes运费_陶瓷事业部-Hermes</v>
      </c>
      <c r="H73" s="192">
        <f t="shared" si="25"/>
        <v>0</v>
      </c>
      <c r="I73" s="208"/>
      <c r="K73" s="209" t="s">
        <v>88</v>
      </c>
      <c r="L73" s="210" t="s">
        <v>637</v>
      </c>
      <c r="M73" s="210" t="s">
        <v>638</v>
      </c>
      <c r="O73" s="48" t="s">
        <v>288</v>
      </c>
      <c r="P73" s="48" t="s">
        <v>700</v>
      </c>
    </row>
    <row r="74" hidden="1" spans="1:26">
      <c r="A74" s="167" t="str">
        <f t="shared" si="26"/>
        <v>2021.09月 </v>
      </c>
      <c r="B74" s="221" t="s">
        <v>83</v>
      </c>
      <c r="C74" s="221" t="s">
        <v>636</v>
      </c>
      <c r="D74" s="222"/>
      <c r="E74" s="59" t="str">
        <f t="shared" si="7"/>
        <v>2021.09月 陶瓷hermes运费 </v>
      </c>
      <c r="F74" s="193" t="str">
        <f>INDEX(O:O,MATCH($B74,$O:$O,0)+1)</f>
        <v>1221.103</v>
      </c>
      <c r="G74" s="193" t="str">
        <f>INDEX(P:P,MATCH($B74,$O:$O,0)+1)</f>
        <v>拓展部-陶瓷部</v>
      </c>
      <c r="H74" s="41">
        <f t="shared" si="27"/>
        <v>0</v>
      </c>
      <c r="I74" s="211"/>
      <c r="K74" s="212" t="s">
        <v>641</v>
      </c>
      <c r="L74" s="213"/>
      <c r="M74" s="212"/>
      <c r="O74" s="48" t="s">
        <v>320</v>
      </c>
      <c r="P74" s="48" t="s">
        <v>701</v>
      </c>
      <c r="U74"/>
      <c r="V74"/>
      <c r="W74"/>
      <c r="X74"/>
      <c r="Y74"/>
      <c r="Z74"/>
    </row>
    <row r="75" hidden="1" spans="1:26">
      <c r="A75" s="167" t="str">
        <f t="shared" si="26"/>
        <v>2021.09月 </v>
      </c>
      <c r="B75" s="221" t="s">
        <v>83</v>
      </c>
      <c r="C75" s="223" t="s">
        <v>642</v>
      </c>
      <c r="D75" s="222">
        <f>ROUND(L75,2)</f>
        <v>0</v>
      </c>
      <c r="E75" s="194" t="str">
        <f t="shared" si="7"/>
        <v>2021.09月 陶瓷tnt运费 0</v>
      </c>
      <c r="F75" s="193" t="str">
        <f>INDEX(O:O,MATCH($B75,$O:$O,0)+6)</f>
        <v>6601.005.007.005</v>
      </c>
      <c r="G75" s="193" t="str">
        <f>INDEX(P:P,MATCH($B75,$O:$O,0)+6)</f>
        <v>销售费用_运输成本_TNT运费_陶瓷事业部-TNT</v>
      </c>
      <c r="H75" s="195">
        <f t="shared" si="25"/>
        <v>0</v>
      </c>
      <c r="I75" s="214"/>
      <c r="K75" s="212" t="s">
        <v>643</v>
      </c>
      <c r="L75" s="213"/>
      <c r="M75" s="212"/>
      <c r="O75" s="48" t="s">
        <v>702</v>
      </c>
      <c r="P75" s="48" t="s">
        <v>703</v>
      </c>
      <c r="U75"/>
      <c r="V75"/>
      <c r="W75"/>
      <c r="X75"/>
      <c r="Y75"/>
      <c r="Z75"/>
    </row>
    <row r="76" hidden="1" spans="1:26">
      <c r="A76" s="167" t="str">
        <f t="shared" si="26"/>
        <v>2021.09月 </v>
      </c>
      <c r="B76" s="221" t="s">
        <v>83</v>
      </c>
      <c r="C76" s="221" t="s">
        <v>642</v>
      </c>
      <c r="D76" s="222">
        <f>D75</f>
        <v>0</v>
      </c>
      <c r="E76" s="59" t="str">
        <f t="shared" si="7"/>
        <v>2021.09月 陶瓷tnt运费 0</v>
      </c>
      <c r="F76" s="193" t="str">
        <f>INDEX(O:O,MATCH($B76,$O:$O,0)+1)</f>
        <v>1221.103</v>
      </c>
      <c r="G76" s="193" t="str">
        <f>INDEX(P:P,MATCH($B76,$O:$O,0)+1)</f>
        <v>拓展部-陶瓷部</v>
      </c>
      <c r="H76" s="55">
        <f t="shared" si="27"/>
        <v>0</v>
      </c>
      <c r="I76" s="211"/>
      <c r="K76" s="212" t="s">
        <v>644</v>
      </c>
      <c r="L76" s="213">
        <v>424.821500721501</v>
      </c>
      <c r="M76" s="212">
        <v>19</v>
      </c>
      <c r="O76" s="48" t="s">
        <v>704</v>
      </c>
      <c r="P76" s="48" t="s">
        <v>705</v>
      </c>
      <c r="U76"/>
      <c r="V76"/>
      <c r="W76"/>
      <c r="X76"/>
      <c r="Y76"/>
      <c r="Z76"/>
    </row>
    <row r="77" spans="1:26">
      <c r="A77" s="167" t="str">
        <f t="shared" si="26"/>
        <v>2021.09月 </v>
      </c>
      <c r="B77" s="221" t="s">
        <v>83</v>
      </c>
      <c r="C77" s="223" t="s">
        <v>647</v>
      </c>
      <c r="D77" s="222">
        <f>ROUND(L76,2)</f>
        <v>424.82</v>
      </c>
      <c r="E77" s="194" t="str">
        <f t="shared" si="7"/>
        <v>2021.09月 陶瓷pl运费 424.82</v>
      </c>
      <c r="F77" s="193" t="str">
        <f>INDEX(O:O,MATCH($B77,$O:$O,0)+7)</f>
        <v>6601.005.005.005</v>
      </c>
      <c r="G77" s="193" t="str">
        <f>INDEX(P:P,MATCH($B77,$O:$O,0)+7)</f>
        <v>销售费用_运输成本_PL运费_陶瓷事业部-Palletline</v>
      </c>
      <c r="H77" s="196">
        <f t="shared" ref="H77:H81" si="28">-D77</f>
        <v>-424.82</v>
      </c>
      <c r="I77" s="214"/>
      <c r="K77" s="212" t="s">
        <v>648</v>
      </c>
      <c r="L77" s="213">
        <v>183.716666666667</v>
      </c>
      <c r="M77" s="212"/>
      <c r="O77" s="48" t="s">
        <v>285</v>
      </c>
      <c r="P77" s="48" t="s">
        <v>706</v>
      </c>
      <c r="U77"/>
      <c r="V77"/>
      <c r="W77"/>
      <c r="X77"/>
      <c r="Y77"/>
      <c r="Z77"/>
    </row>
    <row r="78" spans="1:28">
      <c r="A78" s="167" t="str">
        <f t="shared" si="26"/>
        <v>2021.09月 </v>
      </c>
      <c r="B78" s="221" t="s">
        <v>83</v>
      </c>
      <c r="C78" s="221" t="s">
        <v>647</v>
      </c>
      <c r="D78" s="222">
        <f t="shared" ref="D78:D82" si="29">D77</f>
        <v>424.82</v>
      </c>
      <c r="E78" s="59" t="str">
        <f t="shared" si="7"/>
        <v>2021.09月 陶瓷pl运费 424.82</v>
      </c>
      <c r="F78" s="193" t="str">
        <f>INDEX(O:O,MATCH($B78,$O:$O,0)+1)</f>
        <v>1221.103</v>
      </c>
      <c r="G78" s="193" t="str">
        <f>INDEX(P:P,MATCH($B78,$O:$O,0)+1)</f>
        <v>拓展部-陶瓷部</v>
      </c>
      <c r="H78" s="41">
        <f t="shared" ref="H78:H82" si="30">-H77</f>
        <v>424.82</v>
      </c>
      <c r="I78" s="211"/>
      <c r="K78" s="212" t="s">
        <v>651</v>
      </c>
      <c r="L78" s="213"/>
      <c r="M78" s="212"/>
      <c r="O78" s="48" t="s">
        <v>182</v>
      </c>
      <c r="P78" s="48" t="s">
        <v>707</v>
      </c>
      <c r="U78"/>
      <c r="V78"/>
      <c r="W78"/>
      <c r="X78"/>
      <c r="Y78"/>
      <c r="Z78"/>
      <c r="AA78"/>
      <c r="AB78"/>
    </row>
    <row r="79" ht="15" spans="1:28">
      <c r="A79" s="167" t="str">
        <f t="shared" si="26"/>
        <v>2021.09月 </v>
      </c>
      <c r="B79" s="221" t="s">
        <v>83</v>
      </c>
      <c r="C79" s="223" t="s">
        <v>654</v>
      </c>
      <c r="D79" s="222">
        <f>ROUND(L77,2)</f>
        <v>183.72</v>
      </c>
      <c r="E79" s="194" t="str">
        <f t="shared" si="7"/>
        <v>2021.09月 陶瓷pl托盘费 183.72</v>
      </c>
      <c r="F79" s="193" t="str">
        <f>INDEX(O:O,MATCH($B79,$O:$O,0)+8)</f>
        <v>6601.005.001</v>
      </c>
      <c r="G79" s="193" t="str">
        <f>INDEX(P:P,MATCH($B79,$O:$O,0)+8)</f>
        <v>销售费用 - 运输成本 - 运输用托盘</v>
      </c>
      <c r="H79" s="196">
        <f t="shared" si="28"/>
        <v>-183.72</v>
      </c>
      <c r="I79" s="214"/>
      <c r="K79" s="212" t="s">
        <v>655</v>
      </c>
      <c r="L79" s="212"/>
      <c r="M79" s="215"/>
      <c r="O79" s="48" t="s">
        <v>708</v>
      </c>
      <c r="P79" s="48" t="s">
        <v>709</v>
      </c>
      <c r="U79" s="89"/>
      <c r="AA79"/>
      <c r="AB79"/>
    </row>
    <row r="80" ht="15" spans="1:28">
      <c r="A80" s="167" t="str">
        <f t="shared" si="26"/>
        <v>2021.09月 </v>
      </c>
      <c r="B80" s="221" t="s">
        <v>83</v>
      </c>
      <c r="C80" s="221" t="s">
        <v>654</v>
      </c>
      <c r="D80" s="222">
        <f t="shared" si="29"/>
        <v>183.72</v>
      </c>
      <c r="E80" s="59" t="str">
        <f t="shared" si="7"/>
        <v>2021.09月 陶瓷pl托盘费 183.72</v>
      </c>
      <c r="F80" s="193" t="str">
        <f>INDEX(O:O,MATCH($B80,$O:$O,0)+1)</f>
        <v>1221.103</v>
      </c>
      <c r="G80" s="193" t="str">
        <f>INDEX(P:P,MATCH($B80,$O:$O,0)+1)</f>
        <v>拓展部-陶瓷部</v>
      </c>
      <c r="H80" s="41">
        <f t="shared" si="30"/>
        <v>183.72</v>
      </c>
      <c r="I80" s="211"/>
      <c r="K80" s="209" t="s">
        <v>12</v>
      </c>
      <c r="L80" s="210">
        <v>608.538167388168</v>
      </c>
      <c r="M80" s="210">
        <v>19</v>
      </c>
      <c r="O80" s="48" t="s">
        <v>710</v>
      </c>
      <c r="P80" s="48" t="s">
        <v>711</v>
      </c>
      <c r="U80" s="89"/>
      <c r="V80"/>
      <c r="W80"/>
      <c r="X80"/>
      <c r="Y80"/>
      <c r="Z80"/>
      <c r="AA80"/>
      <c r="AB80"/>
    </row>
    <row r="81" customFormat="1" ht="15" hidden="1" spans="1:21">
      <c r="A81" s="167" t="str">
        <f t="shared" si="26"/>
        <v>2021.09月 </v>
      </c>
      <c r="B81" s="221" t="s">
        <v>83</v>
      </c>
      <c r="C81" s="167" t="s">
        <v>659</v>
      </c>
      <c r="D81" s="222">
        <f>ROUND(L78,2)</f>
        <v>0</v>
      </c>
      <c r="E81" s="194" t="str">
        <f t="shared" si="7"/>
        <v>2021.09月 陶瓷pl运费（调货）0</v>
      </c>
      <c r="F81" s="193" t="str">
        <f>INDEX(O:O,MATCH($B81,$O:$O,0)+7)</f>
        <v>6601.005.005.005</v>
      </c>
      <c r="G81" s="193" t="str">
        <f>INDEX(P:P,MATCH($B81,$O:$O,0)+7)</f>
        <v>销售费用_运输成本_PL运费_陶瓷事业部-Palletline</v>
      </c>
      <c r="H81" s="196">
        <f t="shared" si="28"/>
        <v>0</v>
      </c>
      <c r="I81" s="214"/>
      <c r="K81" s="216" t="s">
        <v>660</v>
      </c>
      <c r="L81" s="216">
        <v>4553.08</v>
      </c>
      <c r="M81" s="216">
        <v>367</v>
      </c>
      <c r="O81" s="48" t="s">
        <v>712</v>
      </c>
      <c r="P81" s="48" t="s">
        <v>713</v>
      </c>
      <c r="Q81" s="48"/>
      <c r="R81" s="48"/>
      <c r="S81" s="48"/>
      <c r="T81" s="48"/>
      <c r="U81" s="89"/>
    </row>
    <row r="82" customFormat="1" ht="15" hidden="1" spans="1:26">
      <c r="A82" s="167" t="str">
        <f t="shared" ref="A82:A91" si="31">$A$30</f>
        <v>2021.09月 </v>
      </c>
      <c r="B82" s="221" t="s">
        <v>83</v>
      </c>
      <c r="C82" s="167" t="s">
        <v>659</v>
      </c>
      <c r="D82" s="222">
        <f t="shared" si="29"/>
        <v>0</v>
      </c>
      <c r="E82" s="59" t="str">
        <f t="shared" si="7"/>
        <v>2021.09月 陶瓷pl运费（调货）0</v>
      </c>
      <c r="F82" s="193" t="str">
        <f>INDEX(O:O,MATCH($B82,$O:$O,0)+1)</f>
        <v>1221.103</v>
      </c>
      <c r="G82" s="193" t="str">
        <f>INDEX(P:P,MATCH($B82,$O:$O,0)+1)</f>
        <v>拓展部-陶瓷部</v>
      </c>
      <c r="H82" s="41">
        <f t="shared" si="30"/>
        <v>0</v>
      </c>
      <c r="I82" s="211"/>
      <c r="O82" s="48" t="s">
        <v>714</v>
      </c>
      <c r="P82" s="48" t="s">
        <v>715</v>
      </c>
      <c r="Q82" s="48"/>
      <c r="R82" s="48"/>
      <c r="S82" s="48"/>
      <c r="T82" s="48"/>
      <c r="V82" s="89"/>
      <c r="W82" s="89"/>
      <c r="X82" s="89"/>
      <c r="Y82" s="89"/>
      <c r="Z82" s="89"/>
    </row>
    <row r="83" customFormat="1" ht="15" hidden="1" spans="1:28">
      <c r="A83" s="167" t="str">
        <f t="shared" si="31"/>
        <v>2021.09月 </v>
      </c>
      <c r="B83" s="221" t="s">
        <v>83</v>
      </c>
      <c r="C83" s="167" t="s">
        <v>661</v>
      </c>
      <c r="D83" s="222">
        <f>ROUND(L79,2)</f>
        <v>0</v>
      </c>
      <c r="E83" s="194" t="str">
        <f t="shared" si="7"/>
        <v>2021.09月 陶瓷pl托盘费 （调货）0</v>
      </c>
      <c r="F83" s="193" t="str">
        <f>INDEX(O:O,MATCH($B83,$O:$O,0)+8)</f>
        <v>6601.005.001</v>
      </c>
      <c r="G83" s="193" t="str">
        <f>INDEX(P:P,MATCH($B83,$O:$O,0)+8)</f>
        <v>销售费用 - 运输成本 - 运输用托盘</v>
      </c>
      <c r="H83" s="196">
        <f t="shared" ref="H83:H87" si="32">-D83</f>
        <v>0</v>
      </c>
      <c r="I83" s="214"/>
      <c r="O83" s="48" t="s">
        <v>716</v>
      </c>
      <c r="P83" s="48" t="s">
        <v>717</v>
      </c>
      <c r="Q83" s="48"/>
      <c r="R83" s="48"/>
      <c r="S83" s="48"/>
      <c r="T83" s="48"/>
      <c r="U83" s="48"/>
      <c r="V83" s="89"/>
      <c r="W83" s="89"/>
      <c r="X83" s="89"/>
      <c r="Y83" s="89"/>
      <c r="Z83" s="89"/>
      <c r="AA83" s="48"/>
      <c r="AB83" s="48"/>
    </row>
    <row r="84" customFormat="1" ht="15" hidden="1" spans="1:26">
      <c r="A84" s="167" t="str">
        <f t="shared" si="31"/>
        <v>2021.09月 </v>
      </c>
      <c r="B84" s="221" t="s">
        <v>83</v>
      </c>
      <c r="C84" s="167" t="s">
        <v>661</v>
      </c>
      <c r="D84" s="222">
        <f t="shared" ref="D84:D88" si="33">D83</f>
        <v>0</v>
      </c>
      <c r="E84" s="59" t="str">
        <f t="shared" si="7"/>
        <v>2021.09月 陶瓷pl托盘费 （调货）0</v>
      </c>
      <c r="F84" s="193" t="str">
        <f>INDEX(O:O,MATCH($B84,$O:$O,0)+1)</f>
        <v>1221.103</v>
      </c>
      <c r="G84" s="193" t="str">
        <f>INDEX(P:P,MATCH($B84,$O:$O,0)+1)</f>
        <v>拓展部-陶瓷部</v>
      </c>
      <c r="H84" s="41">
        <f t="shared" ref="H84:H88" si="34">-H83</f>
        <v>0</v>
      </c>
      <c r="I84" s="211"/>
      <c r="O84" s="48"/>
      <c r="P84" s="48"/>
      <c r="Q84" s="48"/>
      <c r="R84" s="48"/>
      <c r="S84" s="48"/>
      <c r="T84" s="48"/>
      <c r="U84" s="48"/>
      <c r="V84" s="89"/>
      <c r="W84" s="89"/>
      <c r="X84" s="89"/>
      <c r="Y84" s="89"/>
      <c r="Z84" s="89"/>
    </row>
    <row r="85" customFormat="1" spans="1:21">
      <c r="A85" s="167" t="str">
        <f t="shared" si="31"/>
        <v>2021.09月 </v>
      </c>
      <c r="B85" s="221" t="s">
        <v>83</v>
      </c>
      <c r="C85" s="223" t="s">
        <v>664</v>
      </c>
      <c r="D85" s="222">
        <f>L81</f>
        <v>4553.08</v>
      </c>
      <c r="E85" s="194" t="str">
        <f t="shared" si="7"/>
        <v>2021.09月 陶瓷van运费 4553.08</v>
      </c>
      <c r="F85" s="193" t="str">
        <f>INDEX(O:O,MATCH($B85,$O:$O,0)+9)</f>
        <v>6601.005.004.026</v>
      </c>
      <c r="G85" s="193" t="str">
        <f>INDEX(P:P,MATCH($B85,$O:$O,0)+9)</f>
        <v>销售费用_运输成本_Van司机运费_陶瓷事业部-van</v>
      </c>
      <c r="H85" s="196">
        <f t="shared" si="32"/>
        <v>-4553.08</v>
      </c>
      <c r="I85" s="214"/>
      <c r="O85" s="48"/>
      <c r="P85" s="48"/>
      <c r="Q85" s="48"/>
      <c r="R85" s="48"/>
      <c r="S85" s="48"/>
      <c r="T85" s="48"/>
      <c r="U85" s="48"/>
    </row>
    <row r="86" ht="15.75" spans="1:28">
      <c r="A86" s="167" t="str">
        <f t="shared" si="31"/>
        <v>2021.09月 </v>
      </c>
      <c r="B86" s="221" t="s">
        <v>83</v>
      </c>
      <c r="C86" s="224" t="s">
        <v>664</v>
      </c>
      <c r="D86" s="198">
        <f t="shared" si="33"/>
        <v>4553.08</v>
      </c>
      <c r="E86" s="61" t="str">
        <f t="shared" si="7"/>
        <v>2021.09月 陶瓷van运费 4553.08</v>
      </c>
      <c r="F86" s="199" t="str">
        <f>INDEX(O:O,MATCH($B86,$O:$O,0)+1)</f>
        <v>1221.103</v>
      </c>
      <c r="G86" s="199" t="str">
        <f>INDEX(P:P,MATCH($B86,$O:$O,0)+1)</f>
        <v>拓展部-陶瓷部</v>
      </c>
      <c r="H86" s="200">
        <f t="shared" si="34"/>
        <v>4553.08</v>
      </c>
      <c r="I86" s="217"/>
      <c r="AA86" s="89"/>
      <c r="AB86" s="89"/>
    </row>
    <row r="87" customFormat="1" ht="15" hidden="1" spans="1:28">
      <c r="A87" s="167" t="str">
        <f t="shared" si="31"/>
        <v>2021.09月 </v>
      </c>
      <c r="B87" s="221" t="s">
        <v>233</v>
      </c>
      <c r="C87" s="201" t="s">
        <v>636</v>
      </c>
      <c r="D87" s="202">
        <f>L88</f>
        <v>0</v>
      </c>
      <c r="E87" s="190" t="str">
        <f t="shared" si="7"/>
        <v>2021.09月 防火底板hermes运费 0</v>
      </c>
      <c r="F87" s="191" t="str">
        <f>INDEX(O:O,MATCH($B87,$O:$O,0)+5)</f>
        <v>6601.005.006.006</v>
      </c>
      <c r="G87" s="191" t="str">
        <f>INDEX(P:P,MATCH($B87,$O:$O,0)+5)</f>
        <v>销售费用_运输成本_Hermes运费_防火底板事业部-Hermes</v>
      </c>
      <c r="H87" s="192">
        <f t="shared" si="32"/>
        <v>0</v>
      </c>
      <c r="I87" s="208"/>
      <c r="K87" s="209" t="s">
        <v>88</v>
      </c>
      <c r="L87" s="210" t="s">
        <v>637</v>
      </c>
      <c r="M87" s="210" t="s">
        <v>638</v>
      </c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89"/>
      <c r="AB87" s="89"/>
    </row>
    <row r="88" customFormat="1" ht="15" hidden="1" spans="1:28">
      <c r="A88" s="167" t="str">
        <f t="shared" si="31"/>
        <v>2021.09月 </v>
      </c>
      <c r="B88" s="221" t="s">
        <v>233</v>
      </c>
      <c r="C88" s="221" t="s">
        <v>636</v>
      </c>
      <c r="D88" s="203">
        <f t="shared" si="33"/>
        <v>0</v>
      </c>
      <c r="E88" s="59" t="str">
        <f t="shared" si="7"/>
        <v>2021.09月 防火底板hermes运费 0</v>
      </c>
      <c r="F88" s="193" t="str">
        <f>INDEX(O:O,MATCH($B88,$O:$O,0)+1)</f>
        <v>1221.107</v>
      </c>
      <c r="G88" s="193" t="str">
        <f>INDEX(P:P,MATCH($B88,$O:$O,0)+1)</f>
        <v>拓展部-防火底板</v>
      </c>
      <c r="H88" s="41">
        <f t="shared" si="34"/>
        <v>0</v>
      </c>
      <c r="I88" s="211"/>
      <c r="K88" s="212" t="s">
        <v>641</v>
      </c>
      <c r="L88" s="213"/>
      <c r="M88" s="212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89"/>
      <c r="AB88" s="89"/>
    </row>
    <row r="89" customFormat="1" ht="15" spans="1:28">
      <c r="A89" s="167" t="str">
        <f t="shared" si="31"/>
        <v>2021.09月 </v>
      </c>
      <c r="B89" s="221" t="s">
        <v>233</v>
      </c>
      <c r="C89" s="223" t="s">
        <v>642</v>
      </c>
      <c r="D89" s="203">
        <f>ROUND(L89,2)</f>
        <v>50.71</v>
      </c>
      <c r="E89" s="194" t="str">
        <f t="shared" si="7"/>
        <v>2021.09月 防火底板tnt运费 50.71</v>
      </c>
      <c r="F89" s="193" t="str">
        <f>INDEX(O:O,MATCH($B89,$O:$O,0)+6)</f>
        <v>6601.005.007.006</v>
      </c>
      <c r="G89" s="193" t="str">
        <f>INDEX(P:P,MATCH($B89,$O:$O,0)+6)</f>
        <v>销售费用_运输成本_TNT运费_防火底板事业部-TNT</v>
      </c>
      <c r="H89" s="195">
        <f t="shared" ref="H89:H93" si="35">-D89</f>
        <v>-50.71</v>
      </c>
      <c r="I89" s="214"/>
      <c r="K89" s="212" t="s">
        <v>643</v>
      </c>
      <c r="L89" s="213">
        <v>50.7078</v>
      </c>
      <c r="M89" s="212">
        <v>2</v>
      </c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89"/>
      <c r="AB89" s="89"/>
    </row>
    <row r="90" customFormat="1" ht="15" spans="1:28">
      <c r="A90" s="167" t="str">
        <f t="shared" si="31"/>
        <v>2021.09月 </v>
      </c>
      <c r="B90" s="221" t="s">
        <v>233</v>
      </c>
      <c r="C90" s="221" t="s">
        <v>642</v>
      </c>
      <c r="D90" s="203">
        <f t="shared" ref="D90:D94" si="36">D89</f>
        <v>50.71</v>
      </c>
      <c r="E90" s="59" t="str">
        <f t="shared" si="7"/>
        <v>2021.09月 防火底板tnt运费 50.71</v>
      </c>
      <c r="F90" s="193" t="str">
        <f>INDEX(O:O,MATCH($B90,$O:$O,0)+1)</f>
        <v>1221.107</v>
      </c>
      <c r="G90" s="193" t="str">
        <f>INDEX(P:P,MATCH($B90,$O:$O,0)+1)</f>
        <v>拓展部-防火底板</v>
      </c>
      <c r="H90" s="55">
        <f t="shared" ref="H90:H94" si="37">-H89</f>
        <v>50.71</v>
      </c>
      <c r="I90" s="211"/>
      <c r="K90" s="212" t="s">
        <v>644</v>
      </c>
      <c r="L90" s="213"/>
      <c r="M90" s="212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89"/>
      <c r="AB90" s="89"/>
    </row>
    <row r="91" customFormat="1" ht="15" hidden="1" spans="1:28">
      <c r="A91" s="167" t="str">
        <f t="shared" si="31"/>
        <v>2021.09月 </v>
      </c>
      <c r="B91" s="221" t="s">
        <v>233</v>
      </c>
      <c r="C91" s="223" t="s">
        <v>647</v>
      </c>
      <c r="D91" s="203">
        <f>ROUND(L90,2)</f>
        <v>0</v>
      </c>
      <c r="E91" s="194" t="str">
        <f t="shared" si="7"/>
        <v>2021.09月 防火底板pl运费 0</v>
      </c>
      <c r="F91" s="193" t="str">
        <f>INDEX(O:O,MATCH($B91,$O:$O,0)+7)</f>
        <v>6601.005.005.006</v>
      </c>
      <c r="G91" s="193" t="str">
        <f>INDEX(P:P,MATCH($B91,$O:$O,0)+7)</f>
        <v>销售费用_运输成本_PL运费_防火底板事业部-Palletline</v>
      </c>
      <c r="H91" s="196">
        <f t="shared" si="35"/>
        <v>0</v>
      </c>
      <c r="I91" s="214"/>
      <c r="K91" s="212" t="s">
        <v>648</v>
      </c>
      <c r="L91" s="213"/>
      <c r="M91" s="212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89"/>
      <c r="AB91" s="89"/>
    </row>
    <row r="92" customFormat="1" ht="15" hidden="1" spans="1:28">
      <c r="A92" s="167" t="str">
        <f t="shared" ref="A92:A100" si="38">$A$30</f>
        <v>2021.09月 </v>
      </c>
      <c r="B92" s="221" t="s">
        <v>233</v>
      </c>
      <c r="C92" s="221" t="s">
        <v>647</v>
      </c>
      <c r="D92" s="203">
        <f t="shared" si="36"/>
        <v>0</v>
      </c>
      <c r="E92" s="59" t="str">
        <f t="shared" si="7"/>
        <v>2021.09月 防火底板pl运费 0</v>
      </c>
      <c r="F92" s="193" t="str">
        <f>INDEX(O:O,MATCH($B92,$O:$O,0)+1)</f>
        <v>1221.107</v>
      </c>
      <c r="G92" s="193" t="str">
        <f>INDEX(P:P,MATCH($B92,$O:$O,0)+1)</f>
        <v>拓展部-防火底板</v>
      </c>
      <c r="H92" s="41">
        <f t="shared" si="37"/>
        <v>0</v>
      </c>
      <c r="I92" s="211"/>
      <c r="K92" s="212" t="s">
        <v>651</v>
      </c>
      <c r="L92" s="213"/>
      <c r="M92" s="212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89"/>
      <c r="AB92" s="89"/>
    </row>
    <row r="93" customFormat="1" ht="15" hidden="1" spans="1:28">
      <c r="A93" s="167" t="str">
        <f t="shared" si="38"/>
        <v>2021.09月 </v>
      </c>
      <c r="B93" s="221" t="s">
        <v>233</v>
      </c>
      <c r="C93" s="223" t="s">
        <v>654</v>
      </c>
      <c r="D93" s="203">
        <f>ROUND(L91,2)</f>
        <v>0</v>
      </c>
      <c r="E93" s="194" t="str">
        <f t="shared" si="7"/>
        <v>2021.09月 防火底板pl托盘费 0</v>
      </c>
      <c r="F93" s="193" t="str">
        <f>INDEX(O:O,MATCH($B93,$O:$O,0)+8)</f>
        <v>6601.005.001</v>
      </c>
      <c r="G93" s="193" t="str">
        <f>INDEX(P:P,MATCH($B93,$O:$O,0)+8)</f>
        <v>销售费用 - 运输成本 - 运输用托盘</v>
      </c>
      <c r="H93" s="196">
        <f t="shared" si="35"/>
        <v>0</v>
      </c>
      <c r="I93" s="214"/>
      <c r="K93" s="212" t="s">
        <v>655</v>
      </c>
      <c r="L93" s="212"/>
      <c r="M93" s="215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89"/>
      <c r="AB93" s="89"/>
    </row>
    <row r="94" customFormat="1" ht="15" hidden="1" spans="1:28">
      <c r="A94" s="167" t="str">
        <f t="shared" si="38"/>
        <v>2021.09月 </v>
      </c>
      <c r="B94" s="221" t="s">
        <v>233</v>
      </c>
      <c r="C94" s="221" t="s">
        <v>654</v>
      </c>
      <c r="D94" s="203">
        <f t="shared" si="36"/>
        <v>0</v>
      </c>
      <c r="E94" s="59" t="str">
        <f t="shared" si="7"/>
        <v>2021.09月 防火底板pl托盘费 0</v>
      </c>
      <c r="F94" s="193" t="str">
        <f>INDEX(O:O,MATCH($B94,$O:$O,0)+1)</f>
        <v>1221.107</v>
      </c>
      <c r="G94" s="193" t="str">
        <f>INDEX(P:P,MATCH($B94,$O:$O,0)+1)</f>
        <v>拓展部-防火底板</v>
      </c>
      <c r="H94" s="41">
        <f t="shared" si="37"/>
        <v>0</v>
      </c>
      <c r="I94" s="211"/>
      <c r="K94" s="209" t="s">
        <v>12</v>
      </c>
      <c r="L94" s="210">
        <v>50.7078</v>
      </c>
      <c r="M94" s="210">
        <v>2</v>
      </c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89"/>
      <c r="AB94" s="89"/>
    </row>
    <row r="95" customFormat="1" ht="15" hidden="1" spans="1:28">
      <c r="A95" s="167" t="str">
        <f t="shared" si="38"/>
        <v>2021.09月 </v>
      </c>
      <c r="B95" s="221" t="s">
        <v>233</v>
      </c>
      <c r="C95" s="167" t="s">
        <v>659</v>
      </c>
      <c r="D95" s="203">
        <f>ROUND(L92,2)</f>
        <v>0</v>
      </c>
      <c r="E95" s="194" t="str">
        <f t="shared" si="7"/>
        <v>2021.09月 防火底板pl运费（调货）0</v>
      </c>
      <c r="F95" s="193" t="str">
        <f>INDEX(O:O,MATCH($B95,$O:$O,0)+7)</f>
        <v>6601.005.005.006</v>
      </c>
      <c r="G95" s="193" t="str">
        <f>INDEX(P:P,MATCH($B95,$O:$O,0)+7)</f>
        <v>销售费用_运输成本_PL运费_防火底板事业部-Palletline</v>
      </c>
      <c r="H95" s="196">
        <f t="shared" ref="H95:H99" si="39">-D95</f>
        <v>0</v>
      </c>
      <c r="I95" s="214"/>
      <c r="K95" s="216" t="s">
        <v>660</v>
      </c>
      <c r="L95" s="216">
        <v>599.41</v>
      </c>
      <c r="M95" s="216">
        <v>44</v>
      </c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89"/>
      <c r="AB95" s="89"/>
    </row>
    <row r="96" customFormat="1" ht="15" hidden="1" spans="1:28">
      <c r="A96" s="167" t="str">
        <f t="shared" si="38"/>
        <v>2021.09月 </v>
      </c>
      <c r="B96" s="221" t="s">
        <v>233</v>
      </c>
      <c r="C96" s="167" t="s">
        <v>659</v>
      </c>
      <c r="D96" s="203">
        <f t="shared" ref="D96:D100" si="40">D95</f>
        <v>0</v>
      </c>
      <c r="E96" s="59" t="str">
        <f t="shared" si="7"/>
        <v>2021.09月 防火底板pl运费（调货）0</v>
      </c>
      <c r="F96" s="193" t="str">
        <f>INDEX(O:O,MATCH($B96,$O:$O,0)+1)</f>
        <v>1221.107</v>
      </c>
      <c r="G96" s="193" t="str">
        <f>INDEX(P:P,MATCH($B96,$O:$O,0)+1)</f>
        <v>拓展部-防火底板</v>
      </c>
      <c r="H96" s="41">
        <f t="shared" ref="H96:H100" si="41">-H95</f>
        <v>0</v>
      </c>
      <c r="I96" s="211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89"/>
      <c r="AB96" s="89"/>
    </row>
    <row r="97" customFormat="1" ht="15" hidden="1" spans="1:28">
      <c r="A97" s="167" t="str">
        <f t="shared" si="38"/>
        <v>2021.09月 </v>
      </c>
      <c r="B97" s="221" t="s">
        <v>233</v>
      </c>
      <c r="C97" s="167" t="s">
        <v>661</v>
      </c>
      <c r="D97" s="203">
        <f>ROUND(L93,2)</f>
        <v>0</v>
      </c>
      <c r="E97" s="194" t="str">
        <f t="shared" si="7"/>
        <v>2021.09月 防火底板pl托盘费 （调货）0</v>
      </c>
      <c r="F97" s="193" t="str">
        <f>INDEX(O:O,MATCH($B97,$O:$O,0)+8)</f>
        <v>6601.005.001</v>
      </c>
      <c r="G97" s="193" t="str">
        <f>INDEX(P:P,MATCH($B97,$O:$O,0)+8)</f>
        <v>销售费用 - 运输成本 - 运输用托盘</v>
      </c>
      <c r="H97" s="196">
        <f t="shared" si="39"/>
        <v>0</v>
      </c>
      <c r="I97" s="214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89"/>
      <c r="AB97" s="89"/>
    </row>
    <row r="98" customFormat="1" ht="15" hidden="1" spans="1:28">
      <c r="A98" s="167" t="str">
        <f t="shared" si="38"/>
        <v>2021.09月 </v>
      </c>
      <c r="B98" s="221" t="s">
        <v>233</v>
      </c>
      <c r="C98" s="167" t="s">
        <v>661</v>
      </c>
      <c r="D98" s="203">
        <f t="shared" si="40"/>
        <v>0</v>
      </c>
      <c r="E98" s="59" t="str">
        <f t="shared" ref="E98:E100" si="42">A98&amp;B98&amp;C98&amp;D98</f>
        <v>2021.09月 防火底板pl托盘费 （调货）0</v>
      </c>
      <c r="F98" s="193" t="str">
        <f>INDEX(O:O,MATCH($B98,$O:$O,0)+1)</f>
        <v>1221.107</v>
      </c>
      <c r="G98" s="193" t="str">
        <f>INDEX(P:P,MATCH($B98,$O:$O,0)+1)</f>
        <v>拓展部-防火底板</v>
      </c>
      <c r="H98" s="41">
        <f t="shared" si="41"/>
        <v>0</v>
      </c>
      <c r="I98" s="211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89"/>
      <c r="AB98" s="89"/>
    </row>
    <row r="99" customFormat="1" ht="15" spans="1:28">
      <c r="A99" s="167" t="str">
        <f t="shared" si="38"/>
        <v>2021.09月 </v>
      </c>
      <c r="B99" s="221" t="s">
        <v>233</v>
      </c>
      <c r="C99" s="223" t="s">
        <v>664</v>
      </c>
      <c r="D99" s="203">
        <f>L95</f>
        <v>599.41</v>
      </c>
      <c r="E99" s="194" t="str">
        <f t="shared" si="42"/>
        <v>2021.09月 防火底板van运费 599.41</v>
      </c>
      <c r="F99" s="193" t="str">
        <f>INDEX(O:O,MATCH($B99,$O:$O,0)+9)</f>
        <v>6601.005.004.031</v>
      </c>
      <c r="G99" s="193" t="str">
        <f>INDEX(P:P,MATCH($B99,$O:$O,0)+9)</f>
        <v>销售费用_运输成本_Van司机运费_防火底板事业部-van</v>
      </c>
      <c r="H99" s="196">
        <f t="shared" si="39"/>
        <v>-599.41</v>
      </c>
      <c r="I99" s="214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89"/>
      <c r="AB99" s="89"/>
    </row>
    <row r="100" customFormat="1" ht="15.75" spans="1:28">
      <c r="A100" s="167" t="str">
        <f t="shared" si="38"/>
        <v>2021.09月 </v>
      </c>
      <c r="B100" s="221" t="s">
        <v>233</v>
      </c>
      <c r="C100" s="224" t="s">
        <v>664</v>
      </c>
      <c r="D100" s="218">
        <f t="shared" si="40"/>
        <v>599.41</v>
      </c>
      <c r="E100" s="61" t="str">
        <f t="shared" si="42"/>
        <v>2021.09月 防火底板van运费 599.41</v>
      </c>
      <c r="F100" s="199" t="str">
        <f>INDEX(O:O,MATCH($B100,$O:$O,0)+1)</f>
        <v>1221.107</v>
      </c>
      <c r="G100" s="199" t="str">
        <f>INDEX(P:P,MATCH($B100,$O:$O,0)+1)</f>
        <v>拓展部-防火底板</v>
      </c>
      <c r="H100" s="200">
        <f t="shared" si="41"/>
        <v>599.41</v>
      </c>
      <c r="I100" s="217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89"/>
      <c r="AB100" s="89"/>
    </row>
    <row r="101" customFormat="1" ht="15" spans="15:28"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89"/>
      <c r="AB101" s="89"/>
    </row>
    <row r="102" customFormat="1" ht="15" spans="15:28"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89"/>
      <c r="AB102" s="89"/>
    </row>
    <row r="103" customFormat="1" ht="15" spans="15:28"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89"/>
      <c r="AB103" s="89"/>
    </row>
    <row r="104" customFormat="1" ht="15" spans="15:28"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89"/>
      <c r="AB104" s="89"/>
    </row>
    <row r="105" customFormat="1" ht="15" spans="15:28"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89"/>
      <c r="AB105" s="89"/>
    </row>
    <row r="106" customFormat="1" ht="15" spans="15:28"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89"/>
      <c r="AB106" s="89"/>
    </row>
    <row r="107" customFormat="1" ht="15" spans="15:28"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89"/>
      <c r="AB107" s="89"/>
    </row>
    <row r="108" customFormat="1" ht="15" spans="15:28"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89"/>
      <c r="AB108" s="89"/>
    </row>
    <row r="109" customFormat="1" ht="15" spans="15:28"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89"/>
      <c r="AB109" s="89"/>
    </row>
    <row r="110" s="89" customFormat="1" ht="15" spans="1:28">
      <c r="A110"/>
      <c r="B110"/>
      <c r="C110"/>
      <c r="D110"/>
      <c r="E110"/>
      <c r="F110"/>
      <c r="G110"/>
      <c r="H110"/>
      <c r="I110"/>
      <c r="O110" s="48"/>
      <c r="P110" s="48"/>
      <c r="Q110" s="48"/>
      <c r="R110" s="48"/>
      <c r="S110" s="48"/>
      <c r="T110" s="48"/>
      <c r="V110" s="48"/>
      <c r="W110" s="48"/>
      <c r="X110" s="48"/>
      <c r="Y110" s="48"/>
      <c r="Z110" s="48"/>
      <c r="AA110"/>
      <c r="AB110"/>
    </row>
    <row r="111" s="89" customFormat="1" ht="15" spans="1:28">
      <c r="A111"/>
      <c r="B111"/>
      <c r="C111"/>
      <c r="D111"/>
      <c r="E111"/>
      <c r="F111"/>
      <c r="G111"/>
      <c r="H111"/>
      <c r="I111"/>
      <c r="O111" s="48"/>
      <c r="P111" s="48"/>
      <c r="Q111" s="48"/>
      <c r="R111" s="48"/>
      <c r="S111" s="48"/>
      <c r="T111" s="48"/>
      <c r="V111" s="48"/>
      <c r="W111" s="48"/>
      <c r="X111" s="48"/>
      <c r="Y111" s="48"/>
      <c r="Z111" s="48"/>
      <c r="AA111" s="48"/>
      <c r="AB111" s="48"/>
    </row>
    <row r="112" s="89" customFormat="1" ht="15" spans="1:28">
      <c r="A112"/>
      <c r="B112"/>
      <c r="C112"/>
      <c r="D112"/>
      <c r="E112"/>
      <c r="F112"/>
      <c r="G112"/>
      <c r="H112"/>
      <c r="I112"/>
      <c r="O112" s="48"/>
      <c r="P112" s="48"/>
      <c r="Q112" s="48"/>
      <c r="R112" s="48"/>
      <c r="S112" s="48"/>
      <c r="T112" s="48"/>
      <c r="V112" s="48"/>
      <c r="W112" s="48"/>
      <c r="X112" s="48"/>
      <c r="Y112" s="48"/>
      <c r="Z112" s="48"/>
      <c r="AA112" s="48"/>
      <c r="AB112" s="48"/>
    </row>
    <row r="113" customFormat="1" ht="15.75" spans="1:28">
      <c r="A113" s="48"/>
      <c r="B113" s="48"/>
      <c r="C113" s="48"/>
      <c r="D113" s="168"/>
      <c r="E113" s="48"/>
      <c r="F113" s="48"/>
      <c r="G113" s="48"/>
      <c r="H113" s="48"/>
      <c r="I113" s="48"/>
      <c r="O113" s="48"/>
      <c r="P113" s="48"/>
      <c r="Q113" s="48"/>
      <c r="R113" s="48"/>
      <c r="S113" s="48"/>
      <c r="T113" s="48"/>
      <c r="U113" s="89"/>
      <c r="V113" s="89"/>
      <c r="W113" s="89"/>
      <c r="X113" s="89"/>
      <c r="Y113" s="89"/>
      <c r="Z113" s="89"/>
      <c r="AA113" s="48"/>
      <c r="AB113" s="48"/>
    </row>
    <row r="114" ht="15" spans="1:26">
      <c r="A114" s="89" t="s">
        <v>164</v>
      </c>
      <c r="B114" s="89" t="s">
        <v>718</v>
      </c>
      <c r="C114" s="89"/>
      <c r="D114" s="89"/>
      <c r="E114" s="225" t="str">
        <f>B114&amp;A114</f>
        <v>计提BT网络费 2020.12月</v>
      </c>
      <c r="F114" s="92" t="s">
        <v>719</v>
      </c>
      <c r="G114" s="92" t="s">
        <v>720</v>
      </c>
      <c r="H114" s="92"/>
      <c r="I114" s="242"/>
      <c r="U114" s="89"/>
      <c r="V114" s="89"/>
      <c r="W114" s="89"/>
      <c r="X114" s="89"/>
      <c r="Y114" s="89"/>
      <c r="Z114" s="89"/>
    </row>
    <row r="115" ht="15" spans="1:26">
      <c r="A115" s="89" t="s">
        <v>164</v>
      </c>
      <c r="B115" s="89" t="s">
        <v>718</v>
      </c>
      <c r="C115" s="89"/>
      <c r="D115" s="89"/>
      <c r="E115" s="226" t="str">
        <f>B115&amp;A115</f>
        <v>计提BT网络费 2020.12月</v>
      </c>
      <c r="F115" s="89" t="s">
        <v>32</v>
      </c>
      <c r="G115" s="89" t="s">
        <v>33</v>
      </c>
      <c r="H115" s="89"/>
      <c r="I115" s="243"/>
      <c r="U115" s="89"/>
      <c r="V115" s="89"/>
      <c r="W115" s="89"/>
      <c r="X115" s="89"/>
      <c r="Y115" s="89"/>
      <c r="Z115" s="89"/>
    </row>
    <row r="116" ht="15" spans="1:26">
      <c r="A116" s="89" t="s">
        <v>164</v>
      </c>
      <c r="B116" s="89" t="s">
        <v>718</v>
      </c>
      <c r="C116" s="89"/>
      <c r="D116" s="89"/>
      <c r="E116" s="226" t="str">
        <f>B116&amp;A116</f>
        <v>计提BT网络费 2020.12月</v>
      </c>
      <c r="F116" s="89" t="s">
        <v>721</v>
      </c>
      <c r="G116" s="89" t="s">
        <v>722</v>
      </c>
      <c r="H116" s="89"/>
      <c r="I116" s="243"/>
      <c r="J116" s="48">
        <v>7.6377</v>
      </c>
      <c r="U116" s="89"/>
      <c r="V116" s="89"/>
      <c r="W116" s="89"/>
      <c r="X116" s="89"/>
      <c r="Y116" s="89"/>
      <c r="Z116" s="89"/>
    </row>
    <row r="117" customFormat="1" ht="15" spans="1:28">
      <c r="A117" s="227" t="s">
        <v>387</v>
      </c>
      <c r="B117" s="89" t="s">
        <v>723</v>
      </c>
      <c r="E117" s="228" t="str">
        <f t="shared" ref="E117:E122" si="43">A117&amp;B117&amp;C117</f>
        <v>2021.09月 计提Biffa垃圾费</v>
      </c>
      <c r="F117" s="229" t="s">
        <v>724</v>
      </c>
      <c r="G117" s="229" t="s">
        <v>725</v>
      </c>
      <c r="H117" s="230">
        <v>289.12</v>
      </c>
      <c r="I117" s="244"/>
      <c r="O117" s="48"/>
      <c r="P117" s="48"/>
      <c r="Q117" s="48"/>
      <c r="R117" s="48"/>
      <c r="S117" s="48"/>
      <c r="T117" s="48"/>
      <c r="U117" s="89"/>
      <c r="V117" s="89"/>
      <c r="W117" s="89"/>
      <c r="X117" s="89"/>
      <c r="Y117" s="89"/>
      <c r="Z117" s="89"/>
      <c r="AA117" s="89"/>
      <c r="AB117" s="89"/>
    </row>
    <row r="118" customFormat="1" ht="15" spans="1:28">
      <c r="A118" s="227" t="s">
        <v>387</v>
      </c>
      <c r="B118" s="89" t="s">
        <v>723</v>
      </c>
      <c r="E118" s="228" t="str">
        <f t="shared" si="43"/>
        <v>2021.09月 计提Biffa垃圾费</v>
      </c>
      <c r="F118" s="229" t="s">
        <v>32</v>
      </c>
      <c r="G118" s="229" t="s">
        <v>33</v>
      </c>
      <c r="H118" s="230">
        <v>57.82</v>
      </c>
      <c r="I118" s="244"/>
      <c r="O118" s="48"/>
      <c r="P118" s="48"/>
      <c r="Q118" s="48"/>
      <c r="R118" s="48"/>
      <c r="S118" s="48"/>
      <c r="T118" s="48"/>
      <c r="U118" s="89"/>
      <c r="V118" s="89"/>
      <c r="W118" s="89"/>
      <c r="X118" s="89"/>
      <c r="Y118" s="89"/>
      <c r="Z118" s="89"/>
      <c r="AA118" s="89"/>
      <c r="AB118" s="89"/>
    </row>
    <row r="119" customFormat="1" ht="15.75" spans="1:28">
      <c r="A119" s="227" t="s">
        <v>387</v>
      </c>
      <c r="B119" s="89" t="s">
        <v>723</v>
      </c>
      <c r="E119" s="231" t="str">
        <f t="shared" si="43"/>
        <v>2021.09月 计提Biffa垃圾费</v>
      </c>
      <c r="F119" s="229" t="s">
        <v>726</v>
      </c>
      <c r="G119" s="229" t="s">
        <v>727</v>
      </c>
      <c r="H119" s="232"/>
      <c r="I119" s="245">
        <f>H117+H118</f>
        <v>346.94</v>
      </c>
      <c r="O119" s="48"/>
      <c r="P119" s="48"/>
      <c r="Q119" s="48"/>
      <c r="R119" s="48"/>
      <c r="S119" s="48"/>
      <c r="T119" s="48"/>
      <c r="U119" s="89"/>
      <c r="V119" s="89"/>
      <c r="W119" s="89"/>
      <c r="X119" s="89"/>
      <c r="Y119" s="89"/>
      <c r="Z119" s="89"/>
      <c r="AA119" s="89"/>
      <c r="AB119" s="89"/>
    </row>
    <row r="120" ht="28.5" spans="1:28">
      <c r="A120" s="227" t="s">
        <v>387</v>
      </c>
      <c r="B120" s="89" t="s">
        <v>728</v>
      </c>
      <c r="C120"/>
      <c r="D120"/>
      <c r="E120" s="228" t="str">
        <f t="shared" si="43"/>
        <v>2021.09月 计提排图费 </v>
      </c>
      <c r="F120" s="233" t="s">
        <v>729</v>
      </c>
      <c r="G120" s="234" t="s">
        <v>730</v>
      </c>
      <c r="H120" s="230">
        <v>696</v>
      </c>
      <c r="I120" s="244"/>
      <c r="J120" s="48">
        <v>8.896</v>
      </c>
      <c r="U120" s="89"/>
      <c r="V120" s="89"/>
      <c r="W120" s="89"/>
      <c r="X120" s="89"/>
      <c r="Y120" s="89"/>
      <c r="Z120" s="89"/>
      <c r="AA120" s="89"/>
      <c r="AB120" s="89"/>
    </row>
    <row r="121" ht="15" spans="1:28">
      <c r="A121" s="227" t="s">
        <v>387</v>
      </c>
      <c r="B121" s="89" t="s">
        <v>728</v>
      </c>
      <c r="C121"/>
      <c r="D121"/>
      <c r="E121" s="228" t="str">
        <f t="shared" si="43"/>
        <v>2021.09月 计提排图费 </v>
      </c>
      <c r="F121" s="233" t="s">
        <v>32</v>
      </c>
      <c r="G121" s="233" t="s">
        <v>33</v>
      </c>
      <c r="H121" s="230">
        <v>139.2</v>
      </c>
      <c r="I121" s="244"/>
      <c r="U121" s="89"/>
      <c r="V121" s="89"/>
      <c r="W121" s="89"/>
      <c r="X121" s="89"/>
      <c r="Y121" s="89"/>
      <c r="Z121" s="89"/>
      <c r="AA121" s="89"/>
      <c r="AB121" s="89"/>
    </row>
    <row r="122" ht="15.75" spans="1:28">
      <c r="A122" s="227" t="s">
        <v>387</v>
      </c>
      <c r="B122" s="89" t="s">
        <v>728</v>
      </c>
      <c r="C122"/>
      <c r="D122"/>
      <c r="E122" s="231" t="str">
        <f t="shared" si="43"/>
        <v>2021.09月 计提排图费 </v>
      </c>
      <c r="F122" s="235" t="s">
        <v>731</v>
      </c>
      <c r="G122" s="235" t="s">
        <v>732</v>
      </c>
      <c r="H122" s="232"/>
      <c r="I122" s="245">
        <f>H120+H121</f>
        <v>835.2</v>
      </c>
      <c r="U122" s="89"/>
      <c r="V122" s="89"/>
      <c r="W122" s="89"/>
      <c r="X122" s="89"/>
      <c r="Y122" s="89"/>
      <c r="Z122" s="89"/>
      <c r="AA122" s="89"/>
      <c r="AB122" s="89"/>
    </row>
    <row r="123" s="89" customFormat="1" ht="15" spans="1:20">
      <c r="A123" s="227" t="s">
        <v>387</v>
      </c>
      <c r="B123" s="48" t="s">
        <v>733</v>
      </c>
      <c r="C123" s="48" t="str">
        <f>"$410="&amp;D123&amp;"欧*"&amp;$J$116&amp;"/"&amp;$J$120</f>
        <v>$410=366.62欧*7.6377/8.896</v>
      </c>
      <c r="D123" s="168">
        <v>366.62</v>
      </c>
      <c r="E123" s="236" t="str">
        <f t="shared" ref="E123:E130" si="44">A123&amp;B123&amp;C123</f>
        <v>2021.09月 法国代垫英国 shopify月租金$410=366.62欧*7.6377/8.896</v>
      </c>
      <c r="F123" s="237" t="s">
        <v>690</v>
      </c>
      <c r="G123" s="237" t="s">
        <v>734</v>
      </c>
      <c r="H123" s="146">
        <f>ROUND($D123*$J$116/$J$120,2)</f>
        <v>314.76</v>
      </c>
      <c r="I123" s="147"/>
      <c r="O123"/>
      <c r="P123"/>
      <c r="Q123"/>
      <c r="R123"/>
      <c r="S123"/>
      <c r="T123"/>
    </row>
    <row r="124" s="89" customFormat="1" ht="15" spans="1:20">
      <c r="A124" s="227" t="s">
        <v>387</v>
      </c>
      <c r="B124" s="48" t="s">
        <v>733</v>
      </c>
      <c r="C124" s="48" t="str">
        <f>"$410="&amp;D124&amp;"欧*"&amp;$J$116&amp;"/"&amp;$J$120</f>
        <v>$410=366.62欧*7.6377/8.896</v>
      </c>
      <c r="D124" s="168">
        <f>D123</f>
        <v>366.62</v>
      </c>
      <c r="E124" s="228" t="str">
        <f t="shared" si="44"/>
        <v>2021.09月 法国代垫英国 shopify月租金$410=366.62欧*7.6377/8.896</v>
      </c>
      <c r="F124" s="174" t="s">
        <v>735</v>
      </c>
      <c r="G124" s="174" t="s">
        <v>736</v>
      </c>
      <c r="H124" s="73"/>
      <c r="I124" s="151">
        <f t="shared" ref="I124:I128" si="45">H123</f>
        <v>314.76</v>
      </c>
      <c r="O124"/>
      <c r="P124"/>
      <c r="Q124"/>
      <c r="R124"/>
      <c r="S124"/>
      <c r="T124"/>
    </row>
    <row r="125" s="89" customFormat="1" ht="15" spans="1:20">
      <c r="A125" s="227" t="s">
        <v>387</v>
      </c>
      <c r="B125" s="48" t="s">
        <v>737</v>
      </c>
      <c r="C125" s="48" t="str">
        <f t="shared" ref="C125:C127" si="46">D125&amp;"欧*"&amp;$J$116&amp;"/"&amp;$J$120</f>
        <v>776.72欧*7.6377/8.896</v>
      </c>
      <c r="D125" s="168">
        <v>776.72</v>
      </c>
      <c r="E125" s="238" t="str">
        <f t="shared" si="44"/>
        <v>2021.09月 德国代垫英国 shopify点击费776.72欧*7.6377/8.896</v>
      </c>
      <c r="F125" s="179" t="s">
        <v>698</v>
      </c>
      <c r="G125" s="179" t="s">
        <v>738</v>
      </c>
      <c r="H125" s="73">
        <f>ROUND($D125*$J$116/J120,2)</f>
        <v>666.86</v>
      </c>
      <c r="I125" s="206"/>
      <c r="O125"/>
      <c r="P125"/>
      <c r="Q125"/>
      <c r="R125"/>
      <c r="S125"/>
      <c r="T125"/>
    </row>
    <row r="126" s="89" customFormat="1" ht="15.75" spans="1:21">
      <c r="A126" s="227" t="s">
        <v>387</v>
      </c>
      <c r="B126" s="48" t="s">
        <v>737</v>
      </c>
      <c r="C126" s="48" t="str">
        <f t="shared" si="46"/>
        <v>776.72欧*7.6377/8.896</v>
      </c>
      <c r="D126" s="168">
        <f>D125</f>
        <v>776.72</v>
      </c>
      <c r="E126" s="239" t="str">
        <f t="shared" si="44"/>
        <v>2021.09月 德国代垫英国 shopify点击费776.72欧*7.6377/8.896</v>
      </c>
      <c r="F126" s="240" t="s">
        <v>574</v>
      </c>
      <c r="G126" s="240" t="s">
        <v>575</v>
      </c>
      <c r="H126" s="241"/>
      <c r="I126" s="246">
        <f t="shared" si="45"/>
        <v>666.86</v>
      </c>
      <c r="O126" s="48"/>
      <c r="P126" s="48"/>
      <c r="Q126" s="48"/>
      <c r="R126" s="48"/>
      <c r="S126" s="48"/>
      <c r="T126" s="48"/>
      <c r="U126" s="48"/>
    </row>
    <row r="127" s="89" customFormat="1" ht="15" spans="1:21">
      <c r="A127" s="227" t="s">
        <v>387</v>
      </c>
      <c r="B127" s="48" t="s">
        <v>739</v>
      </c>
      <c r="C127" s="48" t="str">
        <f t="shared" si="46"/>
        <v>17.39欧*7.6377/8.896</v>
      </c>
      <c r="D127" s="168">
        <v>17.39</v>
      </c>
      <c r="E127" s="238" t="str">
        <f t="shared" si="44"/>
        <v>2021.09月 德国代垫英国 shopify英国数字服务税费用17.39欧*7.6377/8.896</v>
      </c>
      <c r="F127" s="179" t="s">
        <v>698</v>
      </c>
      <c r="G127" s="179" t="s">
        <v>738</v>
      </c>
      <c r="H127" s="73">
        <f>ROUND($D127*$J$116/$J$120,2)</f>
        <v>14.93</v>
      </c>
      <c r="I127" s="206"/>
      <c r="O127" s="48"/>
      <c r="P127" s="48"/>
      <c r="Q127" s="48"/>
      <c r="R127" s="48"/>
      <c r="S127" s="48"/>
      <c r="T127" s="48"/>
      <c r="U127" s="48"/>
    </row>
    <row r="128" s="89" customFormat="1" ht="15.75" spans="1:21">
      <c r="A128" s="227" t="s">
        <v>387</v>
      </c>
      <c r="B128" s="48" t="str">
        <f>B127</f>
        <v>德国代垫英国 shopify英国数字服务税费用</v>
      </c>
      <c r="C128" s="48" t="str">
        <f>C127</f>
        <v>17.39欧*7.6377/8.896</v>
      </c>
      <c r="D128" s="168">
        <f>D127</f>
        <v>17.39</v>
      </c>
      <c r="E128" s="239" t="str">
        <f t="shared" si="44"/>
        <v>2021.09月 德国代垫英国 shopify英国数字服务税费用17.39欧*7.6377/8.896</v>
      </c>
      <c r="F128" s="240" t="s">
        <v>574</v>
      </c>
      <c r="G128" s="240" t="s">
        <v>575</v>
      </c>
      <c r="H128" s="241"/>
      <c r="I128" s="246">
        <f>H127</f>
        <v>14.93</v>
      </c>
      <c r="O128" s="48"/>
      <c r="P128" s="48"/>
      <c r="Q128" s="48"/>
      <c r="R128" s="48"/>
      <c r="S128" s="48"/>
      <c r="T128" s="48"/>
      <c r="U128" s="48"/>
    </row>
    <row r="129" s="89" customFormat="1" ht="15" spans="1:28">
      <c r="A129" s="227" t="s">
        <v>387</v>
      </c>
      <c r="B129" s="89" t="s">
        <v>740</v>
      </c>
      <c r="E129" s="178" t="str">
        <f>B129&amp;A129</f>
        <v>计提仓库水费 2021.09月 </v>
      </c>
      <c r="F129" s="247" t="s">
        <v>741</v>
      </c>
      <c r="G129" s="247" t="s">
        <v>742</v>
      </c>
      <c r="H129" s="248">
        <v>129</v>
      </c>
      <c r="I129" s="263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 s="89" customFormat="1" ht="15" spans="1:28">
      <c r="A130" s="227" t="s">
        <v>387</v>
      </c>
      <c r="B130" s="89" t="s">
        <v>740</v>
      </c>
      <c r="E130" s="178" t="str">
        <f>B130&amp;A130</f>
        <v>计提仓库水费 2021.09月 </v>
      </c>
      <c r="F130" s="247" t="s">
        <v>743</v>
      </c>
      <c r="G130" s="247" t="s">
        <v>744</v>
      </c>
      <c r="H130" s="248"/>
      <c r="I130" s="263">
        <f>H129</f>
        <v>129</v>
      </c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 customFormat="1" ht="28.5" spans="1:28">
      <c r="A131" s="249" t="s">
        <v>745</v>
      </c>
      <c r="B131" s="89" t="s">
        <v>746</v>
      </c>
      <c r="C131" s="89" t="str">
        <f>"（隔壁公司："&amp;H133&amp;"；自己："&amp;H131&amp;"+Vat "&amp;H132</f>
        <v>（隔壁公司：950.78；自己：1188.48+Vat 237.69</v>
      </c>
      <c r="D131" s="89"/>
      <c r="E131" s="250" t="str">
        <f t="shared" ref="E131:E142" si="47">B131&amp;A131&amp;C131</f>
        <v>漏计提电费 2021.9.13-10.12（隔壁公司：950.78；自己：1188.48+Vat 237.69</v>
      </c>
      <c r="F131" s="251" t="s">
        <v>747</v>
      </c>
      <c r="G131" s="252" t="s">
        <v>748</v>
      </c>
      <c r="H131" s="253">
        <f>ROUND((I134-H133)/1.2,2)</f>
        <v>1188.48</v>
      </c>
      <c r="I131" s="264"/>
      <c r="O131" s="89"/>
      <c r="P131" s="89"/>
      <c r="Q131" s="89"/>
      <c r="R131" s="89"/>
      <c r="S131" s="89"/>
      <c r="T131" s="89"/>
      <c r="U131" s="48"/>
      <c r="V131" s="48"/>
      <c r="W131" s="48"/>
      <c r="X131" s="48"/>
      <c r="Y131" s="48"/>
      <c r="Z131" s="48"/>
      <c r="AA131" s="48"/>
      <c r="AB131" s="48"/>
    </row>
    <row r="132" ht="15" spans="1:20">
      <c r="A132" s="249" t="str">
        <f>A131</f>
        <v>2021.9.13-10.12</v>
      </c>
      <c r="B132" s="89" t="s">
        <v>746</v>
      </c>
      <c r="C132" s="89" t="str">
        <f>C131</f>
        <v>（隔壁公司：950.78；自己：1188.48+Vat 237.69</v>
      </c>
      <c r="D132" s="89"/>
      <c r="E132" s="250" t="str">
        <f t="shared" si="47"/>
        <v>漏计提电费 2021.9.13-10.12（隔壁公司：950.78；自己：1188.48+Vat 237.69</v>
      </c>
      <c r="F132" s="251" t="s">
        <v>32</v>
      </c>
      <c r="G132" s="251" t="s">
        <v>33</v>
      </c>
      <c r="H132" s="253">
        <f>I134-H131-H133</f>
        <v>237.69</v>
      </c>
      <c r="I132" s="264"/>
      <c r="O132" s="89"/>
      <c r="P132" s="89"/>
      <c r="Q132" s="89"/>
      <c r="R132" s="89"/>
      <c r="S132" s="89"/>
      <c r="T132" s="89"/>
    </row>
    <row r="133" ht="15" spans="1:20">
      <c r="A133" s="249" t="str">
        <f t="shared" ref="A133:A142" si="48">A132</f>
        <v>2021.9.13-10.12</v>
      </c>
      <c r="B133" s="89" t="s">
        <v>746</v>
      </c>
      <c r="C133" s="89" t="str">
        <f>C131</f>
        <v>（隔壁公司：950.78；自己：1188.48+Vat 237.69</v>
      </c>
      <c r="D133" s="89"/>
      <c r="E133" s="250" t="str">
        <f t="shared" si="47"/>
        <v>漏计提电费 2021.9.13-10.12（隔壁公司：950.78；自己：1188.48+Vat 237.69</v>
      </c>
      <c r="F133" s="251" t="s">
        <v>749</v>
      </c>
      <c r="G133" s="251" t="s">
        <v>750</v>
      </c>
      <c r="H133" s="253">
        <f>ROUND(I134*0.4,2)</f>
        <v>950.78</v>
      </c>
      <c r="I133" s="264"/>
      <c r="O133" s="89"/>
      <c r="P133" s="89"/>
      <c r="Q133" s="89"/>
      <c r="R133" s="89"/>
      <c r="S133" s="89"/>
      <c r="T133" s="89"/>
    </row>
    <row r="134" ht="15.75" spans="1:20">
      <c r="A134" s="249" t="str">
        <f t="shared" si="48"/>
        <v>2021.9.13-10.12</v>
      </c>
      <c r="B134" s="89" t="s">
        <v>746</v>
      </c>
      <c r="C134" s="89" t="str">
        <f>C131</f>
        <v>（隔壁公司：950.78；自己：1188.48+Vat 237.69</v>
      </c>
      <c r="D134" s="89"/>
      <c r="E134" s="254" t="str">
        <f t="shared" si="47"/>
        <v>漏计提电费 2021.9.13-10.12（隔壁公司：950.78；自己：1188.48+Vat 237.69</v>
      </c>
      <c r="F134" s="255" t="s">
        <v>743</v>
      </c>
      <c r="G134" s="255" t="s">
        <v>744</v>
      </c>
      <c r="H134" s="256"/>
      <c r="I134" s="265">
        <v>2376.95</v>
      </c>
      <c r="O134" s="89"/>
      <c r="P134" s="89"/>
      <c r="Q134" s="89"/>
      <c r="R134" s="89"/>
      <c r="S134" s="89"/>
      <c r="T134" s="89"/>
    </row>
    <row r="135" customFormat="1" ht="28.5" spans="1:28">
      <c r="A135" s="89" t="str">
        <f t="shared" si="48"/>
        <v>2021.9.13-10.12</v>
      </c>
      <c r="B135" s="89" t="s">
        <v>751</v>
      </c>
      <c r="C135" s="89" t="str">
        <f>"（隔壁公司："&amp;H137&amp;"；自己："&amp;H135&amp;"+Vat "&amp;H136</f>
        <v>（隔壁公司：-950.78；自己：-1188.48+Vat -237.69</v>
      </c>
      <c r="D135" s="89"/>
      <c r="E135" s="250" t="str">
        <f t="shared" si="47"/>
        <v>冲计提电费 2021.9.13-10.12（隔壁公司：-950.78；自己：-1188.48+Vat -237.69</v>
      </c>
      <c r="F135" s="251" t="s">
        <v>747</v>
      </c>
      <c r="G135" s="252" t="s">
        <v>748</v>
      </c>
      <c r="H135" s="253">
        <f>-H131</f>
        <v>-1188.48</v>
      </c>
      <c r="I135" s="264"/>
      <c r="O135" s="89"/>
      <c r="P135" s="89"/>
      <c r="Q135" s="89"/>
      <c r="R135" s="89"/>
      <c r="S135" s="89"/>
      <c r="T135" s="89"/>
      <c r="U135" s="48"/>
      <c r="V135" s="48"/>
      <c r="W135" s="48"/>
      <c r="X135" s="48"/>
      <c r="Y135" s="48"/>
      <c r="Z135" s="48"/>
      <c r="AA135" s="48"/>
      <c r="AB135" s="48"/>
    </row>
    <row r="136" s="42" customFormat="1" ht="15" spans="1:21">
      <c r="A136" s="89" t="str">
        <f t="shared" si="48"/>
        <v>2021.9.13-10.12</v>
      </c>
      <c r="B136" s="89" t="str">
        <f>B135</f>
        <v>冲计提电费 </v>
      </c>
      <c r="C136" s="89" t="str">
        <f>C135</f>
        <v>（隔壁公司：-950.78；自己：-1188.48+Vat -237.69</v>
      </c>
      <c r="D136" s="89"/>
      <c r="E136" s="250" t="str">
        <f t="shared" si="47"/>
        <v>冲计提电费 2021.9.13-10.12（隔壁公司：-950.78；自己：-1188.48+Vat -237.69</v>
      </c>
      <c r="F136" s="251" t="s">
        <v>32</v>
      </c>
      <c r="G136" s="251" t="s">
        <v>33</v>
      </c>
      <c r="H136" s="253">
        <f>-H132</f>
        <v>-237.69</v>
      </c>
      <c r="I136" s="264"/>
      <c r="J136" s="48"/>
      <c r="K136" s="48"/>
      <c r="L136" s="48"/>
      <c r="M136" s="48"/>
      <c r="N136" s="48"/>
      <c r="O136" s="89"/>
      <c r="P136" s="89"/>
      <c r="Q136" s="89"/>
      <c r="R136" s="89"/>
      <c r="S136" s="89"/>
      <c r="T136" s="89"/>
      <c r="U136" s="48"/>
    </row>
    <row r="137" s="42" customFormat="1" ht="15" spans="1:21">
      <c r="A137" s="89" t="str">
        <f t="shared" si="48"/>
        <v>2021.9.13-10.12</v>
      </c>
      <c r="B137" s="89" t="str">
        <f>B135</f>
        <v>冲计提电费 </v>
      </c>
      <c r="C137" s="89" t="str">
        <f>C135</f>
        <v>（隔壁公司：-950.78；自己：-1188.48+Vat -237.69</v>
      </c>
      <c r="D137" s="89"/>
      <c r="E137" s="250" t="str">
        <f t="shared" si="47"/>
        <v>冲计提电费 2021.9.13-10.12（隔壁公司：-950.78；自己：-1188.48+Vat -237.69</v>
      </c>
      <c r="F137" s="251" t="s">
        <v>749</v>
      </c>
      <c r="G137" s="251" t="s">
        <v>750</v>
      </c>
      <c r="H137" s="253">
        <f>-H133</f>
        <v>-950.78</v>
      </c>
      <c r="I137" s="264"/>
      <c r="J137" s="48"/>
      <c r="K137" s="48"/>
      <c r="L137" s="48"/>
      <c r="M137" s="48"/>
      <c r="N137" s="48"/>
      <c r="O137" s="89"/>
      <c r="P137" s="89"/>
      <c r="Q137" s="89"/>
      <c r="R137" s="89"/>
      <c r="S137" s="89"/>
      <c r="T137" s="89"/>
      <c r="U137" s="48"/>
    </row>
    <row r="138" s="42" customFormat="1" ht="15.75" spans="1:21">
      <c r="A138" s="89" t="str">
        <f t="shared" si="48"/>
        <v>2021.9.13-10.12</v>
      </c>
      <c r="B138" s="89" t="str">
        <f>B135</f>
        <v>冲计提电费 </v>
      </c>
      <c r="C138" s="89" t="str">
        <f>C135</f>
        <v>（隔壁公司：-950.78；自己：-1188.48+Vat -237.69</v>
      </c>
      <c r="D138" s="89"/>
      <c r="E138" s="254" t="str">
        <f t="shared" si="47"/>
        <v>冲计提电费 2021.9.13-10.12（隔壁公司：-950.78；自己：-1188.48+Vat -237.69</v>
      </c>
      <c r="F138" s="255" t="s">
        <v>743</v>
      </c>
      <c r="G138" s="255" t="s">
        <v>744</v>
      </c>
      <c r="H138" s="256"/>
      <c r="I138" s="265">
        <f>SUM(H135:H137)</f>
        <v>-2376.95</v>
      </c>
      <c r="J138" s="48"/>
      <c r="K138" s="48"/>
      <c r="L138" s="48"/>
      <c r="M138" s="48"/>
      <c r="N138" s="48"/>
      <c r="O138" s="89"/>
      <c r="P138" s="89"/>
      <c r="Q138" s="89"/>
      <c r="R138" s="89"/>
      <c r="S138" s="89"/>
      <c r="T138" s="89"/>
      <c r="U138" s="48"/>
    </row>
    <row r="139" customFormat="1" ht="28.5" spans="1:28">
      <c r="A139" s="89" t="str">
        <f t="shared" si="48"/>
        <v>2021.9.13-10.12</v>
      </c>
      <c r="B139" s="89" t="s">
        <v>752</v>
      </c>
      <c r="C139" s="89" t="str">
        <f>"（隔壁公司："&amp;H141&amp;"；自己："&amp;H139&amp;"+Vat "&amp;H140</f>
        <v>（隔壁公司：771.93；自己：964.92+Vat 192.98</v>
      </c>
      <c r="D139" s="89"/>
      <c r="E139" s="250" t="str">
        <f t="shared" si="47"/>
        <v>补计提电费 2021.9.13-10.12（隔壁公司：771.93；自己：964.92+Vat 192.98</v>
      </c>
      <c r="F139" s="251" t="s">
        <v>747</v>
      </c>
      <c r="G139" s="252" t="s">
        <v>748</v>
      </c>
      <c r="H139" s="253">
        <f>ROUND((I142-H141)/1.2,2)</f>
        <v>964.92</v>
      </c>
      <c r="I139" s="264"/>
      <c r="O139" s="89"/>
      <c r="P139" s="89"/>
      <c r="Q139" s="89"/>
      <c r="R139" s="89"/>
      <c r="S139" s="89"/>
      <c r="T139" s="89"/>
      <c r="U139" s="48"/>
      <c r="V139" s="48"/>
      <c r="W139" s="48"/>
      <c r="X139" s="48"/>
      <c r="Y139" s="48"/>
      <c r="Z139" s="48"/>
      <c r="AA139" s="48"/>
      <c r="AB139" s="48"/>
    </row>
    <row r="140" s="42" customFormat="1" ht="15" spans="1:21">
      <c r="A140" s="89" t="str">
        <f t="shared" si="48"/>
        <v>2021.9.13-10.12</v>
      </c>
      <c r="B140" s="89" t="str">
        <f>B139</f>
        <v>补计提电费 </v>
      </c>
      <c r="C140" s="89" t="str">
        <f>C139</f>
        <v>（隔壁公司：771.93；自己：964.92+Vat 192.98</v>
      </c>
      <c r="D140" s="89"/>
      <c r="E140" s="250" t="str">
        <f t="shared" si="47"/>
        <v>补计提电费 2021.9.13-10.12（隔壁公司：771.93；自己：964.92+Vat 192.98</v>
      </c>
      <c r="F140" s="251" t="s">
        <v>32</v>
      </c>
      <c r="G140" s="251" t="s">
        <v>33</v>
      </c>
      <c r="H140" s="253">
        <f>I142-H139-H141</f>
        <v>192.98</v>
      </c>
      <c r="I140" s="264"/>
      <c r="J140" s="48"/>
      <c r="K140" s="48"/>
      <c r="L140" s="48"/>
      <c r="M140" s="48"/>
      <c r="N140" s="48"/>
      <c r="O140" s="89"/>
      <c r="P140" s="89"/>
      <c r="Q140" s="89"/>
      <c r="R140" s="89"/>
      <c r="S140" s="89"/>
      <c r="T140" s="89"/>
      <c r="U140" s="48"/>
    </row>
    <row r="141" s="42" customFormat="1" ht="15" spans="1:21">
      <c r="A141" s="89" t="str">
        <f t="shared" si="48"/>
        <v>2021.9.13-10.12</v>
      </c>
      <c r="B141" s="89" t="str">
        <f>B139</f>
        <v>补计提电费 </v>
      </c>
      <c r="C141" s="89" t="str">
        <f>C139</f>
        <v>（隔壁公司：771.93；自己：964.92+Vat 192.98</v>
      </c>
      <c r="D141" s="89"/>
      <c r="E141" s="250" t="str">
        <f t="shared" si="47"/>
        <v>补计提电费 2021.9.13-10.12（隔壁公司：771.93；自己：964.92+Vat 192.98</v>
      </c>
      <c r="F141" s="251" t="s">
        <v>749</v>
      </c>
      <c r="G141" s="251" t="s">
        <v>750</v>
      </c>
      <c r="H141" s="253">
        <f>ROUND(I142*0.4,2)</f>
        <v>771.93</v>
      </c>
      <c r="I141" s="264"/>
      <c r="J141" s="48"/>
      <c r="K141" s="48"/>
      <c r="L141" s="48"/>
      <c r="M141" s="48"/>
      <c r="N141" s="48"/>
      <c r="O141" s="89"/>
      <c r="P141" s="89"/>
      <c r="Q141" s="89"/>
      <c r="R141" s="89"/>
      <c r="S141" s="89"/>
      <c r="T141" s="89"/>
      <c r="U141" s="48"/>
    </row>
    <row r="142" s="42" customFormat="1" ht="15.75" spans="1:21">
      <c r="A142" s="89" t="str">
        <f t="shared" si="48"/>
        <v>2021.9.13-10.12</v>
      </c>
      <c r="B142" s="89" t="str">
        <f>B139</f>
        <v>补计提电费 </v>
      </c>
      <c r="C142" s="89" t="str">
        <f>C139</f>
        <v>（隔壁公司：771.93；自己：964.92+Vat 192.98</v>
      </c>
      <c r="D142" s="89"/>
      <c r="E142" s="254" t="str">
        <f t="shared" si="47"/>
        <v>补计提电费 2021.9.13-10.12（隔壁公司：771.93；自己：964.92+Vat 192.98</v>
      </c>
      <c r="F142" s="255" t="s">
        <v>743</v>
      </c>
      <c r="G142" s="255" t="s">
        <v>744</v>
      </c>
      <c r="H142" s="256"/>
      <c r="I142" s="265">
        <v>1929.83</v>
      </c>
      <c r="J142" s="48"/>
      <c r="K142" s="48"/>
      <c r="L142" s="48"/>
      <c r="M142" s="48"/>
      <c r="N142" s="48"/>
      <c r="O142" s="89"/>
      <c r="P142" s="89"/>
      <c r="Q142" s="89"/>
      <c r="R142" s="89"/>
      <c r="S142" s="89"/>
      <c r="T142" s="89"/>
      <c r="U142" s="48"/>
    </row>
    <row r="143" s="42" customFormat="1" ht="15" spans="2:20">
      <c r="B143" s="257"/>
      <c r="C143" s="257"/>
      <c r="D143" s="257"/>
      <c r="E143" s="63"/>
      <c r="F143" s="64"/>
      <c r="G143" s="64"/>
      <c r="H143" s="75"/>
      <c r="I143" s="75"/>
      <c r="O143" s="257"/>
      <c r="P143" s="257"/>
      <c r="Q143" s="257"/>
      <c r="R143" s="257"/>
      <c r="S143" s="257"/>
      <c r="T143" s="257"/>
    </row>
    <row r="144" s="42" customFormat="1" ht="15" spans="2:20">
      <c r="B144" s="257"/>
      <c r="C144" s="257"/>
      <c r="D144" s="257"/>
      <c r="E144" s="63"/>
      <c r="F144" s="64"/>
      <c r="G144" s="64"/>
      <c r="H144" s="75"/>
      <c r="I144" s="75"/>
      <c r="O144" s="257"/>
      <c r="P144" s="257"/>
      <c r="Q144" s="257"/>
      <c r="R144" s="257"/>
      <c r="S144" s="257"/>
      <c r="T144" s="257"/>
    </row>
    <row r="145" s="42" customFormat="1" ht="15" spans="2:20">
      <c r="B145" s="257"/>
      <c r="C145" s="257"/>
      <c r="D145" s="257"/>
      <c r="E145" s="63"/>
      <c r="F145" s="64"/>
      <c r="G145" s="64"/>
      <c r="H145" s="75"/>
      <c r="I145" s="75"/>
      <c r="O145" s="257"/>
      <c r="P145" s="257"/>
      <c r="Q145" s="257"/>
      <c r="R145" s="257"/>
      <c r="S145" s="257"/>
      <c r="T145" s="257"/>
    </row>
    <row r="146" s="42" customFormat="1" ht="15" spans="2:20">
      <c r="B146" s="257"/>
      <c r="C146" s="257"/>
      <c r="D146" s="257"/>
      <c r="E146" s="63"/>
      <c r="F146" s="64"/>
      <c r="G146" s="64"/>
      <c r="H146" s="75"/>
      <c r="I146" s="75"/>
      <c r="O146" s="257"/>
      <c r="P146" s="257"/>
      <c r="Q146" s="257"/>
      <c r="R146" s="257"/>
      <c r="S146" s="257"/>
      <c r="T146" s="257"/>
    </row>
    <row r="147" ht="15" spans="1:20">
      <c r="A147"/>
      <c r="B147"/>
      <c r="C147"/>
      <c r="D147"/>
      <c r="E147"/>
      <c r="F147" s="31"/>
      <c r="G147" s="31"/>
      <c r="H147"/>
      <c r="I147"/>
      <c r="O147" s="89"/>
      <c r="P147" s="89"/>
      <c r="Q147" s="89"/>
      <c r="R147" s="89"/>
      <c r="S147" s="89"/>
      <c r="T147" s="89"/>
    </row>
    <row r="148" ht="15" spans="1:20">
      <c r="A148" s="227" t="s">
        <v>753</v>
      </c>
      <c r="B148" s="48" t="s">
        <v>754</v>
      </c>
      <c r="C148" s="168">
        <v>60</v>
      </c>
      <c r="D148" s="658" t="s">
        <v>755</v>
      </c>
      <c r="E148" s="258" t="str">
        <f>"计提 "&amp;A148&amp;B148&amp;"运费（"&amp;C148&amp;"单）-"&amp;D148</f>
        <v>计提 9.13-9.17日  Palletline运费（60单）-0211991</v>
      </c>
      <c r="F148" s="258" t="str">
        <f>INDEX(O$63:O$96,MATCH("*"&amp;$B148&amp;"*",$P$63:$P$96,0))</f>
        <v>6601.005.005.001</v>
      </c>
      <c r="G148" s="258" t="str">
        <f>INDEX(P$63:P$96,MATCH("*"&amp;$B148&amp;"*",$P$63:$P$96,0))</f>
        <v>销售费用_运输成本_PL运费_英国公司-Palletline</v>
      </c>
      <c r="H148" s="248">
        <v>3241.5</v>
      </c>
      <c r="I148" s="248"/>
      <c r="O148" s="89"/>
      <c r="P148" s="89"/>
      <c r="Q148" s="89"/>
      <c r="R148" s="89"/>
      <c r="S148" s="89"/>
      <c r="T148" s="89"/>
    </row>
    <row r="149" ht="15" spans="1:20">
      <c r="A149" s="259" t="str">
        <f t="shared" ref="A149:A153" si="49">A148</f>
        <v>9.13-9.17日  </v>
      </c>
      <c r="B149" s="48" t="s">
        <v>754</v>
      </c>
      <c r="C149" s="168">
        <f>C148</f>
        <v>60</v>
      </c>
      <c r="D149" s="658" t="str">
        <f>D148</f>
        <v>0211991</v>
      </c>
      <c r="E149" s="258" t="str">
        <f t="shared" ref="E149:E156" si="50">"计提 "&amp;A149&amp;B149&amp;"运费（"&amp;C149&amp;"单）-"&amp;D149</f>
        <v>计提 9.13-9.17日  Palletline运费（60单）-0211991</v>
      </c>
      <c r="F149" s="179" t="str">
        <f>O$1</f>
        <v>2221</v>
      </c>
      <c r="G149" s="180" t="str">
        <f>P$1</f>
        <v>应交税费</v>
      </c>
      <c r="H149" s="248">
        <v>648.3</v>
      </c>
      <c r="I149" s="248"/>
      <c r="O149" s="89"/>
      <c r="P149" s="89"/>
      <c r="Q149" s="89"/>
      <c r="R149" s="89"/>
      <c r="S149" s="89"/>
      <c r="T149" s="89"/>
    </row>
    <row r="150" ht="15" spans="1:20">
      <c r="A150" s="259" t="str">
        <f t="shared" si="49"/>
        <v>9.13-9.17日  </v>
      </c>
      <c r="B150" s="48" t="s">
        <v>754</v>
      </c>
      <c r="C150" s="168">
        <f>C148</f>
        <v>60</v>
      </c>
      <c r="D150" s="658" t="str">
        <f>D148</f>
        <v>0211991</v>
      </c>
      <c r="E150" s="258" t="str">
        <f t="shared" si="50"/>
        <v>计提 9.13-9.17日  Palletline运费（60单）-0211991</v>
      </c>
      <c r="F150" s="258" t="str">
        <f>LOOKUP(0,0/SEARCH($B150,$P$63:$P$92),O$63:O$92)</f>
        <v>2202.02</v>
      </c>
      <c r="G150" s="258" t="str">
        <f>LOOKUP(0,0/SEARCH($B150,$P$63:$P$92),P$63:P$92)</f>
        <v>应付账款 - palletline</v>
      </c>
      <c r="H150" s="248"/>
      <c r="I150" s="227">
        <f>SUM(H148:H149)</f>
        <v>3889.8</v>
      </c>
      <c r="O150" s="89"/>
      <c r="P150" s="89"/>
      <c r="Q150" s="89"/>
      <c r="R150" s="89"/>
      <c r="S150" s="89"/>
      <c r="T150" s="89"/>
    </row>
    <row r="151" ht="15" spans="1:20">
      <c r="A151" s="42" t="s">
        <v>756</v>
      </c>
      <c r="B151" s="48" t="s">
        <v>754</v>
      </c>
      <c r="C151" s="168">
        <v>88</v>
      </c>
      <c r="D151" s="658" t="s">
        <v>757</v>
      </c>
      <c r="E151" s="258" t="str">
        <f t="shared" si="50"/>
        <v>计提 8.23-8.31日 Palletline运费（88单）-0211589</v>
      </c>
      <c r="F151" s="258" t="str">
        <f>INDEX(O$63:O$96,MATCH("*"&amp;$B151&amp;"*",$P$63:$P$96,0))</f>
        <v>6601.005.005.001</v>
      </c>
      <c r="G151" s="258" t="str">
        <f>INDEX(P$63:P$96,MATCH("*"&amp;$B151&amp;"*",$P$63:$P$96,0))</f>
        <v>销售费用_运输成本_PL运费_英国公司-Palletline</v>
      </c>
      <c r="H151" s="248">
        <v>4071.45</v>
      </c>
      <c r="I151" s="248"/>
      <c r="O151" s="89"/>
      <c r="P151" s="89"/>
      <c r="Q151" s="89"/>
      <c r="R151" s="89"/>
      <c r="S151" s="89"/>
      <c r="T151" s="89"/>
    </row>
    <row r="152" ht="15" spans="1:20">
      <c r="A152" s="260" t="str">
        <f t="shared" si="49"/>
        <v>8.23-8.31日 </v>
      </c>
      <c r="B152" s="48" t="s">
        <v>754</v>
      </c>
      <c r="C152" s="168">
        <f>C151</f>
        <v>88</v>
      </c>
      <c r="D152" s="658" t="str">
        <f>D151</f>
        <v>0211589</v>
      </c>
      <c r="E152" s="258" t="str">
        <f t="shared" si="50"/>
        <v>计提 8.23-8.31日 Palletline运费（88单）-0211589</v>
      </c>
      <c r="F152" s="179" t="str">
        <f>O$1</f>
        <v>2221</v>
      </c>
      <c r="G152" s="180" t="str">
        <f>P$1</f>
        <v>应交税费</v>
      </c>
      <c r="H152" s="248">
        <v>814.29</v>
      </c>
      <c r="I152" s="248"/>
      <c r="O152" s="89"/>
      <c r="P152" s="89"/>
      <c r="Q152" s="89"/>
      <c r="R152" s="89"/>
      <c r="S152" s="89"/>
      <c r="T152" s="89"/>
    </row>
    <row r="153" ht="15" spans="1:21">
      <c r="A153" s="260" t="str">
        <f t="shared" si="49"/>
        <v>8.23-8.31日 </v>
      </c>
      <c r="B153" s="48" t="s">
        <v>754</v>
      </c>
      <c r="C153" s="168">
        <f>C151</f>
        <v>88</v>
      </c>
      <c r="D153" s="658" t="str">
        <f>D151</f>
        <v>0211589</v>
      </c>
      <c r="E153" s="258" t="str">
        <f t="shared" si="50"/>
        <v>计提 8.23-8.31日 Palletline运费（88单）-0211589</v>
      </c>
      <c r="F153" s="258" t="str">
        <f>LOOKUP(0,0/SEARCH($B153,$P$63:$P$92),O$63:O$92)</f>
        <v>2202.02</v>
      </c>
      <c r="G153" s="258" t="str">
        <f>LOOKUP(0,0/SEARCH($B153,$P$63:$P$92),P$63:P$92)</f>
        <v>应付账款 - palletline</v>
      </c>
      <c r="H153" s="248"/>
      <c r="I153" s="227">
        <f>SUM(H151:H152)</f>
        <v>4885.74</v>
      </c>
      <c r="O153" s="89"/>
      <c r="P153" s="89"/>
      <c r="Q153" s="89"/>
      <c r="R153" s="89"/>
      <c r="S153" s="89"/>
      <c r="T153" s="89"/>
      <c r="U153" s="42"/>
    </row>
    <row r="154" ht="15" hidden="1" spans="1:21">
      <c r="A154" s="42" t="s">
        <v>758</v>
      </c>
      <c r="B154" s="48" t="s">
        <v>754</v>
      </c>
      <c r="C154" s="168">
        <v>83</v>
      </c>
      <c r="D154" s="658" t="s">
        <v>759</v>
      </c>
      <c r="E154" s="258" t="str">
        <f t="shared" si="50"/>
        <v>计提 2021.5.17-5.21日 Palletline运费（83单）-0209617</v>
      </c>
      <c r="F154" s="258" t="str">
        <f>INDEX(O$63:O$96,MATCH("*"&amp;$B154&amp;"*",$P$63:$P$96,0))</f>
        <v>6601.005.005.001</v>
      </c>
      <c r="G154" s="258" t="str">
        <f>INDEX(P$63:P$96,MATCH("*"&amp;$B154&amp;"*",$P$63:$P$96,0))</f>
        <v>销售费用_运输成本_PL运费_英国公司-Palletline</v>
      </c>
      <c r="H154" s="248">
        <v>3787</v>
      </c>
      <c r="I154" s="248"/>
      <c r="O154" s="89"/>
      <c r="P154" s="89"/>
      <c r="Q154" s="89"/>
      <c r="R154" s="89"/>
      <c r="S154" s="89"/>
      <c r="T154" s="89"/>
      <c r="U154" s="42"/>
    </row>
    <row r="155" ht="15" hidden="1" spans="1:21">
      <c r="A155" s="260" t="str">
        <f>A154</f>
        <v>2021.5.17-5.21日 </v>
      </c>
      <c r="B155" s="48" t="s">
        <v>754</v>
      </c>
      <c r="C155" s="168">
        <f>C154</f>
        <v>83</v>
      </c>
      <c r="D155" s="658" t="str">
        <f>D154</f>
        <v>0209617</v>
      </c>
      <c r="E155" s="258" t="str">
        <f t="shared" si="50"/>
        <v>计提 2021.5.17-5.21日 Palletline运费（83单）-0209617</v>
      </c>
      <c r="F155" s="179" t="str">
        <f>O$1</f>
        <v>2221</v>
      </c>
      <c r="G155" s="180" t="str">
        <f>P$1</f>
        <v>应交税费</v>
      </c>
      <c r="H155" s="248">
        <v>757.4</v>
      </c>
      <c r="I155" s="248"/>
      <c r="O155" s="89"/>
      <c r="P155" s="89"/>
      <c r="Q155" s="89"/>
      <c r="R155" s="89"/>
      <c r="S155" s="89"/>
      <c r="T155" s="89"/>
      <c r="U155" s="42"/>
    </row>
    <row r="156" ht="15" hidden="1" spans="1:26">
      <c r="A156" s="260" t="str">
        <f>A155</f>
        <v>2021.5.17-5.21日 </v>
      </c>
      <c r="B156" s="48" t="s">
        <v>754</v>
      </c>
      <c r="C156" s="168">
        <f>C154</f>
        <v>83</v>
      </c>
      <c r="D156" s="658" t="str">
        <f>D154</f>
        <v>0209617</v>
      </c>
      <c r="E156" s="258" t="str">
        <f t="shared" si="50"/>
        <v>计提 2021.5.17-5.21日 Palletline运费（83单）-0209617</v>
      </c>
      <c r="F156" s="258" t="str">
        <f>LOOKUP(0,0/SEARCH($B156,$P$63:$P$92),O$63:O$92)</f>
        <v>2202.02</v>
      </c>
      <c r="G156" s="258" t="str">
        <f>LOOKUP(0,0/SEARCH($B156,$P$63:$P$92),P$63:P$92)</f>
        <v>应付账款 - palletline</v>
      </c>
      <c r="H156" s="248"/>
      <c r="I156" s="227">
        <f>SUM(H154:H155)</f>
        <v>4544.4</v>
      </c>
      <c r="O156" s="89"/>
      <c r="P156" s="89"/>
      <c r="Q156" s="89"/>
      <c r="R156" s="89"/>
      <c r="S156" s="89"/>
      <c r="T156" s="89"/>
      <c r="V156" s="42"/>
      <c r="W156" s="42"/>
      <c r="X156" s="42"/>
      <c r="Y156" s="42"/>
      <c r="Z156" s="42"/>
    </row>
    <row r="157" ht="15" hidden="1" spans="1:26">
      <c r="A157" s="42"/>
      <c r="O157" s="89"/>
      <c r="P157" s="89"/>
      <c r="Q157" s="89"/>
      <c r="R157" s="89"/>
      <c r="S157" s="89"/>
      <c r="T157" s="89"/>
      <c r="V157" s="42"/>
      <c r="W157" s="42"/>
      <c r="X157" s="42"/>
      <c r="Y157" s="42"/>
      <c r="Z157" s="42"/>
    </row>
    <row r="158" ht="15" spans="1:26">
      <c r="A158" s="227" t="s">
        <v>760</v>
      </c>
      <c r="B158" s="48" t="s">
        <v>761</v>
      </c>
      <c r="C158" s="168">
        <v>418</v>
      </c>
      <c r="D158" s="168">
        <v>3124692</v>
      </c>
      <c r="E158" s="258" t="str">
        <f t="shared" ref="E158:E166" si="51">"计提 "&amp;A158&amp;B158&amp;" 运费（"&amp;C158&amp;"单）-"&amp;D158</f>
        <v>计提 9.13-9.17日 TNT 运费（418单）-3124692</v>
      </c>
      <c r="F158" s="258" t="str">
        <f>INDEX(O$63:O$96,MATCH("*"&amp;$B158&amp;"*",$P$63:$P$96,0))</f>
        <v>6601.005.007.001</v>
      </c>
      <c r="G158" s="258" t="str">
        <f>INDEX(P$63:P$96,MATCH("*"&amp;$B158&amp;"*",$P$63:$P$96,0))</f>
        <v>销售费用_运输成本_TNT运费_英国公司-TNT</v>
      </c>
      <c r="H158" s="248">
        <v>9280.52</v>
      </c>
      <c r="I158" s="248"/>
      <c r="O158" s="89"/>
      <c r="P158" s="89"/>
      <c r="Q158" s="89"/>
      <c r="R158" s="89"/>
      <c r="S158" s="89"/>
      <c r="T158" s="89"/>
      <c r="V158" s="42"/>
      <c r="W158" s="42"/>
      <c r="X158" s="42"/>
      <c r="Y158" s="42"/>
      <c r="Z158" s="42"/>
    </row>
    <row r="159" ht="15" spans="1:20">
      <c r="A159" s="259" t="str">
        <f t="shared" ref="A159:A163" si="52">A158</f>
        <v>9.13-9.17日 </v>
      </c>
      <c r="B159" s="48" t="s">
        <v>761</v>
      </c>
      <c r="C159" s="168">
        <f>C158</f>
        <v>418</v>
      </c>
      <c r="D159" s="168">
        <f>D158</f>
        <v>3124692</v>
      </c>
      <c r="E159" s="258" t="str">
        <f t="shared" si="51"/>
        <v>计提 9.13-9.17日 TNT 运费（418单）-3124692</v>
      </c>
      <c r="F159" s="179" t="str">
        <f>O$1</f>
        <v>2221</v>
      </c>
      <c r="G159" s="180" t="str">
        <f>P$1</f>
        <v>应交税费</v>
      </c>
      <c r="H159" s="248">
        <v>1856.1</v>
      </c>
      <c r="I159" s="248"/>
      <c r="O159" s="89"/>
      <c r="P159" s="89"/>
      <c r="Q159" s="89"/>
      <c r="R159" s="89"/>
      <c r="S159" s="89"/>
      <c r="T159" s="89"/>
    </row>
    <row r="160" ht="15" spans="1:28">
      <c r="A160" s="259" t="str">
        <f t="shared" si="52"/>
        <v>9.13-9.17日 </v>
      </c>
      <c r="B160" s="48" t="s">
        <v>761</v>
      </c>
      <c r="C160" s="168">
        <f>C158</f>
        <v>418</v>
      </c>
      <c r="D160" s="168">
        <f>D158</f>
        <v>3124692</v>
      </c>
      <c r="E160" s="258" t="str">
        <f t="shared" si="51"/>
        <v>计提 9.13-9.17日 TNT 运费（418单）-3124692</v>
      </c>
      <c r="F160" s="258" t="str">
        <f>LOOKUP(0,0/SEARCH($B160,$P$63:$P$92),O$63:O$92)</f>
        <v>2202.04</v>
      </c>
      <c r="G160" s="258" t="str">
        <f>LOOKUP(0,0/SEARCH($B160,$P$63:$P$92),P$63:P$92)</f>
        <v>应付账款_TNT</v>
      </c>
      <c r="H160" s="248"/>
      <c r="I160" s="227">
        <f>SUM(H158:H159)</f>
        <v>11136.62</v>
      </c>
      <c r="O160" s="89"/>
      <c r="P160" s="89"/>
      <c r="Q160" s="89"/>
      <c r="R160" s="89"/>
      <c r="S160" s="89"/>
      <c r="T160" s="89"/>
      <c r="AA160" s="42"/>
      <c r="AB160" s="42"/>
    </row>
    <row r="161" spans="1:28">
      <c r="A161" s="227" t="s">
        <v>762</v>
      </c>
      <c r="B161" s="48" t="s">
        <v>761</v>
      </c>
      <c r="C161" s="168">
        <v>533</v>
      </c>
      <c r="D161" s="168">
        <v>3136193</v>
      </c>
      <c r="E161" s="258" t="str">
        <f t="shared" si="51"/>
        <v>计提 9.14-9.24日TNT 运费（533单）-3136193</v>
      </c>
      <c r="F161" s="258" t="str">
        <f>INDEX(O$63:O$96,MATCH("*"&amp;$B161&amp;"*",$P$63:$P$96,0))</f>
        <v>6601.005.007.001</v>
      </c>
      <c r="G161" s="258" t="str">
        <f>INDEX(P$63:P$96,MATCH("*"&amp;$B161&amp;"*",$P$63:$P$96,0))</f>
        <v>销售费用_运输成本_TNT运费_英国公司-TNT</v>
      </c>
      <c r="H161" s="248">
        <v>12110.31</v>
      </c>
      <c r="I161" s="248"/>
      <c r="O161"/>
      <c r="P161"/>
      <c r="Q161"/>
      <c r="R161"/>
      <c r="S161"/>
      <c r="T161"/>
      <c r="AA161" s="42"/>
      <c r="AB161" s="42"/>
    </row>
    <row r="162" spans="1:28">
      <c r="A162" s="259" t="str">
        <f t="shared" si="52"/>
        <v>9.14-9.24日</v>
      </c>
      <c r="B162" s="48" t="s">
        <v>761</v>
      </c>
      <c r="C162" s="168">
        <f>C161</f>
        <v>533</v>
      </c>
      <c r="D162" s="168">
        <f>D161</f>
        <v>3136193</v>
      </c>
      <c r="E162" s="258" t="str">
        <f t="shared" si="51"/>
        <v>计提 9.14-9.24日TNT 运费（533单）-3136193</v>
      </c>
      <c r="F162" s="179" t="str">
        <f>O$1</f>
        <v>2221</v>
      </c>
      <c r="G162" s="180" t="str">
        <f>P$1</f>
        <v>应交税费</v>
      </c>
      <c r="H162" s="248">
        <v>2422.06</v>
      </c>
      <c r="I162" s="248"/>
      <c r="AA162" s="42"/>
      <c r="AB162" s="42"/>
    </row>
    <row r="163" s="42" customFormat="1" spans="1:28">
      <c r="A163" s="259" t="str">
        <f t="shared" si="52"/>
        <v>9.14-9.24日</v>
      </c>
      <c r="B163" s="48" t="s">
        <v>761</v>
      </c>
      <c r="C163" s="168">
        <f>C161</f>
        <v>533</v>
      </c>
      <c r="D163" s="168">
        <f>D161</f>
        <v>3136193</v>
      </c>
      <c r="E163" s="258" t="str">
        <f t="shared" si="51"/>
        <v>计提 9.14-9.24日TNT 运费（533单）-3136193</v>
      </c>
      <c r="F163" s="258" t="str">
        <f>LOOKUP(0,0/SEARCH($B163,$P$63:$P$92),O$63:O$92)</f>
        <v>2202.04</v>
      </c>
      <c r="G163" s="258" t="str">
        <f>LOOKUP(0,0/SEARCH($B163,$P$63:$P$92),P$63:P$92)</f>
        <v>应付账款_TNT</v>
      </c>
      <c r="H163" s="248"/>
      <c r="I163" s="227">
        <f>SUM(H161:H162)</f>
        <v>14532.37</v>
      </c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 s="42" customFormat="1" spans="1:28">
      <c r="A164" s="227" t="s">
        <v>763</v>
      </c>
      <c r="B164" s="48" t="s">
        <v>764</v>
      </c>
      <c r="C164" s="168">
        <v>175</v>
      </c>
      <c r="D164" s="658" t="s">
        <v>765</v>
      </c>
      <c r="E164" s="258" t="str">
        <f t="shared" si="51"/>
        <v>计提 9.19-9.25日 Hermes 运费（175单）-00114061</v>
      </c>
      <c r="F164" s="258" t="str">
        <f>INDEX(O$63:O$96,MATCH("*"&amp;$B164&amp;"*",$P$63:$P$96,0))</f>
        <v>6601.005.006.001</v>
      </c>
      <c r="G164" s="258" t="str">
        <f>INDEX(P$63:P$96,MATCH("*"&amp;$B164&amp;"*",$P$63:$P$96,0))</f>
        <v>销售费用_运输成本_Hermes运费_英国公司-Hermes</v>
      </c>
      <c r="H164" s="248">
        <v>465.16</v>
      </c>
      <c r="I164" s="2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 s="42" customFormat="1" spans="1:28">
      <c r="A165" s="259" t="str">
        <f>A164</f>
        <v>9.19-9.25日 </v>
      </c>
      <c r="B165" s="48" t="s">
        <v>764</v>
      </c>
      <c r="C165" s="168">
        <f>C164</f>
        <v>175</v>
      </c>
      <c r="D165" s="658" t="str">
        <f>D164</f>
        <v>00114061</v>
      </c>
      <c r="E165" s="258" t="str">
        <f t="shared" si="51"/>
        <v>计提 9.19-9.25日 Hermes 运费（175单）-00114061</v>
      </c>
      <c r="F165" s="179" t="str">
        <f>O$1</f>
        <v>2221</v>
      </c>
      <c r="G165" s="180" t="str">
        <f>P$1</f>
        <v>应交税费</v>
      </c>
      <c r="H165" s="248">
        <v>93.03</v>
      </c>
      <c r="I165" s="2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 spans="1:9">
      <c r="A166" s="259" t="str">
        <f>A165</f>
        <v>9.19-9.25日 </v>
      </c>
      <c r="B166" s="48" t="s">
        <v>764</v>
      </c>
      <c r="C166" s="168">
        <f>C164</f>
        <v>175</v>
      </c>
      <c r="D166" s="658" t="str">
        <f>D164</f>
        <v>00114061</v>
      </c>
      <c r="E166" s="258" t="str">
        <f t="shared" si="51"/>
        <v>计提 9.19-9.25日 Hermes 运费（175单）-00114061</v>
      </c>
      <c r="F166" s="258" t="str">
        <f>LOOKUP(0,0/SEARCH($B166,$P$63:$P$92),O$63:O$92)</f>
        <v>2202.48</v>
      </c>
      <c r="G166" s="258" t="str">
        <f>LOOKUP(0,0/SEARCH($B166,$P$63:$P$92),P$63:P$92)</f>
        <v>应付账款_Hermes运费</v>
      </c>
      <c r="H166" s="248"/>
      <c r="I166" s="227">
        <f>SUM(H164:H165)</f>
        <v>558.19</v>
      </c>
    </row>
    <row r="167" spans="1:9">
      <c r="A167" s="260"/>
      <c r="B167" s="42"/>
      <c r="C167" s="261"/>
      <c r="D167" s="261"/>
      <c r="E167" s="63"/>
      <c r="F167" s="262"/>
      <c r="G167" s="64"/>
      <c r="H167" s="42"/>
      <c r="I167" s="42"/>
    </row>
    <row r="168" spans="1:9">
      <c r="A168" s="260"/>
      <c r="B168" s="42"/>
      <c r="C168" s="261"/>
      <c r="D168" s="261"/>
      <c r="E168" s="63"/>
      <c r="F168" s="64"/>
      <c r="G168" s="64"/>
      <c r="H168" s="75"/>
      <c r="I168" s="42"/>
    </row>
    <row r="169" spans="1:9">
      <c r="A169" s="260"/>
      <c r="B169" s="42"/>
      <c r="C169" s="261"/>
      <c r="D169" s="261"/>
      <c r="E169" s="63"/>
      <c r="F169" s="64"/>
      <c r="G169" s="64"/>
      <c r="H169" s="75"/>
      <c r="I169" s="42"/>
    </row>
    <row r="171" spans="1:9">
      <c r="A171" s="48" t="s">
        <v>766</v>
      </c>
      <c r="B171" s="48" t="s">
        <v>19</v>
      </c>
      <c r="C171" s="48" t="s">
        <v>767</v>
      </c>
      <c r="D171" s="168">
        <v>32.4</v>
      </c>
      <c r="E171" s="238" t="str">
        <f t="shared" ref="E171:E178" si="53">A171&amp;B171&amp;C171</f>
        <v>2021.09月 补收运费 水龙头 TNT</v>
      </c>
      <c r="F171" s="180" t="str">
        <f>INDEX(O:O,MATCH($B171,$O:$O,0)+6)</f>
        <v>6601.005.007.004</v>
      </c>
      <c r="G171" s="180" t="str">
        <f>INDEX(P:P,MATCH($B171,$O:$O,0)+6)</f>
        <v>销售费用 - 运输成本 - TNT运费 - 水龙头事业部-TNT</v>
      </c>
      <c r="H171" s="54">
        <f t="shared" ref="H171:H175" si="54">-D171</f>
        <v>-32.4</v>
      </c>
      <c r="I171" s="206"/>
    </row>
    <row r="172" spans="1:9">
      <c r="A172" s="48" t="s">
        <v>766</v>
      </c>
      <c r="B172" s="48" t="s">
        <v>19</v>
      </c>
      <c r="C172" s="48" t="s">
        <v>767</v>
      </c>
      <c r="D172" s="168">
        <f>D171</f>
        <v>32.4</v>
      </c>
      <c r="E172" s="238" t="str">
        <f t="shared" si="53"/>
        <v>2021.09月 补收运费 水龙头 TNT</v>
      </c>
      <c r="F172" s="180" t="str">
        <f>INDEX(O:O,MATCH($B172,$O:$O,0)+1)</f>
        <v>1221.100</v>
      </c>
      <c r="G172" s="180" t="str">
        <f>INDEX(P:P,MATCH($B172,$O:$O,0)+1)</f>
        <v>其他应收款 - 拓展部-水龙头</v>
      </c>
      <c r="H172" s="54">
        <f>-H171</f>
        <v>32.4</v>
      </c>
      <c r="I172" s="206"/>
    </row>
    <row r="173" spans="1:9">
      <c r="A173" s="48" t="s">
        <v>766</v>
      </c>
      <c r="B173" s="48" t="s">
        <v>18</v>
      </c>
      <c r="C173" s="48" t="s">
        <v>767</v>
      </c>
      <c r="D173" s="168">
        <v>36.18</v>
      </c>
      <c r="E173" s="238" t="str">
        <f t="shared" si="53"/>
        <v>2021.09月 补收运费 镜柜 TNT</v>
      </c>
      <c r="F173" s="180" t="str">
        <f>INDEX(O:O,MATCH($B173,$O:$O,0)+6)</f>
        <v>6601.005.007.003</v>
      </c>
      <c r="G173" s="180" t="str">
        <f>INDEX(P:P,MATCH($B173,$O:$O,0)+6)</f>
        <v>销售费用 - 运输成本 - TNT运费 - 镜柜事业部-TNT</v>
      </c>
      <c r="H173" s="54">
        <f t="shared" si="54"/>
        <v>-36.18</v>
      </c>
      <c r="I173" s="206"/>
    </row>
    <row r="174" spans="1:9">
      <c r="A174" s="48" t="s">
        <v>766</v>
      </c>
      <c r="B174" s="48" t="s">
        <v>18</v>
      </c>
      <c r="C174" s="48" t="s">
        <v>767</v>
      </c>
      <c r="D174" s="168">
        <f>D173</f>
        <v>36.18</v>
      </c>
      <c r="E174" s="238" t="str">
        <f t="shared" si="53"/>
        <v>2021.09月 补收运费 镜柜 TNT</v>
      </c>
      <c r="F174" s="180" t="str">
        <f>INDEX(O:O,MATCH($B174,$O:$O,0)+1)</f>
        <v>1221.86</v>
      </c>
      <c r="G174" s="180" t="str">
        <f>INDEX(P:P,MATCH($B174,$O:$O,0)+1)</f>
        <v>其他应收款 - 事业部</v>
      </c>
      <c r="H174" s="54">
        <f t="shared" ref="H174:H178" si="55">-H173</f>
        <v>36.18</v>
      </c>
      <c r="I174" s="206"/>
    </row>
    <row r="175" hidden="1" spans="1:9">
      <c r="A175" s="48" t="s">
        <v>766</v>
      </c>
      <c r="B175" s="48" t="s">
        <v>83</v>
      </c>
      <c r="C175" s="48" t="s">
        <v>767</v>
      </c>
      <c r="E175" s="238" t="str">
        <f t="shared" si="53"/>
        <v>2021.09月 补收运费 陶瓷 TNT</v>
      </c>
      <c r="F175" s="180" t="str">
        <f>INDEX(O:O,MATCH($B175,$O:$O,0)+6)</f>
        <v>6601.005.007.005</v>
      </c>
      <c r="G175" s="180" t="str">
        <f>INDEX(P:P,MATCH($B175,$O:$O,0)+6)</f>
        <v>销售费用_运输成本_TNT运费_陶瓷事业部-TNT</v>
      </c>
      <c r="H175" s="54">
        <f t="shared" si="54"/>
        <v>0</v>
      </c>
      <c r="I175" s="206"/>
    </row>
    <row r="176" hidden="1" spans="1:9">
      <c r="A176" s="48" t="s">
        <v>766</v>
      </c>
      <c r="B176" s="48" t="s">
        <v>83</v>
      </c>
      <c r="C176" s="48" t="s">
        <v>767</v>
      </c>
      <c r="E176" s="238" t="str">
        <f t="shared" si="53"/>
        <v>2021.09月 补收运费 陶瓷 TNT</v>
      </c>
      <c r="F176" s="180" t="str">
        <f>INDEX(O:O,MATCH($B176,$O:$O,0)+1)</f>
        <v>1221.103</v>
      </c>
      <c r="G176" s="180" t="str">
        <f>INDEX(P:P,MATCH($B176,$O:$O,0)+1)</f>
        <v>拓展部-陶瓷部</v>
      </c>
      <c r="H176" s="54">
        <f t="shared" si="55"/>
        <v>0</v>
      </c>
      <c r="I176" s="206"/>
    </row>
    <row r="177" spans="1:9">
      <c r="A177" s="48" t="s">
        <v>766</v>
      </c>
      <c r="B177" s="48" t="s">
        <v>20</v>
      </c>
      <c r="C177" s="48" t="s">
        <v>767</v>
      </c>
      <c r="D177" s="168">
        <v>139.85</v>
      </c>
      <c r="E177" s="238" t="str">
        <f t="shared" si="53"/>
        <v>2021.09月 补收运费 五金 TNT</v>
      </c>
      <c r="F177" s="180" t="str">
        <f>INDEX(O:O,MATCH($B177,$O:$O,0)+6)</f>
        <v>6601.005.007.002</v>
      </c>
      <c r="G177" s="180" t="str">
        <f>INDEX(P:P,MATCH($B177,$O:$O,0)+6)</f>
        <v>销售费用 - 运输成本 - TNT运费 - 五金事业部-TNT</v>
      </c>
      <c r="H177" s="54">
        <f>-D177</f>
        <v>-139.85</v>
      </c>
      <c r="I177" s="206"/>
    </row>
    <row r="178" spans="1:9">
      <c r="A178" s="48" t="s">
        <v>766</v>
      </c>
      <c r="B178" s="48" t="s">
        <v>20</v>
      </c>
      <c r="C178" s="48" t="s">
        <v>767</v>
      </c>
      <c r="D178" s="168">
        <f>D177</f>
        <v>139.85</v>
      </c>
      <c r="E178" s="238" t="str">
        <f t="shared" si="53"/>
        <v>2021.09月 补收运费 五金 TNT</v>
      </c>
      <c r="F178" s="180" t="str">
        <f>INDEX(O:O,MATCH($B178,$O:$O,0)+1)</f>
        <v>1221.60</v>
      </c>
      <c r="G178" s="180" t="str">
        <f>INDEX(P:P,MATCH($B178,$O:$O,0)+1)</f>
        <v>其他应收款 - 拓展部五金部</v>
      </c>
      <c r="H178" s="54">
        <f t="shared" si="55"/>
        <v>139.85</v>
      </c>
      <c r="I178" s="206"/>
    </row>
    <row r="181" spans="15:20">
      <c r="O181" s="42"/>
      <c r="P181" s="42"/>
      <c r="Q181" s="42"/>
      <c r="R181" s="42"/>
      <c r="S181" s="42"/>
      <c r="T181" s="42"/>
    </row>
    <row r="182" spans="15:20">
      <c r="O182" s="42"/>
      <c r="P182" s="42"/>
      <c r="Q182" s="42"/>
      <c r="R182" s="42"/>
      <c r="S182" s="42"/>
      <c r="T182" s="42"/>
    </row>
    <row r="183" spans="15:20">
      <c r="O183" s="42"/>
      <c r="P183" s="42"/>
      <c r="Q183" s="42"/>
      <c r="R183" s="42"/>
      <c r="S183" s="42"/>
      <c r="T183" s="42"/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N171"/>
  <sheetViews>
    <sheetView topLeftCell="A7" workbookViewId="0">
      <selection activeCell="I7" sqref="I7:I34"/>
    </sheetView>
  </sheetViews>
  <sheetFormatPr defaultColWidth="9" defaultRowHeight="15"/>
  <cols>
    <col min="1" max="1" width="20.75" style="89" customWidth="1"/>
    <col min="2" max="2" width="17.625" style="89" customWidth="1"/>
    <col min="3" max="3" width="16" style="89" customWidth="1"/>
    <col min="4" max="4" width="28.875" style="89" customWidth="1"/>
    <col min="5" max="5" width="18" style="89" customWidth="1"/>
    <col min="6" max="6" width="25" style="89" customWidth="1"/>
    <col min="7" max="7" width="40.125" style="89" customWidth="1"/>
    <col min="8" max="8" width="20.875" style="89" customWidth="1"/>
    <col min="9" max="9" width="10.375" style="89" customWidth="1"/>
    <col min="10" max="10" width="10.375" style="89"/>
    <col min="11" max="11" width="9" style="89"/>
    <col min="12" max="12" width="19.5" style="89" customWidth="1"/>
    <col min="13" max="13" width="10.875" style="89" customWidth="1"/>
    <col min="14" max="16384" width="9" style="89"/>
  </cols>
  <sheetData>
    <row r="1" spans="11:13">
      <c r="K1" s="89" t="s">
        <v>20</v>
      </c>
      <c r="L1" s="89" t="s">
        <v>65</v>
      </c>
      <c r="M1" s="89" t="s">
        <v>66</v>
      </c>
    </row>
    <row r="2" spans="11:13">
      <c r="K2" s="89" t="s">
        <v>18</v>
      </c>
      <c r="L2" s="89" t="s">
        <v>59</v>
      </c>
      <c r="M2" s="89" t="s">
        <v>60</v>
      </c>
    </row>
    <row r="3" spans="6:13">
      <c r="F3" s="89" t="s">
        <v>768</v>
      </c>
      <c r="K3" s="89" t="s">
        <v>19</v>
      </c>
      <c r="L3" s="89" t="s">
        <v>71</v>
      </c>
      <c r="M3" s="89" t="s">
        <v>72</v>
      </c>
    </row>
    <row r="4" spans="11:13">
      <c r="K4" s="89" t="s">
        <v>83</v>
      </c>
      <c r="L4" s="89" t="s">
        <v>121</v>
      </c>
      <c r="M4" s="89" t="s">
        <v>122</v>
      </c>
    </row>
    <row r="5" spans="11:13">
      <c r="K5" s="89" t="s">
        <v>233</v>
      </c>
      <c r="L5" s="89" t="s">
        <v>129</v>
      </c>
      <c r="M5" s="89" t="s">
        <v>130</v>
      </c>
    </row>
    <row r="7" spans="5:13">
      <c r="E7" s="91" t="s">
        <v>20</v>
      </c>
      <c r="F7" s="92" t="s">
        <v>769</v>
      </c>
      <c r="G7" s="93" t="str">
        <f>$F$3&amp;" "&amp;E7&amp;" "&amp;F7</f>
        <v>收2021.10月 五金 shopify月租金</v>
      </c>
      <c r="H7" s="93" t="str">
        <f>L8</f>
        <v>6601.002.001.002</v>
      </c>
      <c r="I7" s="100">
        <v>-62</v>
      </c>
      <c r="L7" s="89" t="s">
        <v>690</v>
      </c>
      <c r="M7" s="89" t="s">
        <v>691</v>
      </c>
    </row>
    <row r="8" spans="5:13">
      <c r="E8" s="94" t="s">
        <v>20</v>
      </c>
      <c r="F8" s="95" t="s">
        <v>769</v>
      </c>
      <c r="G8" s="96" t="str">
        <f>$F$3&amp;" "&amp;E8&amp;" "&amp;F8</f>
        <v>收2021.10月 五金 shopify月租金</v>
      </c>
      <c r="H8" s="96" t="str">
        <f>VLOOKUP(E8,K:L,2,0)</f>
        <v>1221.60</v>
      </c>
      <c r="I8" s="101">
        <f t="shared" ref="I8:I12" si="0">-I7</f>
        <v>62</v>
      </c>
      <c r="L8" s="89" t="s">
        <v>770</v>
      </c>
      <c r="M8" s="89" t="s">
        <v>771</v>
      </c>
    </row>
    <row r="9" spans="5:13">
      <c r="E9" s="94" t="s">
        <v>18</v>
      </c>
      <c r="F9" s="95" t="s">
        <v>769</v>
      </c>
      <c r="G9" s="96" t="str">
        <f>$F$3&amp;" "&amp;E9&amp;" "&amp;F9</f>
        <v>收2021.10月 镜柜 shopify月租金</v>
      </c>
      <c r="H9" s="96" t="str">
        <f>L9</f>
        <v>6601.002.001.003</v>
      </c>
      <c r="I9" s="101">
        <v>-62</v>
      </c>
      <c r="L9" s="89" t="s">
        <v>772</v>
      </c>
      <c r="M9" s="89" t="s">
        <v>773</v>
      </c>
    </row>
    <row r="10" spans="5:13">
      <c r="E10" s="94" t="s">
        <v>18</v>
      </c>
      <c r="F10" s="95" t="s">
        <v>769</v>
      </c>
      <c r="G10" s="96" t="str">
        <f>$F$3&amp;" "&amp;E10&amp;" "&amp;F10</f>
        <v>收2021.10月 镜柜 shopify月租金</v>
      </c>
      <c r="H10" s="96" t="str">
        <f>VLOOKUP(E10,K:L,2,0)</f>
        <v>1221.86</v>
      </c>
      <c r="I10" s="101">
        <f t="shared" si="0"/>
        <v>62</v>
      </c>
      <c r="L10" s="89" t="s">
        <v>774</v>
      </c>
      <c r="M10" s="89" t="s">
        <v>775</v>
      </c>
    </row>
    <row r="11" spans="5:13">
      <c r="E11" s="94" t="s">
        <v>19</v>
      </c>
      <c r="F11" s="95" t="s">
        <v>769</v>
      </c>
      <c r="G11" s="96" t="str">
        <f>$F$3&amp;" "&amp;E11&amp;" "&amp;F11</f>
        <v>收2021.10月 水龙头 shopify月租金</v>
      </c>
      <c r="H11" s="96" t="str">
        <f>L10</f>
        <v>6601.002.001.004</v>
      </c>
      <c r="I11" s="101">
        <v>-62</v>
      </c>
      <c r="L11" s="89" t="s">
        <v>776</v>
      </c>
      <c r="M11" s="89" t="s">
        <v>777</v>
      </c>
    </row>
    <row r="12" spans="5:13">
      <c r="E12" s="94" t="s">
        <v>19</v>
      </c>
      <c r="F12" s="95" t="s">
        <v>769</v>
      </c>
      <c r="G12" s="96" t="str">
        <f>$F$3&amp;" "&amp;E12&amp;" "&amp;F12</f>
        <v>收2021.10月 水龙头 shopify月租金</v>
      </c>
      <c r="H12" s="96" t="str">
        <f>VLOOKUP(E12,K:L,2,0)</f>
        <v>1221.100</v>
      </c>
      <c r="I12" s="101">
        <f t="shared" si="0"/>
        <v>62</v>
      </c>
      <c r="L12" s="89" t="s">
        <v>778</v>
      </c>
      <c r="M12" s="89" t="s">
        <v>779</v>
      </c>
    </row>
    <row r="13" s="89" customFormat="1" spans="5:9">
      <c r="E13" s="94" t="s">
        <v>83</v>
      </c>
      <c r="F13" s="95" t="s">
        <v>769</v>
      </c>
      <c r="G13" s="96" t="str">
        <f>$F$3&amp;" "&amp;E13&amp;" "&amp;F13</f>
        <v>收2021.10月 陶瓷 shopify月租金</v>
      </c>
      <c r="H13" s="96" t="str">
        <f>L11</f>
        <v>6601.002.001.005</v>
      </c>
      <c r="I13" s="101">
        <v>-62</v>
      </c>
    </row>
    <row r="14" s="89" customFormat="1" ht="15.75" spans="5:9">
      <c r="E14" s="94" t="s">
        <v>83</v>
      </c>
      <c r="F14" s="95" t="s">
        <v>769</v>
      </c>
      <c r="G14" s="96" t="str">
        <f>$F$3&amp;" "&amp;E14&amp;" "&amp;F14</f>
        <v>收2021.10月 陶瓷 shopify月租金</v>
      </c>
      <c r="H14" s="96" t="str">
        <f>VLOOKUP(E14,K:L,2,0)</f>
        <v>1221.103</v>
      </c>
      <c r="I14" s="101">
        <f>-I13</f>
        <v>62</v>
      </c>
    </row>
    <row r="15" hidden="1" spans="5:9">
      <c r="E15" s="94" t="s">
        <v>233</v>
      </c>
      <c r="F15" s="95" t="s">
        <v>769</v>
      </c>
      <c r="G15" s="96" t="str">
        <f>$F$3&amp;" "&amp;E15&amp;" "&amp;F15</f>
        <v>收2021.10月 防火底板 shopify月租金</v>
      </c>
      <c r="H15" s="96" t="str">
        <f>L12</f>
        <v>6601.002.001.006</v>
      </c>
      <c r="I15" s="101">
        <v>-62</v>
      </c>
    </row>
    <row r="16" ht="15.75" hidden="1" spans="5:9">
      <c r="E16" s="97" t="s">
        <v>233</v>
      </c>
      <c r="F16" s="98" t="s">
        <v>769</v>
      </c>
      <c r="G16" s="99" t="str">
        <f>$F$3&amp;" "&amp;E16&amp;" "&amp;F16</f>
        <v>收2021.10月 防火底板 shopify月租金</v>
      </c>
      <c r="H16" s="99" t="str">
        <f>VLOOKUP(E16,K:L,2,0)</f>
        <v>1221.107</v>
      </c>
      <c r="I16" s="102">
        <f>-I15</f>
        <v>62</v>
      </c>
    </row>
    <row r="17" hidden="1"/>
    <row r="18" spans="5:13">
      <c r="E18" s="91" t="s">
        <v>20</v>
      </c>
      <c r="F18" s="92" t="s">
        <v>780</v>
      </c>
      <c r="G18" s="93" t="str">
        <f>$F$3&amp;" "&amp;E18&amp;" "&amp;F18</f>
        <v>收2021.10月 五金 manomano订阅费</v>
      </c>
      <c r="H18" s="93" t="str">
        <f>L19</f>
        <v>6603.002.03.02</v>
      </c>
      <c r="I18" s="100">
        <v>-30</v>
      </c>
      <c r="L18" s="89" t="s">
        <v>708</v>
      </c>
      <c r="M18" s="89" t="s">
        <v>709</v>
      </c>
    </row>
    <row r="19" spans="5:13">
      <c r="E19" s="94" t="s">
        <v>20</v>
      </c>
      <c r="F19" s="95" t="s">
        <v>780</v>
      </c>
      <c r="G19" s="96" t="str">
        <f>$F$3&amp;" "&amp;E19&amp;" "&amp;F19</f>
        <v>收2021.10月 五金 manomano订阅费</v>
      </c>
      <c r="H19" s="96" t="str">
        <f>VLOOKUP(E19,K:L,2,0)</f>
        <v>1221.60</v>
      </c>
      <c r="I19" s="101">
        <f t="shared" ref="I19:I23" si="1">-I18</f>
        <v>30</v>
      </c>
      <c r="L19" s="89" t="s">
        <v>781</v>
      </c>
      <c r="M19" s="89" t="s">
        <v>782</v>
      </c>
    </row>
    <row r="20" spans="5:13">
      <c r="E20" s="94" t="s">
        <v>18</v>
      </c>
      <c r="F20" s="95" t="s">
        <v>780</v>
      </c>
      <c r="G20" s="96" t="str">
        <f>$F$3&amp;" "&amp;E20&amp;" "&amp;F20</f>
        <v>收2021.10月 镜柜 manomano订阅费</v>
      </c>
      <c r="H20" s="96" t="str">
        <f>L20</f>
        <v>6603.002.03.03</v>
      </c>
      <c r="I20" s="101">
        <v>-30</v>
      </c>
      <c r="L20" s="89" t="s">
        <v>783</v>
      </c>
      <c r="M20" s="89" t="s">
        <v>784</v>
      </c>
    </row>
    <row r="21" s="89" customFormat="1" spans="5:13">
      <c r="E21" s="94" t="s">
        <v>18</v>
      </c>
      <c r="F21" s="95" t="s">
        <v>780</v>
      </c>
      <c r="G21" s="96" t="str">
        <f>$F$3&amp;" "&amp;E21&amp;" "&amp;F21</f>
        <v>收2021.10月 镜柜 manomano订阅费</v>
      </c>
      <c r="H21" s="96" t="str">
        <f>VLOOKUP(E21,K:L,2,0)</f>
        <v>1221.86</v>
      </c>
      <c r="I21" s="101">
        <f t="shared" si="1"/>
        <v>30</v>
      </c>
      <c r="L21" s="89" t="s">
        <v>785</v>
      </c>
      <c r="M21" s="89" t="s">
        <v>786</v>
      </c>
    </row>
    <row r="22" s="89" customFormat="1" spans="5:13">
      <c r="E22" s="94" t="s">
        <v>19</v>
      </c>
      <c r="F22" s="95" t="s">
        <v>780</v>
      </c>
      <c r="G22" s="96" t="str">
        <f>$F$3&amp;" "&amp;E22&amp;" "&amp;F22</f>
        <v>收2021.10月 水龙头 manomano订阅费</v>
      </c>
      <c r="H22" s="96" t="str">
        <f>L21</f>
        <v>6603.002.03.04</v>
      </c>
      <c r="I22" s="101">
        <v>-30</v>
      </c>
      <c r="L22" s="89" t="s">
        <v>787</v>
      </c>
      <c r="M22" s="89" t="s">
        <v>788</v>
      </c>
    </row>
    <row r="23" s="89" customFormat="1" spans="5:13">
      <c r="E23" s="94" t="s">
        <v>19</v>
      </c>
      <c r="F23" s="95" t="s">
        <v>780</v>
      </c>
      <c r="G23" s="96" t="str">
        <f>$F$3&amp;" "&amp;E23&amp;" "&amp;F23</f>
        <v>收2021.10月 水龙头 manomano订阅费</v>
      </c>
      <c r="H23" s="96" t="str">
        <f>VLOOKUP(E23,K:L,2,0)</f>
        <v>1221.100</v>
      </c>
      <c r="I23" s="101">
        <f t="shared" si="1"/>
        <v>30</v>
      </c>
      <c r="L23" s="89" t="s">
        <v>789</v>
      </c>
      <c r="M23" s="89" t="s">
        <v>790</v>
      </c>
    </row>
    <row r="24" s="89" customFormat="1" spans="5:9">
      <c r="E24" s="94" t="s">
        <v>83</v>
      </c>
      <c r="F24" s="95" t="s">
        <v>780</v>
      </c>
      <c r="G24" s="96" t="str">
        <f>$F$3&amp;" "&amp;E24&amp;" "&amp;F24</f>
        <v>收2021.10月 陶瓷 manomano订阅费</v>
      </c>
      <c r="H24" s="96" t="str">
        <f>L22</f>
        <v>6603.002.03.05</v>
      </c>
      <c r="I24" s="101">
        <v>-30</v>
      </c>
    </row>
    <row r="25" s="89" customFormat="1" ht="15.75" spans="5:9">
      <c r="E25" s="94" t="s">
        <v>83</v>
      </c>
      <c r="F25" s="95" t="s">
        <v>780</v>
      </c>
      <c r="G25" s="96" t="str">
        <f>$F$3&amp;" "&amp;E25&amp;" "&amp;F25</f>
        <v>收2021.10月 陶瓷 manomano订阅费</v>
      </c>
      <c r="H25" s="96" t="str">
        <f>VLOOKUP(E25,K:L,2,0)</f>
        <v>1221.103</v>
      </c>
      <c r="I25" s="101">
        <f t="shared" ref="I25:I30" si="2">-I24</f>
        <v>30</v>
      </c>
    </row>
    <row r="26" s="89" customFormat="1" hidden="1" spans="5:9">
      <c r="E26" s="94" t="s">
        <v>233</v>
      </c>
      <c r="F26" s="95" t="s">
        <v>780</v>
      </c>
      <c r="G26" s="96" t="str">
        <f>$F$3&amp;" "&amp;E26&amp;" "&amp;F26</f>
        <v>收2021.10月 防火底板 manomano订阅费</v>
      </c>
      <c r="H26" s="96" t="str">
        <f>L23</f>
        <v>6603.002.03.06</v>
      </c>
      <c r="I26" s="101">
        <v>-30</v>
      </c>
    </row>
    <row r="27" s="89" customFormat="1" ht="15.75" hidden="1" spans="5:9">
      <c r="E27" s="97" t="s">
        <v>233</v>
      </c>
      <c r="F27" s="98" t="s">
        <v>780</v>
      </c>
      <c r="G27" s="99" t="str">
        <f>$F$3&amp;" "&amp;E27&amp;" "&amp;F27</f>
        <v>收2021.10月 防火底板 manomano订阅费</v>
      </c>
      <c r="H27" s="99" t="str">
        <f>VLOOKUP(E27,K:L,2,0)</f>
        <v>1221.107</v>
      </c>
      <c r="I27" s="102">
        <f t="shared" si="2"/>
        <v>30</v>
      </c>
    </row>
    <row r="28" hidden="1"/>
    <row r="29" spans="5:13">
      <c r="E29" s="91" t="s">
        <v>20</v>
      </c>
      <c r="F29" s="92" t="s">
        <v>791</v>
      </c>
      <c r="G29" s="93" t="str">
        <f>$F$3&amp;" "&amp;E29&amp;" "&amp;F29</f>
        <v>收2021.10月 五金 Amazon订阅费</v>
      </c>
      <c r="H29" s="93" t="str">
        <f>L30</f>
        <v>6601.002.003.002</v>
      </c>
      <c r="I29" s="100">
        <v>-6.25</v>
      </c>
      <c r="L29" s="89" t="s">
        <v>325</v>
      </c>
      <c r="M29" s="89" t="s">
        <v>693</v>
      </c>
    </row>
    <row r="30" spans="5:13">
      <c r="E30" s="94" t="s">
        <v>20</v>
      </c>
      <c r="F30" s="95" t="s">
        <v>791</v>
      </c>
      <c r="G30" s="96" t="str">
        <f t="shared" ref="G30:G38" si="3">$F$3&amp;" "&amp;E30&amp;" "&amp;F30</f>
        <v>收2021.10月 五金 Amazon订阅费</v>
      </c>
      <c r="H30" s="96" t="str">
        <f>VLOOKUP(E30,K:L,2,0)</f>
        <v>1221.60</v>
      </c>
      <c r="I30" s="101">
        <f t="shared" si="2"/>
        <v>6.25</v>
      </c>
      <c r="L30" s="89" t="s">
        <v>373</v>
      </c>
      <c r="M30" s="89" t="s">
        <v>792</v>
      </c>
    </row>
    <row r="31" spans="5:13">
      <c r="E31" s="94" t="s">
        <v>18</v>
      </c>
      <c r="F31" s="95" t="s">
        <v>791</v>
      </c>
      <c r="G31" s="96" t="str">
        <f t="shared" si="3"/>
        <v>收2021.10月 镜柜 Amazon订阅费</v>
      </c>
      <c r="H31" s="96" t="str">
        <f>L31</f>
        <v>6601.002.003.003</v>
      </c>
      <c r="I31" s="101">
        <v>-6.25</v>
      </c>
      <c r="L31" s="89" t="s">
        <v>375</v>
      </c>
      <c r="M31" s="89" t="s">
        <v>793</v>
      </c>
    </row>
    <row r="32" spans="5:13">
      <c r="E32" s="94" t="s">
        <v>18</v>
      </c>
      <c r="F32" s="95" t="s">
        <v>791</v>
      </c>
      <c r="G32" s="96" t="str">
        <f t="shared" si="3"/>
        <v>收2021.10月 镜柜 Amazon订阅费</v>
      </c>
      <c r="H32" s="96" t="str">
        <f>VLOOKUP(E32,K:L,2,0)</f>
        <v>1221.86</v>
      </c>
      <c r="I32" s="101">
        <f t="shared" ref="I32:I36" si="4">-I31</f>
        <v>6.25</v>
      </c>
      <c r="L32" s="89" t="s">
        <v>371</v>
      </c>
      <c r="M32" s="89" t="s">
        <v>794</v>
      </c>
    </row>
    <row r="33" spans="5:13">
      <c r="E33" s="94" t="s">
        <v>19</v>
      </c>
      <c r="F33" s="95" t="s">
        <v>791</v>
      </c>
      <c r="G33" s="96" t="str">
        <f t="shared" si="3"/>
        <v>收2021.10月 水龙头 Amazon订阅费</v>
      </c>
      <c r="H33" s="96" t="str">
        <f>L32</f>
        <v>6601.002.003.004</v>
      </c>
      <c r="I33" s="101">
        <v>-6.25</v>
      </c>
      <c r="L33" s="89" t="s">
        <v>318</v>
      </c>
      <c r="M33" s="89" t="s">
        <v>795</v>
      </c>
    </row>
    <row r="34" ht="15.75" spans="5:13">
      <c r="E34" s="94" t="s">
        <v>19</v>
      </c>
      <c r="F34" s="95" t="s">
        <v>791</v>
      </c>
      <c r="G34" s="96" t="str">
        <f t="shared" si="3"/>
        <v>收2021.10月 水龙头 Amazon订阅费</v>
      </c>
      <c r="H34" s="96" t="str">
        <f>VLOOKUP(E34,K:L,2,0)</f>
        <v>1221.100</v>
      </c>
      <c r="I34" s="101">
        <f t="shared" si="4"/>
        <v>6.25</v>
      </c>
      <c r="L34" s="89" t="s">
        <v>377</v>
      </c>
      <c r="M34" s="89" t="s">
        <v>796</v>
      </c>
    </row>
    <row r="35" hidden="1" spans="5:9">
      <c r="E35" s="94" t="s">
        <v>83</v>
      </c>
      <c r="F35" s="95" t="s">
        <v>791</v>
      </c>
      <c r="G35" s="96" t="str">
        <f t="shared" si="3"/>
        <v>收2021.10月 陶瓷 Amazon订阅费</v>
      </c>
      <c r="H35" s="96" t="str">
        <f>L33</f>
        <v>6601.002.003.005</v>
      </c>
      <c r="I35" s="101"/>
    </row>
    <row r="36" hidden="1" spans="5:9">
      <c r="E36" s="94" t="s">
        <v>83</v>
      </c>
      <c r="F36" s="95" t="s">
        <v>791</v>
      </c>
      <c r="G36" s="96" t="str">
        <f t="shared" si="3"/>
        <v>收2021.10月 陶瓷 Amazon订阅费</v>
      </c>
      <c r="H36" s="96" t="str">
        <f>VLOOKUP(E36,K:L,2,0)</f>
        <v>1221.103</v>
      </c>
      <c r="I36" s="101"/>
    </row>
    <row r="37" hidden="1" spans="5:9">
      <c r="E37" s="94" t="s">
        <v>233</v>
      </c>
      <c r="F37" s="95" t="s">
        <v>791</v>
      </c>
      <c r="G37" s="96" t="str">
        <f t="shared" si="3"/>
        <v>收2021.10月 防火底板 Amazon订阅费</v>
      </c>
      <c r="H37" s="96" t="str">
        <f>L34</f>
        <v>6601.002.003.006</v>
      </c>
      <c r="I37" s="101"/>
    </row>
    <row r="38" ht="15.75" hidden="1" spans="5:9">
      <c r="E38" s="97" t="s">
        <v>233</v>
      </c>
      <c r="F38" s="98" t="s">
        <v>791</v>
      </c>
      <c r="G38" s="99" t="str">
        <f t="shared" si="3"/>
        <v>收2021.10月 防火底板 Amazon订阅费</v>
      </c>
      <c r="H38" s="99" t="str">
        <f>VLOOKUP(E38,K:L,2,0)</f>
        <v>1221.107</v>
      </c>
      <c r="I38" s="102"/>
    </row>
    <row r="39" hidden="1"/>
    <row r="40" spans="5:13">
      <c r="E40" s="91" t="s">
        <v>20</v>
      </c>
      <c r="F40" s="92" t="s">
        <v>797</v>
      </c>
      <c r="G40" s="93" t="str">
        <f t="shared" ref="G40:G49" si="5">$F$3&amp;" "&amp;E40&amp;" "&amp;F40</f>
        <v>收2021.10月 五金 2021第一季度：Shopify第三方信用平台费</v>
      </c>
      <c r="H40" s="93" t="str">
        <f>L41</f>
        <v>6601.002.005.002</v>
      </c>
      <c r="I40" s="100">
        <v>-161.85</v>
      </c>
      <c r="L40" s="89" t="s">
        <v>696</v>
      </c>
      <c r="M40" s="89" t="s">
        <v>697</v>
      </c>
    </row>
    <row r="41" spans="5:13">
      <c r="E41" s="94" t="s">
        <v>20</v>
      </c>
      <c r="F41" s="95" t="s">
        <v>797</v>
      </c>
      <c r="G41" s="96" t="str">
        <f t="shared" si="5"/>
        <v>收2021.10月 五金 2021第一季度：Shopify第三方信用平台费</v>
      </c>
      <c r="H41" s="96" t="str">
        <f>VLOOKUP(E41,K:L,2,0)</f>
        <v>1221.60</v>
      </c>
      <c r="I41" s="101">
        <f>-I40</f>
        <v>161.85</v>
      </c>
      <c r="L41" s="89" t="s">
        <v>798</v>
      </c>
      <c r="M41" s="89" t="s">
        <v>799</v>
      </c>
    </row>
    <row r="42" spans="5:13">
      <c r="E42" s="94" t="s">
        <v>18</v>
      </c>
      <c r="F42" s="95" t="s">
        <v>797</v>
      </c>
      <c r="G42" s="96" t="str">
        <f t="shared" si="5"/>
        <v>收2021.10月 镜柜 2021第一季度：Shopify第三方信用平台费</v>
      </c>
      <c r="H42" s="96" t="str">
        <f>L42</f>
        <v>6601.002.005.003</v>
      </c>
      <c r="I42" s="101">
        <v>-161.85</v>
      </c>
      <c r="L42" s="89" t="s">
        <v>800</v>
      </c>
      <c r="M42" s="89" t="s">
        <v>801</v>
      </c>
    </row>
    <row r="43" spans="5:13">
      <c r="E43" s="94" t="s">
        <v>18</v>
      </c>
      <c r="F43" s="95" t="s">
        <v>797</v>
      </c>
      <c r="G43" s="96" t="str">
        <f t="shared" si="5"/>
        <v>收2021.10月 镜柜 2021第一季度：Shopify第三方信用平台费</v>
      </c>
      <c r="H43" s="96" t="str">
        <f>VLOOKUP(E43,K:L,2,0)</f>
        <v>1221.86</v>
      </c>
      <c r="I43" s="101">
        <f>-I42</f>
        <v>161.85</v>
      </c>
      <c r="L43" s="89" t="s">
        <v>802</v>
      </c>
      <c r="M43" s="89" t="s">
        <v>803</v>
      </c>
    </row>
    <row r="44" spans="5:13">
      <c r="E44" s="94" t="s">
        <v>19</v>
      </c>
      <c r="F44" s="95" t="s">
        <v>797</v>
      </c>
      <c r="G44" s="96" t="str">
        <f t="shared" si="5"/>
        <v>收2021.10月 水龙头 2021第一季度：Shopify第三方信用平台费</v>
      </c>
      <c r="H44" s="96" t="str">
        <f>L43</f>
        <v>6601.002.005.004</v>
      </c>
      <c r="I44" s="101">
        <v>-161.85</v>
      </c>
      <c r="L44" s="89" t="s">
        <v>804</v>
      </c>
      <c r="M44" s="89" t="s">
        <v>805</v>
      </c>
    </row>
    <row r="45" spans="5:13">
      <c r="E45" s="94" t="s">
        <v>19</v>
      </c>
      <c r="F45" s="95" t="s">
        <v>797</v>
      </c>
      <c r="G45" s="96" t="str">
        <f t="shared" si="5"/>
        <v>收2021.10月 水龙头 2021第一季度：Shopify第三方信用平台费</v>
      </c>
      <c r="H45" s="96" t="str">
        <f>VLOOKUP(E45,K:L,2,0)</f>
        <v>1221.100</v>
      </c>
      <c r="I45" s="101">
        <f t="shared" ref="I45:I49" si="6">-I44</f>
        <v>161.85</v>
      </c>
      <c r="L45" s="89" t="s">
        <v>806</v>
      </c>
      <c r="M45" s="89" t="s">
        <v>807</v>
      </c>
    </row>
    <row r="46" spans="5:9">
      <c r="E46" s="94" t="s">
        <v>83</v>
      </c>
      <c r="F46" s="95" t="s">
        <v>797</v>
      </c>
      <c r="G46" s="96" t="str">
        <f t="shared" si="5"/>
        <v>收2021.10月 陶瓷 2021第一季度：Shopify第三方信用平台费</v>
      </c>
      <c r="H46" s="96" t="str">
        <f>L44</f>
        <v>6601.002.005.005</v>
      </c>
      <c r="I46" s="101">
        <v>-161.85</v>
      </c>
    </row>
    <row r="47" spans="5:9">
      <c r="E47" s="94" t="s">
        <v>83</v>
      </c>
      <c r="F47" s="95" t="s">
        <v>797</v>
      </c>
      <c r="G47" s="96" t="str">
        <f t="shared" si="5"/>
        <v>收2021.10月 陶瓷 2021第一季度：Shopify第三方信用平台费</v>
      </c>
      <c r="H47" s="96" t="str">
        <f>VLOOKUP(E47,K:L,2,0)</f>
        <v>1221.103</v>
      </c>
      <c r="I47" s="101">
        <f t="shared" si="6"/>
        <v>161.85</v>
      </c>
    </row>
    <row r="48" spans="5:9">
      <c r="E48" s="94" t="s">
        <v>233</v>
      </c>
      <c r="F48" s="95" t="s">
        <v>797</v>
      </c>
      <c r="G48" s="96" t="str">
        <f t="shared" si="5"/>
        <v>收2021.10月 防火底板 2021第一季度：Shopify第三方信用平台费</v>
      </c>
      <c r="H48" s="96" t="str">
        <f>L45</f>
        <v>6601.002.005.006</v>
      </c>
      <c r="I48" s="101">
        <v>-161.85</v>
      </c>
    </row>
    <row r="49" ht="15.75" spans="5:9">
      <c r="E49" s="97" t="s">
        <v>233</v>
      </c>
      <c r="F49" s="98" t="s">
        <v>797</v>
      </c>
      <c r="G49" s="99" t="str">
        <f t="shared" si="5"/>
        <v>收2021.10月 防火底板 2021第一季度：Shopify第三方信用平台费</v>
      </c>
      <c r="H49" s="99" t="str">
        <f>VLOOKUP(E49,K:L,2,0)</f>
        <v>1221.107</v>
      </c>
      <c r="I49" s="102">
        <f t="shared" si="6"/>
        <v>161.85</v>
      </c>
    </row>
    <row r="53" spans="4:13">
      <c r="D53" s="89" t="s">
        <v>88</v>
      </c>
      <c r="E53" s="91" t="s">
        <v>20</v>
      </c>
      <c r="F53" s="92" t="str">
        <f t="shared" ref="F53:F62" si="7">D53&amp;" shopify 数字服务税费用"</f>
        <v>2021.09月 shopify 数字服务税费用</v>
      </c>
      <c r="G53" s="93" t="str">
        <f>$F$3&amp;" "&amp;E53&amp;" "&amp;F53</f>
        <v>收2021.10月 五金 2021.09月 shopify 数字服务税费用</v>
      </c>
      <c r="H53" s="93" t="str">
        <f>$L$53</f>
        <v>6601.003.001.001</v>
      </c>
      <c r="I53" s="100">
        <f t="shared" ref="I53:I57" si="8">-$K$53</f>
        <v>-3.48</v>
      </c>
      <c r="K53" s="89">
        <v>3.48</v>
      </c>
      <c r="L53" s="89" t="s">
        <v>698</v>
      </c>
      <c r="M53" s="89" t="s">
        <v>738</v>
      </c>
    </row>
    <row r="54" ht="15.75" spans="4:9">
      <c r="D54" s="89" t="s">
        <v>88</v>
      </c>
      <c r="E54" s="94" t="s">
        <v>20</v>
      </c>
      <c r="F54" s="95" t="str">
        <f t="shared" si="7"/>
        <v>2021.09月 shopify 数字服务税费用</v>
      </c>
      <c r="G54" s="96" t="str">
        <f>$F$3&amp;" "&amp;E54&amp;" "&amp;F54</f>
        <v>收2021.10月 五金 2021.09月 shopify 数字服务税费用</v>
      </c>
      <c r="H54" s="96" t="str">
        <f>VLOOKUP(E54,K:L,2,0)</f>
        <v>1221.60</v>
      </c>
      <c r="I54" s="101">
        <f t="shared" ref="I54:I58" si="9">-I53</f>
        <v>3.48</v>
      </c>
    </row>
    <row r="55" spans="4:9">
      <c r="D55" s="89" t="s">
        <v>88</v>
      </c>
      <c r="E55" s="94" t="s">
        <v>18</v>
      </c>
      <c r="F55" s="95" t="str">
        <f t="shared" si="7"/>
        <v>2021.09月 shopify 数字服务税费用</v>
      </c>
      <c r="G55" s="96" t="str">
        <f>$F$3&amp;" "&amp;E55&amp;" "&amp;F55</f>
        <v>收2021.10月 镜柜 2021.09月 shopify 数字服务税费用</v>
      </c>
      <c r="H55" s="96" t="s">
        <v>698</v>
      </c>
      <c r="I55" s="100">
        <f t="shared" si="8"/>
        <v>-3.48</v>
      </c>
    </row>
    <row r="56" ht="15.75" spans="4:9">
      <c r="D56" s="89" t="s">
        <v>88</v>
      </c>
      <c r="E56" s="94" t="s">
        <v>18</v>
      </c>
      <c r="F56" s="95" t="str">
        <f t="shared" si="7"/>
        <v>2021.09月 shopify 数字服务税费用</v>
      </c>
      <c r="G56" s="96" t="str">
        <f>$F$3&amp;" "&amp;E56&amp;" "&amp;F56</f>
        <v>收2021.10月 镜柜 2021.09月 shopify 数字服务税费用</v>
      </c>
      <c r="H56" s="96" t="str">
        <f>VLOOKUP(E56,K:L,2,0)</f>
        <v>1221.86</v>
      </c>
      <c r="I56" s="101">
        <f t="shared" si="9"/>
        <v>3.48</v>
      </c>
    </row>
    <row r="57" spans="4:9">
      <c r="D57" s="89" t="s">
        <v>88</v>
      </c>
      <c r="E57" s="94" t="s">
        <v>19</v>
      </c>
      <c r="F57" s="95" t="str">
        <f t="shared" si="7"/>
        <v>2021.09月 shopify 数字服务税费用</v>
      </c>
      <c r="G57" s="96" t="str">
        <f>$F$3&amp;" "&amp;E57&amp;" "&amp;F57</f>
        <v>收2021.10月 水龙头 2021.09月 shopify 数字服务税费用</v>
      </c>
      <c r="H57" s="96" t="s">
        <v>698</v>
      </c>
      <c r="I57" s="100">
        <f t="shared" si="8"/>
        <v>-3.48</v>
      </c>
    </row>
    <row r="58" ht="15.75" spans="4:9">
      <c r="D58" s="89" t="s">
        <v>88</v>
      </c>
      <c r="E58" s="94" t="s">
        <v>19</v>
      </c>
      <c r="F58" s="95" t="str">
        <f t="shared" si="7"/>
        <v>2021.09月 shopify 数字服务税费用</v>
      </c>
      <c r="G58" s="96" t="str">
        <f>$F$3&amp;" "&amp;E58&amp;" "&amp;F58</f>
        <v>收2021.10月 水龙头 2021.09月 shopify 数字服务税费用</v>
      </c>
      <c r="H58" s="96" t="str">
        <f>VLOOKUP(E58,K:L,2,0)</f>
        <v>1221.100</v>
      </c>
      <c r="I58" s="101">
        <f t="shared" si="9"/>
        <v>3.48</v>
      </c>
    </row>
    <row r="59" spans="4:9">
      <c r="D59" s="89" t="s">
        <v>88</v>
      </c>
      <c r="E59" s="94" t="s">
        <v>83</v>
      </c>
      <c r="F59" s="95" t="str">
        <f t="shared" si="7"/>
        <v>2021.09月 shopify 数字服务税费用</v>
      </c>
      <c r="G59" s="96" t="str">
        <f>$F$3&amp;" "&amp;E59&amp;" "&amp;F59</f>
        <v>收2021.10月 陶瓷 2021.09月 shopify 数字服务税费用</v>
      </c>
      <c r="H59" s="96" t="s">
        <v>698</v>
      </c>
      <c r="I59" s="100">
        <f>-$K$53</f>
        <v>-3.48</v>
      </c>
    </row>
    <row r="60" ht="15.75" spans="4:9">
      <c r="D60" s="89" t="s">
        <v>88</v>
      </c>
      <c r="E60" s="94" t="s">
        <v>83</v>
      </c>
      <c r="F60" s="95" t="str">
        <f t="shared" si="7"/>
        <v>2021.09月 shopify 数字服务税费用</v>
      </c>
      <c r="G60" s="96" t="str">
        <f>$F$3&amp;" "&amp;E60&amp;" "&amp;F60</f>
        <v>收2021.10月 陶瓷 2021.09月 shopify 数字服务税费用</v>
      </c>
      <c r="H60" s="96" t="str">
        <f>VLOOKUP(E60,K:L,2,0)</f>
        <v>1221.103</v>
      </c>
      <c r="I60" s="101">
        <f t="shared" ref="I60:I65" si="10">-I59</f>
        <v>3.48</v>
      </c>
    </row>
    <row r="61" spans="5:9">
      <c r="E61" s="94" t="s">
        <v>233</v>
      </c>
      <c r="F61" s="95" t="str">
        <f t="shared" si="7"/>
        <v> shopify 数字服务税费用</v>
      </c>
      <c r="G61" s="96" t="str">
        <f>$F$3&amp;" "&amp;E61&amp;" "&amp;F61</f>
        <v>收2021.10月 防火底板  shopify 数字服务税费用</v>
      </c>
      <c r="H61" s="96" t="s">
        <v>698</v>
      </c>
      <c r="I61" s="100">
        <f>-$K$53</f>
        <v>-3.48</v>
      </c>
    </row>
    <row r="62" ht="15.75" spans="5:9">
      <c r="E62" s="97" t="s">
        <v>233</v>
      </c>
      <c r="F62" s="98" t="str">
        <f t="shared" si="7"/>
        <v> shopify 数字服务税费用</v>
      </c>
      <c r="G62" s="99" t="str">
        <f>$F$3&amp;" "&amp;E62&amp;" "&amp;F62</f>
        <v>收2021.10月 防火底板  shopify 数字服务税费用</v>
      </c>
      <c r="H62" s="99" t="str">
        <f>VLOOKUP(E62,K:L,2,0)</f>
        <v>1221.107</v>
      </c>
      <c r="I62" s="102">
        <f t="shared" si="10"/>
        <v>3.48</v>
      </c>
    </row>
    <row r="64" spans="4:13">
      <c r="D64" s="89" t="s">
        <v>88</v>
      </c>
      <c r="E64" s="91" t="s">
        <v>20</v>
      </c>
      <c r="F64" s="92" t="str">
        <f t="shared" ref="F64:F73" si="11">D64&amp;"FBA仓储费"</f>
        <v>2021.09月FBA仓储费</v>
      </c>
      <c r="G64" s="93" t="str">
        <f>$F$3&amp;" "&amp;E64&amp;" "&amp;F64</f>
        <v>收2021.10月 五金 2021.09月FBA仓储费</v>
      </c>
      <c r="H64" s="93" t="str">
        <f>L64</f>
        <v> 6601.002.003.002</v>
      </c>
      <c r="I64" s="100">
        <f>-ROUND(F81,2)</f>
        <v>-5.66</v>
      </c>
      <c r="L64" s="89" t="s">
        <v>808</v>
      </c>
      <c r="M64" s="89" t="s">
        <v>809</v>
      </c>
    </row>
    <row r="65" ht="15.75" spans="4:13">
      <c r="D65" s="89" t="s">
        <v>88</v>
      </c>
      <c r="E65" s="94" t="s">
        <v>20</v>
      </c>
      <c r="F65" s="95" t="str">
        <f t="shared" si="11"/>
        <v>2021.09月FBA仓储费</v>
      </c>
      <c r="G65" s="96" t="str">
        <f>$F$3&amp;" "&amp;E65&amp;" "&amp;F65</f>
        <v>收2021.10月 五金 2021.09月FBA仓储费</v>
      </c>
      <c r="H65" s="96" t="str">
        <f>VLOOKUP(E65,K:L,2,0)</f>
        <v>1221.60</v>
      </c>
      <c r="I65" s="101">
        <f t="shared" si="10"/>
        <v>5.66</v>
      </c>
      <c r="L65" s="89" t="s">
        <v>810</v>
      </c>
      <c r="M65" s="89" t="s">
        <v>811</v>
      </c>
    </row>
    <row r="66" spans="4:13">
      <c r="D66" s="89" t="s">
        <v>88</v>
      </c>
      <c r="E66" s="94" t="s">
        <v>18</v>
      </c>
      <c r="F66" s="95" t="str">
        <f t="shared" si="11"/>
        <v>2021.09月FBA仓储费</v>
      </c>
      <c r="G66" s="96" t="str">
        <f>$F$3&amp;" "&amp;E66&amp;" "&amp;F66</f>
        <v>收2021.10月 镜柜 2021.09月FBA仓储费</v>
      </c>
      <c r="H66" s="96" t="str">
        <f>L65</f>
        <v> 6601.002.003.003</v>
      </c>
      <c r="I66" s="100">
        <f>-ROUND(E81,2)</f>
        <v>-150.79</v>
      </c>
      <c r="L66" s="89" t="s">
        <v>812</v>
      </c>
      <c r="M66" s="89" t="s">
        <v>813</v>
      </c>
    </row>
    <row r="67" ht="15.75" spans="4:13">
      <c r="D67" s="89" t="s">
        <v>88</v>
      </c>
      <c r="E67" s="94" t="s">
        <v>18</v>
      </c>
      <c r="F67" s="95" t="str">
        <f t="shared" si="11"/>
        <v>2021.09月FBA仓储费</v>
      </c>
      <c r="G67" s="96" t="str">
        <f>$F$3&amp;" "&amp;E67&amp;" "&amp;F67</f>
        <v>收2021.10月 镜柜 2021.09月FBA仓储费</v>
      </c>
      <c r="H67" s="96" t="str">
        <f>VLOOKUP(E67,K:L,2,0)</f>
        <v>1221.86</v>
      </c>
      <c r="I67" s="101">
        <f t="shared" ref="I67:I71" si="12">-I66</f>
        <v>150.79</v>
      </c>
      <c r="L67" s="89" t="s">
        <v>814</v>
      </c>
      <c r="M67" s="89" t="s">
        <v>815</v>
      </c>
    </row>
    <row r="68" spans="4:13">
      <c r="D68" s="89" t="s">
        <v>88</v>
      </c>
      <c r="E68" s="94" t="s">
        <v>19</v>
      </c>
      <c r="F68" s="95" t="str">
        <f t="shared" si="11"/>
        <v>2021.09月FBA仓储费</v>
      </c>
      <c r="G68" s="96" t="str">
        <f>$F$3&amp;" "&amp;E68&amp;" "&amp;F68</f>
        <v>收2021.10月 水龙头 2021.09月FBA仓储费</v>
      </c>
      <c r="H68" s="96" t="str">
        <f>L66</f>
        <v> 6601.002.003.004</v>
      </c>
      <c r="I68" s="100">
        <f>-ROUND(G81,2)</f>
        <v>-65.17</v>
      </c>
      <c r="L68" s="89" t="s">
        <v>816</v>
      </c>
      <c r="M68" s="89" t="s">
        <v>817</v>
      </c>
    </row>
    <row r="69" ht="15.75" spans="4:9">
      <c r="D69" s="89" t="s">
        <v>88</v>
      </c>
      <c r="E69" s="94" t="s">
        <v>19</v>
      </c>
      <c r="F69" s="95" t="str">
        <f t="shared" si="11"/>
        <v>2021.09月FBA仓储费</v>
      </c>
      <c r="G69" s="96" t="str">
        <f>$F$3&amp;" "&amp;E69&amp;" "&amp;F69</f>
        <v>收2021.10月 水龙头 2021.09月FBA仓储费</v>
      </c>
      <c r="H69" s="96" t="str">
        <f>VLOOKUP(E69,K:L,2,0)</f>
        <v>1221.100</v>
      </c>
      <c r="I69" s="101">
        <f t="shared" si="12"/>
        <v>65.17</v>
      </c>
    </row>
    <row r="70" spans="4:9">
      <c r="D70" s="89" t="s">
        <v>88</v>
      </c>
      <c r="E70" s="94" t="s">
        <v>83</v>
      </c>
      <c r="F70" s="95" t="str">
        <f t="shared" si="11"/>
        <v>2021.09月FBA仓储费</v>
      </c>
      <c r="G70" s="96" t="str">
        <f>$F$3&amp;" "&amp;E70&amp;" "&amp;F70</f>
        <v>收2021.10月 陶瓷 2021.09月FBA仓储费</v>
      </c>
      <c r="H70" s="96" t="str">
        <f>L67</f>
        <v> 6601.002.003.005</v>
      </c>
      <c r="I70" s="100">
        <f>-ROUND(I81,2)</f>
        <v>0</v>
      </c>
    </row>
    <row r="71" ht="15.75" spans="4:9">
      <c r="D71" s="89" t="s">
        <v>88</v>
      </c>
      <c r="E71" s="94" t="s">
        <v>83</v>
      </c>
      <c r="F71" s="95" t="str">
        <f t="shared" si="11"/>
        <v>2021.09月FBA仓储费</v>
      </c>
      <c r="G71" s="96" t="str">
        <f>$F$3&amp;" "&amp;E71&amp;" "&amp;F71</f>
        <v>收2021.10月 陶瓷 2021.09月FBA仓储费</v>
      </c>
      <c r="H71" s="96" t="str">
        <f>VLOOKUP(E71,K:L,2,0)</f>
        <v>1221.103</v>
      </c>
      <c r="I71" s="101">
        <f t="shared" si="12"/>
        <v>0</v>
      </c>
    </row>
    <row r="72" spans="4:9">
      <c r="D72" s="89" t="s">
        <v>88</v>
      </c>
      <c r="E72" s="94" t="s">
        <v>233</v>
      </c>
      <c r="F72" s="95" t="str">
        <f t="shared" si="11"/>
        <v>2021.09月FBA仓储费</v>
      </c>
      <c r="G72" s="96" t="str">
        <f>$F$3&amp;" "&amp;E72&amp;" "&amp;F72</f>
        <v>收2021.10月 防火底板 2021.09月FBA仓储费</v>
      </c>
      <c r="H72" s="96" t="str">
        <f>L68</f>
        <v> 6601.002.003.006</v>
      </c>
      <c r="I72" s="100">
        <f>-ROUND(H81,2)</f>
        <v>0</v>
      </c>
    </row>
    <row r="73" ht="15.75" spans="4:9">
      <c r="D73" s="89" t="s">
        <v>88</v>
      </c>
      <c r="E73" s="97" t="s">
        <v>233</v>
      </c>
      <c r="F73" s="98" t="str">
        <f t="shared" si="11"/>
        <v>2021.09月FBA仓储费</v>
      </c>
      <c r="G73" s="99" t="str">
        <f>$F$3&amp;" "&amp;E73&amp;" "&amp;F73</f>
        <v>收2021.10月 防火底板 2021.09月FBA仓储费</v>
      </c>
      <c r="H73" s="99" t="str">
        <f>VLOOKUP(E73,K:L,2,0)</f>
        <v>1221.107</v>
      </c>
      <c r="I73" s="102">
        <f>-I72</f>
        <v>0</v>
      </c>
    </row>
    <row r="77" ht="15.75" spans="1:10">
      <c r="A77" s="103" t="s">
        <v>818</v>
      </c>
      <c r="B77" s="104"/>
      <c r="C77" s="104"/>
      <c r="D77" s="104"/>
      <c r="E77" s="104"/>
      <c r="F77" s="104"/>
      <c r="G77" s="104"/>
      <c r="H77" s="104"/>
      <c r="I77" s="104"/>
      <c r="J77" s="104"/>
    </row>
    <row r="78" ht="14.25" spans="1:10">
      <c r="A78" s="105" t="s">
        <v>819</v>
      </c>
      <c r="B78" s="106" t="s">
        <v>820</v>
      </c>
      <c r="C78" s="106" t="s">
        <v>821</v>
      </c>
      <c r="D78" s="106" t="s">
        <v>822</v>
      </c>
      <c r="E78" s="106" t="s">
        <v>18</v>
      </c>
      <c r="F78" s="107" t="s">
        <v>20</v>
      </c>
      <c r="G78" s="107" t="s">
        <v>19</v>
      </c>
      <c r="H78" s="108" t="s">
        <v>823</v>
      </c>
      <c r="I78" s="108" t="s">
        <v>83</v>
      </c>
      <c r="J78" s="107" t="s">
        <v>12</v>
      </c>
    </row>
    <row r="79" ht="14.25" spans="1:10">
      <c r="A79" s="109" t="s">
        <v>824</v>
      </c>
      <c r="B79" s="110" t="s">
        <v>825</v>
      </c>
      <c r="C79" s="110" t="s">
        <v>826</v>
      </c>
      <c r="D79" s="111"/>
      <c r="E79" s="111">
        <v>422.29</v>
      </c>
      <c r="F79" s="111">
        <v>33.058</v>
      </c>
      <c r="G79" s="111">
        <v>162.741</v>
      </c>
      <c r="H79" s="111">
        <v>0</v>
      </c>
      <c r="I79" s="111">
        <v>2.512</v>
      </c>
      <c r="J79" s="111">
        <v>620.601</v>
      </c>
    </row>
    <row r="80" ht="14.25" spans="1:10">
      <c r="A80" s="104"/>
      <c r="B80" s="110" t="s">
        <v>827</v>
      </c>
      <c r="C80" s="110" t="s">
        <v>828</v>
      </c>
      <c r="D80" s="111">
        <v>0</v>
      </c>
      <c r="E80" s="111" t="s">
        <v>829</v>
      </c>
      <c r="F80" s="112">
        <v>23.6455</v>
      </c>
      <c r="G80" s="111">
        <v>149.4013</v>
      </c>
      <c r="H80" s="111">
        <v>0</v>
      </c>
      <c r="I80" s="111">
        <v>0</v>
      </c>
      <c r="J80" s="111">
        <v>173.0468</v>
      </c>
    </row>
    <row r="81" ht="14.25" spans="1:10">
      <c r="A81" s="104"/>
      <c r="B81" s="110" t="s">
        <v>830</v>
      </c>
      <c r="C81" s="110" t="s">
        <v>831</v>
      </c>
      <c r="D81" s="111">
        <v>0</v>
      </c>
      <c r="E81" s="111">
        <v>150.786</v>
      </c>
      <c r="F81" s="112">
        <v>5.6593</v>
      </c>
      <c r="G81" s="111">
        <v>65.1746</v>
      </c>
      <c r="H81" s="111">
        <v>0</v>
      </c>
      <c r="I81" s="111">
        <v>0</v>
      </c>
      <c r="J81" s="111">
        <v>221.6199</v>
      </c>
    </row>
    <row r="84" ht="26.25" spans="2:12">
      <c r="B84" s="113" t="s">
        <v>832</v>
      </c>
      <c r="C84" s="113"/>
      <c r="D84" s="114"/>
      <c r="E84" s="113"/>
      <c r="F84" s="113"/>
      <c r="G84" s="115" t="s">
        <v>19</v>
      </c>
      <c r="H84" s="115"/>
      <c r="I84"/>
      <c r="J84" s="113"/>
      <c r="K84"/>
      <c r="L84"/>
    </row>
    <row r="85" ht="14.25" spans="1:12">
      <c r="A85" s="116" t="s">
        <v>819</v>
      </c>
      <c r="B85" s="117" t="s">
        <v>820</v>
      </c>
      <c r="C85" s="118" t="s">
        <v>821</v>
      </c>
      <c r="D85" s="118" t="s">
        <v>822</v>
      </c>
      <c r="E85" s="118" t="s">
        <v>18</v>
      </c>
      <c r="F85" s="118" t="s">
        <v>20</v>
      </c>
      <c r="G85" s="119" t="s">
        <v>19</v>
      </c>
      <c r="H85" s="120" t="s">
        <v>233</v>
      </c>
      <c r="I85" s="165" t="s">
        <v>83</v>
      </c>
      <c r="J85" s="118" t="s">
        <v>12</v>
      </c>
      <c r="K85"/>
      <c r="L85"/>
    </row>
    <row r="86" spans="1:12">
      <c r="A86" s="121" t="s">
        <v>833</v>
      </c>
      <c r="B86" s="122" t="s">
        <v>77</v>
      </c>
      <c r="C86" s="123" t="s">
        <v>834</v>
      </c>
      <c r="D86" s="123">
        <v>7590.68</v>
      </c>
      <c r="E86" s="123">
        <v>1525.03</v>
      </c>
      <c r="F86" s="80">
        <v>5797.97</v>
      </c>
      <c r="G86" s="123">
        <v>1953.5</v>
      </c>
      <c r="H86" s="124">
        <v>63.08</v>
      </c>
      <c r="I86" s="123">
        <v>1340.22</v>
      </c>
      <c r="J86" s="123">
        <v>18270.48</v>
      </c>
      <c r="K86"/>
      <c r="L86"/>
    </row>
    <row r="87" spans="1:12">
      <c r="A87" s="125"/>
      <c r="B87" s="122" t="s">
        <v>90</v>
      </c>
      <c r="C87" s="123" t="s">
        <v>835</v>
      </c>
      <c r="D87" s="123">
        <v>4778.65</v>
      </c>
      <c r="E87" s="123">
        <v>1295.84</v>
      </c>
      <c r="F87" s="80">
        <v>1627.21</v>
      </c>
      <c r="G87" s="123">
        <v>313.25</v>
      </c>
      <c r="H87" s="124">
        <v>380.8</v>
      </c>
      <c r="I87" s="123">
        <v>16.4</v>
      </c>
      <c r="J87" s="123">
        <v>8412.15</v>
      </c>
      <c r="K87"/>
      <c r="L87"/>
    </row>
    <row r="88" spans="1:12">
      <c r="A88" s="125"/>
      <c r="B88" s="122" t="s">
        <v>0</v>
      </c>
      <c r="C88" s="123" t="s">
        <v>836</v>
      </c>
      <c r="D88" s="123">
        <v>2032.32</v>
      </c>
      <c r="E88" s="123">
        <v>389.6</v>
      </c>
      <c r="F88" s="80">
        <v>2182.12</v>
      </c>
      <c r="G88" s="123">
        <v>276.13</v>
      </c>
      <c r="H88" s="124">
        <v>89.15</v>
      </c>
      <c r="I88" s="123">
        <v>989.3</v>
      </c>
      <c r="J88" s="123">
        <v>5958.62</v>
      </c>
      <c r="K88"/>
      <c r="L88"/>
    </row>
    <row r="89" spans="1:12">
      <c r="A89" s="125"/>
      <c r="B89" s="122" t="s">
        <v>93</v>
      </c>
      <c r="C89" s="123" t="s">
        <v>837</v>
      </c>
      <c r="D89" s="123">
        <v>1053.9</v>
      </c>
      <c r="E89" s="123">
        <v>1036.5</v>
      </c>
      <c r="F89" s="80">
        <v>6846.57</v>
      </c>
      <c r="G89" s="123">
        <v>272.09</v>
      </c>
      <c r="H89" s="124">
        <v>0</v>
      </c>
      <c r="I89" s="123">
        <v>54.79</v>
      </c>
      <c r="J89" s="123">
        <v>9263.85</v>
      </c>
      <c r="K89"/>
      <c r="L89"/>
    </row>
    <row r="90" spans="1:12">
      <c r="A90" s="126"/>
      <c r="B90" s="122" t="s">
        <v>94</v>
      </c>
      <c r="C90" s="127" t="s">
        <v>838</v>
      </c>
      <c r="D90" s="123">
        <v>296.31</v>
      </c>
      <c r="E90" s="123">
        <v>0</v>
      </c>
      <c r="F90" s="123">
        <v>0</v>
      </c>
      <c r="G90" s="123">
        <v>0</v>
      </c>
      <c r="H90" s="124">
        <v>0</v>
      </c>
      <c r="I90" s="123">
        <v>0</v>
      </c>
      <c r="J90" s="123">
        <v>296.31</v>
      </c>
      <c r="K90"/>
      <c r="L90"/>
    </row>
    <row r="91" ht="16.5" spans="1:12">
      <c r="A91" s="126"/>
      <c r="B91" s="122" t="s">
        <v>839</v>
      </c>
      <c r="C91" s="127" t="s">
        <v>840</v>
      </c>
      <c r="D91" s="123">
        <v>50.91</v>
      </c>
      <c r="E91" s="123">
        <v>0</v>
      </c>
      <c r="F91" s="123">
        <v>0</v>
      </c>
      <c r="G91" s="123">
        <v>0</v>
      </c>
      <c r="H91" s="124">
        <v>0</v>
      </c>
      <c r="I91" s="123">
        <v>0</v>
      </c>
      <c r="J91" s="123">
        <v>50.91</v>
      </c>
      <c r="K91"/>
      <c r="L91"/>
    </row>
    <row r="92" spans="1:12">
      <c r="A92" s="128" t="s">
        <v>162</v>
      </c>
      <c r="B92" s="129" t="s">
        <v>841</v>
      </c>
      <c r="C92" s="130" t="s">
        <v>842</v>
      </c>
      <c r="D92" s="130">
        <v>776.72</v>
      </c>
      <c r="E92" s="130">
        <v>91.2</v>
      </c>
      <c r="F92" s="130">
        <v>0</v>
      </c>
      <c r="G92" s="130">
        <v>71.97</v>
      </c>
      <c r="H92" s="124">
        <v>0</v>
      </c>
      <c r="I92" s="130">
        <v>186.89</v>
      </c>
      <c r="J92" s="130">
        <v>1126.78</v>
      </c>
      <c r="K92"/>
      <c r="L92"/>
    </row>
    <row r="93" ht="16.5" spans="1:12">
      <c r="A93" s="131" t="s">
        <v>843</v>
      </c>
      <c r="B93" s="132" t="s">
        <v>843</v>
      </c>
      <c r="C93" s="133" t="s">
        <v>844</v>
      </c>
      <c r="D93" s="134">
        <v>77.75</v>
      </c>
      <c r="E93" s="134">
        <v>0</v>
      </c>
      <c r="F93" s="134">
        <v>243.17</v>
      </c>
      <c r="G93" s="134">
        <v>54.86</v>
      </c>
      <c r="H93" s="124">
        <v>0</v>
      </c>
      <c r="I93" s="134">
        <v>68.69</v>
      </c>
      <c r="J93" s="166">
        <v>444.47</v>
      </c>
      <c r="K93"/>
      <c r="L93"/>
    </row>
    <row r="94" ht="16.5" spans="1:12">
      <c r="A94" s="109" t="s">
        <v>845</v>
      </c>
      <c r="B94" s="135" t="s">
        <v>315</v>
      </c>
      <c r="C94" s="136" t="s">
        <v>831</v>
      </c>
      <c r="D94" s="137">
        <v>1397.3</v>
      </c>
      <c r="E94" s="137">
        <v>207.9</v>
      </c>
      <c r="F94" s="137">
        <v>1296.1</v>
      </c>
      <c r="G94" s="137">
        <v>338.36</v>
      </c>
      <c r="H94" s="124">
        <v>0</v>
      </c>
      <c r="I94" s="137">
        <v>0</v>
      </c>
      <c r="J94" s="80">
        <v>3239.66</v>
      </c>
      <c r="K94"/>
      <c r="L94"/>
    </row>
    <row r="95" ht="16.5" spans="2:12">
      <c r="B95" s="138"/>
      <c r="C95" s="138"/>
      <c r="D95" s="139"/>
      <c r="E95" s="139"/>
      <c r="F95" s="139"/>
      <c r="G95" s="139"/>
      <c r="H95" s="139"/>
      <c r="I95" s="139"/>
      <c r="J95" s="139"/>
      <c r="K95"/>
      <c r="L95"/>
    </row>
    <row r="96" ht="16.5" spans="2:12">
      <c r="B96" s="138"/>
      <c r="C96" s="138"/>
      <c r="D96" s="139"/>
      <c r="E96" s="139"/>
      <c r="F96" s="139"/>
      <c r="G96" s="139"/>
      <c r="H96" s="139"/>
      <c r="I96" s="139"/>
      <c r="J96" s="139"/>
      <c r="K96"/>
      <c r="L96"/>
    </row>
    <row r="97" ht="16.5" spans="2:12">
      <c r="B97" s="138"/>
      <c r="C97" s="138"/>
      <c r="D97" s="139"/>
      <c r="E97" s="139"/>
      <c r="F97" s="139"/>
      <c r="G97" s="139"/>
      <c r="H97" s="139"/>
      <c r="I97" s="139"/>
      <c r="J97" s="139"/>
      <c r="K97"/>
      <c r="L97"/>
    </row>
    <row r="98" ht="16.5" spans="2:12">
      <c r="B98" s="138"/>
      <c r="C98" s="138"/>
      <c r="D98" s="139"/>
      <c r="E98" s="139">
        <f>SUM(E86:E90,E93:E94)</f>
        <v>4454.87</v>
      </c>
      <c r="F98" s="139">
        <f>SUM(F86:F90,F93:F94)</f>
        <v>17993.14</v>
      </c>
      <c r="G98" s="139">
        <f>SUM(G86:G90,G93:G94)</f>
        <v>3208.19</v>
      </c>
      <c r="H98" s="139">
        <f>SUM(H86:H90,H93:H94)</f>
        <v>533.03</v>
      </c>
      <c r="I98" s="139">
        <f>SUM(I86:I90,I93:I94)</f>
        <v>2469.4</v>
      </c>
      <c r="J98" s="139"/>
      <c r="K98"/>
      <c r="L98"/>
    </row>
    <row r="99" s="90" customFormat="1" spans="2:12">
      <c r="B99" s="140"/>
      <c r="C99" s="140"/>
      <c r="D99" s="140"/>
      <c r="E99" s="141">
        <f>SUMIFS($H102:$H183,$B102:$B183,E$85,$H102:$H183,"&gt;0")</f>
        <v>4454.87</v>
      </c>
      <c r="F99" s="141">
        <f>SUMIFS($H102:$H183,$B102:$B183,F$85,$H102:$H183,"&gt;0")</f>
        <v>17993.14</v>
      </c>
      <c r="G99" s="141">
        <f>SUMIFS($H102:$H183,$B102:$B183,G$85,$H102:$H183,"&gt;0")</f>
        <v>3208.19</v>
      </c>
      <c r="H99" s="141">
        <f>SUMIFS($H102:$H183,$B102:$B183,H$85,$H102:$H183,"&gt;0")</f>
        <v>533.03</v>
      </c>
      <c r="I99" s="141">
        <f>SUMIFS($H102:$H183,$B102:$B183,I$85,$H102:$H183,"&gt;0")</f>
        <v>2469.4</v>
      </c>
      <c r="J99" s="140"/>
      <c r="K99" s="140"/>
      <c r="L99" s="140"/>
    </row>
    <row r="100" ht="13.5" spans="1:12">
      <c r="A100" s="142" t="s">
        <v>387</v>
      </c>
      <c r="B100" s="142"/>
      <c r="C100" s="142"/>
      <c r="D100" s="143"/>
      <c r="E100" s="143">
        <f>E98-E99</f>
        <v>0</v>
      </c>
      <c r="F100" s="143">
        <f>F98-F99</f>
        <v>0</v>
      </c>
      <c r="G100" s="143">
        <f>G98-G99</f>
        <v>0</v>
      </c>
      <c r="H100" s="143">
        <f>H98-H99</f>
        <v>0</v>
      </c>
      <c r="I100" s="143">
        <f>I98-I99</f>
        <v>0</v>
      </c>
      <c r="J100" s="142"/>
      <c r="K100" s="142"/>
      <c r="L100" s="142"/>
    </row>
    <row r="101" ht="14.25" spans="1:12">
      <c r="A101"/>
      <c r="B101"/>
      <c r="C101"/>
      <c r="D101"/>
      <c r="E101"/>
      <c r="F101"/>
      <c r="G101"/>
      <c r="H101"/>
      <c r="I101"/>
      <c r="J101"/>
      <c r="K101"/>
      <c r="L101"/>
    </row>
    <row r="102" ht="18.75" spans="1:14">
      <c r="A102" t="s">
        <v>0</v>
      </c>
      <c r="B102" s="31" t="s">
        <v>18</v>
      </c>
      <c r="C102" s="144" t="s">
        <v>91</v>
      </c>
      <c r="D102" s="145" t="str">
        <f>$A$100&amp;A102&amp;"（"&amp;B102&amp;"）"&amp;" "&amp;C102</f>
        <v>2021.09月 Online Ebay（镜柜） Ebay点击费*</v>
      </c>
      <c r="E102" s="145" t="str">
        <f ca="1">OFFSET(INDIRECT("L1"),MATCH($B102,$L:$L,0)+2,)</f>
        <v>6601.003.002.003</v>
      </c>
      <c r="F102" s="145" t="str">
        <f ca="1">OFFSET(INDIRECT("M1"),MATCH($B102,$L:$L,0)+2,)</f>
        <v>销售费用 - 销售平台引流费 - Ebay点击费 - 镜柜事业部-ebay点击费</v>
      </c>
      <c r="G102" s="146"/>
      <c r="H102" s="147">
        <f>-INDEX($A$84:$L$94,MATCH($A102,$B$84:$B$94,0),MATCH($B102,$A$85:$L$85,0))</f>
        <v>-389.6</v>
      </c>
      <c r="L102" s="78" t="s">
        <v>18</v>
      </c>
      <c r="M102" s="78"/>
      <c r="N102" s="27"/>
    </row>
    <row r="103" ht="14.25" spans="1:14">
      <c r="A103" t="s">
        <v>0</v>
      </c>
      <c r="B103" s="31" t="s">
        <v>18</v>
      </c>
      <c r="C103" s="148" t="s">
        <v>91</v>
      </c>
      <c r="D103" s="149" t="str">
        <f>$A$100&amp;A103&amp;"（"&amp;B103&amp;"）"&amp;" "&amp;C103</f>
        <v>2021.09月 Online Ebay（镜柜） Ebay点击费*</v>
      </c>
      <c r="E103" s="149" t="str">
        <f ca="1">OFFSET(INDIRECT("L1"),MATCH($B103,$L:$L,0),)</f>
        <v>1221.86</v>
      </c>
      <c r="F103" s="149" t="str">
        <f ca="1">OFFSET(INDIRECT("M1"),MATCH($B103,$L:$L,0),)</f>
        <v>其他应收款 - 事业部</v>
      </c>
      <c r="G103" s="71"/>
      <c r="H103" s="150">
        <f t="shared" ref="H103:H107" si="13">-H102</f>
        <v>389.6</v>
      </c>
      <c r="L103" s="81" t="s">
        <v>59</v>
      </c>
      <c r="M103" s="81" t="s">
        <v>60</v>
      </c>
      <c r="N103" s="2"/>
    </row>
    <row r="104" ht="14.25" spans="1:14">
      <c r="A104" t="s">
        <v>0</v>
      </c>
      <c r="B104" s="31" t="s">
        <v>20</v>
      </c>
      <c r="C104" s="148" t="s">
        <v>91</v>
      </c>
      <c r="D104" s="149" t="str">
        <f>$A$100&amp;A104&amp;"（"&amp;B104&amp;"）"&amp;" "&amp;C104</f>
        <v>2021.09月 Online Ebay（五金） Ebay点击费*</v>
      </c>
      <c r="E104" s="149" t="str">
        <f ca="1">OFFSET(INDIRECT("L1"),MATCH($B104,$L:$L,0)+2,)</f>
        <v>6601.003.002.002</v>
      </c>
      <c r="F104" s="149" t="str">
        <f ca="1">OFFSET(INDIRECT("M1"),MATCH($B104,$L:$L,0)+2,)</f>
        <v>销售费用 - 销售平台引流费 - Ebay点击费 - 五金事业部-ebay点击费</v>
      </c>
      <c r="G104" s="73"/>
      <c r="H104" s="151">
        <f>-INDEX($A$84:$L$94,MATCH($A104,$B$84:$B$94,0),MATCH($B104,$A$85:$L$85,0))</f>
        <v>-2182.12</v>
      </c>
      <c r="L104" s="81" t="s">
        <v>61</v>
      </c>
      <c r="M104" s="81" t="s">
        <v>62</v>
      </c>
      <c r="N104" s="2"/>
    </row>
    <row r="105" ht="14.25" spans="1:14">
      <c r="A105" t="s">
        <v>0</v>
      </c>
      <c r="B105" s="31" t="s">
        <v>20</v>
      </c>
      <c r="C105" s="148" t="s">
        <v>91</v>
      </c>
      <c r="D105" s="149" t="str">
        <f t="shared" ref="D105:D161" si="14">$A$100&amp;A105&amp;"（"&amp;B105&amp;"）"&amp;" "&amp;C105</f>
        <v>2021.09月 Online Ebay（五金） Ebay点击费*</v>
      </c>
      <c r="E105" s="149" t="str">
        <f ca="1">OFFSET(INDIRECT("L1"),MATCH($B105,$L:$L,0),)</f>
        <v>1221.60</v>
      </c>
      <c r="F105" s="149" t="str">
        <f ca="1">OFFSET(INDIRECT("M1"),MATCH($B105,$L:$L,0),)</f>
        <v>其他应收款 - 拓展部五金部</v>
      </c>
      <c r="G105" s="71"/>
      <c r="H105" s="150">
        <f>-H104</f>
        <v>2182.12</v>
      </c>
      <c r="L105" s="86" t="s">
        <v>115</v>
      </c>
      <c r="M105" s="86" t="s">
        <v>116</v>
      </c>
      <c r="N105"/>
    </row>
    <row r="106" ht="14.25" spans="1:13">
      <c r="A106" t="s">
        <v>0</v>
      </c>
      <c r="B106" s="35" t="s">
        <v>19</v>
      </c>
      <c r="C106" s="148" t="s">
        <v>91</v>
      </c>
      <c r="D106" s="149" t="str">
        <f t="shared" si="14"/>
        <v>2021.09月 Online Ebay（水龙头） Ebay点击费*</v>
      </c>
      <c r="E106" s="149" t="str">
        <f ca="1">OFFSET(INDIRECT("L1"),MATCH($B106,$L:$L,0)+2,)</f>
        <v>6601.003.002.004</v>
      </c>
      <c r="F106" s="149" t="str">
        <f ca="1">OFFSET(INDIRECT("M1"),MATCH($B106,$L:$L,0)+2,)</f>
        <v>销售费用 - 销售平台引流费 - Ebay点击费 - 水龙头事业部-ebay点击费</v>
      </c>
      <c r="G106" s="73"/>
      <c r="H106" s="152">
        <f>-INDEX($A$84:$L$94,MATCH($A106,$B$84:$B$94,0),MATCH($B106,$A$85:$L$85,0))</f>
        <v>-276.13</v>
      </c>
      <c r="L106" t="s">
        <v>327</v>
      </c>
      <c r="M106" t="s">
        <v>328</v>
      </c>
    </row>
    <row r="107" spans="1:13">
      <c r="A107" t="s">
        <v>0</v>
      </c>
      <c r="B107" s="31" t="s">
        <v>19</v>
      </c>
      <c r="C107" s="148" t="s">
        <v>91</v>
      </c>
      <c r="D107" s="149" t="str">
        <f t="shared" si="14"/>
        <v>2021.09月 Online Ebay（水龙头） Ebay点击费*</v>
      </c>
      <c r="E107" s="149" t="str">
        <f ca="1">OFFSET(INDIRECT("L1"),MATCH($B107,$L:$L,0),)</f>
        <v>1221.100</v>
      </c>
      <c r="F107" s="149" t="str">
        <f ca="1">OFFSET(INDIRECT("M1"),MATCH($B107,$L:$L,0),)</f>
        <v>其他应收款 - 拓展部-水龙头</v>
      </c>
      <c r="G107" s="71"/>
      <c r="H107" s="150">
        <f t="shared" si="13"/>
        <v>276.13</v>
      </c>
      <c r="L107" t="s">
        <v>846</v>
      </c>
      <c r="M107" s="89" t="s">
        <v>847</v>
      </c>
    </row>
    <row r="108" ht="14.25" spans="1:8">
      <c r="A108" s="153" t="s">
        <v>0</v>
      </c>
      <c r="B108" s="154" t="s">
        <v>83</v>
      </c>
      <c r="C108" s="155" t="s">
        <v>91</v>
      </c>
      <c r="D108" s="156" t="str">
        <f t="shared" si="14"/>
        <v>2021.09月 Online Ebay（陶瓷） Ebay点击费*</v>
      </c>
      <c r="E108" s="149" t="str">
        <f ca="1">OFFSET(INDIRECT("L1"),MATCH($B108,$L:$L,0)+2,)</f>
        <v>6601.003.002.005</v>
      </c>
      <c r="F108" s="149" t="str">
        <f ca="1">OFFSET(INDIRECT("M1"),MATCH($B108,$L:$L,0)+2,)</f>
        <v>陶瓷部事业部-ebay点击费</v>
      </c>
      <c r="G108" s="157"/>
      <c r="H108" s="151">
        <f>-INDEX($A$84:$L$94,MATCH($A108,$B$84:$B$94,0),MATCH($B108,$A$85:$L$85,0))</f>
        <v>-989.3</v>
      </c>
    </row>
    <row r="109" ht="14.25" spans="1:8">
      <c r="A109" s="153" t="s">
        <v>0</v>
      </c>
      <c r="B109" s="154" t="s">
        <v>83</v>
      </c>
      <c r="C109" s="155" t="s">
        <v>91</v>
      </c>
      <c r="D109" s="156" t="str">
        <f t="shared" si="14"/>
        <v>2021.09月 Online Ebay（陶瓷） Ebay点击费*</v>
      </c>
      <c r="E109" s="149" t="str">
        <f ca="1">OFFSET(INDIRECT("L1"),MATCH($B109,$L:$L,0),)</f>
        <v>1221.103</v>
      </c>
      <c r="F109" s="149" t="str">
        <f ca="1">OFFSET(INDIRECT("M1"),MATCH($B109,$L:$L,0),)</f>
        <v>拓展部-陶瓷部</v>
      </c>
      <c r="G109" s="158"/>
      <c r="H109" s="159">
        <f t="shared" ref="H109:H113" si="15">-H108</f>
        <v>989.3</v>
      </c>
    </row>
    <row r="110" ht="18.75" spans="1:14">
      <c r="A110" s="153" t="s">
        <v>0</v>
      </c>
      <c r="B110" s="154" t="s">
        <v>233</v>
      </c>
      <c r="C110" s="155" t="s">
        <v>91</v>
      </c>
      <c r="D110" s="156" t="str">
        <f t="shared" si="14"/>
        <v>2021.09月 Online Ebay（防火底板） Ebay点击费*</v>
      </c>
      <c r="E110" s="149" t="str">
        <f ca="1">OFFSET(INDIRECT("L1"),MATCH($B110,$L:$L,0)+2,)</f>
        <v>6601.003.002.006</v>
      </c>
      <c r="F110" s="149" t="str">
        <f ca="1">OFFSET(INDIRECT("M1"),MATCH($B110,$L:$L,0)+2,)</f>
        <v>防火底板事业部-ebay点击费</v>
      </c>
      <c r="G110" s="157"/>
      <c r="H110" s="151">
        <f>-INDEX($A$84:$L$94,MATCH($A110,$B$84:$B$94,0),MATCH($B110,$A$85:$L$85,0))</f>
        <v>-89.15</v>
      </c>
      <c r="L110" s="78" t="s">
        <v>20</v>
      </c>
      <c r="M110" s="78"/>
      <c r="N110" s="27"/>
    </row>
    <row r="111" spans="1:14">
      <c r="A111" s="153" t="s">
        <v>0</v>
      </c>
      <c r="B111" s="154" t="s">
        <v>233</v>
      </c>
      <c r="C111" s="160" t="s">
        <v>91</v>
      </c>
      <c r="D111" s="161" t="str">
        <f t="shared" si="14"/>
        <v>2021.09月 Online Ebay（防火底板） Ebay点击费*</v>
      </c>
      <c r="E111" s="162" t="str">
        <f ca="1">OFFSET(INDIRECT("L1"),MATCH($B111,$L:$L,0),)</f>
        <v>1221.107</v>
      </c>
      <c r="F111" s="162" t="str">
        <f ca="1">OFFSET(INDIRECT("M1"),MATCH($B111,$L:$L,0),)</f>
        <v>拓展部-防火底板</v>
      </c>
      <c r="G111" s="163"/>
      <c r="H111" s="164">
        <f t="shared" si="15"/>
        <v>89.15</v>
      </c>
      <c r="L111" s="81" t="s">
        <v>65</v>
      </c>
      <c r="M111" s="81" t="s">
        <v>66</v>
      </c>
      <c r="N111" s="2"/>
    </row>
    <row r="112" ht="14.25" spans="1:14">
      <c r="A112" t="s">
        <v>90</v>
      </c>
      <c r="B112" s="31" t="s">
        <v>18</v>
      </c>
      <c r="C112" s="144" t="s">
        <v>91</v>
      </c>
      <c r="D112" s="145" t="str">
        <f t="shared" si="14"/>
        <v>2021.09月 Simple Ebay（镜柜） Ebay点击费*</v>
      </c>
      <c r="E112" s="145" t="str">
        <f ca="1">OFFSET(INDIRECT("L1"),MATCH($B112,$L:$L,0)+2,)</f>
        <v>6601.003.002.003</v>
      </c>
      <c r="F112" s="145" t="str">
        <f ca="1">OFFSET(INDIRECT("M1"),MATCH($B112,$L:$L,0)+2,)</f>
        <v>销售费用 - 销售平台引流费 - Ebay点击费 - 镜柜事业部-ebay点击费</v>
      </c>
      <c r="G112" s="146"/>
      <c r="H112" s="147">
        <f>-INDEX($A$84:$L$94,MATCH($A112,$B$84:$B$94,0),MATCH($B112,$A$85:$L$85,0))</f>
        <v>-1295.84</v>
      </c>
      <c r="L112" s="81" t="s">
        <v>67</v>
      </c>
      <c r="M112" s="81" t="s">
        <v>68</v>
      </c>
      <c r="N112" s="2"/>
    </row>
    <row r="113" ht="14.25" spans="1:14">
      <c r="A113" t="s">
        <v>90</v>
      </c>
      <c r="B113" s="31" t="s">
        <v>18</v>
      </c>
      <c r="C113" s="148" t="s">
        <v>91</v>
      </c>
      <c r="D113" s="149" t="str">
        <f t="shared" si="14"/>
        <v>2021.09月 Simple Ebay（镜柜） Ebay点击费*</v>
      </c>
      <c r="E113" s="149" t="str">
        <f ca="1">OFFSET(INDIRECT("L1"),MATCH($B113,$L:$L,0),)</f>
        <v>1221.86</v>
      </c>
      <c r="F113" s="149" t="str">
        <f ca="1">OFFSET(INDIRECT("M1"),MATCH($B113,$L:$L,0),)</f>
        <v>其他应收款 - 事业部</v>
      </c>
      <c r="G113" s="71"/>
      <c r="H113" s="150">
        <f t="shared" si="15"/>
        <v>1295.84</v>
      </c>
      <c r="L113" s="86" t="s">
        <v>117</v>
      </c>
      <c r="M113" s="86" t="s">
        <v>118</v>
      </c>
      <c r="N113"/>
    </row>
    <row r="114" ht="14.25" spans="1:13">
      <c r="A114" t="s">
        <v>90</v>
      </c>
      <c r="B114" s="31" t="s">
        <v>20</v>
      </c>
      <c r="C114" s="148" t="s">
        <v>91</v>
      </c>
      <c r="D114" s="149" t="str">
        <f t="shared" si="14"/>
        <v>2021.09月 Simple Ebay（五金） Ebay点击费*</v>
      </c>
      <c r="E114" s="149" t="str">
        <f ca="1">OFFSET(INDIRECT("L1"),MATCH($B114,$L:$L,0)+2,)</f>
        <v>6601.003.002.002</v>
      </c>
      <c r="F114" s="149" t="str">
        <f ca="1">OFFSET(INDIRECT("M1"),MATCH($B114,$L:$L,0)+2,)</f>
        <v>销售费用 - 销售平台引流费 - Ebay点击费 - 五金事业部-ebay点击费</v>
      </c>
      <c r="G114" s="73"/>
      <c r="H114" s="151">
        <f>-INDEX($A$84:$L$94,MATCH($A114,$B$84:$B$94,0),MATCH($B114,$A$85:$L$85,0))</f>
        <v>-1627.21</v>
      </c>
      <c r="L114" t="s">
        <v>322</v>
      </c>
      <c r="M114" t="s">
        <v>323</v>
      </c>
    </row>
    <row r="115" spans="1:13">
      <c r="A115" t="s">
        <v>90</v>
      </c>
      <c r="B115" s="31" t="s">
        <v>20</v>
      </c>
      <c r="C115" s="148" t="s">
        <v>91</v>
      </c>
      <c r="D115" s="149" t="str">
        <f t="shared" si="14"/>
        <v>2021.09月 Simple Ebay（五金） Ebay点击费*</v>
      </c>
      <c r="E115" s="149" t="str">
        <f ca="1">OFFSET(INDIRECT("L1"),MATCH($B115,$L:$L,0),)</f>
        <v>1221.60</v>
      </c>
      <c r="F115" s="149" t="str">
        <f ca="1">OFFSET(INDIRECT("M1"),MATCH($B115,$L:$L,0),)</f>
        <v>其他应收款 - 拓展部五金部</v>
      </c>
      <c r="G115" s="71"/>
      <c r="H115" s="150">
        <f t="shared" ref="H115:H119" si="16">-H114</f>
        <v>1627.21</v>
      </c>
      <c r="L115" t="s">
        <v>848</v>
      </c>
      <c r="M115" s="89" t="s">
        <v>849</v>
      </c>
    </row>
    <row r="116" ht="14.25" spans="1:8">
      <c r="A116" t="s">
        <v>90</v>
      </c>
      <c r="B116" s="35" t="s">
        <v>19</v>
      </c>
      <c r="C116" s="148" t="s">
        <v>91</v>
      </c>
      <c r="D116" s="149" t="str">
        <f t="shared" si="14"/>
        <v>2021.09月 Simple Ebay（水龙头） Ebay点击费*</v>
      </c>
      <c r="E116" s="149" t="str">
        <f ca="1">OFFSET(INDIRECT("L1"),MATCH($B116,$L:$L,0)+2,)</f>
        <v>6601.003.002.004</v>
      </c>
      <c r="F116" s="149" t="str">
        <f ca="1">OFFSET(INDIRECT("M1"),MATCH($B116,$L:$L,0)+2,)</f>
        <v>销售费用 - 销售平台引流费 - Ebay点击费 - 水龙头事业部-ebay点击费</v>
      </c>
      <c r="G116" s="73"/>
      <c r="H116" s="152">
        <f>-INDEX($A$84:$L$94,MATCH($A116,$B$84:$B$94,0),MATCH($B116,$A$85:$L$85,0))</f>
        <v>-313.25</v>
      </c>
    </row>
    <row r="117" ht="14.25" spans="1:8">
      <c r="A117" t="s">
        <v>90</v>
      </c>
      <c r="B117" s="35" t="s">
        <v>19</v>
      </c>
      <c r="C117" s="148" t="s">
        <v>91</v>
      </c>
      <c r="D117" s="149" t="str">
        <f t="shared" si="14"/>
        <v>2021.09月 Simple Ebay（水龙头） Ebay点击费*</v>
      </c>
      <c r="E117" s="149" t="str">
        <f ca="1">OFFSET(INDIRECT("L1"),MATCH($B117,$L:$L,0),)</f>
        <v>1221.100</v>
      </c>
      <c r="F117" s="149" t="str">
        <f ca="1">OFFSET(INDIRECT("M1"),MATCH($B117,$L:$L,0),)</f>
        <v>其他应收款 - 拓展部-水龙头</v>
      </c>
      <c r="G117" s="71"/>
      <c r="H117" s="150">
        <f t="shared" si="16"/>
        <v>313.25</v>
      </c>
    </row>
    <row r="118" ht="18.75" spans="1:14">
      <c r="A118" s="153" t="s">
        <v>90</v>
      </c>
      <c r="B118" s="154" t="s">
        <v>83</v>
      </c>
      <c r="C118" s="155" t="s">
        <v>91</v>
      </c>
      <c r="D118" s="156" t="str">
        <f t="shared" si="14"/>
        <v>2021.09月 Simple Ebay（陶瓷） Ebay点击费*</v>
      </c>
      <c r="E118" s="149" t="str">
        <f ca="1">OFFSET(INDIRECT("L1"),MATCH($B118,$L:$L,0)+2,)</f>
        <v>6601.003.002.005</v>
      </c>
      <c r="F118" s="149" t="str">
        <f ca="1">OFFSET(INDIRECT("M1"),MATCH($B118,$L:$L,0)+2,)</f>
        <v>陶瓷部事业部-ebay点击费</v>
      </c>
      <c r="G118" s="157"/>
      <c r="H118" s="151">
        <f>-INDEX($A$84:$L$94,MATCH($A118,$B$84:$B$94,0),MATCH($B118,$A$85:$L$85,0))</f>
        <v>-16.4</v>
      </c>
      <c r="L118" s="78" t="s">
        <v>19</v>
      </c>
      <c r="M118" s="78"/>
      <c r="N118" s="27"/>
    </row>
    <row r="119" ht="14.25" spans="1:14">
      <c r="A119" s="153" t="s">
        <v>90</v>
      </c>
      <c r="B119" s="154" t="s">
        <v>83</v>
      </c>
      <c r="C119" s="155" t="s">
        <v>91</v>
      </c>
      <c r="D119" s="156" t="str">
        <f t="shared" si="14"/>
        <v>2021.09月 Simple Ebay（陶瓷） Ebay点击费*</v>
      </c>
      <c r="E119" s="149" t="str">
        <f ca="1">OFFSET(INDIRECT("L1"),MATCH($B119,$L:$L,0),)</f>
        <v>1221.103</v>
      </c>
      <c r="F119" s="149" t="str">
        <f ca="1">OFFSET(INDIRECT("M1"),MATCH($B119,$L:$L,0),)</f>
        <v>拓展部-陶瓷部</v>
      </c>
      <c r="G119" s="158"/>
      <c r="H119" s="159">
        <f t="shared" si="16"/>
        <v>16.4</v>
      </c>
      <c r="L119" s="81" t="s">
        <v>71</v>
      </c>
      <c r="M119" s="81" t="s">
        <v>72</v>
      </c>
      <c r="N119" s="2"/>
    </row>
    <row r="120" ht="14.25" spans="1:14">
      <c r="A120" s="153" t="s">
        <v>90</v>
      </c>
      <c r="B120" s="154" t="s">
        <v>233</v>
      </c>
      <c r="C120" s="155" t="s">
        <v>91</v>
      </c>
      <c r="D120" s="156" t="str">
        <f t="shared" si="14"/>
        <v>2021.09月 Simple Ebay（防火底板） Ebay点击费*</v>
      </c>
      <c r="E120" s="149" t="str">
        <f ca="1">OFFSET(INDIRECT("L1"),MATCH($B120,$L:$L,0)+2,)</f>
        <v>6601.003.002.006</v>
      </c>
      <c r="F120" s="149" t="str">
        <f ca="1">OFFSET(INDIRECT("M1"),MATCH($B120,$L:$L,0)+2,)</f>
        <v>防火底板事业部-ebay点击费</v>
      </c>
      <c r="G120" s="157"/>
      <c r="H120" s="151">
        <f>-INDEX($A$84:$L$94,MATCH($A120,$B$84:$B$94,0),MATCH($B120,$A$85:$L$85,0))</f>
        <v>-380.8</v>
      </c>
      <c r="L120" s="81" t="s">
        <v>73</v>
      </c>
      <c r="M120" s="81" t="s">
        <v>74</v>
      </c>
      <c r="N120" s="2"/>
    </row>
    <row r="121" spans="1:14">
      <c r="A121" s="153" t="s">
        <v>90</v>
      </c>
      <c r="B121" s="154" t="s">
        <v>233</v>
      </c>
      <c r="C121" s="160" t="s">
        <v>91</v>
      </c>
      <c r="D121" s="161" t="str">
        <f t="shared" si="14"/>
        <v>2021.09月 Simple Ebay（防火底板） Ebay点击费*</v>
      </c>
      <c r="E121" s="162" t="str">
        <f ca="1">OFFSET(INDIRECT("L1"),MATCH($B121,$L:$L,0),)</f>
        <v>1221.107</v>
      </c>
      <c r="F121" s="162" t="str">
        <f ca="1">OFFSET(INDIRECT("M1"),MATCH($B121,$L:$L,0),)</f>
        <v>拓展部-防火底板</v>
      </c>
      <c r="G121" s="163"/>
      <c r="H121" s="164">
        <f t="shared" ref="H121:H125" si="17">-H120</f>
        <v>380.8</v>
      </c>
      <c r="L121" s="86" t="s">
        <v>119</v>
      </c>
      <c r="M121" s="86" t="s">
        <v>120</v>
      </c>
      <c r="N121"/>
    </row>
    <row r="122" ht="14.25" spans="1:13">
      <c r="A122" t="s">
        <v>77</v>
      </c>
      <c r="B122" s="31" t="s">
        <v>18</v>
      </c>
      <c r="C122" s="144" t="s">
        <v>91</v>
      </c>
      <c r="D122" s="145" t="str">
        <f t="shared" si="14"/>
        <v>2021.09月 Surfing Ebay（镜柜） Ebay点击费*</v>
      </c>
      <c r="E122" s="145" t="str">
        <f ca="1">OFFSET(INDIRECT("L1"),MATCH($B122,$L:$L,0)+2,)</f>
        <v>6601.003.002.003</v>
      </c>
      <c r="F122" s="145" t="str">
        <f ca="1">OFFSET(INDIRECT("M1"),MATCH($B122,$L:$L,0)+2,)</f>
        <v>销售费用 - 销售平台引流费 - Ebay点击费 - 镜柜事业部-ebay点击费</v>
      </c>
      <c r="G122" s="146"/>
      <c r="H122" s="147">
        <f>-INDEX($A$84:$L$94,MATCH($A122,$B$84:$B$94,0),MATCH($B122,$A$85:$L$85,0))</f>
        <v>-1525.03</v>
      </c>
      <c r="L122" t="s">
        <v>329</v>
      </c>
      <c r="M122" t="s">
        <v>330</v>
      </c>
    </row>
    <row r="123" spans="1:13">
      <c r="A123" t="s">
        <v>77</v>
      </c>
      <c r="B123" s="31" t="s">
        <v>18</v>
      </c>
      <c r="C123" s="148" t="s">
        <v>91</v>
      </c>
      <c r="D123" s="149" t="str">
        <f t="shared" si="14"/>
        <v>2021.09月 Surfing Ebay（镜柜） Ebay点击费*</v>
      </c>
      <c r="E123" s="149" t="str">
        <f ca="1">OFFSET(INDIRECT("L1"),MATCH($B123,$L:$L,0),)</f>
        <v>1221.86</v>
      </c>
      <c r="F123" s="149" t="str">
        <f ca="1">OFFSET(INDIRECT("M1"),MATCH($B123,$L:$L,0),)</f>
        <v>其他应收款 - 事业部</v>
      </c>
      <c r="G123" s="71"/>
      <c r="H123" s="150">
        <f t="shared" si="17"/>
        <v>1525.03</v>
      </c>
      <c r="L123" t="s">
        <v>850</v>
      </c>
      <c r="M123" s="89" t="s">
        <v>851</v>
      </c>
    </row>
    <row r="124" ht="14.25" spans="1:8">
      <c r="A124" t="s">
        <v>77</v>
      </c>
      <c r="B124" s="31" t="s">
        <v>20</v>
      </c>
      <c r="C124" s="148" t="s">
        <v>91</v>
      </c>
      <c r="D124" s="149" t="str">
        <f t="shared" si="14"/>
        <v>2021.09月 Surfing Ebay（五金） Ebay点击费*</v>
      </c>
      <c r="E124" s="149" t="str">
        <f ca="1">OFFSET(INDIRECT("L1"),MATCH($B124,$L:$L,0)+2,)</f>
        <v>6601.003.002.002</v>
      </c>
      <c r="F124" s="149" t="str">
        <f ca="1">OFFSET(INDIRECT("M1"),MATCH($B124,$L:$L,0)+2,)</f>
        <v>销售费用 - 销售平台引流费 - Ebay点击费 - 五金事业部-ebay点击费</v>
      </c>
      <c r="G124" s="73"/>
      <c r="H124" s="151">
        <f>-INDEX($A$84:$L$94,MATCH($A124,$B$84:$B$94,0),MATCH($B124,$A$85:$L$85,0))</f>
        <v>-5797.97</v>
      </c>
    </row>
    <row r="125" ht="14.25" spans="1:8">
      <c r="A125" t="s">
        <v>77</v>
      </c>
      <c r="B125" s="31" t="s">
        <v>20</v>
      </c>
      <c r="C125" s="148" t="s">
        <v>91</v>
      </c>
      <c r="D125" s="149" t="str">
        <f t="shared" si="14"/>
        <v>2021.09月 Surfing Ebay（五金） Ebay点击费*</v>
      </c>
      <c r="E125" s="149" t="str">
        <f ca="1">OFFSET(INDIRECT("L1"),MATCH($B125,$L:$L,0),)</f>
        <v>1221.60</v>
      </c>
      <c r="F125" s="149" t="str">
        <f ca="1">OFFSET(INDIRECT("M1"),MATCH($B125,$L:$L,0),)</f>
        <v>其他应收款 - 拓展部五金部</v>
      </c>
      <c r="G125" s="71"/>
      <c r="H125" s="150">
        <f t="shared" si="17"/>
        <v>5797.97</v>
      </c>
    </row>
    <row r="126" ht="18.75" spans="1:14">
      <c r="A126" t="s">
        <v>77</v>
      </c>
      <c r="B126" s="35" t="s">
        <v>19</v>
      </c>
      <c r="C126" s="148" t="s">
        <v>91</v>
      </c>
      <c r="D126" s="149" t="str">
        <f t="shared" si="14"/>
        <v>2021.09月 Surfing Ebay（水龙头） Ebay点击费*</v>
      </c>
      <c r="E126" s="149" t="str">
        <f ca="1">OFFSET(INDIRECT("L1"),MATCH($B126,$L:$L,0)+2,)</f>
        <v>6601.003.002.004</v>
      </c>
      <c r="F126" s="149" t="str">
        <f ca="1">OFFSET(INDIRECT("M1"),MATCH($B126,$L:$L,0)+2,)</f>
        <v>销售费用 - 销售平台引流费 - Ebay点击费 - 水龙头事业部-ebay点击费</v>
      </c>
      <c r="G126" s="73"/>
      <c r="H126" s="152">
        <f>-INDEX($A$84:$L$94,MATCH($A126,$B$84:$B$94,0),MATCH($B126,$A$85:$L$85,0))</f>
        <v>-1953.5</v>
      </c>
      <c r="L126" s="78" t="s">
        <v>83</v>
      </c>
      <c r="M126" s="78"/>
      <c r="N126" s="27"/>
    </row>
    <row r="127" ht="14.25" spans="1:14">
      <c r="A127" t="s">
        <v>77</v>
      </c>
      <c r="B127" s="35" t="s">
        <v>19</v>
      </c>
      <c r="C127" s="148" t="s">
        <v>91</v>
      </c>
      <c r="D127" s="149" t="str">
        <f t="shared" si="14"/>
        <v>2021.09月 Surfing Ebay（水龙头） Ebay点击费*</v>
      </c>
      <c r="E127" s="149" t="str">
        <f ca="1">OFFSET(INDIRECT("L1"),MATCH($B127,$L:$L,0),)</f>
        <v>1221.100</v>
      </c>
      <c r="F127" s="149" t="str">
        <f ca="1">OFFSET(INDIRECT("M1"),MATCH($B127,$L:$L,0),)</f>
        <v>其他应收款 - 拓展部-水龙头</v>
      </c>
      <c r="G127" s="71"/>
      <c r="H127" s="150">
        <f t="shared" ref="H127:H131" si="18">-H126</f>
        <v>1953.5</v>
      </c>
      <c r="L127" s="87" t="s">
        <v>121</v>
      </c>
      <c r="M127" s="88" t="s">
        <v>122</v>
      </c>
      <c r="N127" s="48"/>
    </row>
    <row r="128" ht="14.25" spans="1:14">
      <c r="A128" s="153" t="s">
        <v>77</v>
      </c>
      <c r="B128" s="154" t="s">
        <v>83</v>
      </c>
      <c r="C128" s="155" t="s">
        <v>91</v>
      </c>
      <c r="D128" s="156" t="str">
        <f t="shared" si="14"/>
        <v>2021.09月 Surfing Ebay（陶瓷） Ebay点击费*</v>
      </c>
      <c r="E128" s="149" t="str">
        <f ca="1">OFFSET(INDIRECT("L1"),MATCH($B128,$L:$L,0)+2,)</f>
        <v>6601.003.002.005</v>
      </c>
      <c r="F128" s="149" t="str">
        <f ca="1">OFFSET(INDIRECT("M1"),MATCH($B128,$L:$L,0)+2,)</f>
        <v>陶瓷部事业部-ebay点击费</v>
      </c>
      <c r="G128" s="157"/>
      <c r="H128" s="151">
        <f>-INDEX($A$84:$L$94,MATCH($A128,$B$84:$B$94,0),MATCH($B128,$A$85:$L$85,0))</f>
        <v>-1340.22</v>
      </c>
      <c r="L128" s="87" t="s">
        <v>123</v>
      </c>
      <c r="M128" s="88" t="s">
        <v>124</v>
      </c>
      <c r="N128" s="48"/>
    </row>
    <row r="129" ht="14.25" spans="1:14">
      <c r="A129" s="153" t="s">
        <v>77</v>
      </c>
      <c r="B129" s="154" t="s">
        <v>83</v>
      </c>
      <c r="C129" s="155" t="s">
        <v>91</v>
      </c>
      <c r="D129" s="156" t="str">
        <f t="shared" si="14"/>
        <v>2021.09月 Surfing Ebay（陶瓷） Ebay点击费*</v>
      </c>
      <c r="E129" s="149" t="str">
        <f ca="1">OFFSET(INDIRECT("L1"),MATCH($B129,$L:$L,0),)</f>
        <v>1221.103</v>
      </c>
      <c r="F129" s="149" t="str">
        <f ca="1">OFFSET(INDIRECT("M1"),MATCH($B129,$L:$L,0),)</f>
        <v>拓展部-陶瓷部</v>
      </c>
      <c r="G129" s="158"/>
      <c r="H129" s="159">
        <f t="shared" si="18"/>
        <v>1340.22</v>
      </c>
      <c r="L129" s="87" t="s">
        <v>127</v>
      </c>
      <c r="M129" s="88" t="s">
        <v>128</v>
      </c>
      <c r="N129" s="48"/>
    </row>
    <row r="130" ht="14.25" spans="1:13">
      <c r="A130" s="153" t="s">
        <v>77</v>
      </c>
      <c r="B130" s="154" t="s">
        <v>233</v>
      </c>
      <c r="C130" s="155" t="s">
        <v>91</v>
      </c>
      <c r="D130" s="156" t="str">
        <f t="shared" si="14"/>
        <v>2021.09月 Surfing Ebay（防火底板） Ebay点击费*</v>
      </c>
      <c r="E130" s="149" t="str">
        <f ca="1">OFFSET(INDIRECT("L1"),MATCH($B130,$L:$L,0)+2,)</f>
        <v>6601.003.002.006</v>
      </c>
      <c r="F130" s="149" t="str">
        <f ca="1">OFFSET(INDIRECT("M1"),MATCH($B130,$L:$L,0)+2,)</f>
        <v>防火底板事业部-ebay点击费</v>
      </c>
      <c r="G130" s="157"/>
      <c r="H130" s="151">
        <f>-INDEX($A$84:$L$94,MATCH($A130,$B$84:$B$94,0),MATCH($B130,$A$85:$L$85,0))</f>
        <v>-63.08</v>
      </c>
      <c r="L130" t="s">
        <v>332</v>
      </c>
      <c r="M130" t="s">
        <v>333</v>
      </c>
    </row>
    <row r="131" ht="15.75" spans="1:13">
      <c r="A131" s="153" t="s">
        <v>77</v>
      </c>
      <c r="B131" s="154" t="s">
        <v>233</v>
      </c>
      <c r="C131" s="160" t="s">
        <v>91</v>
      </c>
      <c r="D131" s="161" t="str">
        <f t="shared" si="14"/>
        <v>2021.09月 Surfing Ebay（防火底板） Ebay点击费*</v>
      </c>
      <c r="E131" s="162" t="str">
        <f ca="1">OFFSET(INDIRECT("L1"),MATCH($B131,$L:$L,0),)</f>
        <v>1221.107</v>
      </c>
      <c r="F131" s="162" t="str">
        <f ca="1">OFFSET(INDIRECT("M1"),MATCH($B131,$L:$L,0),)</f>
        <v>拓展部-防火底板</v>
      </c>
      <c r="G131" s="163"/>
      <c r="H131" s="164">
        <f t="shared" si="18"/>
        <v>63.08</v>
      </c>
      <c r="L131" t="s">
        <v>852</v>
      </c>
      <c r="M131" s="89" t="s">
        <v>853</v>
      </c>
    </row>
    <row r="132" ht="14.25" spans="1:8">
      <c r="A132" t="s">
        <v>93</v>
      </c>
      <c r="B132" s="31" t="s">
        <v>18</v>
      </c>
      <c r="C132" s="144" t="s">
        <v>91</v>
      </c>
      <c r="D132" s="145" t="str">
        <f t="shared" si="14"/>
        <v>2021.09月 Showerenclosure Ebay（镜柜） Ebay点击费*</v>
      </c>
      <c r="E132" s="145" t="str">
        <f ca="1">OFFSET(INDIRECT("L1"),MATCH($B132,$L:$L,0)+2,)</f>
        <v>6601.003.002.003</v>
      </c>
      <c r="F132" s="145" t="str">
        <f ca="1">OFFSET(INDIRECT("M1"),MATCH($B132,$L:$L,0)+2,)</f>
        <v>销售费用 - 销售平台引流费 - Ebay点击费 - 镜柜事业部-ebay点击费</v>
      </c>
      <c r="G132" s="146"/>
      <c r="H132" s="147">
        <f>-INDEX($A$84:$L$94,MATCH($A132,$B$84:$B$94,0),MATCH($B132,$A$85:$L$85,0))</f>
        <v>-1036.5</v>
      </c>
    </row>
    <row r="133" ht="14.25" spans="1:8">
      <c r="A133" t="s">
        <v>93</v>
      </c>
      <c r="B133" s="31" t="s">
        <v>18</v>
      </c>
      <c r="C133" s="148" t="s">
        <v>91</v>
      </c>
      <c r="D133" s="149" t="str">
        <f t="shared" si="14"/>
        <v>2021.09月 Showerenclosure Ebay（镜柜） Ebay点击费*</v>
      </c>
      <c r="E133" s="149" t="str">
        <f ca="1">OFFSET(INDIRECT("L1"),MATCH($B133,$L:$L,0),)</f>
        <v>1221.86</v>
      </c>
      <c r="F133" s="149" t="str">
        <f ca="1">OFFSET(INDIRECT("M1"),MATCH($B133,$L:$L,0),)</f>
        <v>其他应收款 - 事业部</v>
      </c>
      <c r="G133" s="71"/>
      <c r="H133" s="150">
        <f t="shared" ref="H133:H137" si="19">-H132</f>
        <v>1036.5</v>
      </c>
    </row>
    <row r="134" ht="14.25" spans="1:8">
      <c r="A134" t="s">
        <v>93</v>
      </c>
      <c r="B134" s="31" t="s">
        <v>20</v>
      </c>
      <c r="C134" s="148" t="s">
        <v>91</v>
      </c>
      <c r="D134" s="149" t="str">
        <f t="shared" si="14"/>
        <v>2021.09月 Showerenclosure Ebay（五金） Ebay点击费*</v>
      </c>
      <c r="E134" s="149" t="str">
        <f ca="1">OFFSET(INDIRECT("L1"),MATCH($B134,$L:$L,0)+2,)</f>
        <v>6601.003.002.002</v>
      </c>
      <c r="F134" s="149" t="str">
        <f ca="1">OFFSET(INDIRECT("M1"),MATCH($B134,$L:$L,0)+2,)</f>
        <v>销售费用 - 销售平台引流费 - Ebay点击费 - 五金事业部-ebay点击费</v>
      </c>
      <c r="G134" s="73"/>
      <c r="H134" s="151">
        <f>-INDEX($A$84:$L$94,MATCH($A134,$B$84:$B$94,0),MATCH($B134,$A$85:$L$85,0))</f>
        <v>-6846.57</v>
      </c>
    </row>
    <row r="135" ht="14.25" spans="1:8">
      <c r="A135" t="s">
        <v>93</v>
      </c>
      <c r="B135" s="31" t="s">
        <v>20</v>
      </c>
      <c r="C135" s="148" t="s">
        <v>91</v>
      </c>
      <c r="D135" s="149" t="str">
        <f t="shared" si="14"/>
        <v>2021.09月 Showerenclosure Ebay（五金） Ebay点击费*</v>
      </c>
      <c r="E135" s="149" t="str">
        <f ca="1">OFFSET(INDIRECT("L1"),MATCH($B135,$L:$L,0),)</f>
        <v>1221.60</v>
      </c>
      <c r="F135" s="149" t="str">
        <f ca="1">OFFSET(INDIRECT("M1"),MATCH($B135,$L:$L,0),)</f>
        <v>其他应收款 - 拓展部五金部</v>
      </c>
      <c r="G135" s="71"/>
      <c r="H135" s="150">
        <f t="shared" si="19"/>
        <v>6846.57</v>
      </c>
    </row>
    <row r="136" ht="14.25" spans="1:8">
      <c r="A136" t="s">
        <v>93</v>
      </c>
      <c r="B136" s="35" t="s">
        <v>19</v>
      </c>
      <c r="C136" s="148" t="s">
        <v>91</v>
      </c>
      <c r="D136" s="149" t="str">
        <f t="shared" si="14"/>
        <v>2021.09月 Showerenclosure Ebay（水龙头） Ebay点击费*</v>
      </c>
      <c r="E136" s="149" t="str">
        <f ca="1">OFFSET(INDIRECT("L1"),MATCH($B136,$L:$L,0)+2,)</f>
        <v>6601.003.002.004</v>
      </c>
      <c r="F136" s="149" t="str">
        <f ca="1">OFFSET(INDIRECT("M1"),MATCH($B136,$L:$L,0)+2,)</f>
        <v>销售费用 - 销售平台引流费 - Ebay点击费 - 水龙头事业部-ebay点击费</v>
      </c>
      <c r="G136" s="73"/>
      <c r="H136" s="152">
        <f>-INDEX($A$84:$L$94,MATCH($A136,$B$84:$B$94,0),MATCH($B136,$A$85:$L$85,0))</f>
        <v>-272.09</v>
      </c>
    </row>
    <row r="137" ht="14.25" spans="1:8">
      <c r="A137" t="s">
        <v>93</v>
      </c>
      <c r="B137" s="35" t="s">
        <v>19</v>
      </c>
      <c r="C137" s="148" t="s">
        <v>91</v>
      </c>
      <c r="D137" s="149" t="str">
        <f t="shared" si="14"/>
        <v>2021.09月 Showerenclosure Ebay（水龙头） Ebay点击费*</v>
      </c>
      <c r="E137" s="149" t="str">
        <f ca="1">OFFSET(INDIRECT("L1"),MATCH($B137,$L:$L,0),)</f>
        <v>1221.100</v>
      </c>
      <c r="F137" s="149" t="str">
        <f ca="1">OFFSET(INDIRECT("M1"),MATCH($B137,$L:$L,0),)</f>
        <v>其他应收款 - 拓展部-水龙头</v>
      </c>
      <c r="G137" s="71"/>
      <c r="H137" s="150">
        <f t="shared" si="19"/>
        <v>272.09</v>
      </c>
    </row>
    <row r="138" ht="14.25" spans="1:12">
      <c r="A138" s="153" t="s">
        <v>93</v>
      </c>
      <c r="B138" s="154" t="s">
        <v>83</v>
      </c>
      <c r="C138" s="155" t="s">
        <v>91</v>
      </c>
      <c r="D138" s="156" t="str">
        <f t="shared" si="14"/>
        <v>2021.09月 Showerenclosure Ebay（陶瓷） Ebay点击费*</v>
      </c>
      <c r="E138" s="149" t="str">
        <f ca="1">OFFSET(INDIRECT("L1"),MATCH($B138,$L:$L,0)+2,)</f>
        <v>6601.003.002.005</v>
      </c>
      <c r="F138" s="149" t="str">
        <f ca="1">OFFSET(INDIRECT("M1"),MATCH($B138,$L:$L,0)+2,)</f>
        <v>陶瓷部事业部-ebay点击费</v>
      </c>
      <c r="G138" s="157"/>
      <c r="H138" s="151">
        <f>-INDEX($A$84:$L$94,MATCH($A138,$B$84:$B$94,0),MATCH($B138,$A$85:$L$85,0))</f>
        <v>-54.79</v>
      </c>
      <c r="L138"/>
    </row>
    <row r="139" spans="1:12">
      <c r="A139" s="153" t="s">
        <v>93</v>
      </c>
      <c r="B139" s="154" t="s">
        <v>83</v>
      </c>
      <c r="C139" s="155" t="s">
        <v>91</v>
      </c>
      <c r="D139" s="156" t="str">
        <f t="shared" si="14"/>
        <v>2021.09月 Showerenclosure Ebay（陶瓷） Ebay点击费*</v>
      </c>
      <c r="E139" s="149" t="str">
        <f ca="1">OFFSET(INDIRECT("L1"),MATCH($B139,$L:$L,0),)</f>
        <v>1221.103</v>
      </c>
      <c r="F139" s="149" t="str">
        <f ca="1">OFFSET(INDIRECT("M1"),MATCH($B139,$L:$L,0),)</f>
        <v>拓展部-陶瓷部</v>
      </c>
      <c r="G139" s="158"/>
      <c r="H139" s="159">
        <f t="shared" ref="H139:H143" si="20">-H138</f>
        <v>54.79</v>
      </c>
      <c r="L139"/>
    </row>
    <row r="140" ht="14.25" hidden="1" spans="1:8">
      <c r="A140" s="153" t="s">
        <v>93</v>
      </c>
      <c r="B140" s="154" t="s">
        <v>233</v>
      </c>
      <c r="C140" s="155" t="s">
        <v>91</v>
      </c>
      <c r="D140" s="156" t="str">
        <f t="shared" si="14"/>
        <v>2021.09月 Showerenclosure Ebay（防火底板） Ebay点击费*</v>
      </c>
      <c r="E140" s="149" t="str">
        <f ca="1">OFFSET(INDIRECT("L1"),MATCH($B140,$L:$L,0)+2,)</f>
        <v>6601.003.002.006</v>
      </c>
      <c r="F140" s="149" t="str">
        <f ca="1">OFFSET(INDIRECT("M1"),MATCH($B140,$L:$L,0)+2,)</f>
        <v>防火底板事业部-ebay点击费</v>
      </c>
      <c r="G140" s="157"/>
      <c r="H140" s="151">
        <f>-INDEX($A$84:$L$94,MATCH($A140,$B$84:$B$94,0),MATCH($B140,$A$85:$L$85,0))</f>
        <v>0</v>
      </c>
    </row>
    <row r="141" hidden="1" spans="1:8">
      <c r="A141" s="153" t="s">
        <v>93</v>
      </c>
      <c r="B141" s="154" t="s">
        <v>233</v>
      </c>
      <c r="C141" s="160" t="s">
        <v>91</v>
      </c>
      <c r="D141" s="161" t="str">
        <f t="shared" si="14"/>
        <v>2021.09月 Showerenclosure Ebay（防火底板） Ebay点击费*</v>
      </c>
      <c r="E141" s="162" t="str">
        <f ca="1">OFFSET(INDIRECT("L1"),MATCH($B141,$L:$L,0),)</f>
        <v>1221.107</v>
      </c>
      <c r="F141" s="162" t="str">
        <f ca="1">OFFSET(INDIRECT("M1"),MATCH($B141,$L:$L,0),)</f>
        <v>拓展部-防火底板</v>
      </c>
      <c r="G141" s="163"/>
      <c r="H141" s="164">
        <f t="shared" si="20"/>
        <v>0</v>
      </c>
    </row>
    <row r="142" ht="18.75" hidden="1" spans="1:14">
      <c r="A142" s="89" t="s">
        <v>94</v>
      </c>
      <c r="B142" s="31" t="s">
        <v>18</v>
      </c>
      <c r="C142" s="144" t="s">
        <v>91</v>
      </c>
      <c r="D142" s="145" t="str">
        <f t="shared" si="14"/>
        <v>2021.09月 SuperShower Ebay（镜柜） Ebay点击费*</v>
      </c>
      <c r="E142" s="145" t="str">
        <f ca="1">OFFSET(INDIRECT("L1"),MATCH($B142,$L:$L,0)+2,)</f>
        <v>6601.003.002.003</v>
      </c>
      <c r="F142" s="145" t="str">
        <f ca="1">OFFSET(INDIRECT("M1"),MATCH($B142,$L:$L,0)+2,)</f>
        <v>销售费用 - 销售平台引流费 - Ebay点击费 - 镜柜事业部-ebay点击费</v>
      </c>
      <c r="G142" s="146"/>
      <c r="H142" s="147">
        <f>-INDEX($A$84:$L$94,MATCH($A142,$B$84:$B$94,0),MATCH($B142,$A$85:$L$85,0))</f>
        <v>0</v>
      </c>
      <c r="I142"/>
      <c r="J142"/>
      <c r="K142"/>
      <c r="L142" s="78" t="s">
        <v>233</v>
      </c>
      <c r="M142" s="78"/>
      <c r="N142" s="27"/>
    </row>
    <row r="143" hidden="1" spans="1:13">
      <c r="A143" s="89" t="s">
        <v>94</v>
      </c>
      <c r="B143" s="31" t="s">
        <v>18</v>
      </c>
      <c r="C143" s="148" t="s">
        <v>91</v>
      </c>
      <c r="D143" s="149" t="str">
        <f t="shared" si="14"/>
        <v>2021.09月 SuperShower Ebay（镜柜） Ebay点击费*</v>
      </c>
      <c r="E143" s="149" t="str">
        <f ca="1">OFFSET(INDIRECT("L1"),MATCH($B143,$L:$L,0),)</f>
        <v>1221.86</v>
      </c>
      <c r="F143" s="149" t="str">
        <f ca="1">OFFSET(INDIRECT("M1"),MATCH($B143,$L:$L,0),)</f>
        <v>其他应收款 - 事业部</v>
      </c>
      <c r="G143" s="71"/>
      <c r="H143" s="150">
        <f t="shared" si="20"/>
        <v>0</v>
      </c>
      <c r="I143"/>
      <c r="J143"/>
      <c r="K143"/>
      <c r="L143" s="89" t="s">
        <v>129</v>
      </c>
      <c r="M143" s="89" t="s">
        <v>130</v>
      </c>
    </row>
    <row r="144" hidden="1" spans="1:13">
      <c r="A144" s="89" t="s">
        <v>94</v>
      </c>
      <c r="B144" s="31" t="s">
        <v>20</v>
      </c>
      <c r="C144" s="148" t="s">
        <v>91</v>
      </c>
      <c r="D144" s="149" t="str">
        <f t="shared" si="14"/>
        <v>2021.09月 SuperShower Ebay（五金） Ebay点击费*</v>
      </c>
      <c r="E144" s="149" t="str">
        <f ca="1">OFFSET(INDIRECT("L1"),MATCH($B144,$L:$L,0)+2,)</f>
        <v>6601.003.002.002</v>
      </c>
      <c r="F144" s="149" t="str">
        <f ca="1">OFFSET(INDIRECT("M1"),MATCH($B144,$L:$L,0)+2,)</f>
        <v>销售费用 - 销售平台引流费 - Ebay点击费 - 五金事业部-ebay点击费</v>
      </c>
      <c r="G144" s="73"/>
      <c r="H144" s="151">
        <f>-INDEX($A$84:$L$94,MATCH($A144,$B$84:$B$94,0),MATCH($B144,$A$85:$L$85,0))</f>
        <v>0</v>
      </c>
      <c r="L144" s="89" t="s">
        <v>131</v>
      </c>
      <c r="M144" s="89" t="s">
        <v>132</v>
      </c>
    </row>
    <row r="145" hidden="1" spans="1:13">
      <c r="A145" s="89" t="s">
        <v>94</v>
      </c>
      <c r="B145" s="31" t="s">
        <v>20</v>
      </c>
      <c r="C145" s="148" t="s">
        <v>91</v>
      </c>
      <c r="D145" s="149" t="str">
        <f t="shared" si="14"/>
        <v>2021.09月 SuperShower Ebay（五金） Ebay点击费*</v>
      </c>
      <c r="E145" s="149" t="str">
        <f ca="1">OFFSET(INDIRECT("L1"),MATCH($B145,$L:$L,0),)</f>
        <v>1221.60</v>
      </c>
      <c r="F145" s="149" t="str">
        <f ca="1">OFFSET(INDIRECT("M1"),MATCH($B145,$L:$L,0),)</f>
        <v>其他应收款 - 拓展部五金部</v>
      </c>
      <c r="G145" s="71"/>
      <c r="H145" s="150">
        <f t="shared" ref="H145:H149" si="21">-H144</f>
        <v>0</v>
      </c>
      <c r="L145" s="89" t="s">
        <v>135</v>
      </c>
      <c r="M145" s="89" t="s">
        <v>136</v>
      </c>
    </row>
    <row r="146" hidden="1" spans="1:13">
      <c r="A146" s="89" t="s">
        <v>94</v>
      </c>
      <c r="B146" s="35" t="s">
        <v>19</v>
      </c>
      <c r="C146" s="148" t="s">
        <v>91</v>
      </c>
      <c r="D146" s="149" t="str">
        <f t="shared" si="14"/>
        <v>2021.09月 SuperShower Ebay（水龙头） Ebay点击费*</v>
      </c>
      <c r="E146" s="149" t="str">
        <f ca="1">OFFSET(INDIRECT("L1"),MATCH($B146,$L:$L,0)+2,)</f>
        <v>6601.003.002.004</v>
      </c>
      <c r="F146" s="149" t="str">
        <f ca="1">OFFSET(INDIRECT("M1"),MATCH($B146,$L:$L,0)+2,)</f>
        <v>销售费用 - 销售平台引流费 - Ebay点击费 - 水龙头事业部-ebay点击费</v>
      </c>
      <c r="G146" s="73"/>
      <c r="H146" s="152">
        <f>-INDEX($A$84:$L$94,MATCH($A146,$B$84:$B$94,0),MATCH($B146,$A$85:$L$85,0))</f>
        <v>0</v>
      </c>
      <c r="L146" t="s">
        <v>334</v>
      </c>
      <c r="M146" t="s">
        <v>379</v>
      </c>
    </row>
    <row r="147" hidden="1" spans="1:13">
      <c r="A147" s="89" t="s">
        <v>94</v>
      </c>
      <c r="B147" s="35" t="s">
        <v>19</v>
      </c>
      <c r="C147" s="148" t="s">
        <v>91</v>
      </c>
      <c r="D147" s="149" t="str">
        <f t="shared" si="14"/>
        <v>2021.09月 SuperShower Ebay（水龙头） Ebay点击费*</v>
      </c>
      <c r="E147" s="149" t="str">
        <f ca="1">OFFSET(INDIRECT("L1"),MATCH($B147,$L:$L,0),)</f>
        <v>1221.100</v>
      </c>
      <c r="F147" s="149" t="str">
        <f ca="1">OFFSET(INDIRECT("M1"),MATCH($B147,$L:$L,0),)</f>
        <v>其他应收款 - 拓展部-水龙头</v>
      </c>
      <c r="G147" s="71"/>
      <c r="H147" s="150">
        <f t="shared" si="21"/>
        <v>0</v>
      </c>
      <c r="L147" t="s">
        <v>854</v>
      </c>
      <c r="M147" t="s">
        <v>855</v>
      </c>
    </row>
    <row r="148" hidden="1" spans="1:8">
      <c r="A148" s="89" t="s">
        <v>94</v>
      </c>
      <c r="B148" s="154" t="s">
        <v>83</v>
      </c>
      <c r="C148" s="155" t="s">
        <v>91</v>
      </c>
      <c r="D148" s="156" t="str">
        <f t="shared" si="14"/>
        <v>2021.09月 SuperShower Ebay（陶瓷） Ebay点击费*</v>
      </c>
      <c r="E148" s="149" t="str">
        <f ca="1">OFFSET(INDIRECT("L1"),MATCH($B148,$L:$L,0)+2,)</f>
        <v>6601.003.002.005</v>
      </c>
      <c r="F148" s="149" t="str">
        <f ca="1">OFFSET(INDIRECT("M1"),MATCH($B148,$L:$L,0)+2,)</f>
        <v>陶瓷部事业部-ebay点击费</v>
      </c>
      <c r="G148" s="157"/>
      <c r="H148" s="151">
        <f>-INDEX($A$84:$L$94,MATCH($A148,$B$84:$B$94,0),MATCH($B148,$A$85:$L$85,0))</f>
        <v>0</v>
      </c>
    </row>
    <row r="149" hidden="1" spans="1:8">
      <c r="A149" s="89" t="s">
        <v>94</v>
      </c>
      <c r="B149" s="154" t="s">
        <v>83</v>
      </c>
      <c r="C149" s="155" t="s">
        <v>91</v>
      </c>
      <c r="D149" s="156" t="str">
        <f t="shared" si="14"/>
        <v>2021.09月 SuperShower Ebay（陶瓷） Ebay点击费*</v>
      </c>
      <c r="E149" s="149" t="str">
        <f ca="1">OFFSET(INDIRECT("L1"),MATCH($B149,$L:$L,0),)</f>
        <v>1221.103</v>
      </c>
      <c r="F149" s="149" t="str">
        <f ca="1">OFFSET(INDIRECT("M1"),MATCH($B149,$L:$L,0),)</f>
        <v>拓展部-陶瓷部</v>
      </c>
      <c r="G149" s="158"/>
      <c r="H149" s="159">
        <f t="shared" si="21"/>
        <v>0</v>
      </c>
    </row>
    <row r="150" hidden="1" spans="1:8">
      <c r="A150" s="89" t="s">
        <v>94</v>
      </c>
      <c r="B150" s="154" t="s">
        <v>233</v>
      </c>
      <c r="C150" s="155" t="s">
        <v>91</v>
      </c>
      <c r="D150" s="156" t="str">
        <f t="shared" si="14"/>
        <v>2021.09月 SuperShower Ebay（防火底板） Ebay点击费*</v>
      </c>
      <c r="E150" s="149" t="str">
        <f ca="1">OFFSET(INDIRECT("L1"),MATCH($B150,$L:$L,0)+2,)</f>
        <v>6601.003.002.006</v>
      </c>
      <c r="F150" s="149" t="str">
        <f ca="1">OFFSET(INDIRECT("M1"),MATCH($B150,$L:$L,0)+2,)</f>
        <v>防火底板事业部-ebay点击费</v>
      </c>
      <c r="G150" s="157"/>
      <c r="H150" s="151">
        <f>-INDEX($A$84:$L$94,MATCH($A150,$B$84:$B$94,0),MATCH($B150,$A$85:$L$85,0))</f>
        <v>0</v>
      </c>
    </row>
    <row r="151" ht="15.75" hidden="1" spans="1:8">
      <c r="A151" s="89" t="s">
        <v>94</v>
      </c>
      <c r="B151" s="154" t="s">
        <v>233</v>
      </c>
      <c r="C151" s="155" t="s">
        <v>91</v>
      </c>
      <c r="D151" s="156" t="str">
        <f t="shared" si="14"/>
        <v>2021.09月 SuperShower Ebay（防火底板） Ebay点击费*</v>
      </c>
      <c r="E151" s="149" t="str">
        <f ca="1">OFFSET(INDIRECT("L1"),MATCH($B151,$L:$L,0),)</f>
        <v>1221.107</v>
      </c>
      <c r="F151" s="149" t="str">
        <f ca="1">OFFSET(INDIRECT("M1"),MATCH($B151,$L:$L,0),)</f>
        <v>拓展部-防火底板</v>
      </c>
      <c r="G151" s="158"/>
      <c r="H151" s="159">
        <f>-H150</f>
        <v>0</v>
      </c>
    </row>
    <row r="152" ht="14.25" spans="1:8">
      <c r="A152" t="s">
        <v>315</v>
      </c>
      <c r="B152" s="31" t="s">
        <v>18</v>
      </c>
      <c r="C152" s="144" t="s">
        <v>856</v>
      </c>
      <c r="D152" s="145" t="str">
        <f t="shared" si="14"/>
        <v>2021.09月 Excellent Amazon（镜柜） Amazon点击费*</v>
      </c>
      <c r="E152" s="145" t="str">
        <f ca="1">OFFSET(INDIRECT("L1"),MATCH($B152,$L:$L,0)+3,)</f>
        <v>6601.003.003.003</v>
      </c>
      <c r="F152" s="145" t="str">
        <f ca="1">OFFSET(INDIRECT("M1"),MATCH($B152,$L:$L,0)+3,)</f>
        <v>镜柜事业部-Amazon点击费</v>
      </c>
      <c r="G152" s="146"/>
      <c r="H152" s="147">
        <f>-INDEX($A$84:$L$94,MATCH($A152,$B$84:$B$94,0),MATCH($B152,$A$85:$L$85,0))</f>
        <v>-207.9</v>
      </c>
    </row>
    <row r="153" ht="14.25" spans="1:8">
      <c r="A153" t="s">
        <v>315</v>
      </c>
      <c r="B153" s="31" t="s">
        <v>18</v>
      </c>
      <c r="C153" s="148" t="s">
        <v>856</v>
      </c>
      <c r="D153" s="149" t="str">
        <f t="shared" si="14"/>
        <v>2021.09月 Excellent Amazon（镜柜） Amazon点击费*</v>
      </c>
      <c r="E153" s="149" t="str">
        <f ca="1">OFFSET(INDIRECT("L1"),MATCH($B153,$L:$L,0),)</f>
        <v>1221.86</v>
      </c>
      <c r="F153" s="149" t="str">
        <f ca="1">OFFSET(INDIRECT("M1"),MATCH($B153,$L:$L,0),)</f>
        <v>其他应收款 - 事业部</v>
      </c>
      <c r="G153" s="71"/>
      <c r="H153" s="150">
        <f>-H152</f>
        <v>207.9</v>
      </c>
    </row>
    <row r="154" ht="14.25" spans="1:8">
      <c r="A154" t="s">
        <v>315</v>
      </c>
      <c r="B154" s="31" t="s">
        <v>20</v>
      </c>
      <c r="C154" s="148" t="s">
        <v>856</v>
      </c>
      <c r="D154" s="149" t="str">
        <f t="shared" si="14"/>
        <v>2021.09月 Excellent Amazon（五金） Amazon点击费*</v>
      </c>
      <c r="E154" s="149" t="str">
        <f ca="1">OFFSET(INDIRECT("L1"),MATCH($B154,$L:$L,0)+3,)</f>
        <v>6601.003.003.002</v>
      </c>
      <c r="F154" s="149" t="str">
        <f ca="1">OFFSET(INDIRECT("M1"),MATCH($B154,$L:$L,0)+3,)</f>
        <v>五金事业部-Amazon点击费</v>
      </c>
      <c r="G154" s="73"/>
      <c r="H154" s="151">
        <f>-INDEX($A$84:$L$94,MATCH($A154,$B$84:$B$94,0),MATCH($B154,$A$85:$L$85,0))</f>
        <v>-1296.1</v>
      </c>
    </row>
    <row r="155" ht="14.25" spans="1:8">
      <c r="A155" t="s">
        <v>315</v>
      </c>
      <c r="B155" s="31" t="s">
        <v>20</v>
      </c>
      <c r="C155" s="148" t="s">
        <v>856</v>
      </c>
      <c r="D155" s="149" t="str">
        <f t="shared" si="14"/>
        <v>2021.09月 Excellent Amazon（五金） Amazon点击费*</v>
      </c>
      <c r="E155" s="149" t="str">
        <f ca="1">OFFSET(INDIRECT("L1"),MATCH($B155,$L:$L,0),)</f>
        <v>1221.60</v>
      </c>
      <c r="F155" s="149" t="str">
        <f ca="1">OFFSET(INDIRECT("M1"),MATCH($B155,$L:$L,0),)</f>
        <v>其他应收款 - 拓展部五金部</v>
      </c>
      <c r="G155" s="71"/>
      <c r="H155" s="150">
        <f t="shared" ref="H155:H159" si="22">-H154</f>
        <v>1296.1</v>
      </c>
    </row>
    <row r="156" ht="14.25" spans="1:8">
      <c r="A156" t="s">
        <v>315</v>
      </c>
      <c r="B156" s="35" t="s">
        <v>19</v>
      </c>
      <c r="C156" s="148" t="s">
        <v>856</v>
      </c>
      <c r="D156" s="149" t="str">
        <f t="shared" si="14"/>
        <v>2021.09月 Excellent Amazon（水龙头） Amazon点击费*</v>
      </c>
      <c r="E156" s="149" t="str">
        <f ca="1">OFFSET(INDIRECT("L1"),MATCH($B156,$L:$L,0)+3,)</f>
        <v>6601.003.003.004</v>
      </c>
      <c r="F156" s="149" t="str">
        <f ca="1">OFFSET(INDIRECT("M1"),MATCH($B156,$L:$L,0)+3,)</f>
        <v>水龙头事业部-Amazon点击费</v>
      </c>
      <c r="G156" s="73"/>
      <c r="H156" s="152">
        <f>-INDEX($A$84:$L$94,MATCH($A156,$B$84:$B$94,0),MATCH($B156,$A$85:$L$85,0))</f>
        <v>-338.36</v>
      </c>
    </row>
    <row r="157" ht="14.25" spans="1:8">
      <c r="A157" t="s">
        <v>315</v>
      </c>
      <c r="B157" s="35" t="s">
        <v>19</v>
      </c>
      <c r="C157" s="148" t="s">
        <v>856</v>
      </c>
      <c r="D157" s="149" t="str">
        <f t="shared" si="14"/>
        <v>2021.09月 Excellent Amazon（水龙头） Amazon点击费*</v>
      </c>
      <c r="E157" s="149" t="str">
        <f ca="1">OFFSET(INDIRECT("L1"),MATCH($B157,$L:$L,0),)</f>
        <v>1221.100</v>
      </c>
      <c r="F157" s="149" t="str">
        <f ca="1">OFFSET(INDIRECT("M1"),MATCH($B157,$L:$L,0),)</f>
        <v>其他应收款 - 拓展部-水龙头</v>
      </c>
      <c r="G157" s="71"/>
      <c r="H157" s="150">
        <f t="shared" si="22"/>
        <v>338.36</v>
      </c>
    </row>
    <row r="158" ht="14.25" hidden="1" spans="1:8">
      <c r="A158" s="153" t="s">
        <v>315</v>
      </c>
      <c r="B158" s="154" t="s">
        <v>83</v>
      </c>
      <c r="C158" s="155" t="s">
        <v>856</v>
      </c>
      <c r="D158" s="156" t="str">
        <f t="shared" si="14"/>
        <v>2021.09月 Excellent Amazon（陶瓷） Amazon点击费*</v>
      </c>
      <c r="E158" s="149" t="str">
        <f ca="1">OFFSET(INDIRECT("L1"),MATCH($B158,$L:$L,0)+3,)</f>
        <v>6601.003.003.005</v>
      </c>
      <c r="F158" s="149" t="str">
        <f ca="1">OFFSET(INDIRECT("M1"),MATCH($B158,$L:$L,0)+3,)</f>
        <v>陶瓷事业部-Amazon点击费</v>
      </c>
      <c r="G158" s="157"/>
      <c r="H158" s="151">
        <f>-INDEX($A$84:$L$94,MATCH($A158,$B$84:$B$94,0),MATCH($B158,$A$85:$L$85,0))</f>
        <v>0</v>
      </c>
    </row>
    <row r="159" ht="14.25" hidden="1" spans="1:8">
      <c r="A159" s="153" t="s">
        <v>315</v>
      </c>
      <c r="B159" s="154" t="s">
        <v>83</v>
      </c>
      <c r="C159" s="155" t="s">
        <v>856</v>
      </c>
      <c r="D159" s="156" t="str">
        <f t="shared" si="14"/>
        <v>2021.09月 Excellent Amazon（陶瓷） Amazon点击费*</v>
      </c>
      <c r="E159" s="149" t="str">
        <f ca="1">OFFSET(INDIRECT("L1"),MATCH($B159,$L:$L,0),)</f>
        <v>1221.103</v>
      </c>
      <c r="F159" s="149" t="str">
        <f ca="1">OFFSET(INDIRECT("M1"),MATCH($B159,$L:$L,0),)</f>
        <v>拓展部-陶瓷部</v>
      </c>
      <c r="G159" s="158"/>
      <c r="H159" s="159">
        <f t="shared" si="22"/>
        <v>0</v>
      </c>
    </row>
    <row r="160" ht="14.25" hidden="1" spans="1:8">
      <c r="A160" s="153" t="s">
        <v>315</v>
      </c>
      <c r="B160" s="154" t="s">
        <v>233</v>
      </c>
      <c r="C160" s="155" t="s">
        <v>856</v>
      </c>
      <c r="D160" s="156" t="str">
        <f t="shared" si="14"/>
        <v>2021.09月 Excellent Amazon（防火底板） Amazon点击费*</v>
      </c>
      <c r="E160" s="149" t="str">
        <f ca="1">OFFSET(INDIRECT("L1"),MATCH($B160,$L:$L,0)+3,)</f>
        <v>6601.003.003.006</v>
      </c>
      <c r="F160" s="149" t="str">
        <f ca="1">OFFSET(INDIRECT("M1"),MATCH($B160,$L:$L,0)+3,)</f>
        <v>防火底板事业部-Amazon点击费</v>
      </c>
      <c r="G160" s="158"/>
      <c r="H160" s="151">
        <f>-INDEX($A$84:$L$94,MATCH($A160,$B$84:$B$94,0),MATCH($B160,$A$85:$L$85,0))</f>
        <v>0</v>
      </c>
    </row>
    <row r="161" hidden="1" spans="1:8">
      <c r="A161" s="153" t="s">
        <v>315</v>
      </c>
      <c r="B161" s="154" t="s">
        <v>233</v>
      </c>
      <c r="C161" s="155" t="s">
        <v>856</v>
      </c>
      <c r="D161" s="156" t="str">
        <f t="shared" si="14"/>
        <v>2021.09月 Excellent Amazon（防火底板） Amazon点击费*</v>
      </c>
      <c r="E161" s="149" t="str">
        <f ca="1">OFFSET(INDIRECT("L1"),MATCH($B161,$L:$L,0),)</f>
        <v>1221.107</v>
      </c>
      <c r="F161" s="149" t="str">
        <f ca="1">OFFSET(INDIRECT("M1"),MATCH($B161,$L:$L,0),)</f>
        <v>拓展部-防火底板</v>
      </c>
      <c r="G161" s="158"/>
      <c r="H161" s="159">
        <f>-H160</f>
        <v>0</v>
      </c>
    </row>
    <row r="162" ht="14.25" hidden="1" spans="1:8">
      <c r="A162" t="s">
        <v>140</v>
      </c>
      <c r="B162" s="31" t="s">
        <v>18</v>
      </c>
      <c r="C162" s="144" t="s">
        <v>856</v>
      </c>
      <c r="D162" s="145" t="str">
        <f t="shared" ref="D162:D177" si="23">$A$100&amp;A162&amp;"（"&amp;B162&amp;"）"&amp;" "&amp;C162</f>
        <v>2021.09月 Mano（镜柜） Amazon点击费*</v>
      </c>
      <c r="E162" s="145" t="str">
        <f ca="1">OFFSET(INDIRECT("L1"),MATCH($B162,$L:$L,0)+4,)</f>
        <v>6601.003.004.003</v>
      </c>
      <c r="F162" s="145" t="str">
        <f ca="1">OFFSET(INDIRECT("M1"),MATCH($B162,$L:$L,0)+4,)</f>
        <v>镜柜事业部-ManoMano点击费</v>
      </c>
      <c r="G162" s="146"/>
      <c r="H162" s="147">
        <f>-INDEX($A$84:$L$94,MATCH($A162,$B$84:$B$94,0),MATCH($B162,$A$85:$L$85,0))</f>
        <v>0</v>
      </c>
    </row>
    <row r="163" ht="14.25" hidden="1" spans="1:8">
      <c r="A163" t="s">
        <v>140</v>
      </c>
      <c r="B163" s="31" t="s">
        <v>18</v>
      </c>
      <c r="C163" s="148" t="s">
        <v>856</v>
      </c>
      <c r="D163" s="149" t="str">
        <f t="shared" si="23"/>
        <v>2021.09月 Mano（镜柜） Amazon点击费*</v>
      </c>
      <c r="E163" s="149" t="str">
        <f ca="1">OFFSET(INDIRECT("L1"),MATCH($B163,$L:$L,0),)</f>
        <v>1221.86</v>
      </c>
      <c r="F163" s="149" t="str">
        <f ca="1">OFFSET(INDIRECT("M1"),MATCH($B163,$L:$L,0),)</f>
        <v>其他应收款 - 事业部</v>
      </c>
      <c r="G163" s="71"/>
      <c r="H163" s="150">
        <f t="shared" ref="H163:H167" si="24">-H162</f>
        <v>0</v>
      </c>
    </row>
    <row r="164" ht="14.25" spans="1:8">
      <c r="A164" t="s">
        <v>140</v>
      </c>
      <c r="B164" s="31" t="s">
        <v>20</v>
      </c>
      <c r="C164" s="148" t="s">
        <v>856</v>
      </c>
      <c r="D164" s="149" t="str">
        <f t="shared" si="23"/>
        <v>2021.09月 Mano（五金） Amazon点击费*</v>
      </c>
      <c r="E164" s="149" t="str">
        <f ca="1">OFFSET(INDIRECT("L1"),MATCH($B164,$L:$L,0)+4,)</f>
        <v>6601.003.004.002</v>
      </c>
      <c r="F164" s="149" t="str">
        <f ca="1">OFFSET(INDIRECT("M1"),MATCH($B164,$L:$L,0)+4,)</f>
        <v>五金事业部-ManoMano点击费</v>
      </c>
      <c r="G164" s="73"/>
      <c r="H164" s="151">
        <f>-INDEX($A$84:$L$94,MATCH($A164,$B$84:$B$94,0),MATCH($B164,$A$85:$L$85,0))</f>
        <v>-243.17</v>
      </c>
    </row>
    <row r="165" ht="14.25" spans="1:8">
      <c r="A165" t="s">
        <v>140</v>
      </c>
      <c r="B165" s="31" t="s">
        <v>20</v>
      </c>
      <c r="C165" s="148" t="s">
        <v>856</v>
      </c>
      <c r="D165" s="149" t="str">
        <f t="shared" si="23"/>
        <v>2021.09月 Mano（五金） Amazon点击费*</v>
      </c>
      <c r="E165" s="149" t="str">
        <f ca="1">OFFSET(INDIRECT("L1"),MATCH($B165,$L:$L,0),)</f>
        <v>1221.60</v>
      </c>
      <c r="F165" s="149" t="str">
        <f ca="1">OFFSET(INDIRECT("M1"),MATCH($B165,$L:$L,0),)</f>
        <v>其他应收款 - 拓展部五金部</v>
      </c>
      <c r="G165" s="71"/>
      <c r="H165" s="150">
        <f t="shared" si="24"/>
        <v>243.17</v>
      </c>
    </row>
    <row r="166" ht="14.25" spans="1:8">
      <c r="A166" t="s">
        <v>140</v>
      </c>
      <c r="B166" s="35" t="s">
        <v>19</v>
      </c>
      <c r="C166" s="148" t="s">
        <v>856</v>
      </c>
      <c r="D166" s="149" t="str">
        <f t="shared" si="23"/>
        <v>2021.09月 Mano（水龙头） Amazon点击费*</v>
      </c>
      <c r="E166" s="149" t="str">
        <f ca="1">OFFSET(INDIRECT("L1"),MATCH($B166,$L:$L,0)+4,)</f>
        <v>6601.003.004.004</v>
      </c>
      <c r="F166" s="149" t="str">
        <f ca="1">OFFSET(INDIRECT("M1"),MATCH($B166,$L:$L,0)+4,)</f>
        <v>水龙头事业部-ManoMano点击费</v>
      </c>
      <c r="G166" s="73"/>
      <c r="H166" s="152">
        <f>-INDEX($A$84:$L$94,MATCH($A166,$B$84:$B$94,0),MATCH($B166,$A$85:$L$85,0))</f>
        <v>-54.86</v>
      </c>
    </row>
    <row r="167" ht="14.25" spans="1:8">
      <c r="A167" t="s">
        <v>140</v>
      </c>
      <c r="B167" s="35" t="s">
        <v>19</v>
      </c>
      <c r="C167" s="148" t="s">
        <v>856</v>
      </c>
      <c r="D167" s="149" t="str">
        <f t="shared" si="23"/>
        <v>2021.09月 Mano（水龙头） Amazon点击费*</v>
      </c>
      <c r="E167" s="149" t="str">
        <f ca="1">OFFSET(INDIRECT("L1"),MATCH($B167,$L:$L,0),)</f>
        <v>1221.100</v>
      </c>
      <c r="F167" s="149" t="str">
        <f ca="1">OFFSET(INDIRECT("M1"),MATCH($B167,$L:$L,0),)</f>
        <v>其他应收款 - 拓展部-水龙头</v>
      </c>
      <c r="G167" s="71"/>
      <c r="H167" s="150">
        <f t="shared" si="24"/>
        <v>54.86</v>
      </c>
    </row>
    <row r="168" ht="14.25" spans="1:8">
      <c r="A168" t="s">
        <v>140</v>
      </c>
      <c r="B168" s="154" t="s">
        <v>83</v>
      </c>
      <c r="C168" s="155" t="s">
        <v>857</v>
      </c>
      <c r="D168" s="156" t="str">
        <f t="shared" si="23"/>
        <v>2021.09月 Mano（陶瓷） Mano点击费*</v>
      </c>
      <c r="E168" s="149" t="str">
        <f ca="1">OFFSET(INDIRECT("L1"),MATCH($B168,$L:$L,0)+4,)</f>
        <v>6601.003.004.005</v>
      </c>
      <c r="F168" s="149" t="str">
        <f ca="1">OFFSET(INDIRECT("M1"),MATCH($B168,$L:$L,0)+4,)</f>
        <v>陶瓷事业部-ManoMano点击费</v>
      </c>
      <c r="G168" s="157"/>
      <c r="H168" s="151">
        <f>-INDEX($A$84:$L$94,MATCH($A168,$B$84:$B$94,0),MATCH($B168,$A$85:$L$85,0))</f>
        <v>-68.69</v>
      </c>
    </row>
    <row r="169" ht="14.25" spans="1:8">
      <c r="A169" t="s">
        <v>140</v>
      </c>
      <c r="B169" s="154" t="s">
        <v>83</v>
      </c>
      <c r="C169" s="155" t="s">
        <v>857</v>
      </c>
      <c r="D169" s="156" t="str">
        <f t="shared" si="23"/>
        <v>2021.09月 Mano（陶瓷） Mano点击费*</v>
      </c>
      <c r="E169" s="149" t="str">
        <f ca="1">OFFSET(INDIRECT("L1"),MATCH($B169,$L:$L,0),)</f>
        <v>1221.103</v>
      </c>
      <c r="F169" s="149" t="str">
        <f ca="1">OFFSET(INDIRECT("M1"),MATCH($B169,$L:$L,0),)</f>
        <v>拓展部-陶瓷部</v>
      </c>
      <c r="G169" s="158"/>
      <c r="H169" s="159">
        <f>-H168</f>
        <v>68.69</v>
      </c>
    </row>
    <row r="170" hidden="1" spans="1:8">
      <c r="A170" t="s">
        <v>140</v>
      </c>
      <c r="B170" s="154" t="s">
        <v>233</v>
      </c>
      <c r="C170" s="155" t="s">
        <v>857</v>
      </c>
      <c r="D170" s="156" t="str">
        <f t="shared" si="23"/>
        <v>2021.09月 Mano（防火底板） Mano点击费*</v>
      </c>
      <c r="E170" s="149" t="str">
        <f ca="1">OFFSET(INDIRECT("L1"),MATCH($B170,$L:$L,0)+4,)</f>
        <v>6601.003.004.006</v>
      </c>
      <c r="F170" s="149" t="str">
        <f ca="1">OFFSET(INDIRECT("M1"),MATCH($B170,$L:$L,0)+4,)</f>
        <v>防火底板事业部-ManoMano点击费</v>
      </c>
      <c r="G170" s="95"/>
      <c r="H170" s="151">
        <f>-INDEX($A$84:$L$94,MATCH($A170,$B$84:$B$94,0),MATCH($B170,$A$85:$L$85,0))</f>
        <v>0</v>
      </c>
    </row>
    <row r="171" ht="15.75" hidden="1" spans="1:8">
      <c r="A171" t="s">
        <v>140</v>
      </c>
      <c r="B171" s="154" t="s">
        <v>233</v>
      </c>
      <c r="C171" s="160" t="s">
        <v>857</v>
      </c>
      <c r="D171" s="161" t="str">
        <f t="shared" si="23"/>
        <v>2021.09月 Mano（防火底板） Mano点击费*</v>
      </c>
      <c r="E171" s="162" t="str">
        <f ca="1">OFFSET(INDIRECT("L1"),MATCH($B171,$L:$L,0),)</f>
        <v>1221.107</v>
      </c>
      <c r="F171" s="162" t="str">
        <f ca="1">OFFSET(INDIRECT("M1"),MATCH($B171,$L:$L,0),)</f>
        <v>拓展部-防火底板</v>
      </c>
      <c r="G171" s="98"/>
      <c r="H171" s="164">
        <f>-H170</f>
        <v>0</v>
      </c>
    </row>
  </sheetData>
  <mergeCells count="4">
    <mergeCell ref="A77:J77"/>
    <mergeCell ref="G84:H84"/>
    <mergeCell ref="A79:A81"/>
    <mergeCell ref="A86:A90"/>
  </mergeCells>
  <conditionalFormatting sqref="M105">
    <cfRule type="duplicateValues" dxfId="0" priority="2"/>
  </conditionalFormatting>
  <conditionalFormatting sqref="M113">
    <cfRule type="duplicateValues" dxfId="0" priority="3"/>
  </conditionalFormatting>
  <conditionalFormatting sqref="M121">
    <cfRule type="duplicateValues" dxfId="0" priority="1"/>
  </conditionalFormatting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P89"/>
  <sheetViews>
    <sheetView topLeftCell="A19" workbookViewId="0">
      <selection activeCell="H62" sqref="H62"/>
    </sheetView>
  </sheetViews>
  <sheetFormatPr defaultColWidth="9" defaultRowHeight="13.5"/>
  <cols>
    <col min="1" max="1" width="11.625" customWidth="1"/>
    <col min="2" max="2" width="17.125" customWidth="1"/>
    <col min="3" max="3" width="15.125" style="2" customWidth="1"/>
    <col min="4" max="4" width="12.5" style="35" customWidth="1"/>
    <col min="5" max="5" width="12" customWidth="1"/>
    <col min="6" max="6" width="40.875" customWidth="1"/>
    <col min="7" max="7" width="23.75" customWidth="1"/>
    <col min="8" max="8" width="31.125" customWidth="1"/>
    <col min="9" max="9" width="11.5" customWidth="1"/>
    <col min="10" max="10" width="12.625"/>
    <col min="11" max="11" width="16.625" customWidth="1"/>
    <col min="12" max="12" width="11.625" customWidth="1"/>
    <col min="13" max="13" width="10.375" customWidth="1"/>
    <col min="15" max="15" width="18.25" customWidth="1"/>
  </cols>
  <sheetData>
    <row r="1" spans="11:12">
      <c r="K1" t="s">
        <v>32</v>
      </c>
      <c r="L1" t="s">
        <v>33</v>
      </c>
    </row>
    <row r="2" spans="6:12">
      <c r="F2" s="57"/>
      <c r="G2" s="57"/>
      <c r="K2" t="s">
        <v>267</v>
      </c>
      <c r="L2" t="s">
        <v>858</v>
      </c>
    </row>
    <row r="3" spans="6:12">
      <c r="F3" s="57"/>
      <c r="G3" s="57"/>
      <c r="K3" t="s">
        <v>288</v>
      </c>
      <c r="L3" t="s">
        <v>859</v>
      </c>
    </row>
    <row r="4" spans="6:12">
      <c r="F4" s="57"/>
      <c r="G4" s="57"/>
      <c r="K4" t="s">
        <v>860</v>
      </c>
      <c r="L4" t="s">
        <v>861</v>
      </c>
    </row>
    <row r="5" spans="6:12">
      <c r="F5" s="57"/>
      <c r="G5" s="57"/>
      <c r="K5" t="s">
        <v>862</v>
      </c>
      <c r="L5" t="s">
        <v>863</v>
      </c>
    </row>
    <row r="6" spans="6:12">
      <c r="F6" s="57"/>
      <c r="G6" s="57"/>
      <c r="K6" t="s">
        <v>864</v>
      </c>
      <c r="L6" t="s">
        <v>865</v>
      </c>
    </row>
    <row r="7" spans="6:12">
      <c r="F7" s="57"/>
      <c r="G7" s="57"/>
      <c r="K7" t="s">
        <v>866</v>
      </c>
      <c r="L7" t="s">
        <v>867</v>
      </c>
    </row>
    <row r="8" spans="6:12">
      <c r="F8" s="57"/>
      <c r="G8" s="57"/>
      <c r="K8" t="s">
        <v>868</v>
      </c>
      <c r="L8" t="s">
        <v>869</v>
      </c>
    </row>
    <row r="9" spans="6:12">
      <c r="F9" s="57"/>
      <c r="G9" s="57"/>
      <c r="K9" t="s">
        <v>870</v>
      </c>
      <c r="L9" t="s">
        <v>871</v>
      </c>
    </row>
    <row r="10" spans="6:12">
      <c r="F10" s="57"/>
      <c r="G10" s="57"/>
      <c r="K10" t="s">
        <v>872</v>
      </c>
      <c r="L10" t="s">
        <v>873</v>
      </c>
    </row>
    <row r="11" spans="6:12">
      <c r="F11" s="57"/>
      <c r="G11" s="57"/>
      <c r="K11" t="s">
        <v>874</v>
      </c>
      <c r="L11" t="s">
        <v>875</v>
      </c>
    </row>
    <row r="12" spans="6:7">
      <c r="F12" s="57"/>
      <c r="G12" s="57"/>
    </row>
    <row r="14" customFormat="1" ht="14.25" spans="1:10">
      <c r="A14" s="2" t="s">
        <v>876</v>
      </c>
      <c r="B14" s="24" t="s">
        <v>877</v>
      </c>
      <c r="C14" t="s">
        <v>878</v>
      </c>
      <c r="D14" s="2" t="str">
        <f>IF(E14&lt;&gt;"",E14&amp;"*1.2)","")</f>
        <v>18058.3*1.2)</v>
      </c>
      <c r="E14" s="58">
        <v>18058.3</v>
      </c>
      <c r="F14" s="59" t="str">
        <f>"计提 "&amp;A14&amp;B14&amp;" "&amp;C14&amp;D14</f>
        <v>计提 2021.8.16-9.15日Surfing ebay点击费18058.3*1.2)</v>
      </c>
      <c r="G14" s="52" t="str">
        <f>LOOKUP(0,0/SEARCH("*"&amp;$C14,$L$1:$L$12),K$1:K$12)</f>
        <v>6601.003.002.001</v>
      </c>
      <c r="H14" s="52" t="str">
        <f>LOOKUP(0,0/SEARCH("*"&amp;$C14,$L$1:$L$12),L$1:L$12)</f>
        <v>英国公司-ebay点击费</v>
      </c>
      <c r="I14" s="71">
        <f>ROUND(E14*1.2,2)</f>
        <v>21669.96</v>
      </c>
      <c r="J14" s="72"/>
    </row>
    <row r="15" customFormat="1" ht="14.25" spans="1:10">
      <c r="A15" s="2" t="s">
        <v>876</v>
      </c>
      <c r="B15" t="s">
        <v>877</v>
      </c>
      <c r="C15" t="s">
        <v>39</v>
      </c>
      <c r="D15" s="2"/>
      <c r="E15" s="35"/>
      <c r="F15" s="59" t="str">
        <f>"计提 "&amp;A15&amp;B15&amp;" "&amp;C15&amp;D15</f>
        <v>计提 2021.8.16-9.15日Surfing Ebay费</v>
      </c>
      <c r="G15" s="52" t="str">
        <f>INDEX(K$1:K$13,MATCH("*"&amp;$C15,$L$1:$L$13,0))</f>
        <v>6601.002.002.001</v>
      </c>
      <c r="H15" s="52" t="str">
        <f>INDEX(L$1:L$13,MATCH("*"&amp;$C15,$L$1:$L$13,0))</f>
        <v>英国公司-Ebay费</v>
      </c>
      <c r="I15" s="73">
        <f>J16-I14</f>
        <v>65485.69</v>
      </c>
      <c r="J15" s="72"/>
    </row>
    <row r="16" customFormat="1" ht="14.25" spans="1:10">
      <c r="A16" s="2" t="s">
        <v>876</v>
      </c>
      <c r="B16" t="s">
        <v>877</v>
      </c>
      <c r="C16" t="s">
        <v>39</v>
      </c>
      <c r="D16" s="2"/>
      <c r="E16" s="35"/>
      <c r="F16" s="59" t="str">
        <f t="shared" ref="F16:F24" si="0">"计提 "&amp;A16&amp;B16&amp;" "&amp;C16&amp;D16</f>
        <v>计提 2021.8.16-9.15日Surfing Ebay费</v>
      </c>
      <c r="G16" s="52" t="str">
        <f>LOOKUP(0,0/SEARCH("*"&amp;$B16,$L$1:$L$12),K$1:K$12)</f>
        <v>2202.001.02</v>
      </c>
      <c r="H16" s="52" t="str">
        <f>LOOKUP(0,0/SEARCH("*"&amp;$B16,$L$1:$L$12),L$1:L$12)</f>
        <v>应付Ebay费（Surfing）</v>
      </c>
      <c r="I16" s="55"/>
      <c r="J16" s="72">
        <v>87155.65</v>
      </c>
    </row>
    <row r="17" customFormat="1" ht="14.25" spans="1:10">
      <c r="A17" s="2" t="s">
        <v>876</v>
      </c>
      <c r="B17" s="60" t="s">
        <v>879</v>
      </c>
      <c r="C17" t="s">
        <v>878</v>
      </c>
      <c r="D17" s="2">
        <v>196.83</v>
      </c>
      <c r="E17" s="58">
        <v>196.83</v>
      </c>
      <c r="F17" s="59" t="str">
        <f t="shared" si="0"/>
        <v>计提 2021.8.16-9.15日SuperShower ebay点击费196.83</v>
      </c>
      <c r="G17" s="52" t="str">
        <f>LOOKUP(0,0/SEARCH("*"&amp;$C17,$L$1:$L$12),K$1:K$12)</f>
        <v>6601.003.002.001</v>
      </c>
      <c r="H17" s="52" t="str">
        <f>LOOKUP(0,0/SEARCH("*"&amp;$C17,$L$1:$L$12),L$1:L$12)</f>
        <v>英国公司-ebay点击费</v>
      </c>
      <c r="I17" s="71">
        <f>E17</f>
        <v>196.83</v>
      </c>
      <c r="J17" s="72"/>
    </row>
    <row r="18" customFormat="1" ht="14.25" spans="1:10">
      <c r="A18" s="2" t="s">
        <v>876</v>
      </c>
      <c r="B18" t="s">
        <v>879</v>
      </c>
      <c r="C18" t="s">
        <v>39</v>
      </c>
      <c r="D18" s="2"/>
      <c r="E18" s="35"/>
      <c r="F18" s="59" t="str">
        <f t="shared" si="0"/>
        <v>计提 2021.8.16-9.15日SuperShower Ebay费</v>
      </c>
      <c r="G18" s="52" t="str">
        <f>INDEX(K$1:K$13,MATCH("*"&amp;$C18,$L$1:$L$13,0))</f>
        <v>6601.002.002.001</v>
      </c>
      <c r="H18" s="52" t="str">
        <f>INDEX(L$1:L$13,MATCH("*"&amp;$C18,$L$1:$L$13,0))</f>
        <v>英国公司-Ebay费</v>
      </c>
      <c r="I18" s="73">
        <f>J20-I17-I19</f>
        <v>1150.65</v>
      </c>
      <c r="J18" s="72"/>
    </row>
    <row r="19" customFormat="1" ht="14.25" spans="1:10">
      <c r="A19" s="2" t="s">
        <v>876</v>
      </c>
      <c r="B19" t="s">
        <v>879</v>
      </c>
      <c r="C19" t="s">
        <v>39</v>
      </c>
      <c r="D19" s="2"/>
      <c r="E19" s="35"/>
      <c r="F19" s="59" t="str">
        <f t="shared" si="0"/>
        <v>计提 2021.8.16-9.15日SuperShower Ebay费</v>
      </c>
      <c r="G19" s="52" t="str">
        <f>$K$1</f>
        <v>2221</v>
      </c>
      <c r="H19" s="52" t="str">
        <f>$L$1</f>
        <v>应交税费</v>
      </c>
      <c r="I19" s="55">
        <v>269.51</v>
      </c>
      <c r="J19" s="72"/>
    </row>
    <row r="20" customFormat="1" ht="15" spans="1:10">
      <c r="A20" s="2" t="s">
        <v>876</v>
      </c>
      <c r="B20" t="s">
        <v>879</v>
      </c>
      <c r="C20" t="s">
        <v>39</v>
      </c>
      <c r="D20" s="2"/>
      <c r="E20" s="35"/>
      <c r="F20" s="61" t="str">
        <f t="shared" si="0"/>
        <v>计提 2021.8.16-9.15日SuperShower Ebay费</v>
      </c>
      <c r="G20" s="62" t="str">
        <f>LOOKUP(0,0/SEARCH("*"&amp;$B20,$L$1:$L$12),K$1:K$12)</f>
        <v>2202.001.05</v>
      </c>
      <c r="H20" s="62" t="str">
        <f>LOOKUP(0,0/SEARCH("*"&amp;$B20,$L$1:$L$12),L$1:L$12)</f>
        <v>应付Ebay费（SuperShower）</v>
      </c>
      <c r="I20" s="70"/>
      <c r="J20" s="74">
        <v>1616.99</v>
      </c>
    </row>
    <row r="21" customFormat="1" ht="14.25" spans="1:10">
      <c r="A21" s="2" t="s">
        <v>876</v>
      </c>
      <c r="B21" s="60" t="s">
        <v>880</v>
      </c>
      <c r="C21" t="s">
        <v>878</v>
      </c>
      <c r="D21" s="2">
        <f>E21</f>
        <v>56.19</v>
      </c>
      <c r="E21" s="58">
        <v>56.19</v>
      </c>
      <c r="F21" s="59" t="str">
        <f t="shared" si="0"/>
        <v>计提 2021.8.16-9.15日OnlineBath ebay点击费56.19</v>
      </c>
      <c r="G21" s="52" t="str">
        <f>LOOKUP(0,0/SEARCH("*"&amp;$C21,$L$1:$L$12),K$1:K$12)</f>
        <v>6601.003.002.001</v>
      </c>
      <c r="H21" s="52" t="str">
        <f>LOOKUP(0,0/SEARCH("*"&amp;$C21,$L$1:$L$12),L$1:L$12)</f>
        <v>英国公司-ebay点击费</v>
      </c>
      <c r="I21" s="71">
        <f>E21</f>
        <v>56.19</v>
      </c>
      <c r="J21" s="72"/>
    </row>
    <row r="22" customFormat="1" ht="14.25" spans="1:10">
      <c r="A22" s="2" t="s">
        <v>876</v>
      </c>
      <c r="B22" t="s">
        <v>880</v>
      </c>
      <c r="C22" t="s">
        <v>39</v>
      </c>
      <c r="D22" s="2"/>
      <c r="E22" s="35"/>
      <c r="F22" s="59" t="str">
        <f t="shared" si="0"/>
        <v>计提 2021.8.16-9.15日OnlineBath Ebay费</v>
      </c>
      <c r="G22" s="52" t="str">
        <f>INDEX(K$1:K$13,MATCH("*"&amp;$C22,$L$1:$L$13,0))</f>
        <v>6601.002.002.001</v>
      </c>
      <c r="H22" s="52" t="str">
        <f>INDEX(L$1:L$13,MATCH("*"&amp;$C22,$L$1:$L$13,0))</f>
        <v>英国公司-Ebay费</v>
      </c>
      <c r="I22" s="73">
        <f>J24-I21-I23</f>
        <v>163.06</v>
      </c>
      <c r="J22" s="72"/>
    </row>
    <row r="23" customFormat="1" ht="14.25" spans="1:10">
      <c r="A23" s="2" t="s">
        <v>876</v>
      </c>
      <c r="B23" t="s">
        <v>880</v>
      </c>
      <c r="C23" t="s">
        <v>39</v>
      </c>
      <c r="D23" s="2"/>
      <c r="E23" s="35"/>
      <c r="F23" s="59" t="str">
        <f t="shared" si="0"/>
        <v>计提 2021.8.16-9.15日OnlineBath Ebay费</v>
      </c>
      <c r="G23" s="52" t="str">
        <f>$K$1</f>
        <v>2221</v>
      </c>
      <c r="H23" s="52" t="str">
        <f>$L$1</f>
        <v>应交税费</v>
      </c>
      <c r="I23" s="55">
        <v>43.98</v>
      </c>
      <c r="J23" s="72"/>
    </row>
    <row r="24" customFormat="1" ht="15" spans="1:10">
      <c r="A24" s="2" t="s">
        <v>876</v>
      </c>
      <c r="B24" t="s">
        <v>880</v>
      </c>
      <c r="C24" t="s">
        <v>39</v>
      </c>
      <c r="D24" s="2"/>
      <c r="E24" s="35"/>
      <c r="F24" s="61" t="str">
        <f t="shared" si="0"/>
        <v>计提 2021.8.16-9.15日OnlineBath Ebay费</v>
      </c>
      <c r="G24" s="62" t="str">
        <f>LOOKUP(0,0/SEARCH("*"&amp;$B24,$L$1:$L$12),K$1:K$12)</f>
        <v>2202.001.07</v>
      </c>
      <c r="H24" s="62" t="str">
        <f>LOOKUP(0,0/SEARCH("*"&amp;$B24,$L$1:$L$12),L$1:L$12)</f>
        <v>应付Ebay费（OnlineBath）</v>
      </c>
      <c r="I24" s="70"/>
      <c r="J24" s="74">
        <v>263.23</v>
      </c>
    </row>
    <row r="25" customFormat="1" ht="14.25" spans="1:10">
      <c r="A25" s="643" t="s">
        <v>387</v>
      </c>
      <c r="B25" t="s">
        <v>881</v>
      </c>
      <c r="C25" t="s">
        <v>878</v>
      </c>
      <c r="D25" s="2">
        <f>E25</f>
        <v>6065.79</v>
      </c>
      <c r="E25" s="58">
        <v>6065.79</v>
      </c>
      <c r="F25" s="59" t="str">
        <f t="shared" ref="F25:F39" si="1">"计提 "&amp;A25&amp;B25&amp;" "&amp;C25&amp;D25</f>
        <v>计提 2021.09月 OnlineShowers ebay点击费6065.79</v>
      </c>
      <c r="G25" s="52" t="str">
        <f>LOOKUP(0,0/SEARCH("*"&amp;$C25,$L$1:$L$12),K$1:K$12)</f>
        <v>6601.003.002.001</v>
      </c>
      <c r="H25" s="52" t="str">
        <f>LOOKUP(0,0/SEARCH("*"&amp;$C25,$L$1:$L$12),L$1:L$12)</f>
        <v>英国公司-ebay点击费</v>
      </c>
      <c r="I25" s="71">
        <f>E25</f>
        <v>6065.79</v>
      </c>
      <c r="J25" s="72"/>
    </row>
    <row r="26" customFormat="1" ht="14.25" spans="1:10">
      <c r="A26" s="643" t="s">
        <v>387</v>
      </c>
      <c r="B26" t="s">
        <v>881</v>
      </c>
      <c r="C26" t="s">
        <v>39</v>
      </c>
      <c r="D26" s="2"/>
      <c r="E26" s="35"/>
      <c r="F26" s="59" t="str">
        <f t="shared" si="1"/>
        <v>计提 2021.09月 OnlineShowers Ebay费</v>
      </c>
      <c r="G26" s="52" t="str">
        <f>INDEX(K$1:K$13,MATCH("*"&amp;$C26,$L$1:$L$13,0))</f>
        <v>6601.002.002.001</v>
      </c>
      <c r="H26" s="52" t="str">
        <f>INDEX(L$1:L$13,MATCH("*"&amp;$C26,$L$1:$L$13,0))</f>
        <v>英国公司-Ebay费</v>
      </c>
      <c r="I26" s="73">
        <f>J28-I25-I27</f>
        <v>26653.1</v>
      </c>
      <c r="J26" s="72"/>
    </row>
    <row r="27" customFormat="1" ht="14.25" spans="1:10">
      <c r="A27" s="643" t="s">
        <v>387</v>
      </c>
      <c r="B27" t="s">
        <v>881</v>
      </c>
      <c r="C27" t="s">
        <v>39</v>
      </c>
      <c r="D27" s="2"/>
      <c r="E27" s="35"/>
      <c r="F27" s="59" t="str">
        <f t="shared" si="1"/>
        <v>计提 2021.09月 OnlineShowers Ebay费</v>
      </c>
      <c r="G27" s="52" t="str">
        <f>$K$1</f>
        <v>2221</v>
      </c>
      <c r="H27" s="52" t="str">
        <f>$L$1</f>
        <v>应交税费</v>
      </c>
      <c r="I27" s="55">
        <v>6528.78</v>
      </c>
      <c r="J27" s="72"/>
    </row>
    <row r="28" customFormat="1" ht="15" spans="1:10">
      <c r="A28" s="643" t="s">
        <v>387</v>
      </c>
      <c r="B28" t="s">
        <v>881</v>
      </c>
      <c r="C28" t="s">
        <v>39</v>
      </c>
      <c r="D28" s="2"/>
      <c r="E28" s="35"/>
      <c r="F28" s="61" t="str">
        <f t="shared" si="1"/>
        <v>计提 2021.09月 OnlineShowers Ebay费</v>
      </c>
      <c r="G28" s="62" t="str">
        <f>LOOKUP(0,0/SEARCH("*"&amp;$B28,$L$1:$L$12),K$1:K$12)</f>
        <v>2202.001.03</v>
      </c>
      <c r="H28" s="62" t="str">
        <f>LOOKUP(0,0/SEARCH("*"&amp;$B28,$L$1:$L$12),L$1:L$12)</f>
        <v>应付Ebay费（onlineshowers）</v>
      </c>
      <c r="I28" s="70"/>
      <c r="J28" s="74">
        <v>39247.67</v>
      </c>
    </row>
    <row r="29" customFormat="1" ht="14.25" spans="1:10">
      <c r="A29" s="643" t="s">
        <v>387</v>
      </c>
      <c r="B29" t="s">
        <v>882</v>
      </c>
      <c r="C29" t="s">
        <v>878</v>
      </c>
      <c r="D29" s="2">
        <f>E29</f>
        <v>9128.54</v>
      </c>
      <c r="E29" s="58">
        <v>9128.54</v>
      </c>
      <c r="F29" s="59" t="str">
        <f t="shared" si="1"/>
        <v>计提 2021.09月 Showerenclosure ebay点击费9128.54</v>
      </c>
      <c r="G29" s="52" t="str">
        <f>LOOKUP(0,0/SEARCH("*"&amp;$C29,$L$1:$L$12),K$1:K$12)</f>
        <v>6601.003.002.001</v>
      </c>
      <c r="H29" s="52" t="str">
        <f>LOOKUP(0,0/SEARCH("*"&amp;$C29,$L$1:$L$12),L$1:L$12)</f>
        <v>英国公司-ebay点击费</v>
      </c>
      <c r="I29" s="71">
        <f>E29</f>
        <v>9128.54</v>
      </c>
      <c r="J29" s="72"/>
    </row>
    <row r="30" customFormat="1" ht="14.25" spans="1:10">
      <c r="A30" s="643" t="s">
        <v>387</v>
      </c>
      <c r="B30" t="s">
        <v>882</v>
      </c>
      <c r="C30" t="s">
        <v>39</v>
      </c>
      <c r="D30" s="2"/>
      <c r="E30" s="35"/>
      <c r="F30" s="59" t="str">
        <f t="shared" si="1"/>
        <v>计提 2021.09月 Showerenclosure Ebay费</v>
      </c>
      <c r="G30" s="52" t="str">
        <f>INDEX(K$1:K$13,MATCH("*"&amp;$C30,$L$1:$L$13,0))</f>
        <v>6601.002.002.001</v>
      </c>
      <c r="H30" s="52" t="str">
        <f>INDEX(L$1:L$13,MATCH("*"&amp;$C30,$L$1:$L$13,0))</f>
        <v>英国公司-Ebay费</v>
      </c>
      <c r="I30" s="73">
        <f>J32-I29-I31</f>
        <v>21340.24</v>
      </c>
      <c r="J30" s="72"/>
    </row>
    <row r="31" customFormat="1" ht="14.25" spans="1:10">
      <c r="A31" s="643" t="s">
        <v>387</v>
      </c>
      <c r="B31" t="s">
        <v>882</v>
      </c>
      <c r="C31" t="s">
        <v>39</v>
      </c>
      <c r="D31" s="2"/>
      <c r="E31" s="35"/>
      <c r="F31" s="59" t="str">
        <f t="shared" si="1"/>
        <v>计提 2021.09月 Showerenclosure Ebay费</v>
      </c>
      <c r="G31" s="52" t="str">
        <f>$K$1</f>
        <v>2221</v>
      </c>
      <c r="H31" s="52" t="str">
        <f>$L$1</f>
        <v>应交税费</v>
      </c>
      <c r="I31" s="55">
        <v>6085.47</v>
      </c>
      <c r="J31" s="72"/>
    </row>
    <row r="32" customFormat="1" ht="15" spans="1:10">
      <c r="A32" s="643" t="s">
        <v>387</v>
      </c>
      <c r="B32" t="s">
        <v>882</v>
      </c>
      <c r="C32" t="s">
        <v>39</v>
      </c>
      <c r="D32" s="2"/>
      <c r="E32" s="35"/>
      <c r="F32" s="61" t="str">
        <f t="shared" si="1"/>
        <v>计提 2021.09月 Showerenclosure Ebay费</v>
      </c>
      <c r="G32" s="52" t="str">
        <f>LOOKUP(0,0/SEARCH("*"&amp;$B32,$L$1:$L$12),K$1:K$12)</f>
        <v>2202.001.04</v>
      </c>
      <c r="H32" s="52" t="str">
        <f>LOOKUP(0,0/SEARCH("*"&amp;$B32,$L$1:$L$12),L$1:L$12)</f>
        <v>应付Ebay费（Showerenclosure）</v>
      </c>
      <c r="I32" s="55"/>
      <c r="J32" s="72">
        <v>36554.25</v>
      </c>
    </row>
    <row r="33" customFormat="1" ht="14.25" spans="1:10">
      <c r="A33" s="643" t="s">
        <v>387</v>
      </c>
      <c r="B33" s="24" t="s">
        <v>883</v>
      </c>
      <c r="C33" t="s">
        <v>878</v>
      </c>
      <c r="D33" s="2" t="str">
        <f>IF(E33&lt;&gt;"",E33&amp;"*1.2)","")</f>
        <v>8509.62*1.2)</v>
      </c>
      <c r="E33" s="58">
        <v>8509.62</v>
      </c>
      <c r="F33" s="59" t="str">
        <f t="shared" si="1"/>
        <v>计提 2021.09月 Simple ebay点击费8509.62*1.2)</v>
      </c>
      <c r="G33" s="52" t="str">
        <f>LOOKUP(0,0/SEARCH("*"&amp;$C33,$L$1:$L$12),K$1:K$12)</f>
        <v>6601.003.002.001</v>
      </c>
      <c r="H33" s="52" t="str">
        <f>LOOKUP(0,0/SEARCH("*"&amp;$C33,$L$1:$L$12),L$1:L$12)</f>
        <v>英国公司-ebay点击费</v>
      </c>
      <c r="I33" s="71">
        <f>ROUND(E33*1.2,2)</f>
        <v>10211.54</v>
      </c>
      <c r="J33" s="72"/>
    </row>
    <row r="34" customFormat="1" ht="14.25" spans="1:10">
      <c r="A34" s="643" t="s">
        <v>387</v>
      </c>
      <c r="B34" t="s">
        <v>883</v>
      </c>
      <c r="C34" t="s">
        <v>39</v>
      </c>
      <c r="D34" s="2"/>
      <c r="E34" s="35"/>
      <c r="F34" s="59" t="str">
        <f t="shared" si="1"/>
        <v>计提 2021.09月 Simple Ebay费</v>
      </c>
      <c r="G34" s="52" t="str">
        <f>INDEX(K$1:K$13,MATCH("*"&amp;$C34,$L$1:$L$13,0))</f>
        <v>6601.002.002.001</v>
      </c>
      <c r="H34" s="52" t="str">
        <f>INDEX(L$1:L$13,MATCH("*"&amp;$C34,$L$1:$L$13,0))</f>
        <v>英国公司-Ebay费</v>
      </c>
      <c r="I34" s="73">
        <f>J35-I33</f>
        <v>36068.5</v>
      </c>
      <c r="J34" s="72"/>
    </row>
    <row r="35" customFormat="1" ht="14.25" spans="1:10">
      <c r="A35" s="643" t="s">
        <v>387</v>
      </c>
      <c r="B35" t="s">
        <v>883</v>
      </c>
      <c r="C35" t="s">
        <v>39</v>
      </c>
      <c r="D35" s="2"/>
      <c r="E35" s="35"/>
      <c r="F35" s="59" t="str">
        <f t="shared" si="1"/>
        <v>计提 2021.09月 Simple Ebay费</v>
      </c>
      <c r="G35" s="52" t="str">
        <f>LOOKUP(0,0/SEARCH("*"&amp;$B35,$L$1:$L$12),K$1:K$12)</f>
        <v>2202.001.01</v>
      </c>
      <c r="H35" s="52" t="str">
        <f>LOOKUP(0,0/SEARCH("*"&amp;$B35,$L$1:$L$12),L$1:L$12)</f>
        <v>应付Ebay费（Simple）</v>
      </c>
      <c r="I35" s="55"/>
      <c r="J35" s="72">
        <v>46280.04</v>
      </c>
    </row>
    <row r="36" customFormat="1" ht="14.25" hidden="1" spans="1:10">
      <c r="A36" s="643" t="s">
        <v>387</v>
      </c>
      <c r="B36" s="24" t="s">
        <v>884</v>
      </c>
      <c r="C36" t="s">
        <v>878</v>
      </c>
      <c r="D36" s="2">
        <f>E36</f>
        <v>0</v>
      </c>
      <c r="E36" s="58">
        <v>0</v>
      </c>
      <c r="F36" s="59" t="str">
        <f t="shared" si="1"/>
        <v>计提 2021.09月 sky ebay点击费0</v>
      </c>
      <c r="G36" s="52" t="str">
        <f>LOOKUP(0,0/SEARCH("*"&amp;$C36,$L$1:$L$12),K$1:K$12)</f>
        <v>6601.003.002.001</v>
      </c>
      <c r="H36" s="52" t="str">
        <f>LOOKUP(0,0/SEARCH("*"&amp;$C36,$L$1:$L$12),L$1:L$12)</f>
        <v>英国公司-ebay点击费</v>
      </c>
      <c r="I36" s="71">
        <f>E36</f>
        <v>0</v>
      </c>
      <c r="J36" s="72"/>
    </row>
    <row r="37" customFormat="1" ht="14.25" spans="1:10">
      <c r="A37" s="643" t="s">
        <v>387</v>
      </c>
      <c r="B37" s="24" t="s">
        <v>884</v>
      </c>
      <c r="C37" t="s">
        <v>39</v>
      </c>
      <c r="D37" s="2"/>
      <c r="E37" s="35"/>
      <c r="F37" s="59" t="str">
        <f t="shared" si="1"/>
        <v>计提 2021.09月 sky Ebay费</v>
      </c>
      <c r="G37" s="52" t="str">
        <f>INDEX(K$1:K$13,MATCH("*"&amp;$C37,$L$1:$L$13,0))</f>
        <v>6601.002.002.001</v>
      </c>
      <c r="H37" s="52" t="str">
        <f>INDEX(L$1:L$13,MATCH("*"&amp;$C37,$L$1:$L$13,0))</f>
        <v>英国公司-Ebay费</v>
      </c>
      <c r="I37" s="73">
        <f>J39-I36-I38</f>
        <v>5.97</v>
      </c>
      <c r="J37" s="72"/>
    </row>
    <row r="38" customFormat="1" ht="14.25" spans="1:10">
      <c r="A38" s="643" t="s">
        <v>387</v>
      </c>
      <c r="B38" s="24" t="s">
        <v>884</v>
      </c>
      <c r="C38" t="s">
        <v>39</v>
      </c>
      <c r="D38" s="2"/>
      <c r="E38" s="35"/>
      <c r="F38" s="59" t="str">
        <f t="shared" si="1"/>
        <v>计提 2021.09月 sky Ebay费</v>
      </c>
      <c r="G38" s="52" t="str">
        <f>$K$1</f>
        <v>2221</v>
      </c>
      <c r="H38" s="52" t="str">
        <f>$L$1</f>
        <v>应交税费</v>
      </c>
      <c r="I38" s="55">
        <v>1.19</v>
      </c>
      <c r="J38" s="72"/>
    </row>
    <row r="39" customFormat="1" ht="15" spans="1:10">
      <c r="A39" s="643" t="s">
        <v>387</v>
      </c>
      <c r="B39" s="24" t="s">
        <v>884</v>
      </c>
      <c r="C39" t="s">
        <v>39</v>
      </c>
      <c r="D39" s="2"/>
      <c r="E39" s="35"/>
      <c r="F39" s="61" t="str">
        <f t="shared" si="1"/>
        <v>计提 2021.09月 sky Ebay费</v>
      </c>
      <c r="G39" s="52" t="str">
        <f>LOOKUP(0,0/SEARCH("*"&amp;$B39,$L$1:$L$12),K$1:K$12)</f>
        <v>2202.001.08</v>
      </c>
      <c r="H39" s="52" t="str">
        <f>LOOKUP(0,0/SEARCH("*"&amp;$B39,$L$1:$L$12),L$1:L$12)</f>
        <v>应付Ebay费（Skybathroom Ebay）</v>
      </c>
      <c r="I39" s="55"/>
      <c r="J39" s="72">
        <v>7.16</v>
      </c>
    </row>
    <row r="40" ht="14.25" spans="3:10">
      <c r="C40"/>
      <c r="D40" s="2"/>
      <c r="E40" s="35"/>
      <c r="F40" s="63"/>
      <c r="G40" s="64"/>
      <c r="H40" s="64"/>
      <c r="I40" s="75"/>
      <c r="J40" s="75"/>
    </row>
    <row r="41" ht="14.25" spans="3:10">
      <c r="C41"/>
      <c r="D41" s="2"/>
      <c r="E41" s="35"/>
      <c r="F41" s="63"/>
      <c r="G41" s="64"/>
      <c r="H41" s="64"/>
      <c r="I41" s="75"/>
      <c r="J41" s="75"/>
    </row>
    <row r="42" ht="14.25" spans="3:10">
      <c r="C42"/>
      <c r="D42" s="2"/>
      <c r="E42" s="35"/>
      <c r="F42" s="63"/>
      <c r="G42" s="64"/>
      <c r="H42" s="64"/>
      <c r="I42" s="75"/>
      <c r="J42" s="75"/>
    </row>
    <row r="44" ht="18.75" spans="10:16">
      <c r="J44" s="76" t="s">
        <v>18</v>
      </c>
      <c r="K44" s="77" t="s">
        <v>885</v>
      </c>
      <c r="L44" s="77" t="s">
        <v>886</v>
      </c>
      <c r="M44" s="77" t="s">
        <v>887</v>
      </c>
      <c r="O44" s="78" t="s">
        <v>18</v>
      </c>
      <c r="P44" s="78"/>
    </row>
    <row r="45" ht="15" spans="10:16">
      <c r="J45" s="77" t="s">
        <v>888</v>
      </c>
      <c r="K45" s="79">
        <v>4430.82</v>
      </c>
      <c r="L45" s="80">
        <v>4391.66</v>
      </c>
      <c r="M45" s="80">
        <v>39.1599999999999</v>
      </c>
      <c r="O45" s="81" t="s">
        <v>59</v>
      </c>
      <c r="P45" s="81" t="s">
        <v>60</v>
      </c>
    </row>
    <row r="46" ht="14.25" spans="1:16">
      <c r="A46" s="643" t="s">
        <v>889</v>
      </c>
      <c r="B46" t="s">
        <v>18</v>
      </c>
      <c r="C46" s="2" t="s">
        <v>878</v>
      </c>
      <c r="D46" s="31">
        <f t="shared" ref="D46:D50" si="2">ROUND(M45,2)</f>
        <v>39.16</v>
      </c>
      <c r="E46" s="65" t="str">
        <f t="shared" ref="E46:E60" si="3">"调整"&amp;A46&amp;B46&amp;C46</f>
        <v>调整2021.08月 计提镜柜ebay点击费</v>
      </c>
      <c r="F46" s="66" t="str">
        <f>INDEX(O:O,MATCH($B46,$O:$O,0)+4)</f>
        <v>6601.003.002.003</v>
      </c>
      <c r="G46" s="66" t="str">
        <f>INDEX(P:P,MATCH($B46,$O:$O,0)+4)</f>
        <v>销售费用 - 销售平台引流费 - Ebay点击费 - 镜柜事业部-ebay点击费</v>
      </c>
      <c r="H46" s="67">
        <f t="shared" ref="H46:H50" si="4">-D46</f>
        <v>-39.16</v>
      </c>
      <c r="I46" s="82"/>
      <c r="J46" s="83" t="s">
        <v>212</v>
      </c>
      <c r="K46" s="80">
        <v>9882.22</v>
      </c>
      <c r="L46" s="80">
        <v>10035.57</v>
      </c>
      <c r="M46" s="80">
        <v>-153.349999999999</v>
      </c>
      <c r="O46" s="81" t="s">
        <v>61</v>
      </c>
      <c r="P46" s="81" t="s">
        <v>62</v>
      </c>
    </row>
    <row r="47" ht="14.25" spans="1:16">
      <c r="A47" s="643" t="s">
        <v>889</v>
      </c>
      <c r="B47" t="s">
        <v>18</v>
      </c>
      <c r="C47" s="2" t="s">
        <v>212</v>
      </c>
      <c r="D47" s="31">
        <f t="shared" si="2"/>
        <v>-153.35</v>
      </c>
      <c r="E47" s="68" t="str">
        <f t="shared" si="3"/>
        <v>调整2021.08月 计提镜柜ebay费</v>
      </c>
      <c r="F47" s="52" t="str">
        <f>INDEX(O:O,MATCH($B47,$O:$O,0)+2)</f>
        <v>6601.002.002.003</v>
      </c>
      <c r="G47" s="52" t="str">
        <f>INDEX(P:P,MATCH($B47,$O:$O,0)+2)</f>
        <v>销售费用 - 销售平台费用 - Ebay费用 - 镜柜事业部-Ebay费</v>
      </c>
      <c r="H47" s="55">
        <f t="shared" si="4"/>
        <v>153.35</v>
      </c>
      <c r="I47" s="72"/>
      <c r="J47" s="83" t="s">
        <v>12</v>
      </c>
      <c r="K47" s="77">
        <v>14313.04</v>
      </c>
      <c r="L47" s="77">
        <v>14427.23</v>
      </c>
      <c r="M47" s="77">
        <v>-114.189999999999</v>
      </c>
      <c r="O47" s="81" t="s">
        <v>63</v>
      </c>
      <c r="P47" s="81" t="s">
        <v>64</v>
      </c>
    </row>
    <row r="48" ht="14.25" spans="1:16">
      <c r="A48" s="643" t="s">
        <v>889</v>
      </c>
      <c r="B48" t="s">
        <v>18</v>
      </c>
      <c r="C48" s="2" t="s">
        <v>890</v>
      </c>
      <c r="D48" s="35">
        <f>D46+D47</f>
        <v>-114.19</v>
      </c>
      <c r="E48" s="68" t="str">
        <f t="shared" si="3"/>
        <v>调整2021.08月 计提镜柜ebay费+点击费</v>
      </c>
      <c r="F48" s="52" t="str">
        <f>INDEX(O:O,MATCH($B48,$O:$O,0)+1)</f>
        <v>1221.86</v>
      </c>
      <c r="G48" s="52" t="str">
        <f>INDEX(P:P,MATCH($B48,$O:$O,0)+1)</f>
        <v>其他应收款 - 事业部</v>
      </c>
      <c r="H48" s="55" t="str">
        <f>IF(D48&gt;0,D48,"")</f>
        <v/>
      </c>
      <c r="I48" s="72">
        <f>IF(D48&lt;0,-D48,"")</f>
        <v>114.19</v>
      </c>
      <c r="J48" s="84" t="s">
        <v>20</v>
      </c>
      <c r="K48" s="85" t="s">
        <v>885</v>
      </c>
      <c r="L48" s="77" t="s">
        <v>886</v>
      </c>
      <c r="M48" s="77" t="s">
        <v>887</v>
      </c>
      <c r="O48" s="86" t="s">
        <v>115</v>
      </c>
      <c r="P48" s="86" t="s">
        <v>116</v>
      </c>
    </row>
    <row r="49" ht="18.75" spans="1:16">
      <c r="A49" s="643" t="s">
        <v>889</v>
      </c>
      <c r="B49" t="s">
        <v>20</v>
      </c>
      <c r="C49" s="2" t="s">
        <v>878</v>
      </c>
      <c r="D49" s="31">
        <f t="shared" ref="D49:D53" si="5">ROUND(M49,2)</f>
        <v>80.11</v>
      </c>
      <c r="E49" s="59" t="str">
        <f t="shared" si="3"/>
        <v>调整2021.08月 计提五金ebay点击费</v>
      </c>
      <c r="F49" s="52" t="str">
        <f>INDEX(O:O,MATCH($B49,$O:$O,0)+4)</f>
        <v>6601.003.002.002</v>
      </c>
      <c r="G49" s="52" t="str">
        <f>INDEX(P:P,MATCH($B49,$O:$O,0)+4)</f>
        <v>销售费用 - 销售平台引流费 - Ebay点击费 - 五金事业部-ebay点击费</v>
      </c>
      <c r="H49" s="55">
        <f t="shared" ref="H49:H53" si="6">-D49</f>
        <v>-80.11</v>
      </c>
      <c r="I49" s="72"/>
      <c r="J49" s="83" t="s">
        <v>888</v>
      </c>
      <c r="K49" s="79">
        <v>14485.58</v>
      </c>
      <c r="L49" s="80">
        <v>14405.47</v>
      </c>
      <c r="M49" s="80">
        <v>80.1100000000006</v>
      </c>
      <c r="O49" s="78" t="s">
        <v>20</v>
      </c>
      <c r="P49" s="78"/>
    </row>
    <row r="50" ht="14.25" spans="1:16">
      <c r="A50" s="643" t="s">
        <v>889</v>
      </c>
      <c r="B50" t="s">
        <v>20</v>
      </c>
      <c r="C50" s="2" t="s">
        <v>212</v>
      </c>
      <c r="D50" s="31">
        <f t="shared" si="5"/>
        <v>-86.52</v>
      </c>
      <c r="E50" s="68" t="str">
        <f t="shared" si="3"/>
        <v>调整2021.08月 计提五金ebay费</v>
      </c>
      <c r="F50" s="52" t="str">
        <f>INDEX(O:O,MATCH($B50,$O:$O,0)+2)</f>
        <v>6601.002.002.002</v>
      </c>
      <c r="G50" s="52" t="str">
        <f>INDEX(P:P,MATCH($B50,$O:$O,0)+2)</f>
        <v>销售费用 - 销售平台费用 - Ebay费用 - 五金事业部-Ebay费</v>
      </c>
      <c r="H50" s="55">
        <f t="shared" si="6"/>
        <v>86.52</v>
      </c>
      <c r="I50" s="72"/>
      <c r="J50" s="83" t="s">
        <v>212</v>
      </c>
      <c r="K50" s="80">
        <v>50758.1516666667</v>
      </c>
      <c r="L50" s="80">
        <v>50844.67</v>
      </c>
      <c r="M50" s="80">
        <v>-86.5183333333262</v>
      </c>
      <c r="O50" s="81" t="s">
        <v>65</v>
      </c>
      <c r="P50" s="81" t="s">
        <v>66</v>
      </c>
    </row>
    <row r="51" ht="14.25" spans="1:16">
      <c r="A51" s="643" t="s">
        <v>889</v>
      </c>
      <c r="B51" t="s">
        <v>20</v>
      </c>
      <c r="C51" s="2" t="s">
        <v>890</v>
      </c>
      <c r="D51" s="35">
        <f>D49+D50</f>
        <v>-6.41</v>
      </c>
      <c r="E51" s="68" t="str">
        <f t="shared" si="3"/>
        <v>调整2021.08月 计提五金ebay费+点击费</v>
      </c>
      <c r="F51" s="52" t="str">
        <f>INDEX(O:O,MATCH($B51,$O:$O,0)+1)</f>
        <v>1221.60</v>
      </c>
      <c r="G51" s="52" t="str">
        <f>INDEX(P:P,MATCH($B51,$O:$O,0)+1)</f>
        <v>其他应收款 - 拓展部五金部</v>
      </c>
      <c r="H51" s="55" t="str">
        <f>IF(D51&gt;0,D51,"")</f>
        <v/>
      </c>
      <c r="I51" s="72">
        <f>IF(D51&lt;0,-D51,"")</f>
        <v>6.41</v>
      </c>
      <c r="J51" s="83" t="s">
        <v>12</v>
      </c>
      <c r="K51" s="77">
        <v>65243.7316666667</v>
      </c>
      <c r="L51" s="77">
        <v>65250.14</v>
      </c>
      <c r="M51" s="77">
        <v>-6.40833333332557</v>
      </c>
      <c r="O51" s="81" t="s">
        <v>67</v>
      </c>
      <c r="P51" s="81" t="s">
        <v>68</v>
      </c>
    </row>
    <row r="52" ht="14.25" spans="1:16">
      <c r="A52" s="643" t="s">
        <v>889</v>
      </c>
      <c r="B52" t="s">
        <v>19</v>
      </c>
      <c r="C52" s="2" t="s">
        <v>878</v>
      </c>
      <c r="D52" s="31">
        <f t="shared" ref="D52:D56" si="7">ROUND(M53,2)</f>
        <v>141.27</v>
      </c>
      <c r="E52" s="59" t="str">
        <f t="shared" si="3"/>
        <v>调整2021.08月 计提水龙头ebay点击费</v>
      </c>
      <c r="F52" s="52" t="str">
        <f>INDEX(O:O,MATCH($B52,$O:$O,0)+4)</f>
        <v>6601.003.002.004</v>
      </c>
      <c r="G52" s="52" t="str">
        <f>INDEX(P:P,MATCH($B52,$O:$O,0)+4)</f>
        <v>销售费用 - 销售平台引流费 - Ebay点击费 - 水龙头事业部-ebay点击费</v>
      </c>
      <c r="H52" s="55">
        <f t="shared" si="6"/>
        <v>-141.27</v>
      </c>
      <c r="I52" s="72"/>
      <c r="J52" s="84" t="s">
        <v>19</v>
      </c>
      <c r="K52" s="85" t="s">
        <v>885</v>
      </c>
      <c r="L52" s="77" t="s">
        <v>886</v>
      </c>
      <c r="M52" s="77" t="s">
        <v>887</v>
      </c>
      <c r="O52" s="81" t="s">
        <v>69</v>
      </c>
      <c r="P52" s="81" t="s">
        <v>70</v>
      </c>
    </row>
    <row r="53" ht="14.25" spans="1:16">
      <c r="A53" s="643" t="s">
        <v>889</v>
      </c>
      <c r="B53" t="s">
        <v>19</v>
      </c>
      <c r="C53" s="2" t="s">
        <v>212</v>
      </c>
      <c r="D53" s="31">
        <f t="shared" si="7"/>
        <v>49.85</v>
      </c>
      <c r="E53" s="68" t="str">
        <f t="shared" si="3"/>
        <v>调整2021.08月 计提水龙头ebay费</v>
      </c>
      <c r="F53" s="52" t="str">
        <f>INDEX(O:O,MATCH($B53,$O:$O,0)+2)</f>
        <v>6601.002.002.004</v>
      </c>
      <c r="G53" s="52" t="str">
        <f>INDEX(P:P,MATCH($B53,$O:$O,0)+2)</f>
        <v>销售费用 - 销售平台费用 - Ebay费用 - 水龙头事业部-Ebay费</v>
      </c>
      <c r="H53" s="55">
        <f t="shared" si="6"/>
        <v>-49.85</v>
      </c>
      <c r="I53" s="72"/>
      <c r="J53" s="83" t="s">
        <v>888</v>
      </c>
      <c r="K53" s="79">
        <v>3852.19</v>
      </c>
      <c r="L53" s="80">
        <v>3710.92</v>
      </c>
      <c r="M53" s="80">
        <v>141.27</v>
      </c>
      <c r="O53" s="86" t="s">
        <v>117</v>
      </c>
      <c r="P53" s="86" t="s">
        <v>118</v>
      </c>
    </row>
    <row r="54" ht="18.75" spans="1:16">
      <c r="A54" s="643" t="s">
        <v>889</v>
      </c>
      <c r="B54" t="s">
        <v>19</v>
      </c>
      <c r="C54" s="2" t="s">
        <v>890</v>
      </c>
      <c r="D54" s="35">
        <f>D52+D53</f>
        <v>191.12</v>
      </c>
      <c r="E54" s="68" t="str">
        <f t="shared" si="3"/>
        <v>调整2021.08月 计提水龙头ebay费+点击费</v>
      </c>
      <c r="F54" s="52" t="str">
        <f>INDEX(O:O,MATCH($B54,$O:$O,0)+1)</f>
        <v>1221.100</v>
      </c>
      <c r="G54" s="52" t="str">
        <f>INDEX(P:P,MATCH($B54,$O:$O,0)+1)</f>
        <v>其他应收款 - 拓展部-水龙头</v>
      </c>
      <c r="H54" s="55">
        <f>IF(D54&gt;0,D54,"")</f>
        <v>191.12</v>
      </c>
      <c r="I54" s="72" t="str">
        <f>IF(D54&lt;0,-D54,"")</f>
        <v/>
      </c>
      <c r="J54" s="83" t="s">
        <v>212</v>
      </c>
      <c r="K54" s="80">
        <v>5615.23333333333</v>
      </c>
      <c r="L54" s="80">
        <v>5565.38</v>
      </c>
      <c r="M54" s="80">
        <v>49.8533333333335</v>
      </c>
      <c r="O54" s="78" t="s">
        <v>19</v>
      </c>
      <c r="P54" s="78"/>
    </row>
    <row r="55" ht="14.25" spans="1:16">
      <c r="A55" s="643" t="s">
        <v>889</v>
      </c>
      <c r="B55" t="s">
        <v>83</v>
      </c>
      <c r="C55" s="2" t="s">
        <v>878</v>
      </c>
      <c r="D55" s="31">
        <f t="shared" ref="D55:D59" si="8">ROUND(M57,2)</f>
        <v>13.46</v>
      </c>
      <c r="E55" s="59" t="str">
        <f t="shared" si="3"/>
        <v>调整2021.08月 计提陶瓷ebay点击费</v>
      </c>
      <c r="F55" s="52" t="str">
        <f>INDEX(O:O,MATCH($B55,$O:$O,0)+4)</f>
        <v>6601.003.002.005</v>
      </c>
      <c r="G55" s="52" t="str">
        <f>INDEX(P:P,MATCH($B55,$O:$O,0)+4)</f>
        <v>陶瓷部事业部-ebay点击费</v>
      </c>
      <c r="H55" s="55">
        <f t="shared" ref="H55:H59" si="9">-D55</f>
        <v>-13.46</v>
      </c>
      <c r="I55" s="72"/>
      <c r="J55" s="83" t="s">
        <v>12</v>
      </c>
      <c r="K55" s="77">
        <v>9467.42333333333</v>
      </c>
      <c r="L55" s="77">
        <v>9276.3</v>
      </c>
      <c r="M55" s="77">
        <v>191.123333333333</v>
      </c>
      <c r="O55" s="81" t="s">
        <v>71</v>
      </c>
      <c r="P55" s="81" t="s">
        <v>72</v>
      </c>
    </row>
    <row r="56" ht="14.25" spans="1:16">
      <c r="A56" s="643" t="s">
        <v>889</v>
      </c>
      <c r="B56" t="s">
        <v>83</v>
      </c>
      <c r="C56" s="2" t="s">
        <v>212</v>
      </c>
      <c r="D56" s="31">
        <f t="shared" si="8"/>
        <v>27.11</v>
      </c>
      <c r="E56" s="68" t="str">
        <f t="shared" si="3"/>
        <v>调整2021.08月 计提陶瓷ebay费</v>
      </c>
      <c r="F56" s="52" t="str">
        <f>INDEX(O:O,MATCH($B56,$O:$O,0)+2)</f>
        <v>6601.002.002.005</v>
      </c>
      <c r="G56" s="52" t="str">
        <f>INDEX(P:P,MATCH($B56,$O:$O,0)+2)</f>
        <v>陶瓷部事业部-Ebay费</v>
      </c>
      <c r="H56" s="55">
        <f t="shared" si="9"/>
        <v>-27.11</v>
      </c>
      <c r="I56" s="72"/>
      <c r="J56" s="84" t="s">
        <v>83</v>
      </c>
      <c r="K56" s="85" t="s">
        <v>885</v>
      </c>
      <c r="L56" s="77" t="s">
        <v>886</v>
      </c>
      <c r="M56" s="77" t="s">
        <v>887</v>
      </c>
      <c r="O56" s="81" t="s">
        <v>73</v>
      </c>
      <c r="P56" s="81" t="s">
        <v>74</v>
      </c>
    </row>
    <row r="57" ht="14.25" spans="1:16">
      <c r="A57" s="643" t="s">
        <v>889</v>
      </c>
      <c r="B57" t="s">
        <v>83</v>
      </c>
      <c r="C57" s="2" t="s">
        <v>890</v>
      </c>
      <c r="D57" s="35">
        <f>D55+D56</f>
        <v>40.57</v>
      </c>
      <c r="E57" s="68" t="str">
        <f t="shared" si="3"/>
        <v>调整2021.08月 计提陶瓷ebay费+点击费</v>
      </c>
      <c r="F57" s="52" t="str">
        <f>INDEX(O:O,MATCH($B57,$O:$O,0)+1)</f>
        <v>1221.103</v>
      </c>
      <c r="G57" s="52" t="str">
        <f>INDEX(P:P,MATCH($B57,$O:$O,0)+1)</f>
        <v>拓展部-陶瓷部</v>
      </c>
      <c r="H57" s="55">
        <f>IF(D57&gt;0,D57,"")</f>
        <v>40.57</v>
      </c>
      <c r="I57" s="72" t="str">
        <f>IF(D57&lt;0,-D57,"")</f>
        <v/>
      </c>
      <c r="J57" s="83" t="s">
        <v>888</v>
      </c>
      <c r="K57" s="79">
        <v>1296.2</v>
      </c>
      <c r="L57" s="80">
        <v>1282.74</v>
      </c>
      <c r="M57" s="80">
        <v>13.46</v>
      </c>
      <c r="O57" s="81" t="s">
        <v>75</v>
      </c>
      <c r="P57" s="81" t="s">
        <v>76</v>
      </c>
    </row>
    <row r="58" ht="14.25" spans="1:16">
      <c r="A58" s="643" t="s">
        <v>889</v>
      </c>
      <c r="B58" t="s">
        <v>233</v>
      </c>
      <c r="C58" s="2" t="s">
        <v>878</v>
      </c>
      <c r="D58" s="31">
        <f>ROUND(M61,2)</f>
        <v>0.02</v>
      </c>
      <c r="E58" s="59" t="str">
        <f t="shared" si="3"/>
        <v>调整2021.08月 计提防火底板ebay点击费</v>
      </c>
      <c r="F58" s="52" t="str">
        <f>INDEX(O:O,MATCH($B58,$O:$O,0)+4)</f>
        <v>6601.003.002.006</v>
      </c>
      <c r="G58" s="52" t="str">
        <f>INDEX(P:P,MATCH($B58,$O:$O,0)+4)</f>
        <v>防火底板事业部-ebay点击费</v>
      </c>
      <c r="H58" s="55">
        <f>-D58</f>
        <v>-0.02</v>
      </c>
      <c r="I58" s="72"/>
      <c r="J58" s="83" t="s">
        <v>212</v>
      </c>
      <c r="K58" s="80">
        <v>2687.49</v>
      </c>
      <c r="L58" s="80">
        <v>2660.38</v>
      </c>
      <c r="M58" s="80">
        <v>27.1100000000006</v>
      </c>
      <c r="O58" s="86" t="s">
        <v>119</v>
      </c>
      <c r="P58" s="86" t="s">
        <v>120</v>
      </c>
    </row>
    <row r="59" ht="18.75" spans="1:16">
      <c r="A59" s="643" t="s">
        <v>889</v>
      </c>
      <c r="B59" t="s">
        <v>233</v>
      </c>
      <c r="C59" s="2" t="s">
        <v>212</v>
      </c>
      <c r="D59" s="31">
        <f>ROUND(M62,2)</f>
        <v>80.08</v>
      </c>
      <c r="E59" s="68" t="str">
        <f t="shared" si="3"/>
        <v>调整2021.08月 计提防火底板ebay费</v>
      </c>
      <c r="F59" s="52" t="str">
        <f>INDEX(O:O,MATCH($B59,$O:$O,0)+2)</f>
        <v>6601.002.002.006</v>
      </c>
      <c r="G59" s="52" t="str">
        <f>INDEX(P:P,MATCH($B59,$O:$O,0)+2)</f>
        <v>防火底板事业部-Ebay费</v>
      </c>
      <c r="H59" s="55">
        <f>-D59</f>
        <v>-80.08</v>
      </c>
      <c r="I59" s="72"/>
      <c r="J59" s="83" t="s">
        <v>12</v>
      </c>
      <c r="K59" s="77">
        <v>3983.69</v>
      </c>
      <c r="L59" s="77">
        <v>3943.12</v>
      </c>
      <c r="M59" s="77">
        <v>40.5700000000006</v>
      </c>
      <c r="O59" s="78" t="s">
        <v>83</v>
      </c>
      <c r="P59" s="78"/>
    </row>
    <row r="60" ht="15" spans="1:16">
      <c r="A60" s="643" t="s">
        <v>889</v>
      </c>
      <c r="B60" t="s">
        <v>233</v>
      </c>
      <c r="C60" s="2" t="s">
        <v>890</v>
      </c>
      <c r="D60" s="35">
        <f>D58+D59</f>
        <v>80.1</v>
      </c>
      <c r="E60" s="69" t="str">
        <f t="shared" si="3"/>
        <v>调整2021.08月 计提防火底板ebay费+点击费</v>
      </c>
      <c r="F60" s="62" t="str">
        <f>INDEX(O:O,MATCH($B60,$O:$O,0)+1)</f>
        <v>1221.107</v>
      </c>
      <c r="G60" s="62" t="str">
        <f>INDEX(P:P,MATCH($B60,$O:$O,0)+1)</f>
        <v>拓展部-防火底板</v>
      </c>
      <c r="H60" s="70">
        <f>IF(D60&gt;0,D60,"")</f>
        <v>80.1</v>
      </c>
      <c r="I60" s="74" t="str">
        <f>IF(D60&lt;0,-D60,"")</f>
        <v/>
      </c>
      <c r="J60" s="84" t="s">
        <v>84</v>
      </c>
      <c r="K60" s="85" t="s">
        <v>885</v>
      </c>
      <c r="L60" s="77" t="s">
        <v>886</v>
      </c>
      <c r="M60" s="77" t="s">
        <v>887</v>
      </c>
      <c r="O60" s="87" t="s">
        <v>121</v>
      </c>
      <c r="P60" s="88" t="s">
        <v>122</v>
      </c>
    </row>
    <row r="61" ht="14.25" spans="8:16">
      <c r="H61" s="31"/>
      <c r="J61" s="83" t="s">
        <v>888</v>
      </c>
      <c r="K61" s="79">
        <v>448.58</v>
      </c>
      <c r="L61" s="80">
        <v>448.56</v>
      </c>
      <c r="M61" s="80">
        <v>0.0199999999999818</v>
      </c>
      <c r="O61" s="87" t="s">
        <v>123</v>
      </c>
      <c r="P61" s="88" t="s">
        <v>124</v>
      </c>
    </row>
    <row r="62" ht="14.25" spans="10:16">
      <c r="J62" s="83" t="s">
        <v>212</v>
      </c>
      <c r="K62" s="80">
        <v>587.903333333333</v>
      </c>
      <c r="L62" s="80">
        <v>507.82</v>
      </c>
      <c r="M62" s="80">
        <v>80.0833333333334</v>
      </c>
      <c r="O62" s="87" t="s">
        <v>125</v>
      </c>
      <c r="P62" s="88" t="s">
        <v>126</v>
      </c>
    </row>
    <row r="63" ht="14.25" spans="10:16">
      <c r="J63" s="83" t="s">
        <v>12</v>
      </c>
      <c r="K63" s="77">
        <v>1036.48333333333</v>
      </c>
      <c r="L63" s="77">
        <v>956.38</v>
      </c>
      <c r="M63" s="77">
        <v>80.1033333333334</v>
      </c>
      <c r="O63" s="87" t="s">
        <v>127</v>
      </c>
      <c r="P63" s="88" t="s">
        <v>128</v>
      </c>
    </row>
    <row r="64" customFormat="1" spans="3:4">
      <c r="C64" s="2"/>
      <c r="D64" s="35"/>
    </row>
    <row r="65" customFormat="1" ht="18.75" spans="3:16">
      <c r="C65" s="2"/>
      <c r="D65" s="35"/>
      <c r="O65" s="78" t="s">
        <v>233</v>
      </c>
      <c r="P65" s="78"/>
    </row>
    <row r="66" customFormat="1" spans="3:16">
      <c r="C66" s="2"/>
      <c r="O66" t="s">
        <v>129</v>
      </c>
      <c r="P66" t="s">
        <v>130</v>
      </c>
    </row>
    <row r="67" customFormat="1" spans="3:16">
      <c r="C67" s="2"/>
      <c r="O67" t="s">
        <v>131</v>
      </c>
      <c r="P67" t="s">
        <v>132</v>
      </c>
    </row>
    <row r="68" customFormat="1" spans="3:16">
      <c r="C68" s="2"/>
      <c r="O68" t="s">
        <v>133</v>
      </c>
      <c r="P68" t="s">
        <v>134</v>
      </c>
    </row>
    <row r="69" customFormat="1" spans="3:16">
      <c r="C69" s="2"/>
      <c r="O69" t="s">
        <v>135</v>
      </c>
      <c r="P69" t="s">
        <v>136</v>
      </c>
    </row>
    <row r="70" customFormat="1" spans="3:3">
      <c r="C70" s="2"/>
    </row>
    <row r="71" customFormat="1" spans="3:3">
      <c r="C71" s="2"/>
    </row>
    <row r="72" customFormat="1" spans="3:3">
      <c r="C72" s="2"/>
    </row>
    <row r="73" customFormat="1" spans="3:3">
      <c r="C73" s="2"/>
    </row>
    <row r="74" customFormat="1" spans="3:3">
      <c r="C74" s="2"/>
    </row>
    <row r="75" customFormat="1" spans="3:3">
      <c r="C75" s="2"/>
    </row>
    <row r="76" customFormat="1" spans="3:3">
      <c r="C76" s="2"/>
    </row>
    <row r="77" customFormat="1" spans="3:3">
      <c r="C77" s="2"/>
    </row>
    <row r="78" customFormat="1" spans="3:3">
      <c r="C78" s="2"/>
    </row>
    <row r="79" customFormat="1" spans="3:3">
      <c r="C79" s="2"/>
    </row>
    <row r="80" customFormat="1" spans="3:3">
      <c r="C80" s="2"/>
    </row>
    <row r="81" customFormat="1" spans="3:3">
      <c r="C81" s="2"/>
    </row>
    <row r="82" customFormat="1" spans="3:3">
      <c r="C82" s="2"/>
    </row>
    <row r="83" customFormat="1" spans="3:3">
      <c r="C83" s="2"/>
    </row>
    <row r="84" customFormat="1" spans="3:3">
      <c r="C84" s="2"/>
    </row>
    <row r="85" customFormat="1" spans="3:3">
      <c r="C85" s="2"/>
    </row>
    <row r="86" customFormat="1" spans="3:3">
      <c r="C86" s="2"/>
    </row>
    <row r="87" customFormat="1" spans="3:3">
      <c r="C87" s="2"/>
    </row>
    <row r="88" spans="4:4">
      <c r="D88"/>
    </row>
    <row r="89" spans="4:4">
      <c r="D89"/>
    </row>
  </sheetData>
  <conditionalFormatting sqref="P48">
    <cfRule type="duplicateValues" dxfId="0" priority="2"/>
  </conditionalFormatting>
  <conditionalFormatting sqref="P53">
    <cfRule type="duplicateValues" dxfId="0" priority="3"/>
  </conditionalFormatting>
  <conditionalFormatting sqref="P58">
    <cfRule type="duplicateValues" dxfId="0" priority="1"/>
  </conditionalFormatting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4"/>
  <sheetViews>
    <sheetView workbookViewId="0">
      <selection activeCell="F2" sqref="F2:G19"/>
    </sheetView>
  </sheetViews>
  <sheetFormatPr defaultColWidth="9" defaultRowHeight="14.25" outlineLevelCol="6"/>
  <cols>
    <col min="1" max="1" width="9.875" style="48" customWidth="1"/>
    <col min="2" max="2" width="26.5" style="48" customWidth="1"/>
    <col min="3" max="3" width="69.625" style="48" customWidth="1"/>
    <col min="4" max="4" width="17.375" style="48" customWidth="1"/>
    <col min="5" max="5" width="64.625" style="48" customWidth="1"/>
    <col min="6" max="7" width="11.5" style="48" customWidth="1"/>
    <col min="8" max="16384" width="9" style="48"/>
  </cols>
  <sheetData>
    <row r="2" spans="1:7">
      <c r="A2" s="48" t="s">
        <v>387</v>
      </c>
      <c r="B2" s="48" t="s">
        <v>891</v>
      </c>
      <c r="C2" s="52" t="str">
        <f t="shared" ref="C2:C9" si="0">A2&amp;B2</f>
        <v>2021.09月 Aica paypal 收款</v>
      </c>
      <c r="D2" s="53" t="s">
        <v>892</v>
      </c>
      <c r="E2" s="53" t="s">
        <v>893</v>
      </c>
      <c r="F2" s="54">
        <v>72612.33</v>
      </c>
      <c r="G2" s="55"/>
    </row>
    <row r="3" spans="1:7">
      <c r="A3" s="48" t="s">
        <v>387</v>
      </c>
      <c r="B3" s="48" t="s">
        <v>891</v>
      </c>
      <c r="C3" s="52" t="str">
        <f t="shared" si="0"/>
        <v>2021.09月 Aica paypal 收款</v>
      </c>
      <c r="D3" s="53" t="s">
        <v>206</v>
      </c>
      <c r="E3" s="53" t="s">
        <v>894</v>
      </c>
      <c r="F3" s="55"/>
      <c r="G3" s="55">
        <f>F2</f>
        <v>72612.33</v>
      </c>
    </row>
    <row r="4" spans="1:7">
      <c r="A4" s="48" t="s">
        <v>387</v>
      </c>
      <c r="B4" s="48" t="s">
        <v>895</v>
      </c>
      <c r="C4" s="52" t="str">
        <f t="shared" si="0"/>
        <v>2021.09月 Aica paypal 费用</v>
      </c>
      <c r="D4" s="53" t="s">
        <v>285</v>
      </c>
      <c r="E4" s="53" t="s">
        <v>286</v>
      </c>
      <c r="F4" s="54">
        <v>1453.51</v>
      </c>
      <c r="G4" s="55"/>
    </row>
    <row r="5" spans="1:7">
      <c r="A5" s="48" t="s">
        <v>387</v>
      </c>
      <c r="B5" s="48" t="s">
        <v>895</v>
      </c>
      <c r="C5" s="52" t="str">
        <f t="shared" si="0"/>
        <v>2021.09月 Aica paypal 费用</v>
      </c>
      <c r="D5" s="53" t="s">
        <v>892</v>
      </c>
      <c r="E5" s="53" t="s">
        <v>893</v>
      </c>
      <c r="F5" s="55"/>
      <c r="G5" s="55">
        <f>F4</f>
        <v>1453.51</v>
      </c>
    </row>
    <row r="6" spans="1:7">
      <c r="A6" s="48" t="s">
        <v>387</v>
      </c>
      <c r="B6" s="48" t="s">
        <v>896</v>
      </c>
      <c r="C6" s="52" t="str">
        <f t="shared" si="0"/>
        <v>2021.09月 Aica paypal 争议款</v>
      </c>
      <c r="D6" s="53" t="s">
        <v>210</v>
      </c>
      <c r="E6" s="53" t="s">
        <v>211</v>
      </c>
      <c r="F6" s="54">
        <v>145.79</v>
      </c>
      <c r="G6" s="55"/>
    </row>
    <row r="7" spans="1:7">
      <c r="A7" s="48" t="s">
        <v>387</v>
      </c>
      <c r="B7" s="48" t="s">
        <v>896</v>
      </c>
      <c r="C7" s="52" t="str">
        <f t="shared" si="0"/>
        <v>2021.09月 Aica paypal 争议款</v>
      </c>
      <c r="D7" s="53" t="s">
        <v>892</v>
      </c>
      <c r="E7" s="53" t="s">
        <v>893</v>
      </c>
      <c r="F7" s="55"/>
      <c r="G7" s="55">
        <f>F6</f>
        <v>145.79</v>
      </c>
    </row>
    <row r="8" spans="1:7">
      <c r="A8" s="48" t="s">
        <v>387</v>
      </c>
      <c r="B8" s="48" t="s">
        <v>897</v>
      </c>
      <c r="C8" s="52" t="str">
        <f t="shared" si="0"/>
        <v>2021.09月 Aica paypal 转账</v>
      </c>
      <c r="D8" s="53" t="s">
        <v>898</v>
      </c>
      <c r="E8" s="53" t="s">
        <v>899</v>
      </c>
      <c r="F8" s="54">
        <v>68000</v>
      </c>
      <c r="G8" s="55"/>
    </row>
    <row r="9" spans="1:7">
      <c r="A9" s="48" t="s">
        <v>387</v>
      </c>
      <c r="B9" s="48" t="s">
        <v>897</v>
      </c>
      <c r="C9" s="52" t="str">
        <f t="shared" si="0"/>
        <v>2021.09月 Aica paypal 转账</v>
      </c>
      <c r="D9" s="53" t="s">
        <v>892</v>
      </c>
      <c r="E9" s="53" t="s">
        <v>893</v>
      </c>
      <c r="F9" s="55"/>
      <c r="G9" s="55">
        <f>F8</f>
        <v>68000</v>
      </c>
    </row>
    <row r="10" spans="1:7">
      <c r="A10" s="48" t="s">
        <v>387</v>
      </c>
      <c r="B10" s="48" t="s">
        <v>900</v>
      </c>
      <c r="C10" s="52" t="str">
        <f t="shared" ref="C10:C19" si="1">A10&amp;B10</f>
        <v>2021.09月 Aica paypal 信用卡月费</v>
      </c>
      <c r="D10" s="53" t="s">
        <v>901</v>
      </c>
      <c r="E10" s="53" t="s">
        <v>902</v>
      </c>
      <c r="F10" s="55">
        <v>20</v>
      </c>
      <c r="G10" s="55"/>
    </row>
    <row r="11" spans="1:7">
      <c r="A11" s="48" t="s">
        <v>387</v>
      </c>
      <c r="B11" s="48" t="s">
        <v>900</v>
      </c>
      <c r="C11" s="52" t="str">
        <f t="shared" si="1"/>
        <v>2021.09月 Aica paypal 信用卡月费</v>
      </c>
      <c r="D11" s="53" t="s">
        <v>892</v>
      </c>
      <c r="E11" s="53" t="s">
        <v>893</v>
      </c>
      <c r="F11" s="55"/>
      <c r="G11" s="55">
        <v>20</v>
      </c>
    </row>
    <row r="12" ht="28.5" spans="1:7">
      <c r="A12" s="48" t="s">
        <v>387</v>
      </c>
      <c r="B12" s="48" t="s">
        <v>903</v>
      </c>
      <c r="C12" s="52" t="str">
        <f t="shared" si="1"/>
        <v>2021.09月 Aica paypal 1&amp;1网站费（22.87+8.4+21.6+32.44=85.31）</v>
      </c>
      <c r="D12" s="53" t="s">
        <v>719</v>
      </c>
      <c r="E12" s="56" t="s">
        <v>720</v>
      </c>
      <c r="F12" s="55">
        <f>ROUND(G14/1.2,2)</f>
        <v>71.09</v>
      </c>
      <c r="G12" s="55"/>
    </row>
    <row r="13" spans="1:7">
      <c r="A13" s="48" t="s">
        <v>387</v>
      </c>
      <c r="B13" s="48" t="str">
        <f>B12</f>
        <v>Aica paypal 1&amp;1网站费（22.87+8.4+21.6+32.44=85.31）</v>
      </c>
      <c r="C13" s="52" t="str">
        <f t="shared" si="1"/>
        <v>2021.09月 Aica paypal 1&amp;1网站费（22.87+8.4+21.6+32.44=85.31）</v>
      </c>
      <c r="D13" s="53" t="s">
        <v>32</v>
      </c>
      <c r="E13" s="53" t="s">
        <v>33</v>
      </c>
      <c r="F13" s="55">
        <f>G14-F12</f>
        <v>14.22</v>
      </c>
      <c r="G13" s="55"/>
    </row>
    <row r="14" spans="1:7">
      <c r="A14" s="48" t="s">
        <v>387</v>
      </c>
      <c r="B14" s="48" t="str">
        <f>B12</f>
        <v>Aica paypal 1&amp;1网站费（22.87+8.4+21.6+32.44=85.31）</v>
      </c>
      <c r="C14" s="52" t="str">
        <f t="shared" si="1"/>
        <v>2021.09月 Aica paypal 1&amp;1网站费（22.87+8.4+21.6+32.44=85.31）</v>
      </c>
      <c r="D14" s="53" t="s">
        <v>892</v>
      </c>
      <c r="E14" s="53" t="s">
        <v>893</v>
      </c>
      <c r="F14" s="55"/>
      <c r="G14" s="55">
        <f>22.87+8.4+21.6+32.44</f>
        <v>85.31</v>
      </c>
    </row>
    <row r="15" ht="28.5" hidden="1" spans="1:7">
      <c r="A15" s="48" t="s">
        <v>387</v>
      </c>
      <c r="B15" s="48" t="s">
        <v>904</v>
      </c>
      <c r="C15" s="52" t="str">
        <f t="shared" si="1"/>
        <v>2021.09月 Aica paypal 1&amp;1网站费（16.8）</v>
      </c>
      <c r="D15" s="53" t="s">
        <v>719</v>
      </c>
      <c r="E15" s="56" t="s">
        <v>720</v>
      </c>
      <c r="F15" s="55">
        <v>-14</v>
      </c>
      <c r="G15" s="55"/>
    </row>
    <row r="16" hidden="1" spans="1:7">
      <c r="A16" s="48" t="s">
        <v>387</v>
      </c>
      <c r="B16" s="48" t="s">
        <v>904</v>
      </c>
      <c r="C16" s="52" t="str">
        <f t="shared" si="1"/>
        <v>2021.09月 Aica paypal 1&amp;1网站费（16.8）</v>
      </c>
      <c r="D16" s="53" t="s">
        <v>32</v>
      </c>
      <c r="E16" s="53" t="s">
        <v>33</v>
      </c>
      <c r="F16" s="55">
        <v>-2.8</v>
      </c>
      <c r="G16" s="55"/>
    </row>
    <row r="17" hidden="1" spans="1:6">
      <c r="A17" s="48" t="s">
        <v>387</v>
      </c>
      <c r="B17" s="48" t="s">
        <v>904</v>
      </c>
      <c r="C17" s="52" t="str">
        <f t="shared" si="1"/>
        <v>2021.09月 Aica paypal 1&amp;1网站费（16.8）</v>
      </c>
      <c r="D17" s="53" t="s">
        <v>892</v>
      </c>
      <c r="E17" s="53" t="s">
        <v>893</v>
      </c>
      <c r="F17" s="55">
        <v>16.8</v>
      </c>
    </row>
    <row r="18" spans="1:7">
      <c r="A18" s="48" t="s">
        <v>387</v>
      </c>
      <c r="B18" s="48" t="s">
        <v>905</v>
      </c>
      <c r="C18" s="52" t="str">
        <f t="shared" si="1"/>
        <v>2021.09月 Aica paypal 其他退款（1205.74）</v>
      </c>
      <c r="D18" s="53" t="s">
        <v>206</v>
      </c>
      <c r="E18" s="53" t="s">
        <v>894</v>
      </c>
      <c r="F18" s="55">
        <f>2543.36-G14-G11</f>
        <v>2438.05</v>
      </c>
      <c r="G18" s="55"/>
    </row>
    <row r="19" spans="1:7">
      <c r="A19" s="48" t="s">
        <v>387</v>
      </c>
      <c r="B19" s="48" t="s">
        <v>905</v>
      </c>
      <c r="C19" s="52" t="str">
        <f t="shared" si="1"/>
        <v>2021.09月 Aica paypal 其他退款（1205.74）</v>
      </c>
      <c r="D19" s="53" t="s">
        <v>892</v>
      </c>
      <c r="E19" s="53" t="s">
        <v>893</v>
      </c>
      <c r="F19" s="55"/>
      <c r="G19" s="55">
        <f>F18</f>
        <v>2438.05</v>
      </c>
    </row>
    <row r="20" s="42" customFormat="1" hidden="1" spans="3:7">
      <c r="C20" s="53" t="s">
        <v>906</v>
      </c>
      <c r="D20" s="53" t="s">
        <v>864</v>
      </c>
      <c r="E20" s="53" t="s">
        <v>907</v>
      </c>
      <c r="F20" s="55">
        <v>1530.45</v>
      </c>
      <c r="G20" s="55"/>
    </row>
    <row r="21" s="42" customFormat="1" hidden="1" spans="3:7">
      <c r="C21" s="53" t="s">
        <v>906</v>
      </c>
      <c r="D21" s="53" t="s">
        <v>892</v>
      </c>
      <c r="E21" s="53" t="s">
        <v>893</v>
      </c>
      <c r="F21" s="55"/>
      <c r="G21" s="55">
        <f>F20</f>
        <v>1530.45</v>
      </c>
    </row>
    <row r="22" s="42" customFormat="1" hidden="1" spans="3:7">
      <c r="C22" s="53" t="s">
        <v>908</v>
      </c>
      <c r="D22" s="53" t="s">
        <v>866</v>
      </c>
      <c r="E22" s="53" t="s">
        <v>909</v>
      </c>
      <c r="F22" s="55">
        <v>1841.44</v>
      </c>
      <c r="G22" s="55"/>
    </row>
    <row r="23" s="42" customFormat="1" hidden="1" spans="3:7">
      <c r="C23" s="53" t="s">
        <v>908</v>
      </c>
      <c r="D23" s="53" t="s">
        <v>892</v>
      </c>
      <c r="E23" s="53" t="s">
        <v>893</v>
      </c>
      <c r="F23" s="55"/>
      <c r="G23" s="55">
        <f>F22</f>
        <v>1841.44</v>
      </c>
    </row>
    <row r="24" hidden="1"/>
  </sheetData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17"/>
  <sheetViews>
    <sheetView workbookViewId="0">
      <selection activeCell="F6" sqref="F6:G13"/>
    </sheetView>
  </sheetViews>
  <sheetFormatPr defaultColWidth="9" defaultRowHeight="14.25" outlineLevelCol="6"/>
  <cols>
    <col min="1" max="1" width="11.5" style="48" customWidth="1"/>
    <col min="2" max="2" width="26.125" style="48" customWidth="1"/>
    <col min="3" max="3" width="38.25" style="48" customWidth="1"/>
    <col min="4" max="4" width="16" style="48" customWidth="1"/>
    <col min="5" max="5" width="87.125" style="48" customWidth="1"/>
    <col min="6" max="7" width="10.375" style="48" customWidth="1"/>
    <col min="8" max="16384" width="9" style="48"/>
  </cols>
  <sheetData>
    <row r="6" spans="1:7">
      <c r="A6" s="48" t="s">
        <v>387</v>
      </c>
      <c r="B6" s="48" t="s">
        <v>910</v>
      </c>
      <c r="C6" s="39" t="str">
        <f>A6&amp;B6</f>
        <v>2021.09月 Homefast paypal 收款</v>
      </c>
      <c r="D6" s="39" t="s">
        <v>911</v>
      </c>
      <c r="E6" s="39" t="s">
        <v>912</v>
      </c>
      <c r="F6" s="49">
        <v>6858.36</v>
      </c>
      <c r="G6" s="49"/>
    </row>
    <row r="7" spans="1:7">
      <c r="A7" s="48" t="s">
        <v>387</v>
      </c>
      <c r="B7" s="48" t="s">
        <v>910</v>
      </c>
      <c r="C7" s="39" t="str">
        <f>A7&amp;B7</f>
        <v>2021.09月 Homefast paypal 收款</v>
      </c>
      <c r="D7" s="39" t="s">
        <v>235</v>
      </c>
      <c r="E7" s="39" t="s">
        <v>236</v>
      </c>
      <c r="F7" s="49"/>
      <c r="G7" s="49">
        <f>F6</f>
        <v>6858.36</v>
      </c>
    </row>
    <row r="8" spans="1:7">
      <c r="A8" s="48" t="s">
        <v>387</v>
      </c>
      <c r="B8" s="48" t="s">
        <v>913</v>
      </c>
      <c r="C8" s="39" t="str">
        <f t="shared" ref="C8:C17" si="0">A8&amp;B8</f>
        <v>2021.09月 Homefast paypal 费用</v>
      </c>
      <c r="D8" s="39" t="s">
        <v>285</v>
      </c>
      <c r="E8" s="39" t="s">
        <v>286</v>
      </c>
      <c r="F8" s="49">
        <v>101.02</v>
      </c>
      <c r="G8" s="49"/>
    </row>
    <row r="9" spans="1:7">
      <c r="A9" s="48" t="s">
        <v>387</v>
      </c>
      <c r="B9" s="48" t="s">
        <v>913</v>
      </c>
      <c r="C9" s="39" t="str">
        <f t="shared" si="0"/>
        <v>2021.09月 Homefast paypal 费用</v>
      </c>
      <c r="D9" s="39" t="s">
        <v>911</v>
      </c>
      <c r="E9" s="39" t="s">
        <v>912</v>
      </c>
      <c r="F9" s="49"/>
      <c r="G9" s="49">
        <f>F8</f>
        <v>101.02</v>
      </c>
    </row>
    <row r="10" hidden="1" spans="1:6">
      <c r="A10" s="48" t="s">
        <v>387</v>
      </c>
      <c r="B10" s="48" t="s">
        <v>914</v>
      </c>
      <c r="C10" s="39" t="str">
        <f t="shared" si="0"/>
        <v>2021.09月 Homefast paypal 争议款</v>
      </c>
      <c r="D10" s="39" t="s">
        <v>915</v>
      </c>
      <c r="E10" s="39" t="s">
        <v>916</v>
      </c>
      <c r="F10" s="49">
        <v>29.38</v>
      </c>
    </row>
    <row r="11" hidden="1" spans="1:7">
      <c r="A11" s="48" t="s">
        <v>387</v>
      </c>
      <c r="B11" s="48" t="s">
        <v>914</v>
      </c>
      <c r="C11" s="39" t="str">
        <f t="shared" si="0"/>
        <v>2021.09月 Homefast paypal 争议款</v>
      </c>
      <c r="D11" s="39" t="s">
        <v>911</v>
      </c>
      <c r="E11" s="39" t="s">
        <v>912</v>
      </c>
      <c r="G11" s="49">
        <f t="shared" ref="G11:G15" si="1">F10</f>
        <v>29.38</v>
      </c>
    </row>
    <row r="12" spans="1:7">
      <c r="A12" s="48" t="s">
        <v>387</v>
      </c>
      <c r="B12" s="48" t="s">
        <v>917</v>
      </c>
      <c r="C12" s="39" t="str">
        <f t="shared" si="0"/>
        <v>2021.09月 Homefast paypal 其他退款</v>
      </c>
      <c r="D12" s="39" t="s">
        <v>235</v>
      </c>
      <c r="E12" s="39" t="s">
        <v>236</v>
      </c>
      <c r="F12" s="49">
        <v>812.7</v>
      </c>
      <c r="G12" s="49"/>
    </row>
    <row r="13" spans="1:7">
      <c r="A13" s="48" t="s">
        <v>387</v>
      </c>
      <c r="B13" s="48" t="s">
        <v>917</v>
      </c>
      <c r="C13" s="39" t="str">
        <f t="shared" si="0"/>
        <v>2021.09月 Homefast paypal 其他退款</v>
      </c>
      <c r="D13" s="50" t="s">
        <v>911</v>
      </c>
      <c r="E13" s="50" t="s">
        <v>912</v>
      </c>
      <c r="F13" s="51"/>
      <c r="G13" s="51">
        <f t="shared" si="1"/>
        <v>812.7</v>
      </c>
    </row>
    <row r="14" spans="1:7">
      <c r="A14" s="48" t="s">
        <v>387</v>
      </c>
      <c r="B14" s="48" t="s">
        <v>918</v>
      </c>
      <c r="C14" s="39" t="str">
        <f t="shared" si="0"/>
        <v>2021.09月 Homefast paypal 转账</v>
      </c>
      <c r="D14" s="39" t="s">
        <v>919</v>
      </c>
      <c r="E14" s="39" t="s">
        <v>920</v>
      </c>
      <c r="F14" s="49"/>
      <c r="G14" s="49"/>
    </row>
    <row r="15" spans="1:7">
      <c r="A15" s="48" t="s">
        <v>387</v>
      </c>
      <c r="B15" s="48" t="s">
        <v>918</v>
      </c>
      <c r="C15" s="39" t="str">
        <f t="shared" si="0"/>
        <v>2021.09月 Homefast paypal 转账</v>
      </c>
      <c r="D15" s="50" t="s">
        <v>911</v>
      </c>
      <c r="E15" s="50" t="s">
        <v>912</v>
      </c>
      <c r="F15" s="51"/>
      <c r="G15" s="51">
        <f t="shared" si="1"/>
        <v>0</v>
      </c>
    </row>
    <row r="16" spans="2:7">
      <c r="B16" s="48" t="s">
        <v>921</v>
      </c>
      <c r="C16" s="39" t="str">
        <f t="shared" si="0"/>
        <v>Homefast paypal 扣Surfing ebay费 5.16-6.15</v>
      </c>
      <c r="D16" s="39" t="s">
        <v>862</v>
      </c>
      <c r="E16" s="39" t="s">
        <v>922</v>
      </c>
      <c r="F16" s="49"/>
      <c r="G16" s="49"/>
    </row>
    <row r="17" spans="2:7">
      <c r="B17" s="48" t="s">
        <v>921</v>
      </c>
      <c r="C17" s="39" t="str">
        <f t="shared" si="0"/>
        <v>Homefast paypal 扣Surfing ebay费 5.16-6.15</v>
      </c>
      <c r="D17" s="50" t="s">
        <v>911</v>
      </c>
      <c r="E17" s="50" t="s">
        <v>912</v>
      </c>
      <c r="F17" s="51"/>
      <c r="G17" s="51">
        <f>F16</f>
        <v>0</v>
      </c>
    </row>
  </sheetData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17"/>
  <sheetViews>
    <sheetView workbookViewId="0">
      <selection activeCell="F5" sqref="F5:G12"/>
    </sheetView>
  </sheetViews>
  <sheetFormatPr defaultColWidth="9" defaultRowHeight="14.25" outlineLevelCol="6"/>
  <cols>
    <col min="1" max="1" width="9" style="42"/>
    <col min="2" max="2" width="25.5" style="42" customWidth="1"/>
    <col min="3" max="3" width="49.375" style="43" customWidth="1"/>
    <col min="4" max="4" width="13.75" style="42" customWidth="1"/>
    <col min="5" max="5" width="64.625" style="42" customWidth="1"/>
    <col min="6" max="6" width="11.25" style="42" customWidth="1"/>
    <col min="7" max="7" width="11.875" style="42" customWidth="1"/>
    <col min="8" max="16384" width="9" style="42"/>
  </cols>
  <sheetData>
    <row r="5" spans="1:7">
      <c r="A5" s="42" t="s">
        <v>387</v>
      </c>
      <c r="B5" s="42" t="s">
        <v>923</v>
      </c>
      <c r="C5" s="39" t="str">
        <f>A5&amp;B5</f>
        <v>2021.09月 Perfect paypal 收款</v>
      </c>
      <c r="D5" s="40" t="s">
        <v>924</v>
      </c>
      <c r="E5" s="40" t="s">
        <v>925</v>
      </c>
      <c r="F5" s="41">
        <v>273.02</v>
      </c>
      <c r="G5" s="41"/>
    </row>
    <row r="6" spans="1:7">
      <c r="A6" s="42" t="s">
        <v>387</v>
      </c>
      <c r="B6" s="42" t="s">
        <v>923</v>
      </c>
      <c r="C6" s="39" t="str">
        <f t="shared" ref="C6:C12" si="0">A6&amp;B6</f>
        <v>2021.09月 Perfect paypal 收款</v>
      </c>
      <c r="D6" s="40" t="s">
        <v>229</v>
      </c>
      <c r="E6" s="40" t="s">
        <v>926</v>
      </c>
      <c r="F6" s="41"/>
      <c r="G6" s="41">
        <f>F5</f>
        <v>273.02</v>
      </c>
    </row>
    <row r="7" spans="1:7">
      <c r="A7" s="42" t="s">
        <v>387</v>
      </c>
      <c r="B7" s="42" t="s">
        <v>927</v>
      </c>
      <c r="C7" s="39" t="str">
        <f t="shared" si="0"/>
        <v>2021.09月 Perfect paypal 费用</v>
      </c>
      <c r="D7" s="40" t="s">
        <v>285</v>
      </c>
      <c r="E7" s="40" t="s">
        <v>286</v>
      </c>
      <c r="F7" s="41">
        <v>9.73</v>
      </c>
      <c r="G7" s="41"/>
    </row>
    <row r="8" spans="1:7">
      <c r="A8" s="42" t="s">
        <v>387</v>
      </c>
      <c r="B8" s="42" t="s">
        <v>927</v>
      </c>
      <c r="C8" s="39" t="str">
        <f t="shared" si="0"/>
        <v>2021.09月 Perfect paypal 费用</v>
      </c>
      <c r="D8" s="40" t="s">
        <v>924</v>
      </c>
      <c r="E8" s="40" t="s">
        <v>925</v>
      </c>
      <c r="F8" s="41"/>
      <c r="G8" s="41">
        <f>F7</f>
        <v>9.73</v>
      </c>
    </row>
    <row r="9" hidden="1" spans="1:7">
      <c r="A9" s="42" t="s">
        <v>387</v>
      </c>
      <c r="B9" s="42" t="s">
        <v>928</v>
      </c>
      <c r="C9" s="39" t="str">
        <f t="shared" si="0"/>
        <v>2021.09月 Perfect paypal 争议款</v>
      </c>
      <c r="D9" s="40" t="s">
        <v>924</v>
      </c>
      <c r="E9" s="40" t="s">
        <v>925</v>
      </c>
      <c r="F9" s="41"/>
      <c r="G9" s="41"/>
    </row>
    <row r="10" hidden="1" spans="1:7">
      <c r="A10" s="42" t="s">
        <v>387</v>
      </c>
      <c r="B10" s="42" t="s">
        <v>928</v>
      </c>
      <c r="C10" s="39" t="str">
        <f t="shared" si="0"/>
        <v>2021.09月 Perfect paypal 争议款</v>
      </c>
      <c r="D10" s="40" t="s">
        <v>929</v>
      </c>
      <c r="E10" s="40" t="s">
        <v>930</v>
      </c>
      <c r="F10" s="41"/>
      <c r="G10" s="41">
        <f>F9</f>
        <v>0</v>
      </c>
    </row>
    <row r="11" spans="1:7">
      <c r="A11" s="42" t="s">
        <v>387</v>
      </c>
      <c r="B11" s="42" t="s">
        <v>931</v>
      </c>
      <c r="C11" s="39" t="str">
        <f t="shared" si="0"/>
        <v>2021.09月 Perfect paypal 其他退款 </v>
      </c>
      <c r="D11" s="40" t="s">
        <v>229</v>
      </c>
      <c r="E11" s="40" t="s">
        <v>926</v>
      </c>
      <c r="F11" s="41">
        <v>727.4</v>
      </c>
      <c r="G11" s="41"/>
    </row>
    <row r="12" spans="1:7">
      <c r="A12" s="42" t="s">
        <v>387</v>
      </c>
      <c r="B12" s="42" t="s">
        <v>931</v>
      </c>
      <c r="C12" s="39" t="str">
        <f t="shared" si="0"/>
        <v>2021.09月 Perfect paypal 其他退款 </v>
      </c>
      <c r="D12" s="40" t="s">
        <v>924</v>
      </c>
      <c r="E12" s="40" t="s">
        <v>925</v>
      </c>
      <c r="F12" s="41"/>
      <c r="G12" s="41">
        <f>F11</f>
        <v>727.4</v>
      </c>
    </row>
    <row r="13" hidden="1" spans="1:7">
      <c r="A13" s="42" t="s">
        <v>932</v>
      </c>
      <c r="C13" s="39" t="s">
        <v>933</v>
      </c>
      <c r="D13" s="40" t="s">
        <v>860</v>
      </c>
      <c r="E13" s="40" t="s">
        <v>934</v>
      </c>
      <c r="F13" s="41">
        <v>5710.57</v>
      </c>
      <c r="G13" s="41"/>
    </row>
    <row r="14" hidden="1" spans="1:7">
      <c r="A14" s="42" t="s">
        <v>932</v>
      </c>
      <c r="C14" s="39" t="s">
        <v>933</v>
      </c>
      <c r="D14" s="46" t="s">
        <v>267</v>
      </c>
      <c r="E14" s="46" t="s">
        <v>268</v>
      </c>
      <c r="F14" s="41">
        <v>32.79</v>
      </c>
      <c r="G14" s="41"/>
    </row>
    <row r="15" hidden="1" spans="1:7">
      <c r="A15" s="42" t="s">
        <v>932</v>
      </c>
      <c r="C15" s="39" t="s">
        <v>933</v>
      </c>
      <c r="D15" s="40" t="s">
        <v>924</v>
      </c>
      <c r="E15" s="40" t="s">
        <v>925</v>
      </c>
      <c r="F15" s="41"/>
      <c r="G15" s="41">
        <f>F13+F14</f>
        <v>5743.36</v>
      </c>
    </row>
    <row r="16" hidden="1" spans="3:6">
      <c r="C16" s="39" t="s">
        <v>935</v>
      </c>
      <c r="D16" s="40" t="s">
        <v>860</v>
      </c>
      <c r="E16" s="40" t="s">
        <v>934</v>
      </c>
      <c r="F16" s="47">
        <v>38.6</v>
      </c>
    </row>
    <row r="17" hidden="1" spans="3:7">
      <c r="C17" s="39" t="s">
        <v>935</v>
      </c>
      <c r="D17" s="46" t="s">
        <v>267</v>
      </c>
      <c r="E17" s="46" t="s">
        <v>268</v>
      </c>
      <c r="F17" s="42">
        <f>-F16</f>
        <v>-38.6</v>
      </c>
      <c r="G17" s="47"/>
    </row>
  </sheetData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0" sqref="D10"/>
    </sheetView>
  </sheetViews>
  <sheetFormatPr defaultColWidth="9" defaultRowHeight="14.25" outlineLevelCol="6"/>
  <cols>
    <col min="1" max="1" width="9" style="42"/>
    <col min="2" max="2" width="25.5" style="42" customWidth="1"/>
    <col min="3" max="3" width="56.75" style="43" customWidth="1"/>
    <col min="4" max="4" width="17" style="42" customWidth="1"/>
    <col min="5" max="5" width="64.625" style="42" customWidth="1"/>
    <col min="6" max="6" width="11.25" style="42" customWidth="1"/>
    <col min="7" max="7" width="11.875" style="42" customWidth="1"/>
    <col min="8" max="16384" width="9" style="42"/>
  </cols>
  <sheetData>
    <row r="1" s="42" customFormat="1" spans="3:3">
      <c r="C1" s="43"/>
    </row>
    <row r="2" s="42" customFormat="1" spans="3:3">
      <c r="C2" s="43"/>
    </row>
    <row r="3" s="42" customFormat="1" spans="3:3">
      <c r="C3" s="43"/>
    </row>
    <row r="4" s="42" customFormat="1" spans="3:3">
      <c r="C4" s="43"/>
    </row>
    <row r="5" s="42" customFormat="1" spans="2:7">
      <c r="B5" s="42" t="s">
        <v>936</v>
      </c>
      <c r="C5" s="39" t="str">
        <f t="shared" ref="C5:C12" si="0">A5&amp;B5</f>
        <v>Excellent paypal 收款</v>
      </c>
      <c r="D5" s="44" t="s">
        <v>360</v>
      </c>
      <c r="E5" s="40" t="s">
        <v>937</v>
      </c>
      <c r="F5" s="41"/>
      <c r="G5" s="41"/>
    </row>
    <row r="6" s="42" customFormat="1" spans="2:7">
      <c r="B6" s="42" t="s">
        <v>936</v>
      </c>
      <c r="C6" s="39" t="str">
        <f t="shared" si="0"/>
        <v>Excellent paypal 收款</v>
      </c>
      <c r="D6" s="45">
        <v>1002.82</v>
      </c>
      <c r="E6" s="44" t="s">
        <v>938</v>
      </c>
      <c r="F6" s="41"/>
      <c r="G6" s="41">
        <f t="shared" ref="G6:G10" si="1">F5</f>
        <v>0</v>
      </c>
    </row>
    <row r="7" s="42" customFormat="1" spans="2:7">
      <c r="B7" s="42" t="s">
        <v>939</v>
      </c>
      <c r="C7" s="39" t="str">
        <f t="shared" si="0"/>
        <v>Excellent paypal 费用</v>
      </c>
      <c r="D7" s="40" t="s">
        <v>285</v>
      </c>
      <c r="E7" s="40" t="s">
        <v>286</v>
      </c>
      <c r="F7" s="41"/>
      <c r="G7" s="41"/>
    </row>
    <row r="8" s="42" customFormat="1" spans="2:7">
      <c r="B8" s="42" t="s">
        <v>939</v>
      </c>
      <c r="C8" s="39" t="str">
        <f t="shared" si="0"/>
        <v>Excellent paypal 费用</v>
      </c>
      <c r="D8" s="45">
        <v>1002.82</v>
      </c>
      <c r="E8" s="44" t="s">
        <v>938</v>
      </c>
      <c r="F8" s="41"/>
      <c r="G8" s="41">
        <f t="shared" si="1"/>
        <v>0</v>
      </c>
    </row>
    <row r="9" s="42" customFormat="1" spans="1:7">
      <c r="A9" s="42" t="s">
        <v>387</v>
      </c>
      <c r="B9" s="42" t="s">
        <v>940</v>
      </c>
      <c r="C9" s="39" t="str">
        <f t="shared" si="0"/>
        <v>2021.09月 Excellent paypal 争议款</v>
      </c>
      <c r="D9" s="45">
        <v>1002.82</v>
      </c>
      <c r="E9" s="44" t="s">
        <v>938</v>
      </c>
      <c r="F9" s="41">
        <v>9.99</v>
      </c>
      <c r="G9" s="41"/>
    </row>
    <row r="10" s="42" customFormat="1" spans="1:7">
      <c r="A10" s="42" t="s">
        <v>387</v>
      </c>
      <c r="B10" s="42" t="s">
        <v>940</v>
      </c>
      <c r="C10" s="39" t="str">
        <f t="shared" si="0"/>
        <v>2021.09月 Excellent paypal 争议款</v>
      </c>
      <c r="D10" s="44" t="s">
        <v>941</v>
      </c>
      <c r="E10" s="40" t="s">
        <v>942</v>
      </c>
      <c r="F10" s="41"/>
      <c r="G10" s="41">
        <f t="shared" si="1"/>
        <v>9.99</v>
      </c>
    </row>
    <row r="11" s="42" customFormat="1" spans="1:7">
      <c r="A11" s="42" t="s">
        <v>932</v>
      </c>
      <c r="B11" s="42" t="s">
        <v>943</v>
      </c>
      <c r="C11" s="39" t="str">
        <f t="shared" si="0"/>
        <v>2021.08月 Excellent paypal 其他退款 </v>
      </c>
      <c r="D11" s="44" t="s">
        <v>360</v>
      </c>
      <c r="E11" s="40" t="s">
        <v>937</v>
      </c>
      <c r="F11" s="41">
        <v>9.99</v>
      </c>
      <c r="G11" s="41"/>
    </row>
    <row r="12" s="42" customFormat="1" spans="1:7">
      <c r="A12" s="42" t="s">
        <v>932</v>
      </c>
      <c r="B12" s="42" t="s">
        <v>943</v>
      </c>
      <c r="C12" s="39" t="str">
        <f t="shared" si="0"/>
        <v>2021.08月 Excellent paypal 其他退款 </v>
      </c>
      <c r="D12" s="45">
        <v>1002.82</v>
      </c>
      <c r="E12" s="44" t="s">
        <v>938</v>
      </c>
      <c r="F12" s="41"/>
      <c r="G12" s="41">
        <f>F11</f>
        <v>9.99</v>
      </c>
    </row>
    <row r="13" s="42" customFormat="1" hidden="1" spans="1:7">
      <c r="A13" s="42" t="s">
        <v>453</v>
      </c>
      <c r="C13" s="39" t="s">
        <v>944</v>
      </c>
      <c r="D13" s="44" t="s">
        <v>868</v>
      </c>
      <c r="E13" s="40" t="s">
        <v>945</v>
      </c>
      <c r="F13" s="41">
        <v>187.99</v>
      </c>
      <c r="G13" s="41"/>
    </row>
    <row r="14" s="42" customFormat="1" hidden="1" spans="1:7">
      <c r="A14" s="42" t="s">
        <v>453</v>
      </c>
      <c r="C14" s="39" t="s">
        <v>946</v>
      </c>
      <c r="D14" s="46" t="s">
        <v>267</v>
      </c>
      <c r="E14" s="46" t="s">
        <v>268</v>
      </c>
      <c r="F14" s="41"/>
      <c r="G14" s="41"/>
    </row>
    <row r="15" s="42" customFormat="1" hidden="1" spans="1:7">
      <c r="A15" s="42" t="s">
        <v>453</v>
      </c>
      <c r="C15" s="39" t="s">
        <v>944</v>
      </c>
      <c r="D15" s="45">
        <v>1002.82</v>
      </c>
      <c r="E15" s="44" t="s">
        <v>938</v>
      </c>
      <c r="F15" s="41"/>
      <c r="G15" s="41">
        <f>F13+F14</f>
        <v>187.99</v>
      </c>
    </row>
    <row r="16" s="42" customFormat="1" hidden="1" spans="3:6">
      <c r="C16" s="39" t="s">
        <v>947</v>
      </c>
      <c r="D16" s="44" t="s">
        <v>868</v>
      </c>
      <c r="E16" s="40" t="s">
        <v>945</v>
      </c>
      <c r="F16" s="47">
        <v>38.6</v>
      </c>
    </row>
    <row r="17" s="42" customFormat="1" hidden="1" spans="3:7">
      <c r="C17" s="39" t="s">
        <v>947</v>
      </c>
      <c r="D17" s="46" t="s">
        <v>267</v>
      </c>
      <c r="E17" s="46" t="s">
        <v>268</v>
      </c>
      <c r="F17" s="42">
        <f>-F16</f>
        <v>-38.6</v>
      </c>
      <c r="G17" s="47"/>
    </row>
    <row r="18" s="42" customFormat="1" spans="3:3">
      <c r="C18" s="43"/>
    </row>
    <row r="19" s="42" customFormat="1" spans="3:3">
      <c r="C19" s="43"/>
    </row>
    <row r="20" s="42" customFormat="1" spans="3:3">
      <c r="C20" s="43"/>
    </row>
    <row r="21" s="42" customFormat="1" spans="3:3">
      <c r="C21" s="43"/>
    </row>
    <row r="22" s="42" customFormat="1" spans="3:3">
      <c r="C22" s="43"/>
    </row>
    <row r="23" s="42" customFormat="1" spans="3:3">
      <c r="C23" s="43">
        <f>5743.36-5710.57</f>
        <v>32.79</v>
      </c>
    </row>
  </sheetData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3.5" outlineLevelCol="7"/>
  <cols>
    <col min="1" max="1" width="11.375" customWidth="1"/>
    <col min="2" max="2" width="19.125" customWidth="1"/>
    <col min="3" max="3" width="9.5" customWidth="1"/>
    <col min="4" max="4" width="61.125" customWidth="1"/>
    <col min="5" max="5" width="18.25" customWidth="1"/>
    <col min="6" max="6" width="68.75" customWidth="1"/>
    <col min="7" max="8" width="10.375" customWidth="1"/>
  </cols>
  <sheetData>
    <row r="1" spans="1:1">
      <c r="A1" t="s">
        <v>948</v>
      </c>
    </row>
    <row r="2" ht="14.25" spans="1:6">
      <c r="A2" t="str">
        <f>$A$1</f>
        <v>2021.05月 </v>
      </c>
      <c r="B2" t="s">
        <v>949</v>
      </c>
      <c r="C2" t="s">
        <v>950</v>
      </c>
      <c r="D2" s="39" t="str">
        <f>A2&amp;B2&amp;C2</f>
        <v>2021.05月 Excellent Amazon （Seller-fulfilled selling fees）</v>
      </c>
      <c r="E2" s="40" t="s">
        <v>325</v>
      </c>
      <c r="F2" s="40" t="s">
        <v>326</v>
      </c>
    </row>
    <row r="3" ht="14.25" spans="1:6">
      <c r="A3" t="str">
        <f>$A$1</f>
        <v>2021.05月 </v>
      </c>
      <c r="B3" t="s">
        <v>949</v>
      </c>
      <c r="C3" t="s">
        <v>950</v>
      </c>
      <c r="D3" s="39" t="str">
        <f t="shared" ref="D3:D14" si="0">A3&amp;B3&amp;C3</f>
        <v>2021.05月 Excellent Amazon （Seller-fulfilled selling fees）</v>
      </c>
      <c r="E3" s="40" t="s">
        <v>366</v>
      </c>
      <c r="F3" s="40" t="s">
        <v>951</v>
      </c>
    </row>
    <row r="4" ht="14.25" spans="1:6">
      <c r="A4" t="str">
        <f>$A$1</f>
        <v>2021.05月 </v>
      </c>
      <c r="B4" t="s">
        <v>949</v>
      </c>
      <c r="C4" t="s">
        <v>952</v>
      </c>
      <c r="D4" s="39" t="str">
        <f t="shared" si="0"/>
        <v>2021.05月 Excellent Amazon （FBA selling fees）</v>
      </c>
      <c r="E4" s="40" t="s">
        <v>325</v>
      </c>
      <c r="F4" s="40" t="s">
        <v>326</v>
      </c>
    </row>
    <row r="5" ht="14.25" spans="1:6">
      <c r="A5" t="str">
        <f>$A$1</f>
        <v>2021.05月 </v>
      </c>
      <c r="B5" t="s">
        <v>949</v>
      </c>
      <c r="C5" t="s">
        <v>952</v>
      </c>
      <c r="D5" s="39" t="str">
        <f t="shared" si="0"/>
        <v>2021.05月 Excellent Amazon （FBA selling fees）</v>
      </c>
      <c r="E5" s="40" t="s">
        <v>366</v>
      </c>
      <c r="F5" s="40" t="s">
        <v>951</v>
      </c>
    </row>
    <row r="6" ht="14.25" spans="1:8">
      <c r="A6" t="str">
        <f>$A$1</f>
        <v>2021.05月 </v>
      </c>
      <c r="B6" t="s">
        <v>949</v>
      </c>
      <c r="C6" t="s">
        <v>953</v>
      </c>
      <c r="D6" s="39" t="str">
        <f t="shared" si="0"/>
        <v>2021.05月 Excellent Amazon （FBA transaction fees）</v>
      </c>
      <c r="E6" s="40" t="s">
        <v>325</v>
      </c>
      <c r="F6" s="40" t="s">
        <v>326</v>
      </c>
      <c r="G6" s="41">
        <v>1062.55</v>
      </c>
      <c r="H6" s="41"/>
    </row>
    <row r="7" ht="14.25" spans="1:8">
      <c r="A7" t="str">
        <f>$A$1</f>
        <v>2021.05月 </v>
      </c>
      <c r="B7" t="s">
        <v>949</v>
      </c>
      <c r="C7" t="s">
        <v>953</v>
      </c>
      <c r="D7" s="39" t="str">
        <f t="shared" si="0"/>
        <v>2021.05月 Excellent Amazon （FBA transaction fees）</v>
      </c>
      <c r="E7" s="40" t="s">
        <v>366</v>
      </c>
      <c r="F7" s="40" t="s">
        <v>951</v>
      </c>
      <c r="G7" s="41"/>
      <c r="H7" s="41">
        <v>1062.55</v>
      </c>
    </row>
    <row r="8" ht="14.25" spans="1:8">
      <c r="A8" t="str">
        <f>$A$1</f>
        <v>2021.05月 </v>
      </c>
      <c r="B8" t="s">
        <v>949</v>
      </c>
      <c r="C8" t="s">
        <v>954</v>
      </c>
      <c r="D8" s="39" t="str">
        <f t="shared" si="0"/>
        <v>2021.05月 Excellent Amazon （FBA Inventory Fee）</v>
      </c>
      <c r="E8" s="40" t="s">
        <v>325</v>
      </c>
      <c r="F8" s="40" t="s">
        <v>326</v>
      </c>
      <c r="G8" s="41">
        <v>542</v>
      </c>
      <c r="H8" s="41"/>
    </row>
    <row r="9" ht="14.25" spans="1:8">
      <c r="A9" t="str">
        <f>$A$1</f>
        <v>2021.05月 </v>
      </c>
      <c r="B9" t="s">
        <v>949</v>
      </c>
      <c r="C9" t="s">
        <v>954</v>
      </c>
      <c r="D9" s="39" t="str">
        <f t="shared" si="0"/>
        <v>2021.05月 Excellent Amazon （FBA Inventory Fee）</v>
      </c>
      <c r="E9" s="40" t="s">
        <v>366</v>
      </c>
      <c r="F9" s="40" t="s">
        <v>951</v>
      </c>
      <c r="G9" s="41"/>
      <c r="H9" s="41">
        <v>542</v>
      </c>
    </row>
    <row r="10" ht="14.25" spans="1:8">
      <c r="A10" t="str">
        <f>$A$1</f>
        <v>2021.05月 </v>
      </c>
      <c r="B10" t="s">
        <v>949</v>
      </c>
      <c r="C10" t="s">
        <v>331</v>
      </c>
      <c r="D10" s="39" t="str">
        <f t="shared" si="0"/>
        <v>2021.05月 Excellent Amazon 订阅费</v>
      </c>
      <c r="E10" s="40" t="s">
        <v>325</v>
      </c>
      <c r="F10" s="40" t="s">
        <v>326</v>
      </c>
      <c r="G10" s="41">
        <v>25</v>
      </c>
      <c r="H10" s="41"/>
    </row>
    <row r="11" ht="14.25" spans="1:8">
      <c r="A11" t="str">
        <f>$A$1</f>
        <v>2021.05月 </v>
      </c>
      <c r="B11" t="s">
        <v>949</v>
      </c>
      <c r="C11" t="s">
        <v>331</v>
      </c>
      <c r="D11" s="39" t="str">
        <f t="shared" si="0"/>
        <v>2021.05月 Excellent Amazon 订阅费</v>
      </c>
      <c r="E11" s="40" t="s">
        <v>366</v>
      </c>
      <c r="F11" s="40" t="s">
        <v>951</v>
      </c>
      <c r="G11" s="41"/>
      <c r="H11" s="41">
        <v>25</v>
      </c>
    </row>
    <row r="12" ht="14.25" spans="1:8">
      <c r="A12" t="str">
        <f>$A$1</f>
        <v>2021.05月 </v>
      </c>
      <c r="B12" t="s">
        <v>949</v>
      </c>
      <c r="C12" t="s">
        <v>336</v>
      </c>
      <c r="D12" s="39" t="str">
        <f t="shared" si="0"/>
        <v>2021.05月 Excellent Amazon 广告费</v>
      </c>
      <c r="E12" s="40" t="s">
        <v>320</v>
      </c>
      <c r="F12" s="40" t="s">
        <v>955</v>
      </c>
      <c r="G12" s="41">
        <f>H14-G13</f>
        <v>406.89</v>
      </c>
      <c r="H12" s="41"/>
    </row>
    <row r="13" ht="14.25" spans="1:8">
      <c r="A13" t="str">
        <f>$A$1</f>
        <v>2021.05月 </v>
      </c>
      <c r="B13" t="s">
        <v>949</v>
      </c>
      <c r="C13" t="s">
        <v>336</v>
      </c>
      <c r="D13" s="39" t="str">
        <f t="shared" si="0"/>
        <v>2021.05月 Excellent Amazon 广告费</v>
      </c>
      <c r="E13" s="40" t="s">
        <v>32</v>
      </c>
      <c r="F13" s="40" t="s">
        <v>33</v>
      </c>
      <c r="G13" s="41">
        <f>ROUND(H14/1.2*0.2,2)</f>
        <v>81.38</v>
      </c>
      <c r="H13" s="41"/>
    </row>
    <row r="14" ht="14.25" spans="1:8">
      <c r="A14" t="str">
        <f>$A$1</f>
        <v>2021.05月 </v>
      </c>
      <c r="B14" t="s">
        <v>949</v>
      </c>
      <c r="C14" t="s">
        <v>336</v>
      </c>
      <c r="D14" s="39" t="str">
        <f t="shared" si="0"/>
        <v>2021.05月 Excellent Amazon 广告费</v>
      </c>
      <c r="E14" s="40" t="s">
        <v>366</v>
      </c>
      <c r="F14" s="40" t="s">
        <v>951</v>
      </c>
      <c r="G14" s="41"/>
      <c r="H14" s="41">
        <v>488.27</v>
      </c>
    </row>
  </sheetData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221F5"/>
  </sheetPr>
  <dimension ref="A1:I20"/>
  <sheetViews>
    <sheetView workbookViewId="0">
      <selection activeCell="F31" sqref="F31"/>
    </sheetView>
  </sheetViews>
  <sheetFormatPr defaultColWidth="9" defaultRowHeight="13.5"/>
  <cols>
    <col min="1" max="1" width="11.375" style="31" customWidth="1"/>
    <col min="2" max="2" width="20.375" style="31" customWidth="1"/>
    <col min="3" max="3" width="7" style="31" customWidth="1"/>
    <col min="4" max="4" width="9.25" style="31" customWidth="1"/>
    <col min="5" max="5" width="43.5" style="31" customWidth="1"/>
    <col min="6" max="6" width="20.125" customWidth="1"/>
    <col min="7" max="7" width="57.125" customWidth="1"/>
  </cols>
  <sheetData>
    <row r="1" ht="14.25" spans="1:5">
      <c r="A1" s="32" t="s">
        <v>956</v>
      </c>
      <c r="B1" s="32" t="s">
        <v>957</v>
      </c>
      <c r="C1" s="32" t="s">
        <v>957</v>
      </c>
      <c r="D1" s="32" t="s">
        <v>958</v>
      </c>
      <c r="E1" s="32" t="s">
        <v>12</v>
      </c>
    </row>
    <row r="2" spans="1:5">
      <c r="A2" s="33"/>
      <c r="B2" s="33" t="s">
        <v>17</v>
      </c>
      <c r="C2" s="33">
        <v>1130</v>
      </c>
      <c r="D2" s="33">
        <v>870.79</v>
      </c>
      <c r="E2" s="33">
        <v>2000.79</v>
      </c>
    </row>
    <row r="3" spans="1:5">
      <c r="A3" s="33"/>
      <c r="B3" s="33" t="s">
        <v>20</v>
      </c>
      <c r="C3" s="33">
        <v>60</v>
      </c>
      <c r="D3" s="33">
        <v>191.54</v>
      </c>
      <c r="E3" s="33">
        <v>251.54</v>
      </c>
    </row>
    <row r="4" spans="1:5">
      <c r="A4" s="33"/>
      <c r="B4" s="33" t="s">
        <v>19</v>
      </c>
      <c r="C4" s="33">
        <v>90</v>
      </c>
      <c r="D4" s="33">
        <v>117.87</v>
      </c>
      <c r="E4" s="33">
        <v>207.87</v>
      </c>
    </row>
    <row r="5" spans="1:5">
      <c r="A5" s="33"/>
      <c r="B5" s="33" t="s">
        <v>18</v>
      </c>
      <c r="C5" s="33">
        <v>30</v>
      </c>
      <c r="D5" s="33">
        <v>38.22</v>
      </c>
      <c r="E5" s="33">
        <v>68.22</v>
      </c>
    </row>
    <row r="6" spans="1:5">
      <c r="A6" s="33"/>
      <c r="B6" s="33" t="s">
        <v>83</v>
      </c>
      <c r="C6" s="33">
        <v>0</v>
      </c>
      <c r="D6" s="33">
        <v>0</v>
      </c>
      <c r="E6" s="33">
        <v>0</v>
      </c>
    </row>
    <row r="7" ht="14.25" spans="1:5">
      <c r="A7" s="34"/>
      <c r="B7" s="34" t="s">
        <v>12</v>
      </c>
      <c r="C7" s="34">
        <v>1310</v>
      </c>
      <c r="D7" s="34">
        <v>1218.42</v>
      </c>
      <c r="E7" s="34">
        <v>2528.42</v>
      </c>
    </row>
    <row r="11" spans="1:8">
      <c r="A11" s="31" t="str">
        <f>$A$1</f>
        <v>2020.09月</v>
      </c>
      <c r="B11" s="31" t="s">
        <v>959</v>
      </c>
      <c r="C11" s="31" t="s">
        <v>822</v>
      </c>
      <c r="D11" s="35">
        <f>E2</f>
        <v>2000.79</v>
      </c>
      <c r="E11" s="31" t="str">
        <f>A11&amp;B11&amp;C11&amp;C2&amp;"+"&amp;D2</f>
        <v>2020.09月司机问题扣款-国际部1130+870.79</v>
      </c>
      <c r="F11" t="s">
        <v>960</v>
      </c>
      <c r="G11" t="s">
        <v>961</v>
      </c>
      <c r="H11">
        <f t="shared" ref="H11:H15" si="0">D11</f>
        <v>2000.79</v>
      </c>
    </row>
    <row r="12" spans="1:9">
      <c r="A12" s="31" t="str">
        <f t="shared" ref="A12:A18" si="1">$A$1</f>
        <v>2020.09月</v>
      </c>
      <c r="B12" s="31" t="s">
        <v>959</v>
      </c>
      <c r="C12" s="31" t="s">
        <v>822</v>
      </c>
      <c r="D12" s="31">
        <f>D11</f>
        <v>2000.79</v>
      </c>
      <c r="E12" s="31" t="str">
        <f>E11</f>
        <v>2020.09月司机问题扣款-国际部1130+870.79</v>
      </c>
      <c r="F12" s="2">
        <v>6301</v>
      </c>
      <c r="G12" t="s">
        <v>962</v>
      </c>
      <c r="I12">
        <f t="shared" ref="I12:I16" si="2">H11</f>
        <v>2000.79</v>
      </c>
    </row>
    <row r="13" ht="14.25" spans="1:8">
      <c r="A13" s="31" t="str">
        <f t="shared" si="1"/>
        <v>2020.09月</v>
      </c>
      <c r="B13" s="31" t="s">
        <v>963</v>
      </c>
      <c r="C13" s="31" t="s">
        <v>20</v>
      </c>
      <c r="D13" s="35">
        <f>E3</f>
        <v>251.54</v>
      </c>
      <c r="E13" s="31" t="str">
        <f>A13&amp;B13&amp;C13&amp;C3&amp;"+"&amp;D3</f>
        <v>2020.09月给回司机问题扣款-五金60+191.54</v>
      </c>
      <c r="F13" s="36" t="s">
        <v>657</v>
      </c>
      <c r="G13" s="36" t="s">
        <v>658</v>
      </c>
      <c r="H13">
        <f t="shared" si="0"/>
        <v>251.54</v>
      </c>
    </row>
    <row r="14" ht="14.25" spans="1:9">
      <c r="A14" s="31" t="str">
        <f t="shared" si="1"/>
        <v>2020.09月</v>
      </c>
      <c r="B14" s="31" t="s">
        <v>963</v>
      </c>
      <c r="C14" s="31" t="s">
        <v>20</v>
      </c>
      <c r="D14" s="31">
        <f>D13</f>
        <v>251.54</v>
      </c>
      <c r="E14" s="31" t="str">
        <f>E13</f>
        <v>2020.09月给回司机问题扣款-五金60+191.54</v>
      </c>
      <c r="F14" s="37" t="s">
        <v>65</v>
      </c>
      <c r="G14" s="37" t="s">
        <v>66</v>
      </c>
      <c r="I14">
        <f t="shared" si="2"/>
        <v>251.54</v>
      </c>
    </row>
    <row r="15" ht="14.25" spans="1:8">
      <c r="A15" s="31" t="str">
        <f t="shared" si="1"/>
        <v>2020.09月</v>
      </c>
      <c r="B15" s="31" t="s">
        <v>963</v>
      </c>
      <c r="C15" s="31" t="s">
        <v>19</v>
      </c>
      <c r="D15" s="35">
        <f>E4</f>
        <v>207.87</v>
      </c>
      <c r="E15" s="31" t="str">
        <f>A15&amp;B15&amp;C15&amp;C4&amp;"+"&amp;D4</f>
        <v>2020.09月给回司机问题扣款-水龙头90+117.87</v>
      </c>
      <c r="F15" s="38" t="s">
        <v>632</v>
      </c>
      <c r="G15" s="38" t="s">
        <v>633</v>
      </c>
      <c r="H15">
        <f t="shared" si="0"/>
        <v>207.87</v>
      </c>
    </row>
    <row r="16" ht="14.25" spans="1:9">
      <c r="A16" s="31" t="str">
        <f t="shared" si="1"/>
        <v>2020.09月</v>
      </c>
      <c r="B16" s="31" t="s">
        <v>963</v>
      </c>
      <c r="C16" s="31" t="s">
        <v>19</v>
      </c>
      <c r="D16" s="31">
        <f t="shared" ref="D16:D20" si="3">D15</f>
        <v>207.87</v>
      </c>
      <c r="E16" s="31" t="str">
        <f t="shared" ref="E16:E20" si="4">E15</f>
        <v>2020.09月给回司机问题扣款-水龙头90+117.87</v>
      </c>
      <c r="F16" s="37" t="s">
        <v>71</v>
      </c>
      <c r="G16" s="37" t="s">
        <v>72</v>
      </c>
      <c r="I16">
        <f t="shared" si="2"/>
        <v>207.87</v>
      </c>
    </row>
    <row r="17" ht="14.25" spans="1:8">
      <c r="A17" s="31" t="str">
        <f t="shared" si="1"/>
        <v>2020.09月</v>
      </c>
      <c r="B17" s="31" t="s">
        <v>963</v>
      </c>
      <c r="C17" s="31" t="s">
        <v>18</v>
      </c>
      <c r="D17" s="35">
        <f>E5</f>
        <v>68.22</v>
      </c>
      <c r="E17" s="31" t="str">
        <f>A17&amp;B17&amp;C17&amp;C5&amp;"+"&amp;D5</f>
        <v>2020.09月给回司机问题扣款-镜柜30+38.22</v>
      </c>
      <c r="F17" s="36" t="s">
        <v>671</v>
      </c>
      <c r="G17" s="36" t="s">
        <v>672</v>
      </c>
      <c r="H17">
        <f>D17</f>
        <v>68.22</v>
      </c>
    </row>
    <row r="18" ht="14.25" spans="1:9">
      <c r="A18" s="31" t="str">
        <f t="shared" si="1"/>
        <v>2020.09月</v>
      </c>
      <c r="B18" s="31" t="s">
        <v>963</v>
      </c>
      <c r="C18" s="31" t="s">
        <v>18</v>
      </c>
      <c r="D18" s="31">
        <f t="shared" si="3"/>
        <v>68.22</v>
      </c>
      <c r="E18" s="31" t="str">
        <f t="shared" si="4"/>
        <v>2020.09月给回司机问题扣款-镜柜30+38.22</v>
      </c>
      <c r="F18" s="37" t="s">
        <v>59</v>
      </c>
      <c r="G18" s="37" t="s">
        <v>60</v>
      </c>
      <c r="I18">
        <f>H17</f>
        <v>68.22</v>
      </c>
    </row>
    <row r="19" ht="14.25" spans="1:8">
      <c r="A19" s="31" t="str">
        <f>$A$1</f>
        <v>2020.09月</v>
      </c>
      <c r="B19" s="31" t="s">
        <v>963</v>
      </c>
      <c r="C19" s="31" t="s">
        <v>83</v>
      </c>
      <c r="D19" s="35">
        <f>E6</f>
        <v>0</v>
      </c>
      <c r="E19" s="31" t="str">
        <f>A19&amp;B19&amp;C19&amp;C6&amp;"+"&amp;D6</f>
        <v>2020.09月给回司机问题扣款-陶瓷0+0</v>
      </c>
      <c r="F19" s="36" t="s">
        <v>618</v>
      </c>
      <c r="G19" s="36" t="s">
        <v>619</v>
      </c>
      <c r="H19">
        <f>D19</f>
        <v>0</v>
      </c>
    </row>
    <row r="20" ht="14.25" spans="1:9">
      <c r="A20" s="31" t="str">
        <f>$A$1</f>
        <v>2020.09月</v>
      </c>
      <c r="B20" s="31" t="s">
        <v>963</v>
      </c>
      <c r="C20" s="31" t="s">
        <v>83</v>
      </c>
      <c r="D20" s="31">
        <f t="shared" si="3"/>
        <v>0</v>
      </c>
      <c r="E20" s="31" t="str">
        <f t="shared" si="4"/>
        <v>2020.09月给回司机问题扣款-陶瓷0+0</v>
      </c>
      <c r="F20" s="37">
        <v>1221.103</v>
      </c>
      <c r="G20" s="37" t="s">
        <v>964</v>
      </c>
      <c r="I20">
        <f>H19</f>
        <v>0</v>
      </c>
    </row>
  </sheetData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2:H79"/>
  <sheetViews>
    <sheetView workbookViewId="0">
      <selection activeCell="C3" sqref="C3"/>
    </sheetView>
  </sheetViews>
  <sheetFormatPr defaultColWidth="9" defaultRowHeight="13.5" outlineLevelCol="7"/>
  <cols>
    <col min="1" max="1" width="38.25" customWidth="1"/>
    <col min="2" max="2" width="12.75" customWidth="1"/>
    <col min="3" max="3" width="14.625" customWidth="1"/>
    <col min="4" max="4" width="34.25" style="2" customWidth="1"/>
    <col min="5" max="5" width="18.25" customWidth="1"/>
    <col min="6" max="6" width="62.375" customWidth="1"/>
    <col min="7" max="7" width="12.375" customWidth="1"/>
    <col min="8" max="8" width="15.375" customWidth="1"/>
    <col min="9" max="9" width="10.375" customWidth="1"/>
    <col min="10" max="10" width="27.875" customWidth="1"/>
    <col min="11" max="11" width="9.375" customWidth="1"/>
    <col min="12" max="12" width="11.875" customWidth="1"/>
    <col min="13" max="14" width="11.625" customWidth="1"/>
    <col min="15" max="15" width="10.375" customWidth="1"/>
    <col min="16" max="16" width="11.625" customWidth="1"/>
    <col min="17" max="17" width="10.375" customWidth="1"/>
    <col min="18" max="18" width="11.625" customWidth="1"/>
  </cols>
  <sheetData>
    <row r="2" s="1" customFormat="1" spans="1:7">
      <c r="A2" s="3" t="s">
        <v>965</v>
      </c>
      <c r="B2" s="3" t="s">
        <v>966</v>
      </c>
      <c r="C2" s="3" t="s">
        <v>967</v>
      </c>
      <c r="D2" s="4">
        <v>83610.76</v>
      </c>
      <c r="E2" s="5"/>
      <c r="F2" s="5"/>
      <c r="G2" s="5"/>
    </row>
    <row r="3" s="1" customFormat="1" spans="1:7">
      <c r="A3" s="6" t="s">
        <v>968</v>
      </c>
      <c r="B3" s="7"/>
      <c r="C3" s="7">
        <v>80592.22</v>
      </c>
      <c r="D3" s="8"/>
      <c r="E3" s="8" t="s">
        <v>969</v>
      </c>
      <c r="F3" s="8"/>
      <c r="G3" s="8"/>
    </row>
    <row r="4" s="1" customFormat="1" ht="27" spans="1:7">
      <c r="A4" s="9" t="s">
        <v>970</v>
      </c>
      <c r="B4" s="10">
        <v>-8201.73</v>
      </c>
      <c r="C4" s="10"/>
      <c r="D4" s="8"/>
      <c r="E4" s="8" t="s">
        <v>969</v>
      </c>
      <c r="F4" s="8"/>
      <c r="G4" s="8"/>
    </row>
    <row r="5" s="1" customFormat="1" spans="1:7">
      <c r="A5" s="6" t="s">
        <v>971</v>
      </c>
      <c r="B5" s="7"/>
      <c r="C5" s="7">
        <v>11739.73</v>
      </c>
      <c r="D5" s="8"/>
      <c r="E5" s="8" t="s">
        <v>969</v>
      </c>
      <c r="F5" s="8"/>
      <c r="G5" s="8"/>
    </row>
    <row r="6" s="1" customFormat="1" spans="1:7">
      <c r="A6" s="6" t="s">
        <v>972</v>
      </c>
      <c r="B6" s="7">
        <v>-868.21</v>
      </c>
      <c r="C6" s="7"/>
      <c r="D6" s="8"/>
      <c r="E6" s="8" t="s">
        <v>969</v>
      </c>
      <c r="F6" s="8"/>
      <c r="G6" s="8"/>
    </row>
    <row r="7" s="1" customFormat="1" spans="1:7">
      <c r="A7" s="6" t="s">
        <v>973</v>
      </c>
      <c r="B7" s="7"/>
      <c r="C7" s="11">
        <v>1670.9</v>
      </c>
      <c r="D7" s="12"/>
      <c r="E7" s="12" t="s">
        <v>974</v>
      </c>
      <c r="F7" s="8"/>
      <c r="G7" s="8"/>
    </row>
    <row r="8" s="1" customFormat="1" spans="1:7">
      <c r="A8" s="6" t="s">
        <v>975</v>
      </c>
      <c r="B8" s="7"/>
      <c r="C8" s="7"/>
      <c r="D8" s="8"/>
      <c r="E8" s="8"/>
      <c r="F8" s="8"/>
      <c r="G8" s="8"/>
    </row>
    <row r="9" s="1" customFormat="1" spans="1:7">
      <c r="A9" s="6" t="s">
        <v>976</v>
      </c>
      <c r="B9" s="7"/>
      <c r="C9" s="13">
        <v>60.16</v>
      </c>
      <c r="D9" s="14"/>
      <c r="E9" s="8"/>
      <c r="F9" s="8"/>
      <c r="G9" s="8"/>
    </row>
    <row r="10" s="1" customFormat="1" spans="1:7">
      <c r="A10" s="9" t="s">
        <v>977</v>
      </c>
      <c r="B10" s="7">
        <v>-4.78</v>
      </c>
      <c r="C10" s="10"/>
      <c r="D10" s="8"/>
      <c r="E10" s="8"/>
      <c r="F10" s="8"/>
      <c r="G10" s="8"/>
    </row>
    <row r="11" s="1" customFormat="1" spans="1:7">
      <c r="A11" s="6" t="s">
        <v>978</v>
      </c>
      <c r="B11" s="7"/>
      <c r="C11" s="7"/>
      <c r="D11" s="8"/>
      <c r="E11" s="8"/>
      <c r="F11" s="8"/>
      <c r="G11" s="8"/>
    </row>
    <row r="12" s="1" customFormat="1" spans="1:7">
      <c r="A12" s="6" t="s">
        <v>979</v>
      </c>
      <c r="B12" s="7"/>
      <c r="C12" s="7"/>
      <c r="D12" s="8"/>
      <c r="E12" s="8"/>
      <c r="F12" s="8"/>
      <c r="G12" s="8"/>
    </row>
    <row r="13" s="1" customFormat="1" spans="1:7">
      <c r="A13" s="6" t="s">
        <v>980</v>
      </c>
      <c r="B13" s="7">
        <v>-1570.49</v>
      </c>
      <c r="C13" s="7"/>
      <c r="D13" s="7"/>
      <c r="E13" s="7"/>
      <c r="F13" s="8"/>
      <c r="G13" s="8"/>
    </row>
    <row r="14" s="1" customFormat="1" spans="1:7">
      <c r="A14" s="6" t="s">
        <v>981</v>
      </c>
      <c r="B14" s="7"/>
      <c r="C14" s="7">
        <v>192.96</v>
      </c>
      <c r="D14" s="7"/>
      <c r="E14" s="7"/>
      <c r="F14" s="8"/>
      <c r="G14" s="8"/>
    </row>
    <row r="15" s="1" customFormat="1" spans="1:7">
      <c r="A15" s="6" t="s">
        <v>982</v>
      </c>
      <c r="B15" s="7"/>
      <c r="C15" s="7"/>
      <c r="D15" s="7"/>
      <c r="E15" s="7"/>
      <c r="F15" s="8"/>
      <c r="G15" s="8"/>
    </row>
    <row r="16" s="1" customFormat="1" spans="1:7">
      <c r="A16" s="6" t="s">
        <v>983</v>
      </c>
      <c r="B16" s="7"/>
      <c r="C16" s="7"/>
      <c r="D16" s="7"/>
      <c r="E16" s="7"/>
      <c r="F16" s="8"/>
      <c r="G16" s="8"/>
    </row>
    <row r="17" s="1" customFormat="1" spans="1:7">
      <c r="A17" s="6" t="s">
        <v>984</v>
      </c>
      <c r="B17" s="7"/>
      <c r="C17" s="7"/>
      <c r="D17" s="7"/>
      <c r="E17" s="7"/>
      <c r="F17" s="8"/>
      <c r="G17" s="8"/>
    </row>
    <row r="18" s="1" customFormat="1" spans="1:7">
      <c r="A18" s="6" t="s">
        <v>985</v>
      </c>
      <c r="B18" s="7"/>
      <c r="C18" s="7"/>
      <c r="D18" s="7"/>
      <c r="E18" s="7"/>
      <c r="F18" s="8"/>
      <c r="G18" s="8"/>
    </row>
    <row r="19" s="1" customFormat="1" spans="1:7">
      <c r="A19" s="6" t="s">
        <v>986</v>
      </c>
      <c r="B19" s="7"/>
      <c r="C19" s="7"/>
      <c r="D19" s="7"/>
      <c r="E19" s="7"/>
      <c r="F19" s="8"/>
      <c r="G19" s="8"/>
    </row>
    <row r="20" s="1" customFormat="1" spans="1:7">
      <c r="A20" s="15"/>
      <c r="B20" s="3"/>
      <c r="C20" s="3"/>
      <c r="D20" s="4">
        <v>-19822.62</v>
      </c>
      <c r="E20" s="3"/>
      <c r="F20" s="5"/>
      <c r="G20" s="5"/>
    </row>
    <row r="21" s="1" customFormat="1" spans="1:7">
      <c r="A21" s="6" t="s">
        <v>987</v>
      </c>
      <c r="B21" s="13">
        <v>-12746.85</v>
      </c>
      <c r="C21" s="7"/>
      <c r="D21" s="7"/>
      <c r="E21" s="7"/>
      <c r="F21" s="8"/>
      <c r="G21" s="8"/>
    </row>
    <row r="22" s="1" customFormat="1" spans="1:7">
      <c r="A22" s="6" t="s">
        <v>988</v>
      </c>
      <c r="B22" s="13">
        <v>-1995.82</v>
      </c>
      <c r="C22" s="7"/>
      <c r="D22" s="7"/>
      <c r="E22" s="7"/>
      <c r="F22" s="8"/>
      <c r="G22" s="8"/>
    </row>
    <row r="23" s="1" customFormat="1" spans="1:7">
      <c r="A23" s="9" t="s">
        <v>989</v>
      </c>
      <c r="B23" s="10"/>
      <c r="C23" s="16">
        <v>1336.53</v>
      </c>
      <c r="D23" s="7"/>
      <c r="E23" s="7"/>
      <c r="F23" s="8"/>
      <c r="G23" s="8"/>
    </row>
    <row r="24" s="1" customFormat="1" spans="1:7">
      <c r="A24" s="6" t="s">
        <v>990</v>
      </c>
      <c r="B24" s="13">
        <v>-1667.49</v>
      </c>
      <c r="C24" s="7"/>
      <c r="D24" s="7"/>
      <c r="E24" s="7"/>
      <c r="F24" s="8"/>
      <c r="G24" s="8"/>
    </row>
    <row r="25" s="1" customFormat="1" spans="1:7">
      <c r="A25" s="6" t="s">
        <v>991</v>
      </c>
      <c r="B25" s="7"/>
      <c r="C25" s="13">
        <v>4.16</v>
      </c>
      <c r="D25" s="7"/>
      <c r="E25" s="7"/>
      <c r="F25" s="8"/>
      <c r="G25" s="8"/>
    </row>
    <row r="26" s="1" customFormat="1" spans="1:7">
      <c r="A26" s="6" t="s">
        <v>992</v>
      </c>
      <c r="B26" s="7"/>
      <c r="C26" s="7"/>
      <c r="D26" s="7"/>
      <c r="E26" s="7"/>
      <c r="F26" s="8"/>
      <c r="G26" s="8"/>
    </row>
    <row r="27" s="1" customFormat="1" spans="1:7">
      <c r="A27" s="6" t="s">
        <v>993</v>
      </c>
      <c r="B27" s="7"/>
      <c r="C27" s="7"/>
      <c r="D27" s="7"/>
      <c r="E27" s="7"/>
      <c r="F27" s="8"/>
      <c r="G27" s="8"/>
    </row>
    <row r="28" s="1" customFormat="1" ht="27" spans="1:7">
      <c r="A28" s="6" t="s">
        <v>994</v>
      </c>
      <c r="B28" s="17">
        <v>-437.38</v>
      </c>
      <c r="C28" s="7"/>
      <c r="D28" s="7"/>
      <c r="E28" s="7"/>
      <c r="F28" s="8"/>
      <c r="G28" s="8"/>
    </row>
    <row r="29" s="1" customFormat="1" spans="1:7">
      <c r="A29" s="6" t="s">
        <v>995</v>
      </c>
      <c r="B29" s="13">
        <v>-23.9</v>
      </c>
      <c r="C29" s="7"/>
      <c r="D29" s="7"/>
      <c r="E29" s="7"/>
      <c r="F29" s="8"/>
      <c r="G29" s="8"/>
    </row>
    <row r="30" s="1" customFormat="1" spans="1:7">
      <c r="A30" s="6" t="s">
        <v>996</v>
      </c>
      <c r="B30" s="7"/>
      <c r="C30" s="7"/>
      <c r="D30" s="7"/>
      <c r="E30" s="7"/>
      <c r="F30" s="8"/>
      <c r="G30" s="8"/>
    </row>
    <row r="31" s="1" customFormat="1" spans="1:7">
      <c r="A31" s="6" t="s">
        <v>997</v>
      </c>
      <c r="B31" s="7"/>
      <c r="C31" s="7"/>
      <c r="D31" s="7"/>
      <c r="E31" s="7"/>
      <c r="F31" s="8"/>
      <c r="G31" s="8"/>
    </row>
    <row r="32" s="1" customFormat="1" spans="1:7">
      <c r="A32" s="6" t="s">
        <v>998</v>
      </c>
      <c r="B32" s="17">
        <v>-37.6</v>
      </c>
      <c r="C32" s="7"/>
      <c r="D32" s="7"/>
      <c r="E32" s="7"/>
      <c r="F32" s="8"/>
      <c r="G32" s="8"/>
    </row>
    <row r="33" s="1" customFormat="1" spans="1:7">
      <c r="A33" s="9" t="s">
        <v>999</v>
      </c>
      <c r="B33" s="16"/>
      <c r="C33" s="10"/>
      <c r="D33" s="7"/>
      <c r="E33" s="7"/>
      <c r="F33" s="8"/>
      <c r="G33" s="8"/>
    </row>
    <row r="34" s="1" customFormat="1" spans="1:7">
      <c r="A34" s="6" t="s">
        <v>1000</v>
      </c>
      <c r="B34" s="18">
        <v>-42.8</v>
      </c>
      <c r="C34" s="18"/>
      <c r="D34" s="18"/>
      <c r="E34" s="18" t="s">
        <v>974</v>
      </c>
      <c r="F34" s="8"/>
      <c r="G34" s="8"/>
    </row>
    <row r="35" s="1" customFormat="1" spans="1:7">
      <c r="A35" s="6" t="s">
        <v>1001</v>
      </c>
      <c r="B35" s="17">
        <v>-4211.47</v>
      </c>
      <c r="C35" s="7"/>
      <c r="D35" s="7"/>
      <c r="E35" s="7"/>
      <c r="F35" s="8"/>
      <c r="G35" s="8"/>
    </row>
    <row r="36" s="1" customFormat="1" spans="1:7">
      <c r="A36" s="6" t="s">
        <v>1002</v>
      </c>
      <c r="B36" s="7"/>
      <c r="C36" s="7"/>
      <c r="D36" s="7"/>
      <c r="E36" s="7"/>
      <c r="F36" s="8"/>
      <c r="G36" s="8"/>
    </row>
    <row r="37" s="1" customFormat="1" spans="1:7">
      <c r="A37" s="6" t="s">
        <v>986</v>
      </c>
      <c r="B37" s="7"/>
      <c r="C37" s="7"/>
      <c r="D37" s="7"/>
      <c r="E37" s="7"/>
      <c r="F37" s="8"/>
      <c r="G37" s="8"/>
    </row>
    <row r="38" s="1" customFormat="1" spans="1:7">
      <c r="A38" s="6" t="s">
        <v>1003</v>
      </c>
      <c r="B38" s="7"/>
      <c r="C38" s="7"/>
      <c r="D38" s="7"/>
      <c r="E38" s="7"/>
      <c r="F38" s="8"/>
      <c r="G38" s="8"/>
    </row>
    <row r="39" s="1" customFormat="1" spans="1:7">
      <c r="A39" s="15"/>
      <c r="B39" s="3"/>
      <c r="C39" s="3"/>
      <c r="D39" s="19">
        <v>-93899.49</v>
      </c>
      <c r="E39" s="3"/>
      <c r="F39" s="5"/>
      <c r="G39" s="5"/>
    </row>
    <row r="40" s="1" customFormat="1" spans="1:7">
      <c r="A40" s="6" t="s">
        <v>1004</v>
      </c>
      <c r="B40" s="7">
        <v>-93899.49</v>
      </c>
      <c r="C40" s="7"/>
      <c r="D40" s="7"/>
      <c r="E40" s="7"/>
      <c r="F40" s="8"/>
      <c r="G40" s="8"/>
    </row>
    <row r="41" s="1" customFormat="1" spans="1:7">
      <c r="A41" s="6" t="s">
        <v>1005</v>
      </c>
      <c r="B41" s="7"/>
      <c r="C41" s="7"/>
      <c r="D41" s="7"/>
      <c r="E41" s="7"/>
      <c r="F41" s="8"/>
      <c r="G41" s="8"/>
    </row>
    <row r="42" s="1" customFormat="1" spans="1:7">
      <c r="A42" s="6" t="s">
        <v>1006</v>
      </c>
      <c r="B42" s="7"/>
      <c r="C42" s="7"/>
      <c r="D42" s="7"/>
      <c r="E42" s="7"/>
      <c r="F42" s="8"/>
      <c r="G42" s="8"/>
    </row>
    <row r="43" s="1" customFormat="1" spans="1:7">
      <c r="A43" s="15"/>
      <c r="B43" s="3"/>
      <c r="C43" s="3"/>
      <c r="D43" s="4">
        <v>16255.92</v>
      </c>
      <c r="E43" s="3"/>
      <c r="F43" s="5"/>
      <c r="G43" s="5"/>
    </row>
    <row r="44" s="1" customFormat="1" ht="27" spans="1:7">
      <c r="A44" s="6" t="s">
        <v>1007</v>
      </c>
      <c r="B44" s="7"/>
      <c r="C44" s="7">
        <v>18100.57</v>
      </c>
      <c r="D44" s="7"/>
      <c r="E44" s="7"/>
      <c r="F44" s="8"/>
      <c r="G44" s="8"/>
    </row>
    <row r="45" s="1" customFormat="1" ht="27" spans="1:7">
      <c r="A45" s="6" t="s">
        <v>1008</v>
      </c>
      <c r="B45" s="20">
        <v>-1729.6</v>
      </c>
      <c r="C45" s="7"/>
      <c r="D45" s="7"/>
      <c r="E45" s="7"/>
      <c r="F45" s="8"/>
      <c r="G45" s="8"/>
    </row>
    <row r="46" s="1" customFormat="1" spans="1:7">
      <c r="A46" s="6" t="s">
        <v>1009</v>
      </c>
      <c r="B46" s="7">
        <v>-115.05</v>
      </c>
      <c r="C46" s="7"/>
      <c r="D46" s="8"/>
      <c r="E46" s="8"/>
      <c r="F46" s="8"/>
      <c r="G46" s="8"/>
    </row>
    <row r="49" spans="1:1">
      <c r="A49" s="21" t="s">
        <v>1010</v>
      </c>
    </row>
    <row r="50" spans="1:7">
      <c r="A50" s="21" t="str">
        <f>$A$49</f>
        <v>2021年.9月 英国Excellent Amazon 流水-</v>
      </c>
      <c r="B50" t="s">
        <v>1001</v>
      </c>
      <c r="D50" s="2" t="str">
        <f>A50&amp;B50</f>
        <v>2021年.9月 英国Excellent Amazon 流水-Cost of Advertising</v>
      </c>
      <c r="E50" t="s">
        <v>320</v>
      </c>
      <c r="F50" t="s">
        <v>955</v>
      </c>
      <c r="G50">
        <f>H52-G51</f>
        <v>3610.69</v>
      </c>
    </row>
    <row r="51" spans="1:7">
      <c r="A51" s="21" t="str">
        <f t="shared" ref="A51:A60" si="0">$A$49</f>
        <v>2021年.9月 英国Excellent Amazon 流水-</v>
      </c>
      <c r="B51" t="s">
        <v>1001</v>
      </c>
      <c r="D51" s="2" t="str">
        <f t="shared" ref="D51:D71" si="1">A51&amp;B51</f>
        <v>2021年.9月 英国Excellent Amazon 流水-Cost of Advertising</v>
      </c>
      <c r="E51" t="s">
        <v>32</v>
      </c>
      <c r="F51" t="s">
        <v>33</v>
      </c>
      <c r="G51">
        <v>600.78</v>
      </c>
    </row>
    <row r="52" spans="1:8">
      <c r="A52" s="21" t="str">
        <f t="shared" si="0"/>
        <v>2021年.9月 英国Excellent Amazon 流水-</v>
      </c>
      <c r="B52" t="s">
        <v>1001</v>
      </c>
      <c r="D52" s="2" t="str">
        <f t="shared" si="1"/>
        <v>2021年.9月 英国Excellent Amazon 流水-Cost of Advertising</v>
      </c>
      <c r="E52" t="s">
        <v>366</v>
      </c>
      <c r="F52" t="s">
        <v>951</v>
      </c>
      <c r="H52">
        <f>-B35</f>
        <v>4211.47</v>
      </c>
    </row>
    <row r="53" spans="1:7">
      <c r="A53" s="21" t="str">
        <f t="shared" si="0"/>
        <v>2021年.9月 英国Excellent Amazon 流水-</v>
      </c>
      <c r="B53" t="s">
        <v>1011</v>
      </c>
      <c r="D53" s="2" t="str">
        <f t="shared" si="1"/>
        <v>2021年.9月 英国Excellent Amazon 流水-FBA Inventory Fee</v>
      </c>
      <c r="E53" t="s">
        <v>325</v>
      </c>
      <c r="F53" t="s">
        <v>326</v>
      </c>
      <c r="G53">
        <f>H54</f>
        <v>437.38</v>
      </c>
    </row>
    <row r="54" spans="1:8">
      <c r="A54" s="21" t="str">
        <f t="shared" si="0"/>
        <v>2021年.9月 英国Excellent Amazon 流水-</v>
      </c>
      <c r="B54" t="s">
        <v>1011</v>
      </c>
      <c r="D54" s="2" t="str">
        <f t="shared" si="1"/>
        <v>2021年.9月 英国Excellent Amazon 流水-FBA Inventory Fee</v>
      </c>
      <c r="E54" t="s">
        <v>366</v>
      </c>
      <c r="F54" t="s">
        <v>951</v>
      </c>
      <c r="H54">
        <f>-B28</f>
        <v>437.38</v>
      </c>
    </row>
    <row r="55" spans="1:7">
      <c r="A55" s="21" t="str">
        <f t="shared" si="0"/>
        <v>2021年.9月 英国Excellent Amazon 流水-</v>
      </c>
      <c r="B55" t="s">
        <v>998</v>
      </c>
      <c r="D55" s="2" t="str">
        <f t="shared" si="1"/>
        <v>2021年.9月 英国Excellent Amazon 流水-Service fees</v>
      </c>
      <c r="E55" t="s">
        <v>325</v>
      </c>
      <c r="F55" t="s">
        <v>326</v>
      </c>
      <c r="G55">
        <f>H56</f>
        <v>37.6</v>
      </c>
    </row>
    <row r="56" spans="1:8">
      <c r="A56" s="21" t="str">
        <f t="shared" si="0"/>
        <v>2021年.9月 英国Excellent Amazon 流水-</v>
      </c>
      <c r="B56" t="s">
        <v>998</v>
      </c>
      <c r="D56" s="2" t="str">
        <f t="shared" si="1"/>
        <v>2021年.9月 英国Excellent Amazon 流水-Service fees</v>
      </c>
      <c r="E56" t="s">
        <v>366</v>
      </c>
      <c r="F56" t="s">
        <v>951</v>
      </c>
      <c r="H56">
        <f>-B32</f>
        <v>37.6</v>
      </c>
    </row>
    <row r="57" spans="1:7">
      <c r="A57" s="21" t="str">
        <f t="shared" si="0"/>
        <v>2021年.9月 英国Excellent Amazon 流水-</v>
      </c>
      <c r="B57" t="s">
        <v>1012</v>
      </c>
      <c r="D57" s="2" t="str">
        <f t="shared" si="1"/>
        <v>2021年.9月 英国Excellent Amazon 流水-Seller-fulfilled selling</v>
      </c>
      <c r="E57" t="s">
        <v>325</v>
      </c>
      <c r="F57" t="s">
        <v>326</v>
      </c>
      <c r="G57">
        <f>H58</f>
        <v>12746.85</v>
      </c>
    </row>
    <row r="58" spans="1:8">
      <c r="A58" s="21" t="str">
        <f t="shared" si="0"/>
        <v>2021年.9月 英国Excellent Amazon 流水-</v>
      </c>
      <c r="B58" t="s">
        <v>1012</v>
      </c>
      <c r="D58" s="2" t="str">
        <f t="shared" si="1"/>
        <v>2021年.9月 英国Excellent Amazon 流水-Seller-fulfilled selling</v>
      </c>
      <c r="E58" t="s">
        <v>366</v>
      </c>
      <c r="F58" t="s">
        <v>951</v>
      </c>
      <c r="H58">
        <f>-B21</f>
        <v>12746.85</v>
      </c>
    </row>
    <row r="59" spans="1:7">
      <c r="A59" s="21" t="str">
        <f t="shared" si="0"/>
        <v>2021年.9月 英国Excellent Amazon 流水-</v>
      </c>
      <c r="B59" t="s">
        <v>988</v>
      </c>
      <c r="D59" s="2" t="str">
        <f t="shared" ref="D59:D79" si="2">A59&amp;B59</f>
        <v>2021年.9月 英国Excellent Amazon 流水-FBA selling fees</v>
      </c>
      <c r="E59" t="s">
        <v>325</v>
      </c>
      <c r="F59" t="s">
        <v>326</v>
      </c>
      <c r="G59">
        <f t="shared" ref="G59:G63" si="3">H60</f>
        <v>1995.82</v>
      </c>
    </row>
    <row r="60" spans="1:8">
      <c r="A60" s="21" t="str">
        <f t="shared" si="0"/>
        <v>2021年.9月 英国Excellent Amazon 流水-</v>
      </c>
      <c r="B60" t="s">
        <v>988</v>
      </c>
      <c r="D60" s="2" t="str">
        <f t="shared" si="2"/>
        <v>2021年.9月 英国Excellent Amazon 流水-FBA selling fees</v>
      </c>
      <c r="E60" t="s">
        <v>366</v>
      </c>
      <c r="F60" t="s">
        <v>951</v>
      </c>
      <c r="H60">
        <f>-B22</f>
        <v>1995.82</v>
      </c>
    </row>
    <row r="61" spans="1:7">
      <c r="A61" s="21" t="str">
        <f t="shared" ref="A61:A70" si="4">$A$49</f>
        <v>2021年.9月 英国Excellent Amazon 流水-</v>
      </c>
      <c r="B61" t="s">
        <v>989</v>
      </c>
      <c r="D61" s="2" t="str">
        <f t="shared" si="2"/>
        <v>2021年.9月 英国Excellent Amazon 流水-Selling fee refunds</v>
      </c>
      <c r="E61" t="s">
        <v>325</v>
      </c>
      <c r="F61" t="s">
        <v>326</v>
      </c>
      <c r="G61">
        <f t="shared" si="3"/>
        <v>-1336.53</v>
      </c>
    </row>
    <row r="62" spans="1:8">
      <c r="A62" s="21" t="str">
        <f t="shared" si="4"/>
        <v>2021年.9月 英国Excellent Amazon 流水-</v>
      </c>
      <c r="B62" t="s">
        <v>989</v>
      </c>
      <c r="D62" s="2" t="str">
        <f t="shared" si="2"/>
        <v>2021年.9月 英国Excellent Amazon 流水-Selling fee refunds</v>
      </c>
      <c r="E62" t="s">
        <v>366</v>
      </c>
      <c r="F62" t="s">
        <v>951</v>
      </c>
      <c r="H62">
        <f>-C23</f>
        <v>-1336.53</v>
      </c>
    </row>
    <row r="63" customFormat="1" spans="1:7">
      <c r="A63" s="21" t="str">
        <f t="shared" si="4"/>
        <v>2021年.9月 英国Excellent Amazon 流水-</v>
      </c>
      <c r="B63" t="s">
        <v>991</v>
      </c>
      <c r="D63" s="2" t="str">
        <f t="shared" si="2"/>
        <v>2021年.9月 英国Excellent Amazon 流水-FBA transaction fee refunds</v>
      </c>
      <c r="E63" t="s">
        <v>325</v>
      </c>
      <c r="F63" t="s">
        <v>326</v>
      </c>
      <c r="G63">
        <f t="shared" si="3"/>
        <v>-4.16</v>
      </c>
    </row>
    <row r="64" customFormat="1" spans="1:8">
      <c r="A64" s="21" t="str">
        <f t="shared" si="4"/>
        <v>2021年.9月 英国Excellent Amazon 流水-</v>
      </c>
      <c r="B64" t="s">
        <v>991</v>
      </c>
      <c r="D64" s="2" t="str">
        <f t="shared" si="2"/>
        <v>2021年.9月 英国Excellent Amazon 流水-FBA transaction fee refunds</v>
      </c>
      <c r="E64" t="s">
        <v>366</v>
      </c>
      <c r="F64" t="s">
        <v>951</v>
      </c>
      <c r="H64">
        <f>-C25</f>
        <v>-4.16</v>
      </c>
    </row>
    <row r="65" spans="1:7">
      <c r="A65" s="21" t="str">
        <f t="shared" si="4"/>
        <v>2021年.9月 英国Excellent Amazon 流水-</v>
      </c>
      <c r="B65" t="s">
        <v>990</v>
      </c>
      <c r="D65" s="2" t="str">
        <f t="shared" si="2"/>
        <v>2021年.9月 英国Excellent Amazon 流水-FBA transaction fees</v>
      </c>
      <c r="E65" t="s">
        <v>325</v>
      </c>
      <c r="F65" t="s">
        <v>326</v>
      </c>
      <c r="G65">
        <f>H66</f>
        <v>1667.49</v>
      </c>
    </row>
    <row r="66" spans="1:8">
      <c r="A66" s="21" t="str">
        <f t="shared" si="4"/>
        <v>2021年.9月 英国Excellent Amazon 流水-</v>
      </c>
      <c r="B66" t="s">
        <v>990</v>
      </c>
      <c r="D66" s="2" t="str">
        <f t="shared" si="2"/>
        <v>2021年.9月 英国Excellent Amazon 流水-FBA transaction fees</v>
      </c>
      <c r="E66" t="s">
        <v>366</v>
      </c>
      <c r="F66" t="s">
        <v>951</v>
      </c>
      <c r="H66">
        <f>-B24</f>
        <v>1667.49</v>
      </c>
    </row>
    <row r="67" spans="1:7">
      <c r="A67" s="21" t="str">
        <f t="shared" si="4"/>
        <v>2021年.9月 英国Excellent Amazon 流水-</v>
      </c>
      <c r="B67" t="s">
        <v>995</v>
      </c>
      <c r="D67" s="2" t="str">
        <f t="shared" si="2"/>
        <v>2021年.9月 英国Excellent Amazon 流水-Delivery label purchases</v>
      </c>
      <c r="E67" t="s">
        <v>325</v>
      </c>
      <c r="F67" t="s">
        <v>326</v>
      </c>
      <c r="G67">
        <f>H68</f>
        <v>23.9</v>
      </c>
    </row>
    <row r="68" ht="14.25" spans="1:8">
      <c r="A68" s="21" t="str">
        <f t="shared" si="4"/>
        <v>2021年.9月 英国Excellent Amazon 流水-</v>
      </c>
      <c r="B68" s="22" t="s">
        <v>995</v>
      </c>
      <c r="C68" s="22"/>
      <c r="D68" s="23" t="str">
        <f t="shared" si="2"/>
        <v>2021年.9月 英国Excellent Amazon 流水-Delivery label purchases</v>
      </c>
      <c r="E68" s="22" t="s">
        <v>366</v>
      </c>
      <c r="F68" s="22" t="s">
        <v>951</v>
      </c>
      <c r="G68" s="22"/>
      <c r="H68" s="22">
        <f>-B29</f>
        <v>23.9</v>
      </c>
    </row>
    <row r="69" spans="1:8">
      <c r="A69" s="21" t="str">
        <f t="shared" ref="A69:A79" si="5">$A$49</f>
        <v>2021年.9月 英国Excellent Amazon 流水-</v>
      </c>
      <c r="B69" t="s">
        <v>274</v>
      </c>
      <c r="D69" s="2" t="str">
        <f t="shared" si="2"/>
        <v>2021年.9月 英国Excellent Amazon 流水-promotional rebates</v>
      </c>
      <c r="E69" t="s">
        <v>325</v>
      </c>
      <c r="F69" t="s">
        <v>326</v>
      </c>
      <c r="G69" s="24">
        <v>1377.53</v>
      </c>
      <c r="H69" s="24"/>
    </row>
    <row r="70" spans="1:8">
      <c r="A70" s="21" t="str">
        <f t="shared" si="5"/>
        <v>2021年.9月 英国Excellent Amazon 流水-</v>
      </c>
      <c r="B70" t="s">
        <v>274</v>
      </c>
      <c r="D70" s="2" t="str">
        <f t="shared" si="2"/>
        <v>2021年.9月 英国Excellent Amazon 流水-promotional rebates</v>
      </c>
      <c r="E70" t="s">
        <v>32</v>
      </c>
      <c r="F70" t="s">
        <v>33</v>
      </c>
      <c r="G70" s="24">
        <v>276.04</v>
      </c>
      <c r="H70" s="24"/>
    </row>
    <row r="71" spans="1:8">
      <c r="A71" s="21" t="str">
        <f t="shared" si="5"/>
        <v>2021年.9月 英国Excellent Amazon 流水-</v>
      </c>
      <c r="B71" t="s">
        <v>274</v>
      </c>
      <c r="D71" s="2" t="str">
        <f t="shared" si="2"/>
        <v>2021年.9月 英国Excellent Amazon 流水-promotional rebates</v>
      </c>
      <c r="E71" t="s">
        <v>366</v>
      </c>
      <c r="F71" t="s">
        <v>951</v>
      </c>
      <c r="G71" s="24"/>
      <c r="H71" s="24">
        <f>G69+G70</f>
        <v>1653.57</v>
      </c>
    </row>
    <row r="72" customFormat="1" spans="1:8">
      <c r="A72" s="21" t="str">
        <f t="shared" si="5"/>
        <v>2021年.9月 英国Excellent Amazon 流水-</v>
      </c>
      <c r="B72" t="s">
        <v>1013</v>
      </c>
      <c r="D72" s="2" t="str">
        <f t="shared" si="2"/>
        <v>2021年.9月 英国Excellent Amazon 流水-marketplace withheld tax</v>
      </c>
      <c r="E72" t="s">
        <v>32</v>
      </c>
      <c r="F72" t="s">
        <v>33</v>
      </c>
      <c r="G72" s="24">
        <v>115.05</v>
      </c>
      <c r="H72" s="24"/>
    </row>
    <row r="73" customFormat="1" spans="1:8">
      <c r="A73" s="21" t="str">
        <f t="shared" si="5"/>
        <v>2021年.9月 英国Excellent Amazon 流水-</v>
      </c>
      <c r="B73" t="s">
        <v>1013</v>
      </c>
      <c r="D73" s="2" t="str">
        <f t="shared" si="2"/>
        <v>2021年.9月 英国Excellent Amazon 流水-marketplace withheld tax</v>
      </c>
      <c r="E73" t="s">
        <v>366</v>
      </c>
      <c r="F73" t="s">
        <v>951</v>
      </c>
      <c r="G73" s="24"/>
      <c r="H73" s="24">
        <f>G71+G72</f>
        <v>115.05</v>
      </c>
    </row>
    <row r="74" customFormat="1" spans="1:7">
      <c r="A74" s="25" t="str">
        <f t="shared" si="5"/>
        <v>2021年.9月 英国Excellent Amazon 流水-</v>
      </c>
      <c r="B74" s="26" t="s">
        <v>973</v>
      </c>
      <c r="C74" s="26"/>
      <c r="D74" s="27" t="str">
        <f t="shared" si="2"/>
        <v>2021年.9月 英国Excellent Amazon 流水-FBA inventory credit</v>
      </c>
      <c r="E74" s="26" t="s">
        <v>366</v>
      </c>
      <c r="F74" s="26" t="s">
        <v>951</v>
      </c>
      <c r="G74" s="26">
        <f>C7</f>
        <v>1670.9</v>
      </c>
    </row>
    <row r="75" customFormat="1" spans="1:8">
      <c r="A75" s="25" t="str">
        <f t="shared" si="5"/>
        <v>2021年.9月 英国Excellent Amazon 流水-</v>
      </c>
      <c r="B75" s="26" t="s">
        <v>973</v>
      </c>
      <c r="C75" s="26"/>
      <c r="D75" s="27" t="str">
        <f t="shared" si="2"/>
        <v>2021年.9月 英国Excellent Amazon 流水-FBA inventory credit</v>
      </c>
      <c r="E75" s="26" t="s">
        <v>391</v>
      </c>
      <c r="F75" s="26" t="s">
        <v>392</v>
      </c>
      <c r="G75" s="26"/>
      <c r="H75" s="26">
        <f>G74</f>
        <v>1670.9</v>
      </c>
    </row>
    <row r="76" customFormat="1" spans="1:8">
      <c r="A76" s="28" t="str">
        <f t="shared" si="5"/>
        <v>2021年.9月 英国Excellent Amazon 流水-</v>
      </c>
      <c r="B76" s="29" t="s">
        <v>169</v>
      </c>
      <c r="C76" s="29"/>
      <c r="D76" s="30" t="str">
        <f t="shared" si="2"/>
        <v>2021年.9月 英国Excellent Amazon 流水-adjustment</v>
      </c>
      <c r="E76" s="26" t="s">
        <v>391</v>
      </c>
      <c r="F76" s="26" t="s">
        <v>392</v>
      </c>
      <c r="H76" s="29">
        <f>-H77</f>
        <v>-42.8</v>
      </c>
    </row>
    <row r="77" customFormat="1" spans="1:8">
      <c r="A77" s="28" t="str">
        <f t="shared" si="5"/>
        <v>2021年.9月 英国Excellent Amazon 流水-</v>
      </c>
      <c r="B77" s="29" t="str">
        <f>B76</f>
        <v>adjustment</v>
      </c>
      <c r="C77" s="29"/>
      <c r="D77" s="30" t="str">
        <f t="shared" si="2"/>
        <v>2021年.9月 英国Excellent Amazon 流水-adjustment</v>
      </c>
      <c r="E77" s="29" t="s">
        <v>366</v>
      </c>
      <c r="F77" s="29" t="s">
        <v>951</v>
      </c>
      <c r="G77" s="29"/>
      <c r="H77" s="29">
        <f>-B34</f>
        <v>42.8</v>
      </c>
    </row>
    <row r="78" customFormat="1" spans="1:7">
      <c r="A78" s="21" t="str">
        <f t="shared" si="5"/>
        <v>2021年.9月 英国Excellent Amazon 流水-</v>
      </c>
      <c r="B78" t="s">
        <v>973</v>
      </c>
      <c r="D78" s="2" t="str">
        <f t="shared" si="2"/>
        <v>2021年.9月 英国Excellent Amazon 流水-FBA inventory credit</v>
      </c>
      <c r="E78" t="s">
        <v>325</v>
      </c>
      <c r="F78" t="s">
        <v>326</v>
      </c>
      <c r="G78">
        <f>-(C9+B36)</f>
        <v>-60.16</v>
      </c>
    </row>
    <row r="79" customFormat="1" spans="1:7">
      <c r="A79" s="21" t="str">
        <f t="shared" si="5"/>
        <v>2021年.9月 英国Excellent Amazon 流水-</v>
      </c>
      <c r="B79" t="s">
        <v>973</v>
      </c>
      <c r="D79" s="2" t="str">
        <f t="shared" si="2"/>
        <v>2021年.9月 英国Excellent Amazon 流水-FBA inventory credit</v>
      </c>
      <c r="E79" t="s">
        <v>366</v>
      </c>
      <c r="F79" t="s">
        <v>951</v>
      </c>
      <c r="G79">
        <f>-G78</f>
        <v>60.16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旧</vt:lpstr>
      <vt:lpstr>Ebay</vt:lpstr>
      <vt:lpstr>Mano</vt:lpstr>
      <vt:lpstr>Shopify</vt:lpstr>
      <vt:lpstr>Aica Paypal</vt:lpstr>
      <vt:lpstr>Perfect Paypal</vt:lpstr>
      <vt:lpstr>Homefast Paypal</vt:lpstr>
      <vt:lpstr>银行现金</vt:lpstr>
      <vt:lpstr>信洋xinyang_ltd Ebay</vt:lpstr>
      <vt:lpstr>信洋ebay+Amazon</vt:lpstr>
      <vt:lpstr>Excellent Paypal流水</vt:lpstr>
      <vt:lpstr>Excellent Amazon流水</vt:lpstr>
      <vt:lpstr>国际部确认收入+退款+成本</vt:lpstr>
      <vt:lpstr>工资单个税+保险+工资计提+水电+海运费</vt:lpstr>
      <vt:lpstr>海洋工资+绩效</vt:lpstr>
      <vt:lpstr>销售补贴+仓租费+拓展部运费+德法代垫shopify</vt:lpstr>
      <vt:lpstr>Mano订阅费+Shopify月租+Ebay点击费</vt:lpstr>
      <vt:lpstr>Ebay费计提+调整ebay费+Ebay点击费</vt:lpstr>
      <vt:lpstr>AICA Paypal费</vt:lpstr>
      <vt:lpstr>Homefast paypal费</vt:lpstr>
      <vt:lpstr>Perfect paypal费</vt:lpstr>
      <vt:lpstr>Excellent paypal费</vt:lpstr>
      <vt:lpstr>Excellent Amazon 费</vt:lpstr>
      <vt:lpstr>司机问题扣款</vt:lpstr>
      <vt:lpstr>Excellent 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2020-09-25T07:10:00Z</dcterms:created>
  <dcterms:modified xsi:type="dcterms:W3CDTF">2021-10-21T01:52:35Z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KSOReadingLayout">
    <vt:bool>true</vt:bool>
  </property>
  <property fmtid="{D5CDD505-2E9C-101B-9397-08002B2CF9AE}" pid="4" name="ICV">
    <vt:lpwstr>1D71E6B34DB645888F14322E79713E9D</vt:lpwstr>
  </property>
</Properties>
</file>