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G:\.shortcut-targets-by-id\1RRrrZSWqUOmDXnZpS7CUUklpDiTMhYM5\Internship - Yongpu\Client Proposal Template\"/>
    </mc:Choice>
  </mc:AlternateContent>
  <xr:revisionPtr revIDLastSave="0" documentId="13_ncr:1_{9D7C018A-5289-4797-BF8D-4C359B8F5AFE}" xr6:coauthVersionLast="47" xr6:coauthVersionMax="47" xr10:uidLastSave="{00000000-0000-0000-0000-000000000000}"/>
  <bookViews>
    <workbookView xWindow="0" yWindow="0" windowWidth="14400" windowHeight="15600" xr2:uid="{A08889E2-8CD2-463C-AA8E-48DB6190E5F0}"/>
  </bookViews>
  <sheets>
    <sheet name="SecurityList" sheetId="4" r:id="rId1"/>
    <sheet name="Sample Allocation Template" sheetId="1" r:id="rId2"/>
    <sheet name="dropdown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J21" i="1"/>
  <c r="O21" i="1" s="1"/>
  <c r="L21" i="1"/>
  <c r="J29" i="1"/>
  <c r="S29" i="1" s="1"/>
  <c r="P29" i="1"/>
  <c r="J34" i="1"/>
  <c r="O34" i="1" s="1"/>
  <c r="J38" i="1"/>
  <c r="O38" i="1" s="1"/>
  <c r="J11" i="1"/>
  <c r="S11" i="1" s="1"/>
  <c r="N11" i="1"/>
  <c r="H9" i="2"/>
  <c r="F3" i="2"/>
  <c r="D3" i="2"/>
  <c r="B50" i="1"/>
  <c r="B2" i="1" s="1"/>
  <c r="S21" i="1" l="1"/>
  <c r="M21" i="1"/>
  <c r="S34" i="1"/>
  <c r="O29" i="1"/>
  <c r="S38" i="1"/>
  <c r="M11" i="1"/>
  <c r="AR10" i="1"/>
  <c r="O11" i="1"/>
  <c r="J48" i="1" l="1"/>
  <c r="J45" i="1"/>
  <c r="J42" i="1"/>
  <c r="J41" i="1"/>
  <c r="S41" i="1" s="1"/>
  <c r="J37" i="1"/>
  <c r="O37" i="1" s="1"/>
  <c r="J36" i="1"/>
  <c r="O36" i="1" s="1"/>
  <c r="J35" i="1"/>
  <c r="O35" i="1" s="1"/>
  <c r="P31" i="1"/>
  <c r="J31" i="1"/>
  <c r="P30" i="1"/>
  <c r="J30" i="1"/>
  <c r="AR18" i="1" s="1"/>
  <c r="AR17" i="1"/>
  <c r="P28" i="1"/>
  <c r="J28" i="1"/>
  <c r="AR14" i="1" s="1"/>
  <c r="J24" i="1"/>
  <c r="AR31" i="1" s="1"/>
  <c r="L20" i="1"/>
  <c r="J20" i="1"/>
  <c r="L19" i="1"/>
  <c r="J19" i="1"/>
  <c r="O19" i="1" s="1"/>
  <c r="L18" i="1"/>
  <c r="J18" i="1"/>
  <c r="L14" i="1"/>
  <c r="J14" i="1"/>
  <c r="AI11" i="1" s="1"/>
  <c r="N10" i="1"/>
  <c r="J10" i="1"/>
  <c r="O45" i="1" l="1"/>
  <c r="N44" i="1"/>
  <c r="AI13" i="1"/>
  <c r="AR9" i="1"/>
  <c r="M10" i="1"/>
  <c r="AI10" i="1"/>
  <c r="J47" i="1"/>
  <c r="AR40" i="1"/>
  <c r="S31" i="1"/>
  <c r="AR19" i="1"/>
  <c r="M28" i="1"/>
  <c r="AI8" i="1"/>
  <c r="AD8" i="1"/>
  <c r="AI14" i="1"/>
  <c r="AI9" i="1"/>
  <c r="AD10" i="1"/>
  <c r="AI12" i="1"/>
  <c r="AD9" i="1"/>
  <c r="Z8" i="1"/>
  <c r="O14" i="1"/>
  <c r="Z9" i="1"/>
  <c r="O18" i="1"/>
  <c r="Z10" i="1"/>
  <c r="O20" i="1"/>
  <c r="Z11" i="1"/>
  <c r="J13" i="1"/>
  <c r="S14" i="1"/>
  <c r="N13" i="1"/>
  <c r="J44" i="1"/>
  <c r="S36" i="1"/>
  <c r="N33" i="1"/>
  <c r="M14" i="1"/>
  <c r="S10" i="1"/>
  <c r="J9" i="1"/>
  <c r="N17" i="1"/>
  <c r="O28" i="1"/>
  <c r="O31" i="1"/>
  <c r="J33" i="1"/>
  <c r="O41" i="1"/>
  <c r="J27" i="1"/>
  <c r="S28" i="1"/>
  <c r="N40" i="1"/>
  <c r="N9" i="1"/>
  <c r="S30" i="1"/>
  <c r="O30" i="1"/>
  <c r="O24" i="1"/>
  <c r="J23" i="1"/>
  <c r="S24" i="1"/>
  <c r="M24" i="1"/>
  <c r="N23" i="1"/>
  <c r="J40" i="1"/>
  <c r="S42" i="1"/>
  <c r="N47" i="1"/>
  <c r="S48" i="1"/>
  <c r="J17" i="1"/>
  <c r="M18" i="1"/>
  <c r="S18" i="1"/>
  <c r="M19" i="1"/>
  <c r="S19" i="1"/>
  <c r="M20" i="1"/>
  <c r="S20" i="1"/>
  <c r="N27" i="1"/>
  <c r="S35" i="1"/>
  <c r="S37" i="1"/>
  <c r="O42" i="1"/>
  <c r="O48" i="1"/>
  <c r="O10" i="1"/>
  <c r="J26" i="1" l="1"/>
  <c r="AR42" i="1"/>
  <c r="AQ29" i="1" s="1"/>
  <c r="AQ25" i="1"/>
  <c r="AD11" i="1"/>
  <c r="AE8" i="1" s="1"/>
  <c r="AI16" i="1"/>
  <c r="AJ14" i="1" s="1"/>
  <c r="Z12" i="1"/>
  <c r="AA10" i="1" s="1"/>
  <c r="P26" i="1"/>
  <c r="P50" i="1" s="1"/>
  <c r="J8" i="1"/>
  <c r="M50" i="1"/>
  <c r="P8" i="1"/>
  <c r="O50" i="1"/>
  <c r="AQ35" i="1" l="1"/>
  <c r="AQ10" i="1"/>
  <c r="AQ13" i="1"/>
  <c r="AQ8" i="1"/>
  <c r="AQ41" i="1"/>
  <c r="AQ9" i="1"/>
  <c r="AQ27" i="1"/>
  <c r="AQ40" i="1"/>
  <c r="AQ16" i="1"/>
  <c r="AQ33" i="1"/>
  <c r="AQ22" i="1"/>
  <c r="AQ21" i="1"/>
  <c r="AQ14" i="1"/>
  <c r="AQ12" i="1"/>
  <c r="AQ28" i="1"/>
  <c r="AQ23" i="1"/>
  <c r="AQ20" i="1"/>
  <c r="AQ34" i="1"/>
  <c r="AQ18" i="1"/>
  <c r="AQ24" i="1"/>
  <c r="AQ30" i="1"/>
  <c r="AQ37" i="1"/>
  <c r="AQ38" i="1"/>
  <c r="AQ11" i="1"/>
  <c r="AQ17" i="1"/>
  <c r="AQ19" i="1"/>
  <c r="AQ32" i="1"/>
  <c r="AQ31" i="1"/>
  <c r="AQ26" i="1"/>
  <c r="AQ39" i="1"/>
  <c r="AQ36" i="1"/>
  <c r="J50" i="1"/>
  <c r="Q11" i="1" s="1"/>
  <c r="R11" i="1" s="1"/>
  <c r="AE10" i="1"/>
  <c r="AE9" i="1"/>
  <c r="AA8" i="1"/>
  <c r="AJ11" i="1"/>
  <c r="AJ10" i="1"/>
  <c r="AJ13" i="1"/>
  <c r="AJ8" i="1"/>
  <c r="AJ9" i="1"/>
  <c r="AJ12" i="1"/>
  <c r="AA11" i="1"/>
  <c r="AA9" i="1"/>
  <c r="Q48" i="1"/>
  <c r="Q47" i="1" s="1"/>
  <c r="N50" i="1" l="1"/>
  <c r="Q10" i="1"/>
  <c r="R10" i="1" s="1"/>
  <c r="R9" i="1" s="1"/>
  <c r="Q37" i="1"/>
  <c r="R37" i="1" s="1"/>
  <c r="Q31" i="1"/>
  <c r="R31" i="1" s="1"/>
  <c r="Q14" i="1"/>
  <c r="R14" i="1" s="1"/>
  <c r="Q19" i="1"/>
  <c r="R19" i="1" s="1"/>
  <c r="Q30" i="1"/>
  <c r="R30" i="1" s="1"/>
  <c r="AQ42" i="1"/>
  <c r="AQ43" i="1" s="1"/>
  <c r="K28" i="1"/>
  <c r="K20" i="1"/>
  <c r="K14" i="1"/>
  <c r="K13" i="1" s="1"/>
  <c r="K21" i="1"/>
  <c r="Q21" i="1"/>
  <c r="R21" i="1" s="1"/>
  <c r="AD12" i="1"/>
  <c r="Q24" i="1"/>
  <c r="Q23" i="1" s="1"/>
  <c r="K35" i="1"/>
  <c r="Q35" i="1"/>
  <c r="R35" i="1" s="1"/>
  <c r="Q45" i="1"/>
  <c r="Q44" i="1" s="1"/>
  <c r="Z13" i="1"/>
  <c r="K37" i="1"/>
  <c r="K24" i="1"/>
  <c r="K23" i="1" s="1"/>
  <c r="K19" i="1"/>
  <c r="Q42" i="1"/>
  <c r="R42" i="1" s="1"/>
  <c r="Q29" i="1"/>
  <c r="R29" i="1" s="1"/>
  <c r="K29" i="1"/>
  <c r="AI17" i="1"/>
  <c r="Q20" i="1"/>
  <c r="R20" i="1" s="1"/>
  <c r="K42" i="1"/>
  <c r="K30" i="1"/>
  <c r="K18" i="1"/>
  <c r="Q41" i="1"/>
  <c r="K45" i="1"/>
  <c r="K44" i="1" s="1"/>
  <c r="K34" i="1"/>
  <c r="Q34" i="1"/>
  <c r="R34" i="1" s="1"/>
  <c r="AR43" i="1"/>
  <c r="Q38" i="1"/>
  <c r="R38" i="1" s="1"/>
  <c r="K38" i="1"/>
  <c r="L50" i="1"/>
  <c r="Q18" i="1"/>
  <c r="R18" i="1" s="1"/>
  <c r="K10" i="1"/>
  <c r="K48" i="1"/>
  <c r="K47" i="1" s="1"/>
  <c r="Q28" i="1"/>
  <c r="K31" i="1"/>
  <c r="K36" i="1"/>
  <c r="Q36" i="1"/>
  <c r="R36" i="1" s="1"/>
  <c r="K41" i="1"/>
  <c r="J51" i="1"/>
  <c r="K11" i="1"/>
  <c r="AE11" i="1"/>
  <c r="AE12" i="1" s="1"/>
  <c r="AA12" i="1"/>
  <c r="AA13" i="1" s="1"/>
  <c r="AJ16" i="1"/>
  <c r="AJ17" i="1" s="1"/>
  <c r="R48" i="1"/>
  <c r="R47" i="1" s="1"/>
  <c r="Q13" i="1"/>
  <c r="R28" i="1"/>
  <c r="Q9" i="1" l="1"/>
  <c r="W8" i="1"/>
  <c r="R45" i="1"/>
  <c r="R44" i="1" s="1"/>
  <c r="K17" i="1"/>
  <c r="Q27" i="1"/>
  <c r="K33" i="1"/>
  <c r="K27" i="1"/>
  <c r="R17" i="1"/>
  <c r="Q33" i="1"/>
  <c r="K40" i="1"/>
  <c r="Q40" i="1"/>
  <c r="R27" i="1"/>
  <c r="R24" i="1"/>
  <c r="R23" i="1" s="1"/>
  <c r="Q17" i="1"/>
  <c r="Q8" i="1" s="1"/>
  <c r="W9" i="1"/>
  <c r="R41" i="1"/>
  <c r="R40" i="1" s="1"/>
  <c r="R33" i="1"/>
  <c r="W10" i="1"/>
  <c r="K9" i="1"/>
  <c r="W12" i="1"/>
  <c r="R13" i="1"/>
  <c r="W11" i="1"/>
  <c r="Q26" i="1" l="1"/>
  <c r="R26" i="1"/>
  <c r="K8" i="1"/>
  <c r="K26" i="1"/>
  <c r="Q50" i="1"/>
  <c r="Q51" i="1" s="1"/>
  <c r="R8" i="1"/>
  <c r="W13" i="1"/>
  <c r="W14" i="1" s="1"/>
  <c r="K50" i="1"/>
  <c r="R50" i="1" l="1"/>
  <c r="R51" i="1" s="1"/>
</calcChain>
</file>

<file path=xl/sharedStrings.xml><?xml version="1.0" encoding="utf-8"?>
<sst xmlns="http://schemas.openxmlformats.org/spreadsheetml/2006/main" count="699" uniqueCount="250">
  <si>
    <t>Allocation 
($)</t>
  </si>
  <si>
    <t>Allocation 
(%)</t>
  </si>
  <si>
    <t>Expected Income (%)</t>
  </si>
  <si>
    <t>Expected Income ($)</t>
  </si>
  <si>
    <t>Expected Returns (%)</t>
  </si>
  <si>
    <t>Expected Returns ($)</t>
  </si>
  <si>
    <t>Hypothetical Volatility</t>
  </si>
  <si>
    <t>Income % Contribution</t>
  </si>
  <si>
    <t>Return % Contribution</t>
  </si>
  <si>
    <t>Allocation $
(for vol)</t>
  </si>
  <si>
    <t>Income</t>
  </si>
  <si>
    <t>Cash &amp; Treasuries</t>
  </si>
  <si>
    <t>Cash &amp; Equivalent</t>
  </si>
  <si>
    <t>Cash (Money-Market Fund)</t>
  </si>
  <si>
    <t>US Treasuries (Opportunistic)</t>
  </si>
  <si>
    <t>Public Fixed Income</t>
  </si>
  <si>
    <t>Liquid</t>
  </si>
  <si>
    <t>Fixed Income Funds (Artisan / Osterweis / Newfleet)</t>
  </si>
  <si>
    <t>Private Credit</t>
  </si>
  <si>
    <t>Semi-Liquid</t>
  </si>
  <si>
    <t>Private Credit: Asset Backed (Origin / Regan)</t>
  </si>
  <si>
    <t>Private Credit: Direct Lending (Monroe / HPS / PGIM / Callodine)</t>
  </si>
  <si>
    <t>Illiquid</t>
  </si>
  <si>
    <t>Private Credit: Direct Lending (TreeLine / Serone Capital)</t>
  </si>
  <si>
    <t>Private Credit: Secondaries (Star Mountain / Tikehau)</t>
  </si>
  <si>
    <t>Others</t>
  </si>
  <si>
    <t>Australian Social Housing Fund (CIM)</t>
  </si>
  <si>
    <t>Growth</t>
  </si>
  <si>
    <t>Public Equity</t>
  </si>
  <si>
    <t>US Large Cap (S&amp;P 500 ETF / Thematics)</t>
  </si>
  <si>
    <t>US SMID Cap (Ancora Bellator Fund)</t>
  </si>
  <si>
    <t>Global Equities (Katam Hill Opportunities Fund)</t>
  </si>
  <si>
    <t xml:space="preserve">Other Growth Markets </t>
  </si>
  <si>
    <t>Private Equity</t>
  </si>
  <si>
    <t>Private Equity: Buyout (RCP)</t>
  </si>
  <si>
    <t>Private Equity: Co-Invest (Adams Street)</t>
  </si>
  <si>
    <t>Private Equity: Secondaries (TR Capital)</t>
  </si>
  <si>
    <t>Private Equity: Turnaround (A&amp;M)</t>
  </si>
  <si>
    <t>Private Equity: Open-ended (Harbourvest)</t>
  </si>
  <si>
    <t>Venture Capital</t>
  </si>
  <si>
    <t>Venture Capital: Early Stage (Viola / Anthemis)</t>
  </si>
  <si>
    <t>Venture Capital: Growth (Glynn)</t>
  </si>
  <si>
    <t>Hedge Funds</t>
  </si>
  <si>
    <t>Commodities</t>
  </si>
  <si>
    <t>Global Opportunities Commodities Manager (Quantix)</t>
  </si>
  <si>
    <t>Total Portfolio</t>
  </si>
  <si>
    <t>Allocation 
($M)</t>
  </si>
  <si>
    <t>Liquidity</t>
  </si>
  <si>
    <t>Income Assets</t>
  </si>
  <si>
    <t>Growth Assets</t>
  </si>
  <si>
    <t>Public/Private</t>
  </si>
  <si>
    <t>Income/Growth</t>
  </si>
  <si>
    <t>Public Markets</t>
  </si>
  <si>
    <t>Private Markets</t>
  </si>
  <si>
    <t>Income (Liquid)</t>
  </si>
  <si>
    <t>Income (Semi)</t>
  </si>
  <si>
    <t>Income (Illiquid)</t>
  </si>
  <si>
    <t>Growth (Liquid)</t>
  </si>
  <si>
    <t>Growth (Semi)</t>
  </si>
  <si>
    <t>Growth (Illiquid)</t>
  </si>
  <si>
    <t>Income/Growth (Liquidity)</t>
  </si>
  <si>
    <t>input</t>
  </si>
  <si>
    <t>model</t>
  </si>
  <si>
    <t>charting</t>
  </si>
  <si>
    <t>formula</t>
  </si>
  <si>
    <t>NA</t>
  </si>
  <si>
    <t>-</t>
  </si>
  <si>
    <t>Hybrid Assets</t>
  </si>
  <si>
    <t>Charting</t>
  </si>
  <si>
    <t>Contribution %</t>
  </si>
  <si>
    <t>Target Return Decomposition</t>
  </si>
  <si>
    <t>Return Type</t>
  </si>
  <si>
    <t>Total Return</t>
  </si>
  <si>
    <t>Liquidity Profile</t>
  </si>
  <si>
    <t>Allocation ($)</t>
  </si>
  <si>
    <t>Allocation (%)</t>
  </si>
  <si>
    <t>Total</t>
  </si>
  <si>
    <t>Public/Private Composition</t>
  </si>
  <si>
    <t>Traditional/
Alternative</t>
  </si>
  <si>
    <t>Public/
Private</t>
  </si>
  <si>
    <t>Income/
Growth</t>
  </si>
  <si>
    <t>Traditional</t>
  </si>
  <si>
    <t>Alternative</t>
  </si>
  <si>
    <t>Income/Growth + (Liquidity) Breakdown</t>
  </si>
  <si>
    <t>Asset Class</t>
  </si>
  <si>
    <t>Sub-Asset Class</t>
  </si>
  <si>
    <t>Classification</t>
  </si>
  <si>
    <t>Real Estate</t>
  </si>
  <si>
    <t>Infrastructure</t>
  </si>
  <si>
    <t>MMF</t>
  </si>
  <si>
    <t>US Terasuries</t>
  </si>
  <si>
    <t>Global HY</t>
  </si>
  <si>
    <t>Artisan Partners</t>
  </si>
  <si>
    <t>Osterweis</t>
  </si>
  <si>
    <t>Short Duration</t>
  </si>
  <si>
    <t>Newfleet</t>
  </si>
  <si>
    <t>US 
Large Cap</t>
  </si>
  <si>
    <t>VUSD</t>
  </si>
  <si>
    <t>(Thematic)</t>
  </si>
  <si>
    <t>US 
SMID Cap</t>
  </si>
  <si>
    <t>Bellator</t>
  </si>
  <si>
    <t>Global</t>
  </si>
  <si>
    <t>Katam Hill</t>
  </si>
  <si>
    <t>Instrument/
Manager</t>
  </si>
  <si>
    <t>Asset 
Backed</t>
  </si>
  <si>
    <t>Origin</t>
  </si>
  <si>
    <t>Regan</t>
  </si>
  <si>
    <t>Direct 
Lending</t>
  </si>
  <si>
    <t>Monroe</t>
  </si>
  <si>
    <t>HPS</t>
  </si>
  <si>
    <t>PGIM</t>
  </si>
  <si>
    <t>Callodine</t>
  </si>
  <si>
    <t>Tree Line</t>
  </si>
  <si>
    <t>Structured Credit</t>
  </si>
  <si>
    <t>Serone Capital</t>
  </si>
  <si>
    <t>Secondaries</t>
  </si>
  <si>
    <t>Star Mountain</t>
  </si>
  <si>
    <t>Tikehau</t>
  </si>
  <si>
    <t>Income Oriented</t>
  </si>
  <si>
    <t>Conscious</t>
  </si>
  <si>
    <t>Buyout</t>
  </si>
  <si>
    <t>RCP</t>
  </si>
  <si>
    <t>Co-Invest</t>
  </si>
  <si>
    <t>Adams 
Street</t>
  </si>
  <si>
    <t>Turnaround</t>
  </si>
  <si>
    <t>A&amp;M</t>
  </si>
  <si>
    <t>HarbourVest</t>
  </si>
  <si>
    <t>TR Capital</t>
  </si>
  <si>
    <t>Early Stage</t>
  </si>
  <si>
    <t>Viola</t>
  </si>
  <si>
    <t>Anthemis</t>
  </si>
  <si>
    <t>Glynn</t>
  </si>
  <si>
    <t>Broad</t>
  </si>
  <si>
    <t>Quantix</t>
  </si>
  <si>
    <t>(TBD)</t>
  </si>
  <si>
    <t xml:space="preserve">EM </t>
  </si>
  <si>
    <t>Portfolio Sunburst Chart (**Not automated yet - must manually compile and verify)</t>
  </si>
  <si>
    <t>Symbol</t>
  </si>
  <si>
    <t>Name</t>
  </si>
  <si>
    <t>Sub Asset Class</t>
  </si>
  <si>
    <t>Traditional vs Alt</t>
  </si>
  <si>
    <t>Public vs Private</t>
  </si>
  <si>
    <t>Expected Yield</t>
  </si>
  <si>
    <t>Expected Return</t>
  </si>
  <si>
    <t>Volatility</t>
  </si>
  <si>
    <t>Public</t>
  </si>
  <si>
    <t>Private</t>
  </si>
  <si>
    <t>Corporates (IG)</t>
  </si>
  <si>
    <t>Corporates (HY)</t>
  </si>
  <si>
    <t>World/Global</t>
  </si>
  <si>
    <t>Emerging Markets</t>
  </si>
  <si>
    <t>Value</t>
  </si>
  <si>
    <t>US (Large Cap)</t>
  </si>
  <si>
    <t>US (Mid Cap)</t>
  </si>
  <si>
    <t>US (Small Cap)</t>
  </si>
  <si>
    <t>SPY</t>
  </si>
  <si>
    <t>SPMD</t>
  </si>
  <si>
    <t>SPDR S&amp;P 500 ETF Trust</t>
  </si>
  <si>
    <t>SPDR Portfolio S&amp;P 400 Mid Cap ETF</t>
  </si>
  <si>
    <t>Alt</t>
  </si>
  <si>
    <t>Sector/Thematic</t>
  </si>
  <si>
    <t>Mutual Funds</t>
  </si>
  <si>
    <t>Money Market Fund</t>
  </si>
  <si>
    <t>Distressed</t>
  </si>
  <si>
    <t>Buyouts</t>
  </si>
  <si>
    <t>Fund of Funds</t>
  </si>
  <si>
    <t>Direct Lending</t>
  </si>
  <si>
    <t>Mezzanine</t>
  </si>
  <si>
    <t>Asset-Based Finance</t>
  </si>
  <si>
    <t>Specialty Finance</t>
  </si>
  <si>
    <t>Seed Stage</t>
  </si>
  <si>
    <t>Growth Stage</t>
  </si>
  <si>
    <t>Late Stage</t>
  </si>
  <si>
    <t>Special Situations</t>
  </si>
  <si>
    <t>Core</t>
  </si>
  <si>
    <t>Core+</t>
  </si>
  <si>
    <t>Value Add</t>
  </si>
  <si>
    <t>Opportunistic</t>
  </si>
  <si>
    <t>Global Macro</t>
  </si>
  <si>
    <t>Relative Value</t>
  </si>
  <si>
    <t>Event-Driven</t>
  </si>
  <si>
    <t>Equity Hedge</t>
  </si>
  <si>
    <t>Activist</t>
  </si>
  <si>
    <t>Greenfield</t>
  </si>
  <si>
    <t>Brownfield</t>
  </si>
  <si>
    <t>Hard</t>
  </si>
  <si>
    <t>Soft</t>
  </si>
  <si>
    <t>IWM</t>
  </si>
  <si>
    <t>iShares Russell 2000 ETF</t>
  </si>
  <si>
    <t>EEM</t>
  </si>
  <si>
    <t>iShares MSCI Emerging Markets ETF</t>
  </si>
  <si>
    <t>IDEV</t>
  </si>
  <si>
    <t>iShares Core MSCI International Developed Markets ETF</t>
  </si>
  <si>
    <t>VUG</t>
  </si>
  <si>
    <t>Vanguard Growth ETF</t>
  </si>
  <si>
    <t>VTV</t>
  </si>
  <si>
    <t>Vanguard Value ETF</t>
  </si>
  <si>
    <t>VNQ</t>
  </si>
  <si>
    <t>Vanguard Real Estate ETF</t>
  </si>
  <si>
    <t>XWD</t>
  </si>
  <si>
    <t>iShares MSCI World Index ETF</t>
  </si>
  <si>
    <t>Developed Markets</t>
  </si>
  <si>
    <t>Semi-liquid</t>
  </si>
  <si>
    <t>Treasuries (Long Term)</t>
  </si>
  <si>
    <t>Treasuries (Short-Term)</t>
  </si>
  <si>
    <t>U.S. 1  Year Treasury</t>
  </si>
  <si>
    <t>US1Y</t>
  </si>
  <si>
    <t>US10Y</t>
  </si>
  <si>
    <t>U.S. 10  Year Treasury</t>
  </si>
  <si>
    <t>Fannie Mae</t>
  </si>
  <si>
    <t>Quasi-Government</t>
  </si>
  <si>
    <t>Preferreds</t>
  </si>
  <si>
    <t>Amazon.com 1.650% 05/28</t>
  </si>
  <si>
    <t>US023135BY17</t>
  </si>
  <si>
    <t>Brazil 10% 01/33</t>
  </si>
  <si>
    <t>BRSTNCNTF212</t>
  </si>
  <si>
    <t>United Kingdom 4.25% 12/55</t>
  </si>
  <si>
    <t>GB00B06YGN05</t>
  </si>
  <si>
    <t>Glynn Public Fund</t>
  </si>
  <si>
    <t>RCP Secondary Opportunity Fund V</t>
  </si>
  <si>
    <t>Bramshill Investments Tactical Fixed Income Fund</t>
  </si>
  <si>
    <t>Tree Line-AXSA Direct Lending Fund</t>
  </si>
  <si>
    <t>HarbourVest HGPS-AXSA Diversified Private Equity Fund SG</t>
  </si>
  <si>
    <t>Blackstone Growth</t>
  </si>
  <si>
    <t>Origin-AXSA Strategic Credit Fund</t>
  </si>
  <si>
    <t>Osterweis Strategic Income Fund</t>
  </si>
  <si>
    <t>Katam Hill-AXSA Global Opportunities Fund</t>
  </si>
  <si>
    <t>?</t>
  </si>
  <si>
    <t>Alandia Industries</t>
  </si>
  <si>
    <t>500 Global Flagship Strategy</t>
  </si>
  <si>
    <t>a16z Growth</t>
  </si>
  <si>
    <t>HPS Strategic Investment Partners V Fund</t>
  </si>
  <si>
    <t>Viola/Anthemis</t>
  </si>
  <si>
    <t>Glynn Durable Growth Strategy</t>
  </si>
  <si>
    <t>BasePoint Income Solutions Evergreen Fund</t>
  </si>
  <si>
    <t>Ironshield Credit Opportunities Fund</t>
  </si>
  <si>
    <t>CCS Partners</t>
  </si>
  <si>
    <t>ESSVP IV</t>
  </si>
  <si>
    <t>Harrison Street US Core Strategy</t>
  </si>
  <si>
    <t>Origin IncomePlus Fund</t>
  </si>
  <si>
    <t>Crow Holdings Fund X</t>
  </si>
  <si>
    <t>Kayne Anderson Opportunistic Equity</t>
  </si>
  <si>
    <t>CI GMF II</t>
  </si>
  <si>
    <t>Terra Capital Natural Resources Fund</t>
  </si>
  <si>
    <t>Ballymena Soft Commodities Strategy</t>
  </si>
  <si>
    <t>Pharo</t>
  </si>
  <si>
    <t>Ancora-AXSA Bellator/Catalyst Fund</t>
  </si>
  <si>
    <t>Sand Grove Capital</t>
  </si>
  <si>
    <t>Callodine Capital Offshore Fund</t>
  </si>
  <si>
    <t>Infracapital Partners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</si>
</sst>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&quot;$&quot;#,##0.0"/>
    <numFmt numFmtId="166" formatCode="&quot;$&quot;#,##0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FF"/>
      <name val="Montserrat"/>
    </font>
    <font>
      <b/>
      <sz val="9"/>
      <color theme="1"/>
      <name val="Montserrat"/>
    </font>
    <font>
      <sz val="9"/>
      <color rgb="FF0000FF"/>
      <name val="Montserrat"/>
    </font>
    <font>
      <b/>
      <u/>
      <sz val="9"/>
      <color theme="1"/>
      <name val="Montserrat"/>
    </font>
    <font>
      <sz val="9"/>
      <color theme="1"/>
      <name val="Montserrat"/>
    </font>
    <font>
      <i/>
      <sz val="9"/>
      <color theme="1"/>
      <name val="Montserrat"/>
    </font>
    <font>
      <sz val="9"/>
      <color rgb="FF000000"/>
      <name val="Montserrat"/>
    </font>
    <font>
      <i/>
      <sz val="9"/>
      <color rgb="FF000000"/>
      <name val="Montserrat"/>
    </font>
    <font>
      <b/>
      <sz val="9"/>
      <color rgb="FF000000"/>
      <name val="Montserrat"/>
    </font>
    <font>
      <b/>
      <sz val="9"/>
      <color theme="0"/>
      <name val="Montserrat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  <fill>
      <patternFill patternType="solid">
        <fgColor rgb="FF8EAADB"/>
        <bgColor rgb="FF8EAADB"/>
      </patternFill>
    </fill>
    <fill>
      <patternFill patternType="solid">
        <fgColor rgb="FFFCE5CD"/>
        <bgColor rgb="FFFCE5CD"/>
      </patternFill>
    </fill>
    <fill>
      <patternFill patternType="solid">
        <fgColor rgb="FFDEEAF6"/>
        <bgColor rgb="FFDEEAF6"/>
      </patternFill>
    </fill>
    <fill>
      <patternFill patternType="solid">
        <fgColor theme="1"/>
        <bgColor rgb="FFFFF2CC"/>
      </patternFill>
    </fill>
    <fill>
      <patternFill patternType="solid">
        <fgColor theme="6"/>
        <bgColor rgb="FFFFF2C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11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166" fontId="3" fillId="3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6" fillId="3" borderId="0" xfId="0" applyNumberFormat="1" applyFont="1" applyFill="1" applyAlignment="1">
      <alignment horizontal="center" vertical="center"/>
    </xf>
    <xf numFmtId="164" fontId="3" fillId="3" borderId="0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166" fontId="3" fillId="4" borderId="0" xfId="0" applyNumberFormat="1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66" fontId="8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166" fontId="3" fillId="5" borderId="0" xfId="0" applyNumberFormat="1" applyFont="1" applyFill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6" fontId="6" fillId="5" borderId="0" xfId="0" applyNumberFormat="1" applyFont="1" applyFill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4" fontId="10" fillId="0" borderId="0" xfId="0" applyNumberFormat="1" applyFont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166" fontId="3" fillId="6" borderId="0" xfId="0" applyNumberFormat="1" applyFont="1" applyFill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166" fontId="6" fillId="6" borderId="0" xfId="0" applyNumberFormat="1" applyFont="1" applyFill="1" applyAlignment="1">
      <alignment horizontal="center" vertical="center"/>
    </xf>
    <xf numFmtId="164" fontId="3" fillId="6" borderId="0" xfId="1" applyNumberFormat="1" applyFont="1" applyFill="1" applyBorder="1" applyAlignment="1">
      <alignment horizontal="center" vertical="center"/>
    </xf>
    <xf numFmtId="0" fontId="5" fillId="7" borderId="0" xfId="0" applyFont="1" applyFill="1" applyAlignment="1">
      <alignment horizontal="left" vertical="center"/>
    </xf>
    <xf numFmtId="166" fontId="3" fillId="7" borderId="0" xfId="0" applyNumberFormat="1" applyFont="1" applyFill="1" applyAlignment="1">
      <alignment horizontal="center" vertical="center"/>
    </xf>
    <xf numFmtId="164" fontId="3" fillId="7" borderId="0" xfId="0" applyNumberFormat="1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166" fontId="6" fillId="7" borderId="0" xfId="0" applyNumberFormat="1" applyFont="1" applyFill="1" applyAlignment="1">
      <alignment horizontal="center" vertical="center"/>
    </xf>
    <xf numFmtId="164" fontId="6" fillId="7" borderId="0" xfId="1" applyNumberFormat="1" applyFont="1" applyFill="1" applyBorder="1" applyAlignment="1">
      <alignment horizontal="center" vertical="center"/>
    </xf>
    <xf numFmtId="167" fontId="2" fillId="2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left" vertical="center"/>
    </xf>
    <xf numFmtId="166" fontId="3" fillId="8" borderId="0" xfId="0" applyNumberFormat="1" applyFont="1" applyFill="1" applyAlignment="1">
      <alignment horizontal="center" vertical="center"/>
    </xf>
    <xf numFmtId="164" fontId="3" fillId="8" borderId="0" xfId="0" applyNumberFormat="1" applyFont="1" applyFill="1" applyAlignment="1">
      <alignment horizontal="center" vertical="center"/>
    </xf>
    <xf numFmtId="164" fontId="6" fillId="8" borderId="0" xfId="0" applyNumberFormat="1" applyFont="1" applyFill="1" applyAlignment="1">
      <alignment horizontal="center" vertical="center"/>
    </xf>
    <xf numFmtId="166" fontId="6" fillId="8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5" fillId="9" borderId="0" xfId="0" applyFont="1" applyFill="1" applyAlignment="1">
      <alignment horizontal="left" vertical="center"/>
    </xf>
    <xf numFmtId="166" fontId="3" fillId="9" borderId="0" xfId="0" applyNumberFormat="1" applyFont="1" applyFill="1" applyAlignment="1">
      <alignment horizontal="center" vertical="center"/>
    </xf>
    <xf numFmtId="164" fontId="3" fillId="9" borderId="0" xfId="0" applyNumberFormat="1" applyFont="1" applyFill="1" applyAlignment="1">
      <alignment horizontal="center" vertical="center"/>
    </xf>
    <xf numFmtId="164" fontId="6" fillId="9" borderId="0" xfId="0" applyNumberFormat="1" applyFont="1" applyFill="1" applyAlignment="1">
      <alignment horizontal="center" vertical="center"/>
    </xf>
    <xf numFmtId="165" fontId="6" fillId="9" borderId="0" xfId="0" applyNumberFormat="1" applyFont="1" applyFill="1" applyAlignment="1">
      <alignment horizontal="center" vertical="center"/>
    </xf>
    <xf numFmtId="0" fontId="6" fillId="0" borderId="0" xfId="0" applyFont="1"/>
    <xf numFmtId="166" fontId="2" fillId="2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66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166" fontId="3" fillId="2" borderId="0" xfId="0" applyNumberFormat="1" applyFont="1" applyFill="1" applyAlignment="1">
      <alignment horizontal="center" vertical="center"/>
    </xf>
    <xf numFmtId="0" fontId="3" fillId="0" borderId="0" xfId="0" applyFont="1"/>
    <xf numFmtId="0" fontId="11" fillId="10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 wrapText="1"/>
    </xf>
    <xf numFmtId="164" fontId="11" fillId="10" borderId="0" xfId="0" applyNumberFormat="1" applyFont="1" applyFill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0" fillId="12" borderId="0" xfId="0" applyFill="1"/>
    <xf numFmtId="0" fontId="6" fillId="13" borderId="0" xfId="0" applyFont="1" applyFill="1"/>
    <xf numFmtId="0" fontId="6" fillId="14" borderId="0" xfId="0" applyFont="1" applyFill="1"/>
    <xf numFmtId="0" fontId="6" fillId="12" borderId="0" xfId="0" applyFont="1" applyFill="1"/>
    <xf numFmtId="167" fontId="4" fillId="2" borderId="0" xfId="0" applyNumberFormat="1" applyFont="1" applyFill="1" applyAlignment="1">
      <alignment horizontal="center" vertical="center"/>
    </xf>
    <xf numFmtId="167" fontId="3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Continuous"/>
    </xf>
    <xf numFmtId="0" fontId="6" fillId="12" borderId="0" xfId="0" applyFont="1" applyFill="1" applyAlignment="1">
      <alignment horizontal="centerContinuous"/>
    </xf>
    <xf numFmtId="164" fontId="6" fillId="0" borderId="0" xfId="1" applyNumberFormat="1" applyFont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164" fontId="6" fillId="0" borderId="3" xfId="0" applyNumberFormat="1" applyFont="1" applyBorder="1" applyAlignment="1">
      <alignment horizontal="center"/>
    </xf>
    <xf numFmtId="3" fontId="6" fillId="0" borderId="0" xfId="0" applyNumberFormat="1" applyFont="1"/>
    <xf numFmtId="9" fontId="6" fillId="0" borderId="0" xfId="1" applyFont="1" applyAlignment="1">
      <alignment horizontal="center"/>
    </xf>
    <xf numFmtId="3" fontId="6" fillId="0" borderId="3" xfId="0" applyNumberFormat="1" applyFont="1" applyBorder="1"/>
    <xf numFmtId="9" fontId="6" fillId="0" borderId="3" xfId="1" applyFont="1" applyBorder="1" applyAlignment="1">
      <alignment horizontal="center"/>
    </xf>
    <xf numFmtId="0" fontId="6" fillId="0" borderId="2" xfId="0" applyFont="1" applyBorder="1" applyAlignment="1">
      <alignment wrapText="1"/>
    </xf>
    <xf numFmtId="0" fontId="3" fillId="15" borderId="0" xfId="0" applyFont="1" applyFill="1"/>
    <xf numFmtId="0" fontId="6" fillId="15" borderId="0" xfId="0" applyFont="1" applyFill="1"/>
    <xf numFmtId="164" fontId="3" fillId="7" borderId="0" xfId="1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2" fillId="0" borderId="2" xfId="0" applyFont="1" applyBorder="1" applyAlignment="1">
      <alignment wrapText="1"/>
    </xf>
    <xf numFmtId="0" fontId="13" fillId="16" borderId="2" xfId="0" applyFont="1" applyFill="1" applyBorder="1" applyAlignment="1">
      <alignment wrapText="1"/>
    </xf>
    <xf numFmtId="0" fontId="0" fillId="13" borderId="0" xfId="0" applyFill="1"/>
    <xf numFmtId="10" fontId="0" fillId="0" borderId="0" xfId="0" applyNumberFormat="1"/>
    <xf numFmtId="0" fontId="1" fillId="17" borderId="0" xfId="2"/>
    <xf numFmtId="0" fontId="1" fillId="18" borderId="0" xfId="3"/>
    <xf numFmtId="0" fontId="1" fillId="19" borderId="0" xfId="4"/>
    <xf numFmtId="0" fontId="1" fillId="24" borderId="0" xfId="9"/>
    <xf numFmtId="0" fontId="1" fillId="25" borderId="0" xfId="10"/>
    <xf numFmtId="0" fontId="1" fillId="26" borderId="0" xfId="11"/>
    <xf numFmtId="0" fontId="1" fillId="21" borderId="0" xfId="6"/>
    <xf numFmtId="0" fontId="1" fillId="22" borderId="0" xfId="7"/>
    <xf numFmtId="0" fontId="1" fillId="23" borderId="0" xfId="8"/>
    <xf numFmtId="0" fontId="1" fillId="20" borderId="0" xfId="5"/>
    <xf numFmtId="0" fontId="14" fillId="0" borderId="0" xfId="12"/>
    <xf numFmtId="0" fontId="14" fillId="13" borderId="0" xfId="12" applyFill="1"/>
  </cellXfs>
  <cellStyles count="13">
    <cellStyle name="20% - Accent1" xfId="2" builtinId="30"/>
    <cellStyle name="20% - Accent4" xfId="6" builtinId="42"/>
    <cellStyle name="20% - Accent6" xfId="9" builtinId="50"/>
    <cellStyle name="40% - Accent1" xfId="3" builtinId="31"/>
    <cellStyle name="40% - Accent4" xfId="7" builtinId="43"/>
    <cellStyle name="40% - Accent6" xfId="10" builtinId="51"/>
    <cellStyle name="60% - Accent1" xfId="4" builtinId="32"/>
    <cellStyle name="60% - Accent3" xfId="5" builtinId="40"/>
    <cellStyle name="60% - Accent4" xfId="8" builtinId="44"/>
    <cellStyle name="60% - Accent6" xfId="11" builtinId="52"/>
    <cellStyle name="Hyperlink" xfId="12" builtinId="8"/>
    <cellStyle name="Normal" xfId="0" builtinId="0"/>
    <cellStyle name="Per cent" xfId="1" builtinId="5"/>
  </cellStyles>
  <dxfs count="2">
    <dxf>
      <fill>
        <patternFill>
          <bgColor theme="2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.shortcut-targets-by-id\1pNJaoHLme3f4k2FSHKUlSSboM93MHScR\AXSA%20Main%20Shared%20Drive\Clients\New%20Dimensions%20Capital\New%20Dimensions%20Capital%20Portfolio%20Proposal.xlsx" TargetMode="External"/><Relationship Id="rId1" Type="http://schemas.openxmlformats.org/officeDocument/2006/relationships/externalLinkPath" Target="/.shortcut-targets-by-id/1pNJaoHLme3f4k2FSHKUlSSboM93MHScR/AXSA%20Main%20Shared%20Drive/Clients/New%20Dimensions%20Capital/New%20Dimensions%20Capital%20Portfolio%20Propos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ocation"/>
      <sheetName val="Equity Allocation"/>
      <sheetName val="JM_AXSA"/>
    </sheetNames>
    <sheetDataSet>
      <sheetData sheetId="0"/>
      <sheetData sheetId="1">
        <row r="16">
          <cell r="F16">
            <v>0.18210000000000001</v>
          </cell>
        </row>
        <row r="17">
          <cell r="F17">
            <v>0.23619999999999999</v>
          </cell>
        </row>
        <row r="18">
          <cell r="F18">
            <v>0.1668</v>
          </cell>
        </row>
        <row r="24">
          <cell r="F24">
            <v>0.19989999999999999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yneanderson.com/real-estate/opportunistic-equity/" TargetMode="External"/><Relationship Id="rId13" Type="http://schemas.openxmlformats.org/officeDocument/2006/relationships/hyperlink" Target="https://www.sandgrovecapital.com/" TargetMode="External"/><Relationship Id="rId3" Type="http://schemas.openxmlformats.org/officeDocument/2006/relationships/hyperlink" Target="https://citywire.com/selector/news/ironshield-announces-first-close-of-european-distressed-debt-fund-targeting-300m/a2428745" TargetMode="External"/><Relationship Id="rId7" Type="http://schemas.openxmlformats.org/officeDocument/2006/relationships/hyperlink" Target="https://www.crowholdings.com/insights/crow-holdings-closes-tenth-u-s-diversified-value-add-real-estate-fund-at-3-1-billion/" TargetMode="External"/><Relationship Id="rId12" Type="http://schemas.openxmlformats.org/officeDocument/2006/relationships/hyperlink" Target="https://www.pharo.com/" TargetMode="External"/><Relationship Id="rId2" Type="http://schemas.openxmlformats.org/officeDocument/2006/relationships/hyperlink" Target="https://a16z.com/growth/" TargetMode="External"/><Relationship Id="rId1" Type="http://schemas.openxmlformats.org/officeDocument/2006/relationships/hyperlink" Target="https://500.co/strategy/flagship" TargetMode="External"/><Relationship Id="rId6" Type="http://schemas.openxmlformats.org/officeDocument/2006/relationships/hyperlink" Target="https://origininvestments.com/fund/incomeplus-fund/" TargetMode="External"/><Relationship Id="rId11" Type="http://schemas.openxmlformats.org/officeDocument/2006/relationships/hyperlink" Target="https://terracapital.com.au/wp-content/uploads/2024/12/Natural-Resources-Fund-Factsheet-November-2024.pdf" TargetMode="External"/><Relationship Id="rId5" Type="http://schemas.openxmlformats.org/officeDocument/2006/relationships/hyperlink" Target="https://www.ssvp.gg/ssvp-funds/essvp-iv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thehedgefundjournal.com/ballymena-soft-commodities-strategy/" TargetMode="External"/><Relationship Id="rId4" Type="http://schemas.openxmlformats.org/officeDocument/2006/relationships/hyperlink" Target="https://www.bloomberg.com/news/articles/2024-08-27/new-credit-manager-ccs-partners-raises-4-billion-for-deals" TargetMode="External"/><Relationship Id="rId9" Type="http://schemas.openxmlformats.org/officeDocument/2006/relationships/hyperlink" Target="https://www.cip.com/funds/growth-markets-funds/" TargetMode="External"/><Relationship Id="rId14" Type="http://schemas.openxmlformats.org/officeDocument/2006/relationships/hyperlink" Target="https://www.infracapital.co.uk/news/2018/infracapital-concludes-fund-iii-fundraising-with-commitments-of-gbp-1-85-eur-2-1-bill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70AB-5503-4F83-B4D8-2A12204F504B}">
  <dimension ref="B2:K51"/>
  <sheetViews>
    <sheetView tabSelected="1" zoomScale="70" zoomScaleNormal="70" workbookViewId="0">
      <selection activeCell="C50" sqref="C50"/>
    </sheetView>
  </sheetViews>
  <sheetFormatPr defaultRowHeight="15" outlineLevelRow="1" x14ac:dyDescent="0.25"/>
  <cols>
    <col min="1" max="1" width="2.7109375" customWidth="1"/>
    <col min="2" max="2" width="15.7109375" customWidth="1"/>
    <col min="3" max="3" width="30.7109375" customWidth="1"/>
    <col min="4" max="11" width="15.7109375" customWidth="1"/>
  </cols>
  <sheetData>
    <row r="2" spans="2:11" s="96" customFormat="1" ht="30" x14ac:dyDescent="0.25">
      <c r="B2" s="97" t="s">
        <v>137</v>
      </c>
      <c r="C2" s="97" t="s">
        <v>138</v>
      </c>
      <c r="D2" s="97" t="s">
        <v>84</v>
      </c>
      <c r="E2" s="97" t="s">
        <v>139</v>
      </c>
      <c r="F2" s="97" t="s">
        <v>140</v>
      </c>
      <c r="G2" s="97" t="s">
        <v>141</v>
      </c>
      <c r="H2" s="97" t="s">
        <v>47</v>
      </c>
      <c r="I2" s="98" t="s">
        <v>142</v>
      </c>
      <c r="J2" s="98" t="s">
        <v>143</v>
      </c>
      <c r="K2" s="98" t="s">
        <v>144</v>
      </c>
    </row>
    <row r="3" spans="2:11" x14ac:dyDescent="0.25">
      <c r="B3" t="s">
        <v>66</v>
      </c>
      <c r="C3" t="str">
        <f>'Sample Allocation Template'!I10</f>
        <v>Cash (Money-Market Fund)</v>
      </c>
      <c r="D3" s="104" t="s">
        <v>12</v>
      </c>
      <c r="E3" t="s">
        <v>162</v>
      </c>
      <c r="F3" t="s">
        <v>81</v>
      </c>
      <c r="G3" t="s">
        <v>145</v>
      </c>
      <c r="H3" t="s">
        <v>12</v>
      </c>
      <c r="I3" s="100"/>
      <c r="J3" s="100"/>
    </row>
    <row r="4" spans="2:11" x14ac:dyDescent="0.25">
      <c r="B4" t="s">
        <v>206</v>
      </c>
      <c r="C4" t="s">
        <v>205</v>
      </c>
      <c r="D4" s="105" t="s">
        <v>15</v>
      </c>
      <c r="E4" t="s">
        <v>204</v>
      </c>
      <c r="F4" t="s">
        <v>81</v>
      </c>
      <c r="G4" t="s">
        <v>145</v>
      </c>
      <c r="H4" t="s">
        <v>16</v>
      </c>
    </row>
    <row r="5" spans="2:11" x14ac:dyDescent="0.25">
      <c r="B5" t="s">
        <v>207</v>
      </c>
      <c r="C5" t="s">
        <v>208</v>
      </c>
      <c r="D5" s="105" t="s">
        <v>15</v>
      </c>
      <c r="E5" t="s">
        <v>203</v>
      </c>
      <c r="F5" t="s">
        <v>81</v>
      </c>
      <c r="G5" t="s">
        <v>145</v>
      </c>
      <c r="H5" t="s">
        <v>16</v>
      </c>
    </row>
    <row r="6" spans="2:11" x14ac:dyDescent="0.25">
      <c r="B6" t="s">
        <v>66</v>
      </c>
      <c r="C6" s="99" t="s">
        <v>209</v>
      </c>
      <c r="D6" s="105" t="s">
        <v>15</v>
      </c>
      <c r="E6" t="s">
        <v>210</v>
      </c>
      <c r="F6" t="s">
        <v>81</v>
      </c>
      <c r="G6" t="s">
        <v>145</v>
      </c>
      <c r="H6" s="99" t="s">
        <v>16</v>
      </c>
    </row>
    <row r="7" spans="2:11" x14ac:dyDescent="0.25">
      <c r="B7" t="s">
        <v>213</v>
      </c>
      <c r="C7" t="s">
        <v>212</v>
      </c>
      <c r="D7" s="105" t="s">
        <v>15</v>
      </c>
      <c r="E7" t="s">
        <v>147</v>
      </c>
      <c r="F7" t="s">
        <v>81</v>
      </c>
      <c r="G7" t="s">
        <v>145</v>
      </c>
      <c r="H7" s="99" t="s">
        <v>16</v>
      </c>
    </row>
    <row r="8" spans="2:11" x14ac:dyDescent="0.25">
      <c r="B8" t="s">
        <v>66</v>
      </c>
      <c r="C8" s="99" t="s">
        <v>225</v>
      </c>
      <c r="D8" s="105" t="s">
        <v>15</v>
      </c>
      <c r="E8" t="s">
        <v>148</v>
      </c>
      <c r="F8" t="s">
        <v>81</v>
      </c>
      <c r="G8" t="s">
        <v>145</v>
      </c>
      <c r="H8" s="99" t="s">
        <v>202</v>
      </c>
    </row>
    <row r="9" spans="2:11" x14ac:dyDescent="0.25">
      <c r="B9" t="s">
        <v>215</v>
      </c>
      <c r="C9" t="s">
        <v>214</v>
      </c>
      <c r="D9" s="105" t="s">
        <v>15</v>
      </c>
      <c r="E9" t="s">
        <v>150</v>
      </c>
      <c r="F9" t="s">
        <v>81</v>
      </c>
      <c r="G9" t="s">
        <v>145</v>
      </c>
      <c r="H9" s="99" t="s">
        <v>202</v>
      </c>
    </row>
    <row r="10" spans="2:11" x14ac:dyDescent="0.25">
      <c r="B10" t="s">
        <v>217</v>
      </c>
      <c r="C10" t="s">
        <v>216</v>
      </c>
      <c r="D10" s="105" t="s">
        <v>15</v>
      </c>
      <c r="E10" t="s">
        <v>201</v>
      </c>
      <c r="F10" t="s">
        <v>81</v>
      </c>
      <c r="G10" t="s">
        <v>145</v>
      </c>
      <c r="H10" s="99" t="s">
        <v>16</v>
      </c>
    </row>
    <row r="11" spans="2:11" x14ac:dyDescent="0.25">
      <c r="B11" t="s">
        <v>66</v>
      </c>
      <c r="C11" s="99" t="s">
        <v>220</v>
      </c>
      <c r="D11" s="105" t="s">
        <v>15</v>
      </c>
      <c r="E11" t="s">
        <v>211</v>
      </c>
      <c r="F11" t="s">
        <v>81</v>
      </c>
      <c r="G11" t="s">
        <v>145</v>
      </c>
      <c r="H11" s="99" t="s">
        <v>202</v>
      </c>
    </row>
    <row r="12" spans="2:11" x14ac:dyDescent="0.25">
      <c r="B12" t="s">
        <v>199</v>
      </c>
      <c r="C12" t="s">
        <v>200</v>
      </c>
      <c r="D12" s="106" t="s">
        <v>28</v>
      </c>
      <c r="E12" t="s">
        <v>149</v>
      </c>
      <c r="F12" t="s">
        <v>81</v>
      </c>
      <c r="G12" t="s">
        <v>145</v>
      </c>
      <c r="H12" t="s">
        <v>16</v>
      </c>
    </row>
    <row r="13" spans="2:11" x14ac:dyDescent="0.25">
      <c r="B13" t="s">
        <v>155</v>
      </c>
      <c r="C13" t="s">
        <v>157</v>
      </c>
      <c r="D13" s="106" t="s">
        <v>28</v>
      </c>
      <c r="E13" t="s">
        <v>152</v>
      </c>
      <c r="F13" t="s">
        <v>81</v>
      </c>
      <c r="G13" t="s">
        <v>145</v>
      </c>
      <c r="H13" t="s">
        <v>16</v>
      </c>
    </row>
    <row r="14" spans="2:11" x14ac:dyDescent="0.25">
      <c r="B14" t="s">
        <v>156</v>
      </c>
      <c r="C14" t="s">
        <v>158</v>
      </c>
      <c r="D14" s="106" t="s">
        <v>28</v>
      </c>
      <c r="E14" t="s">
        <v>153</v>
      </c>
      <c r="F14" t="s">
        <v>81</v>
      </c>
      <c r="G14" t="s">
        <v>145</v>
      </c>
      <c r="H14" t="s">
        <v>16</v>
      </c>
    </row>
    <row r="15" spans="2:11" x14ac:dyDescent="0.25">
      <c r="B15" t="s">
        <v>187</v>
      </c>
      <c r="C15" t="s">
        <v>188</v>
      </c>
      <c r="D15" s="106" t="s">
        <v>28</v>
      </c>
      <c r="E15" t="s">
        <v>154</v>
      </c>
      <c r="F15" t="s">
        <v>81</v>
      </c>
      <c r="G15" t="s">
        <v>145</v>
      </c>
      <c r="H15" t="s">
        <v>16</v>
      </c>
    </row>
    <row r="16" spans="2:11" x14ac:dyDescent="0.25">
      <c r="B16" t="s">
        <v>189</v>
      </c>
      <c r="C16" t="s">
        <v>190</v>
      </c>
      <c r="D16" s="106" t="s">
        <v>28</v>
      </c>
      <c r="E16" t="s">
        <v>150</v>
      </c>
      <c r="F16" t="s">
        <v>81</v>
      </c>
      <c r="G16" t="s">
        <v>145</v>
      </c>
      <c r="H16" t="s">
        <v>16</v>
      </c>
    </row>
    <row r="17" spans="2:8" x14ac:dyDescent="0.25">
      <c r="B17" t="s">
        <v>191</v>
      </c>
      <c r="C17" t="s">
        <v>192</v>
      </c>
      <c r="D17" s="106" t="s">
        <v>28</v>
      </c>
      <c r="E17" t="s">
        <v>201</v>
      </c>
      <c r="F17" t="s">
        <v>81</v>
      </c>
      <c r="G17" t="s">
        <v>145</v>
      </c>
      <c r="H17" t="s">
        <v>16</v>
      </c>
    </row>
    <row r="18" spans="2:8" x14ac:dyDescent="0.25">
      <c r="B18" t="s">
        <v>193</v>
      </c>
      <c r="C18" t="s">
        <v>194</v>
      </c>
      <c r="D18" s="106" t="s">
        <v>28</v>
      </c>
      <c r="E18" t="s">
        <v>27</v>
      </c>
      <c r="F18" t="s">
        <v>81</v>
      </c>
      <c r="G18" t="s">
        <v>145</v>
      </c>
      <c r="H18" t="s">
        <v>16</v>
      </c>
    </row>
    <row r="19" spans="2:8" x14ac:dyDescent="0.25">
      <c r="B19" t="s">
        <v>195</v>
      </c>
      <c r="C19" t="s">
        <v>196</v>
      </c>
      <c r="D19" s="106" t="s">
        <v>28</v>
      </c>
      <c r="E19" t="s">
        <v>151</v>
      </c>
      <c r="F19" t="s">
        <v>81</v>
      </c>
      <c r="G19" t="s">
        <v>145</v>
      </c>
      <c r="H19" t="s">
        <v>16</v>
      </c>
    </row>
    <row r="20" spans="2:8" x14ac:dyDescent="0.25">
      <c r="B20" t="s">
        <v>197</v>
      </c>
      <c r="C20" t="s">
        <v>198</v>
      </c>
      <c r="D20" s="106" t="s">
        <v>28</v>
      </c>
      <c r="E20" t="s">
        <v>160</v>
      </c>
      <c r="F20" t="s">
        <v>81</v>
      </c>
      <c r="G20" t="s">
        <v>145</v>
      </c>
      <c r="H20" t="s">
        <v>16</v>
      </c>
    </row>
    <row r="21" spans="2:8" x14ac:dyDescent="0.25">
      <c r="B21" t="s">
        <v>66</v>
      </c>
      <c r="C21" t="s">
        <v>233</v>
      </c>
      <c r="D21" s="106" t="s">
        <v>28</v>
      </c>
      <c r="E21" t="s">
        <v>161</v>
      </c>
      <c r="F21" t="s">
        <v>81</v>
      </c>
      <c r="G21" t="s">
        <v>145</v>
      </c>
      <c r="H21" t="s">
        <v>16</v>
      </c>
    </row>
    <row r="22" spans="2:8" x14ac:dyDescent="0.25">
      <c r="B22" t="s">
        <v>66</v>
      </c>
      <c r="C22" s="99" t="s">
        <v>127</v>
      </c>
      <c r="D22" s="107" t="s">
        <v>33</v>
      </c>
      <c r="E22" t="s">
        <v>115</v>
      </c>
      <c r="F22" t="s">
        <v>159</v>
      </c>
      <c r="G22" t="s">
        <v>146</v>
      </c>
      <c r="H22" t="s">
        <v>22</v>
      </c>
    </row>
    <row r="23" spans="2:8" x14ac:dyDescent="0.25">
      <c r="B23" t="s">
        <v>66</v>
      </c>
      <c r="C23" t="s">
        <v>219</v>
      </c>
      <c r="D23" s="107" t="s">
        <v>33</v>
      </c>
      <c r="E23" t="s">
        <v>164</v>
      </c>
      <c r="F23" t="s">
        <v>159</v>
      </c>
      <c r="G23" t="s">
        <v>146</v>
      </c>
      <c r="H23" t="s">
        <v>22</v>
      </c>
    </row>
    <row r="24" spans="2:8" x14ac:dyDescent="0.25">
      <c r="B24" t="s">
        <v>66</v>
      </c>
      <c r="C24" t="s">
        <v>223</v>
      </c>
      <c r="D24" s="107" t="s">
        <v>33</v>
      </c>
      <c r="E24" t="s">
        <v>27</v>
      </c>
      <c r="F24" t="s">
        <v>159</v>
      </c>
      <c r="G24" t="s">
        <v>146</v>
      </c>
      <c r="H24" t="s">
        <v>22</v>
      </c>
    </row>
    <row r="25" spans="2:8" x14ac:dyDescent="0.25">
      <c r="B25" t="s">
        <v>66</v>
      </c>
      <c r="C25" s="99" t="s">
        <v>227</v>
      </c>
      <c r="D25" s="107" t="s">
        <v>33</v>
      </c>
      <c r="E25" t="s">
        <v>163</v>
      </c>
      <c r="F25" t="s">
        <v>159</v>
      </c>
      <c r="G25" t="s">
        <v>146</v>
      </c>
      <c r="H25" t="s">
        <v>22</v>
      </c>
    </row>
    <row r="26" spans="2:8" x14ac:dyDescent="0.25">
      <c r="B26" t="s">
        <v>66</v>
      </c>
      <c r="C26" s="99" t="s">
        <v>228</v>
      </c>
      <c r="D26" s="107" t="s">
        <v>33</v>
      </c>
      <c r="E26" t="s">
        <v>124</v>
      </c>
      <c r="F26" t="s">
        <v>159</v>
      </c>
      <c r="G26" t="s">
        <v>146</v>
      </c>
      <c r="H26" t="s">
        <v>22</v>
      </c>
    </row>
    <row r="27" spans="2:8" x14ac:dyDescent="0.25">
      <c r="B27" t="s">
        <v>66</v>
      </c>
      <c r="C27" s="99" t="s">
        <v>222</v>
      </c>
      <c r="D27" s="107" t="s">
        <v>33</v>
      </c>
      <c r="E27" t="s">
        <v>165</v>
      </c>
      <c r="F27" t="s">
        <v>159</v>
      </c>
      <c r="G27" t="s">
        <v>146</v>
      </c>
      <c r="H27" t="s">
        <v>22</v>
      </c>
    </row>
    <row r="28" spans="2:8" x14ac:dyDescent="0.25">
      <c r="B28" t="s">
        <v>66</v>
      </c>
      <c r="C28" s="112" t="s">
        <v>229</v>
      </c>
      <c r="D28" s="108" t="s">
        <v>39</v>
      </c>
      <c r="E28" t="s">
        <v>170</v>
      </c>
      <c r="F28" t="s">
        <v>159</v>
      </c>
      <c r="G28" t="s">
        <v>146</v>
      </c>
      <c r="H28" t="s">
        <v>22</v>
      </c>
    </row>
    <row r="29" spans="2:8" x14ac:dyDescent="0.25">
      <c r="B29" t="s">
        <v>66</v>
      </c>
      <c r="C29" t="s">
        <v>232</v>
      </c>
      <c r="D29" s="108" t="s">
        <v>39</v>
      </c>
      <c r="E29" t="s">
        <v>128</v>
      </c>
      <c r="F29" t="s">
        <v>159</v>
      </c>
      <c r="G29" t="s">
        <v>146</v>
      </c>
      <c r="H29" t="s">
        <v>22</v>
      </c>
    </row>
    <row r="30" spans="2:8" x14ac:dyDescent="0.25">
      <c r="B30" t="s">
        <v>66</v>
      </c>
      <c r="C30" t="s">
        <v>218</v>
      </c>
      <c r="D30" s="108" t="s">
        <v>39</v>
      </c>
      <c r="E30" t="s">
        <v>171</v>
      </c>
      <c r="F30" t="s">
        <v>159</v>
      </c>
      <c r="G30" t="s">
        <v>146</v>
      </c>
      <c r="H30" t="s">
        <v>22</v>
      </c>
    </row>
    <row r="31" spans="2:8" x14ac:dyDescent="0.25">
      <c r="B31" t="s">
        <v>66</v>
      </c>
      <c r="C31" s="112" t="s">
        <v>230</v>
      </c>
      <c r="D31" s="108" t="s">
        <v>39</v>
      </c>
      <c r="E31" t="s">
        <v>172</v>
      </c>
      <c r="F31" t="s">
        <v>159</v>
      </c>
      <c r="G31" t="s">
        <v>146</v>
      </c>
      <c r="H31" t="s">
        <v>22</v>
      </c>
    </row>
    <row r="32" spans="2:8" x14ac:dyDescent="0.25">
      <c r="B32" t="s">
        <v>66</v>
      </c>
      <c r="C32" t="s">
        <v>221</v>
      </c>
      <c r="D32" s="109" t="s">
        <v>18</v>
      </c>
      <c r="E32" t="s">
        <v>166</v>
      </c>
      <c r="F32" t="s">
        <v>159</v>
      </c>
      <c r="G32" t="s">
        <v>146</v>
      </c>
      <c r="H32" t="s">
        <v>22</v>
      </c>
    </row>
    <row r="33" spans="2:8" x14ac:dyDescent="0.25">
      <c r="B33" t="s">
        <v>66</v>
      </c>
      <c r="C33" s="99" t="s">
        <v>231</v>
      </c>
      <c r="D33" s="109" t="s">
        <v>18</v>
      </c>
      <c r="E33" t="s">
        <v>167</v>
      </c>
      <c r="F33" t="s">
        <v>159</v>
      </c>
      <c r="G33" t="s">
        <v>146</v>
      </c>
      <c r="H33" t="s">
        <v>22</v>
      </c>
    </row>
    <row r="34" spans="2:8" x14ac:dyDescent="0.25">
      <c r="B34" t="s">
        <v>66</v>
      </c>
      <c r="C34" s="112" t="s">
        <v>235</v>
      </c>
      <c r="D34" s="109" t="s">
        <v>18</v>
      </c>
      <c r="E34" t="s">
        <v>163</v>
      </c>
      <c r="F34" t="s">
        <v>159</v>
      </c>
      <c r="G34" t="s">
        <v>146</v>
      </c>
      <c r="H34" t="s">
        <v>22</v>
      </c>
    </row>
    <row r="35" spans="2:8" x14ac:dyDescent="0.25">
      <c r="B35" t="s">
        <v>66</v>
      </c>
      <c r="C35" t="s">
        <v>224</v>
      </c>
      <c r="D35" s="109" t="s">
        <v>18</v>
      </c>
      <c r="E35" t="s">
        <v>168</v>
      </c>
      <c r="F35" t="s">
        <v>159</v>
      </c>
      <c r="G35" t="s">
        <v>146</v>
      </c>
      <c r="H35" t="s">
        <v>22</v>
      </c>
    </row>
    <row r="36" spans="2:8" x14ac:dyDescent="0.25">
      <c r="B36" t="s">
        <v>66</v>
      </c>
      <c r="C36" t="s">
        <v>234</v>
      </c>
      <c r="D36" s="109" t="s">
        <v>18</v>
      </c>
      <c r="E36" t="s">
        <v>169</v>
      </c>
      <c r="F36" t="s">
        <v>159</v>
      </c>
      <c r="G36" t="s">
        <v>146</v>
      </c>
      <c r="H36" t="s">
        <v>22</v>
      </c>
    </row>
    <row r="37" spans="2:8" x14ac:dyDescent="0.25">
      <c r="B37" t="s">
        <v>66</v>
      </c>
      <c r="C37" s="112" t="s">
        <v>236</v>
      </c>
      <c r="D37" s="109" t="s">
        <v>18</v>
      </c>
      <c r="E37" t="s">
        <v>113</v>
      </c>
      <c r="F37" t="s">
        <v>159</v>
      </c>
      <c r="G37" t="s">
        <v>146</v>
      </c>
      <c r="H37" t="s">
        <v>22</v>
      </c>
    </row>
    <row r="38" spans="2:8" x14ac:dyDescent="0.25">
      <c r="B38" t="s">
        <v>66</v>
      </c>
      <c r="C38" s="112" t="s">
        <v>237</v>
      </c>
      <c r="D38" s="109" t="s">
        <v>18</v>
      </c>
      <c r="E38" t="s">
        <v>173</v>
      </c>
      <c r="F38" t="s">
        <v>159</v>
      </c>
      <c r="G38" t="s">
        <v>146</v>
      </c>
      <c r="H38" t="s">
        <v>22</v>
      </c>
    </row>
    <row r="39" spans="2:8" x14ac:dyDescent="0.25">
      <c r="B39" t="s">
        <v>66</v>
      </c>
      <c r="C39" t="s">
        <v>238</v>
      </c>
      <c r="D39" s="101" t="s">
        <v>87</v>
      </c>
      <c r="E39" t="s">
        <v>174</v>
      </c>
      <c r="F39" t="s">
        <v>159</v>
      </c>
      <c r="G39" t="s">
        <v>146</v>
      </c>
      <c r="H39" t="s">
        <v>22</v>
      </c>
    </row>
    <row r="40" spans="2:8" x14ac:dyDescent="0.25">
      <c r="B40" t="s">
        <v>66</v>
      </c>
      <c r="C40" s="111" t="s">
        <v>239</v>
      </c>
      <c r="D40" s="101" t="s">
        <v>87</v>
      </c>
      <c r="E40" t="s">
        <v>175</v>
      </c>
      <c r="F40" t="s">
        <v>159</v>
      </c>
      <c r="G40" t="s">
        <v>146</v>
      </c>
      <c r="H40" t="s">
        <v>22</v>
      </c>
    </row>
    <row r="41" spans="2:8" x14ac:dyDescent="0.25">
      <c r="B41" t="s">
        <v>66</v>
      </c>
      <c r="C41" s="111" t="s">
        <v>240</v>
      </c>
      <c r="D41" s="101" t="s">
        <v>87</v>
      </c>
      <c r="E41" t="s">
        <v>176</v>
      </c>
      <c r="F41" t="s">
        <v>159</v>
      </c>
      <c r="G41" t="s">
        <v>146</v>
      </c>
      <c r="H41" t="s">
        <v>22</v>
      </c>
    </row>
    <row r="42" spans="2:8" x14ac:dyDescent="0.25">
      <c r="B42" t="s">
        <v>66</v>
      </c>
      <c r="C42" s="112" t="s">
        <v>241</v>
      </c>
      <c r="D42" s="101" t="s">
        <v>87</v>
      </c>
      <c r="E42" t="s">
        <v>177</v>
      </c>
      <c r="F42" t="s">
        <v>159</v>
      </c>
      <c r="G42" t="s">
        <v>146</v>
      </c>
      <c r="H42" t="s">
        <v>22</v>
      </c>
    </row>
    <row r="43" spans="2:8" x14ac:dyDescent="0.25">
      <c r="B43" t="s">
        <v>66</v>
      </c>
      <c r="C43" s="111" t="s">
        <v>242</v>
      </c>
      <c r="D43" s="102" t="s">
        <v>88</v>
      </c>
      <c r="E43" t="s">
        <v>183</v>
      </c>
      <c r="F43" t="s">
        <v>159</v>
      </c>
      <c r="G43" t="s">
        <v>146</v>
      </c>
      <c r="H43" t="s">
        <v>22</v>
      </c>
    </row>
    <row r="44" spans="2:8" x14ac:dyDescent="0.25">
      <c r="B44" t="s">
        <v>66</v>
      </c>
      <c r="C44" s="112" t="s">
        <v>249</v>
      </c>
      <c r="D44" s="102" t="s">
        <v>88</v>
      </c>
      <c r="E44" t="s">
        <v>184</v>
      </c>
      <c r="F44" t="s">
        <v>159</v>
      </c>
      <c r="G44" t="s">
        <v>146</v>
      </c>
      <c r="H44" t="s">
        <v>22</v>
      </c>
    </row>
    <row r="45" spans="2:8" x14ac:dyDescent="0.25">
      <c r="B45" t="s">
        <v>66</v>
      </c>
      <c r="C45" s="111" t="s">
        <v>243</v>
      </c>
      <c r="D45" s="103" t="s">
        <v>43</v>
      </c>
      <c r="E45" t="s">
        <v>185</v>
      </c>
      <c r="F45" t="s">
        <v>159</v>
      </c>
      <c r="G45" t="s">
        <v>146</v>
      </c>
      <c r="H45" t="s">
        <v>22</v>
      </c>
    </row>
    <row r="46" spans="2:8" x14ac:dyDescent="0.25">
      <c r="B46" t="s">
        <v>66</v>
      </c>
      <c r="C46" s="112" t="s">
        <v>244</v>
      </c>
      <c r="D46" s="103" t="s">
        <v>43</v>
      </c>
      <c r="E46" t="s">
        <v>186</v>
      </c>
      <c r="F46" t="s">
        <v>159</v>
      </c>
      <c r="G46" t="s">
        <v>146</v>
      </c>
      <c r="H46" t="s">
        <v>22</v>
      </c>
    </row>
    <row r="47" spans="2:8" outlineLevel="1" x14ac:dyDescent="0.25">
      <c r="B47" t="s">
        <v>66</v>
      </c>
      <c r="C47" s="112" t="s">
        <v>245</v>
      </c>
      <c r="D47" s="110" t="s">
        <v>42</v>
      </c>
      <c r="E47" t="s">
        <v>178</v>
      </c>
      <c r="F47" t="s">
        <v>159</v>
      </c>
      <c r="G47" t="s">
        <v>146</v>
      </c>
      <c r="H47" t="s">
        <v>22</v>
      </c>
    </row>
    <row r="48" spans="2:8" outlineLevel="1" x14ac:dyDescent="0.25">
      <c r="B48" t="s">
        <v>66</v>
      </c>
      <c r="C48" t="s">
        <v>226</v>
      </c>
      <c r="D48" s="110" t="s">
        <v>42</v>
      </c>
      <c r="E48" t="s">
        <v>181</v>
      </c>
      <c r="F48" t="s">
        <v>159</v>
      </c>
      <c r="G48" t="s">
        <v>146</v>
      </c>
      <c r="H48" t="s">
        <v>22</v>
      </c>
    </row>
    <row r="49" spans="2:8" outlineLevel="1" x14ac:dyDescent="0.25">
      <c r="B49" t="s">
        <v>66</v>
      </c>
      <c r="C49" s="99" t="s">
        <v>248</v>
      </c>
      <c r="D49" s="110" t="s">
        <v>42</v>
      </c>
      <c r="E49" t="s">
        <v>179</v>
      </c>
      <c r="F49" t="s">
        <v>159</v>
      </c>
      <c r="G49" t="s">
        <v>146</v>
      </c>
      <c r="H49" t="s">
        <v>22</v>
      </c>
    </row>
    <row r="50" spans="2:8" outlineLevel="1" x14ac:dyDescent="0.25">
      <c r="B50" t="s">
        <v>66</v>
      </c>
      <c r="C50" s="111" t="s">
        <v>247</v>
      </c>
      <c r="D50" s="110" t="s">
        <v>42</v>
      </c>
      <c r="E50" t="s">
        <v>180</v>
      </c>
      <c r="F50" t="s">
        <v>159</v>
      </c>
      <c r="G50" t="s">
        <v>146</v>
      </c>
      <c r="H50" t="s">
        <v>22</v>
      </c>
    </row>
    <row r="51" spans="2:8" outlineLevel="1" x14ac:dyDescent="0.25">
      <c r="B51" t="s">
        <v>66</v>
      </c>
      <c r="C51" t="s">
        <v>246</v>
      </c>
      <c r="D51" s="110" t="s">
        <v>42</v>
      </c>
      <c r="E51" t="s">
        <v>182</v>
      </c>
      <c r="F51" t="s">
        <v>159</v>
      </c>
      <c r="G51" t="s">
        <v>146</v>
      </c>
      <c r="H51" t="s">
        <v>22</v>
      </c>
    </row>
  </sheetData>
  <hyperlinks>
    <hyperlink ref="C28" r:id="rId1" xr:uid="{B7BA0127-1C0D-4E30-A9EB-6E7E4A9BDF96}"/>
    <hyperlink ref="C31" r:id="rId2" xr:uid="{F7095D6B-0BD1-40AD-8889-DE0B82C645B0}"/>
    <hyperlink ref="C34" r:id="rId3" xr:uid="{5D1361FF-494E-43E8-9448-44CEFBAF4868}"/>
    <hyperlink ref="C37" r:id="rId4" xr:uid="{009ABE88-CCDC-48E6-BBFB-EF943648AEFE}"/>
    <hyperlink ref="C38" r:id="rId5" xr:uid="{A968BE70-69A3-4614-B12D-59B3D44F837B}"/>
    <hyperlink ref="C40" r:id="rId6" xr:uid="{ADEE1C18-B54F-4862-BB98-C8CD2B7BE09B}"/>
    <hyperlink ref="C41" r:id="rId7" display="Crow Holdings Realty Partners Fund X" xr:uid="{360CBF26-D96D-431E-9C83-C4B4AF4053CC}"/>
    <hyperlink ref="C42" r:id="rId8" xr:uid="{E9BE785D-0401-4C83-9CC2-F18F27C53D70}"/>
    <hyperlink ref="C43" r:id="rId9" xr:uid="{8B3064D4-5E45-4212-8E3A-2A9737E30E82}"/>
    <hyperlink ref="C46" r:id="rId10" xr:uid="{C5D8819F-206D-4811-AD23-C7BE42205475}"/>
    <hyperlink ref="C45" r:id="rId11" xr:uid="{412D843A-469B-414E-B8DE-77995C1860D3}"/>
    <hyperlink ref="C47" r:id="rId12" xr:uid="{0C5D690D-4F6E-467E-8365-ED539C3470E8}"/>
    <hyperlink ref="C50" r:id="rId13" xr:uid="{D0EF6331-9FCB-4B28-A657-EDD6CA016D3C}"/>
    <hyperlink ref="C44" r:id="rId14" xr:uid="{33029B82-3CBE-41A6-BDF8-7882BD6A4BB8}"/>
  </hyperlinks>
  <pageMargins left="0.7" right="0.7" top="0.75" bottom="0.75" header="0.3" footer="0.3"/>
  <pageSetup paperSize="9" orientation="portrait" horizontalDpi="0" verticalDpi="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T51"/>
  <sheetViews>
    <sheetView topLeftCell="H14" zoomScale="85" zoomScaleNormal="85" workbookViewId="0">
      <selection activeCell="I31" sqref="I31"/>
    </sheetView>
  </sheetViews>
  <sheetFormatPr defaultColWidth="15.7109375" defaultRowHeight="13.5" outlineLevelRow="1" outlineLevelCol="1" x14ac:dyDescent="0.25"/>
  <cols>
    <col min="1" max="1" width="2.7109375" style="54" customWidth="1"/>
    <col min="2" max="2" width="15.7109375" style="54" customWidth="1"/>
    <col min="3" max="8" width="17.5703125" style="54" customWidth="1" outlineLevel="1"/>
    <col min="9" max="9" width="60.7109375" style="54" customWidth="1"/>
    <col min="10" max="19" width="15.7109375" style="54" customWidth="1"/>
    <col min="20" max="38" width="15.7109375" style="54"/>
    <col min="39" max="39" width="16.5703125" style="54" bestFit="1" customWidth="1"/>
    <col min="40" max="16384" width="15.7109375" style="54"/>
  </cols>
  <sheetData>
    <row r="2" spans="2:46" x14ac:dyDescent="0.25">
      <c r="B2" s="64" t="str">
        <f>"Proposed Portfolio ($"&amp;TEXT($B$50,"0")&amp;"M)"</f>
        <v>Proposed Portfolio ($30M)</v>
      </c>
      <c r="U2" s="82" t="s">
        <v>68</v>
      </c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</row>
    <row r="3" spans="2:46" outlineLevel="1" x14ac:dyDescent="0.25">
      <c r="J3" s="94"/>
      <c r="K3" s="94"/>
      <c r="L3" s="94"/>
      <c r="M3" s="94"/>
      <c r="N3" s="94"/>
      <c r="O3" s="94"/>
      <c r="P3" s="94"/>
      <c r="Q3" s="94"/>
      <c r="R3" s="94"/>
      <c r="S3" s="94"/>
    </row>
    <row r="4" spans="2:46" outlineLevel="1" x14ac:dyDescent="0.25">
      <c r="B4" s="71" t="s">
        <v>62</v>
      </c>
      <c r="C4" s="72" t="s">
        <v>63</v>
      </c>
      <c r="D4" s="72" t="s">
        <v>63</v>
      </c>
      <c r="E4" s="72" t="s">
        <v>63</v>
      </c>
      <c r="F4" s="72"/>
      <c r="G4" s="72"/>
      <c r="H4" s="72"/>
      <c r="I4" s="54" t="s">
        <v>65</v>
      </c>
      <c r="J4" s="71" t="s">
        <v>62</v>
      </c>
      <c r="K4" s="71" t="s">
        <v>62</v>
      </c>
      <c r="L4" s="71" t="s">
        <v>62</v>
      </c>
      <c r="M4" s="71" t="s">
        <v>62</v>
      </c>
      <c r="N4" s="71" t="s">
        <v>62</v>
      </c>
      <c r="O4" s="71" t="s">
        <v>62</v>
      </c>
      <c r="P4" s="71" t="s">
        <v>62</v>
      </c>
      <c r="Q4" s="72" t="s">
        <v>63</v>
      </c>
      <c r="R4" s="72" t="s">
        <v>63</v>
      </c>
      <c r="S4" s="72" t="s">
        <v>63</v>
      </c>
    </row>
    <row r="5" spans="2:46" outlineLevel="1" x14ac:dyDescent="0.25">
      <c r="B5" s="70" t="s">
        <v>61</v>
      </c>
      <c r="C5" s="70" t="s">
        <v>61</v>
      </c>
      <c r="D5" s="70" t="s">
        <v>61</v>
      </c>
      <c r="E5" s="70" t="s">
        <v>61</v>
      </c>
      <c r="F5" s="70"/>
      <c r="G5" s="70"/>
      <c r="H5" s="70"/>
      <c r="I5" s="54" t="s">
        <v>65</v>
      </c>
      <c r="J5" s="54" t="s">
        <v>64</v>
      </c>
      <c r="K5" s="54" t="s">
        <v>64</v>
      </c>
      <c r="L5" s="70" t="s">
        <v>61</v>
      </c>
      <c r="M5" s="54" t="s">
        <v>64</v>
      </c>
      <c r="N5" s="70" t="s">
        <v>61</v>
      </c>
      <c r="O5" s="54" t="s">
        <v>64</v>
      </c>
      <c r="P5" s="70" t="s">
        <v>61</v>
      </c>
      <c r="Q5" s="54" t="s">
        <v>64</v>
      </c>
      <c r="R5" s="54" t="s">
        <v>64</v>
      </c>
      <c r="S5" s="54" t="s">
        <v>64</v>
      </c>
    </row>
    <row r="6" spans="2:46" x14ac:dyDescent="0.25">
      <c r="U6" s="64" t="s">
        <v>70</v>
      </c>
      <c r="Y6" s="64" t="s">
        <v>73</v>
      </c>
      <c r="AC6" s="64" t="s">
        <v>77</v>
      </c>
      <c r="AG6" s="64" t="s">
        <v>83</v>
      </c>
      <c r="AL6" s="93" t="s">
        <v>136</v>
      </c>
      <c r="AM6" s="94"/>
      <c r="AN6" s="94"/>
      <c r="AO6" s="94"/>
      <c r="AP6" s="94"/>
      <c r="AQ6" s="94"/>
      <c r="AR6" s="94"/>
    </row>
    <row r="7" spans="2:46" ht="27" x14ac:dyDescent="0.25">
      <c r="B7" s="1" t="s">
        <v>46</v>
      </c>
      <c r="C7" s="65" t="s">
        <v>47</v>
      </c>
      <c r="D7" s="66" t="s">
        <v>80</v>
      </c>
      <c r="E7" s="66" t="s">
        <v>79</v>
      </c>
      <c r="F7" s="66" t="s">
        <v>78</v>
      </c>
      <c r="G7" s="66" t="s">
        <v>84</v>
      </c>
      <c r="H7" s="66" t="s">
        <v>85</v>
      </c>
      <c r="I7" s="65"/>
      <c r="J7" s="66" t="s">
        <v>0</v>
      </c>
      <c r="K7" s="67" t="s">
        <v>1</v>
      </c>
      <c r="L7" s="66" t="s">
        <v>2</v>
      </c>
      <c r="M7" s="66" t="s">
        <v>3</v>
      </c>
      <c r="N7" s="66" t="s">
        <v>4</v>
      </c>
      <c r="O7" s="66" t="s">
        <v>5</v>
      </c>
      <c r="P7" s="66" t="s">
        <v>6</v>
      </c>
      <c r="Q7" s="68" t="s">
        <v>7</v>
      </c>
      <c r="R7" s="68" t="s">
        <v>8</v>
      </c>
      <c r="S7" s="68" t="s">
        <v>9</v>
      </c>
      <c r="U7" s="85" t="s">
        <v>71</v>
      </c>
      <c r="V7" s="85" t="s">
        <v>51</v>
      </c>
      <c r="W7" s="85" t="s">
        <v>69</v>
      </c>
      <c r="Y7" s="85" t="s">
        <v>47</v>
      </c>
      <c r="Z7" s="85" t="s">
        <v>74</v>
      </c>
      <c r="AA7" s="85" t="s">
        <v>75</v>
      </c>
      <c r="AC7" s="85" t="s">
        <v>50</v>
      </c>
      <c r="AD7" s="85" t="s">
        <v>74</v>
      </c>
      <c r="AE7" s="85" t="s">
        <v>75</v>
      </c>
      <c r="AG7" s="85" t="s">
        <v>51</v>
      </c>
      <c r="AH7" s="85" t="s">
        <v>47</v>
      </c>
      <c r="AI7" s="85" t="s">
        <v>74</v>
      </c>
      <c r="AJ7" s="85" t="s">
        <v>75</v>
      </c>
      <c r="AL7" s="92" t="s">
        <v>86</v>
      </c>
      <c r="AM7" s="85" t="s">
        <v>84</v>
      </c>
      <c r="AN7" s="85" t="s">
        <v>85</v>
      </c>
      <c r="AO7" s="85" t="s">
        <v>47</v>
      </c>
      <c r="AP7" s="92" t="s">
        <v>103</v>
      </c>
      <c r="AQ7" s="85" t="s">
        <v>75</v>
      </c>
      <c r="AR7" s="85" t="s">
        <v>74</v>
      </c>
    </row>
    <row r="8" spans="2:46" x14ac:dyDescent="0.25">
      <c r="B8" s="2"/>
      <c r="C8" s="81" t="s">
        <v>66</v>
      </c>
      <c r="D8" s="81" t="s">
        <v>66</v>
      </c>
      <c r="E8" s="81" t="s">
        <v>66</v>
      </c>
      <c r="F8" s="81"/>
      <c r="G8" s="81"/>
      <c r="H8" s="81"/>
      <c r="I8" s="3" t="s">
        <v>10</v>
      </c>
      <c r="J8" s="4">
        <f>J9+J17+J23+J13</f>
        <v>15000000</v>
      </c>
      <c r="K8" s="5">
        <f>K9+K13+K17+K23</f>
        <v>0.5</v>
      </c>
      <c r="L8" s="6"/>
      <c r="M8" s="7"/>
      <c r="N8" s="6"/>
      <c r="O8" s="7"/>
      <c r="P8" s="8">
        <f>SUMPRODUCT(P10:P24,S10:S24)/SUM(S10:S24)</f>
        <v>3.8309799999999998E-2</v>
      </c>
      <c r="Q8" s="8">
        <f>Q9+Q17+Q23+Q13</f>
        <v>4.9166666666666671E-2</v>
      </c>
      <c r="R8" s="8">
        <f>R9+R17+R23+R13</f>
        <v>1.3333333333333331E-3</v>
      </c>
      <c r="S8" s="8"/>
      <c r="U8" s="54" t="s">
        <v>10</v>
      </c>
      <c r="V8" s="54" t="s">
        <v>12</v>
      </c>
      <c r="W8" s="84">
        <f>SUMIF($D$8:$D$49,$V8,$Q$8:$Q$49)</f>
        <v>3.0000000000000001E-3</v>
      </c>
      <c r="Y8" s="54" t="s">
        <v>12</v>
      </c>
      <c r="Z8" s="88">
        <f>SUMIF($C:$C,$Y8,$J:$J)</f>
        <v>2000000</v>
      </c>
      <c r="AA8" s="89">
        <f>Z8/Z$12</f>
        <v>6.6666666666666666E-2</v>
      </c>
      <c r="AC8" s="54" t="s">
        <v>12</v>
      </c>
      <c r="AD8" s="88">
        <f>SUMIF($E:$E,$AC8,$J:$J)</f>
        <v>1000000</v>
      </c>
      <c r="AE8" s="89">
        <f>AD8/AD$11</f>
        <v>3.3333333333333333E-2</v>
      </c>
      <c r="AG8" s="54" t="s">
        <v>49</v>
      </c>
      <c r="AH8" s="54" t="s">
        <v>16</v>
      </c>
      <c r="AI8" s="88">
        <f t="shared" ref="AI8:AI14" si="0">SUMIFS($J:$J,$D:$D,$AG8,$C:$C,$AH8)</f>
        <v>7000000</v>
      </c>
      <c r="AJ8" s="89">
        <f t="shared" ref="AJ8:AJ14" si="1">AI8/AI$16</f>
        <v>0.23333333333333334</v>
      </c>
      <c r="AL8" s="54" t="s">
        <v>81</v>
      </c>
      <c r="AQ8" s="89">
        <f t="shared" ref="AQ8:AQ14" si="2">AR8/AR$42</f>
        <v>0</v>
      </c>
      <c r="AR8" s="88"/>
    </row>
    <row r="9" spans="2:46" x14ac:dyDescent="0.25">
      <c r="B9" s="9"/>
      <c r="C9" s="76" t="s">
        <v>66</v>
      </c>
      <c r="D9" s="76" t="s">
        <v>66</v>
      </c>
      <c r="E9" s="76" t="s">
        <v>66</v>
      </c>
      <c r="F9" s="76"/>
      <c r="G9" s="76"/>
      <c r="H9" s="76"/>
      <c r="I9" s="10" t="s">
        <v>11</v>
      </c>
      <c r="J9" s="11">
        <f>SUM(J10:J12)</f>
        <v>2000000</v>
      </c>
      <c r="K9" s="12">
        <f>SUM(K10:K12)</f>
        <v>6.6666666666666666E-2</v>
      </c>
      <c r="L9" s="13"/>
      <c r="M9" s="14"/>
      <c r="N9" s="12">
        <f>SUMPRODUCT(N10:N11,$J10:$J11)/SUM($J10:$J11)</f>
        <v>4.4999999999999998E-2</v>
      </c>
      <c r="O9" s="14"/>
      <c r="P9" s="14"/>
      <c r="Q9" s="12">
        <f>SUM(Q10:Q11)</f>
        <v>3.0000000000000001E-3</v>
      </c>
      <c r="R9" s="12">
        <f>SUM(R10:R11)</f>
        <v>0</v>
      </c>
      <c r="S9" s="12"/>
      <c r="U9" s="54" t="s">
        <v>10</v>
      </c>
      <c r="V9" s="54" t="s">
        <v>48</v>
      </c>
      <c r="W9" s="84">
        <f>SUMIF($D$8:$D$49,$V9,$Q$8:$Q$49)</f>
        <v>4.6166666666666675E-2</v>
      </c>
      <c r="Y9" s="54" t="s">
        <v>16</v>
      </c>
      <c r="Z9" s="88">
        <f>SUMIF($C:$C,$Y9,$J:$J)</f>
        <v>12000000</v>
      </c>
      <c r="AA9" s="89">
        <f>Z9/Z$12</f>
        <v>0.4</v>
      </c>
      <c r="AC9" s="54" t="s">
        <v>52</v>
      </c>
      <c r="AD9" s="88">
        <f>SUMIF($E:$E,$AC9,$J:$J)</f>
        <v>15000000</v>
      </c>
      <c r="AE9" s="89">
        <f>AD9/AD$11</f>
        <v>0.5</v>
      </c>
      <c r="AG9" s="54" t="s">
        <v>49</v>
      </c>
      <c r="AH9" s="54" t="s">
        <v>19</v>
      </c>
      <c r="AI9" s="88">
        <f t="shared" si="0"/>
        <v>2000000</v>
      </c>
      <c r="AJ9" s="89">
        <f t="shared" si="1"/>
        <v>6.6666666666666666E-2</v>
      </c>
      <c r="AM9" s="54" t="s">
        <v>12</v>
      </c>
      <c r="AP9" s="54" t="s">
        <v>89</v>
      </c>
      <c r="AQ9" s="89">
        <f t="shared" si="2"/>
        <v>3.3333333333333333E-2</v>
      </c>
      <c r="AR9" s="88">
        <f>J10</f>
        <v>1000000</v>
      </c>
    </row>
    <row r="10" spans="2:46" x14ac:dyDescent="0.25">
      <c r="B10" s="42">
        <v>1</v>
      </c>
      <c r="C10" s="15" t="s">
        <v>12</v>
      </c>
      <c r="D10" s="15" t="s">
        <v>12</v>
      </c>
      <c r="E10" s="15" t="s">
        <v>12</v>
      </c>
      <c r="F10" s="15" t="s">
        <v>81</v>
      </c>
      <c r="G10" s="15"/>
      <c r="H10" s="15"/>
      <c r="I10" s="16" t="s">
        <v>13</v>
      </c>
      <c r="J10" s="17">
        <f>1000000*B10</f>
        <v>1000000</v>
      </c>
      <c r="K10" s="18">
        <f>J10/J$50</f>
        <v>3.3333333333333333E-2</v>
      </c>
      <c r="L10" s="18">
        <v>4.4999999999999998E-2</v>
      </c>
      <c r="M10" s="19">
        <f>J10*L10</f>
        <v>45000</v>
      </c>
      <c r="N10" s="18">
        <f>L10</f>
        <v>4.4999999999999998E-2</v>
      </c>
      <c r="O10" s="19">
        <f>J10*N10</f>
        <v>45000</v>
      </c>
      <c r="P10" s="20">
        <v>0</v>
      </c>
      <c r="Q10" s="20">
        <f>M10/$J$50</f>
        <v>1.5E-3</v>
      </c>
      <c r="R10" s="20">
        <f>O10/$J$50-Q10</f>
        <v>0</v>
      </c>
      <c r="S10" s="17">
        <f>J10</f>
        <v>1000000</v>
      </c>
      <c r="U10" s="54" t="s">
        <v>10</v>
      </c>
      <c r="V10" s="54" t="s">
        <v>49</v>
      </c>
      <c r="W10" s="84">
        <f>SUMIF($D$8:$D$49,$V10,$Q$8:$Q$49)</f>
        <v>2.6666666666666666E-3</v>
      </c>
      <c r="Y10" s="54" t="s">
        <v>19</v>
      </c>
      <c r="Z10" s="88">
        <f>SUMIF($C:$C,$Y10,$J:$J)</f>
        <v>5000000</v>
      </c>
      <c r="AA10" s="89">
        <f>Z10/Z$12</f>
        <v>0.16666666666666666</v>
      </c>
      <c r="AC10" s="54" t="s">
        <v>53</v>
      </c>
      <c r="AD10" s="88">
        <f>SUMIF($E:$E,$AC10,$J:$J)</f>
        <v>14000000</v>
      </c>
      <c r="AE10" s="89">
        <f>AD10/AD$11</f>
        <v>0.46666666666666667</v>
      </c>
      <c r="AG10" s="54" t="s">
        <v>49</v>
      </c>
      <c r="AH10" s="54" t="s">
        <v>22</v>
      </c>
      <c r="AI10" s="88">
        <f t="shared" si="0"/>
        <v>6000000</v>
      </c>
      <c r="AJ10" s="89">
        <f t="shared" si="1"/>
        <v>0.2</v>
      </c>
      <c r="AP10" s="54" t="s">
        <v>90</v>
      </c>
      <c r="AQ10" s="89">
        <f t="shared" si="2"/>
        <v>3.3333333333333333E-2</v>
      </c>
      <c r="AR10" s="88">
        <f>J11</f>
        <v>1000000</v>
      </c>
    </row>
    <row r="11" spans="2:46" ht="14.25" thickBot="1" x14ac:dyDescent="0.3">
      <c r="B11" s="42">
        <v>1</v>
      </c>
      <c r="C11" s="15" t="s">
        <v>12</v>
      </c>
      <c r="D11" s="15" t="s">
        <v>12</v>
      </c>
      <c r="E11" s="15" t="s">
        <v>52</v>
      </c>
      <c r="F11" s="15" t="s">
        <v>81</v>
      </c>
      <c r="G11" s="15"/>
      <c r="H11" s="15"/>
      <c r="I11" s="16" t="s">
        <v>14</v>
      </c>
      <c r="J11" s="17">
        <f>1000000*B11</f>
        <v>1000000</v>
      </c>
      <c r="K11" s="18">
        <f>J11/J$50</f>
        <v>3.3333333333333333E-2</v>
      </c>
      <c r="L11" s="18">
        <v>4.4999999999999998E-2</v>
      </c>
      <c r="M11" s="19">
        <f>J11*L11</f>
        <v>45000</v>
      </c>
      <c r="N11" s="18">
        <f>L11</f>
        <v>4.4999999999999998E-2</v>
      </c>
      <c r="O11" s="19">
        <f>J11*N11</f>
        <v>45000</v>
      </c>
      <c r="P11" s="20">
        <v>0</v>
      </c>
      <c r="Q11" s="20">
        <f>M11/$J$50</f>
        <v>1.5E-3</v>
      </c>
      <c r="R11" s="20">
        <f>O11/$J$50-Q11</f>
        <v>0</v>
      </c>
      <c r="S11" s="17">
        <f>J11</f>
        <v>1000000</v>
      </c>
      <c r="U11" s="54" t="s">
        <v>27</v>
      </c>
      <c r="V11" s="54" t="s">
        <v>48</v>
      </c>
      <c r="W11" s="84">
        <f>SUMIF($D$8:$D$49,$V11,$R$8:$R$49)</f>
        <v>1.3333333333333331E-3</v>
      </c>
      <c r="Y11" s="54" t="s">
        <v>22</v>
      </c>
      <c r="Z11" s="88">
        <f>SUMIF($C:$C,$Y11,$J:$J)</f>
        <v>11000000</v>
      </c>
      <c r="AA11" s="89">
        <f>Z11/Z$12</f>
        <v>0.36666666666666664</v>
      </c>
      <c r="AC11" s="86" t="s">
        <v>76</v>
      </c>
      <c r="AD11" s="90">
        <f>SUM(AD8:AD10)</f>
        <v>30000000</v>
      </c>
      <c r="AE11" s="91">
        <f>SUM(AE8:AE10)</f>
        <v>1</v>
      </c>
      <c r="AG11" s="54" t="s">
        <v>48</v>
      </c>
      <c r="AH11" s="54" t="s">
        <v>16</v>
      </c>
      <c r="AI11" s="88">
        <f t="shared" si="0"/>
        <v>5000000</v>
      </c>
      <c r="AJ11" s="89">
        <f t="shared" si="1"/>
        <v>0.16666666666666666</v>
      </c>
      <c r="AM11" s="54" t="s">
        <v>15</v>
      </c>
      <c r="AN11" s="54" t="s">
        <v>91</v>
      </c>
      <c r="AP11" s="54" t="s">
        <v>92</v>
      </c>
      <c r="AQ11" s="89">
        <f t="shared" si="2"/>
        <v>6.6666666666666666E-2</v>
      </c>
      <c r="AR11" s="88">
        <v>2000000</v>
      </c>
    </row>
    <row r="12" spans="2:46" ht="14.25" thickBot="1" x14ac:dyDescent="0.3">
      <c r="B12" s="73"/>
      <c r="C12" s="15"/>
      <c r="D12" s="15"/>
      <c r="E12" s="15"/>
      <c r="F12" s="15"/>
      <c r="G12" s="15"/>
      <c r="H12" s="15"/>
      <c r="I12" s="16"/>
      <c r="J12" s="17"/>
      <c r="K12" s="18"/>
      <c r="L12" s="18"/>
      <c r="M12" s="19"/>
      <c r="N12" s="18"/>
      <c r="O12" s="19"/>
      <c r="P12" s="20"/>
      <c r="Q12" s="20"/>
      <c r="R12" s="20"/>
      <c r="S12" s="20"/>
      <c r="U12" s="54" t="s">
        <v>27</v>
      </c>
      <c r="V12" s="54" t="s">
        <v>49</v>
      </c>
      <c r="W12" s="84">
        <f>SUMIF($D$8:$D$49,$V12,$R$8:$R$49)</f>
        <v>7.0166666666666683E-2</v>
      </c>
      <c r="Y12" s="86" t="s">
        <v>76</v>
      </c>
      <c r="Z12" s="90">
        <f>SUM(Z8:Z11)</f>
        <v>30000000</v>
      </c>
      <c r="AA12" s="91">
        <f>SUM(AA8:AA11)</f>
        <v>1</v>
      </c>
      <c r="AD12" s="54" t="b">
        <f>AD11=$J$50</f>
        <v>1</v>
      </c>
      <c r="AE12" s="54" t="b">
        <f>AE11=1</f>
        <v>1</v>
      </c>
      <c r="AG12" s="54" t="s">
        <v>48</v>
      </c>
      <c r="AH12" s="54" t="s">
        <v>19</v>
      </c>
      <c r="AI12" s="88">
        <f t="shared" si="0"/>
        <v>3000000</v>
      </c>
      <c r="AJ12" s="89">
        <f t="shared" si="1"/>
        <v>0.1</v>
      </c>
      <c r="AP12" s="54" t="s">
        <v>93</v>
      </c>
      <c r="AQ12" s="89">
        <f t="shared" si="2"/>
        <v>6.6666666666666666E-2</v>
      </c>
      <c r="AR12" s="88">
        <v>2000000</v>
      </c>
    </row>
    <row r="13" spans="2:46" ht="14.25" thickBot="1" x14ac:dyDescent="0.3">
      <c r="B13" s="73"/>
      <c r="C13" s="75" t="s">
        <v>66</v>
      </c>
      <c r="D13" s="75" t="s">
        <v>66</v>
      </c>
      <c r="E13" s="75" t="s">
        <v>66</v>
      </c>
      <c r="F13" s="75"/>
      <c r="G13" s="75"/>
      <c r="H13" s="75"/>
      <c r="I13" s="21" t="s">
        <v>15</v>
      </c>
      <c r="J13" s="22">
        <f>SUM(J14:J16)</f>
        <v>5000000</v>
      </c>
      <c r="K13" s="23">
        <f>SUM(K14:K16)</f>
        <v>0.16666666666666666</v>
      </c>
      <c r="L13" s="24"/>
      <c r="M13" s="25"/>
      <c r="N13" s="23">
        <f>SUMPRODUCT(N14:N16,$J14:$J16)/SUM($J14:$J16)</f>
        <v>0.06</v>
      </c>
      <c r="O13" s="26"/>
      <c r="P13" s="23"/>
      <c r="Q13" s="23">
        <f>Q14</f>
        <v>0.01</v>
      </c>
      <c r="R13" s="23">
        <f>R14</f>
        <v>0</v>
      </c>
      <c r="S13" s="23"/>
      <c r="U13" s="86"/>
      <c r="V13" s="86" t="s">
        <v>72</v>
      </c>
      <c r="W13" s="87">
        <f>SUM(W8:W12)</f>
        <v>0.12333333333333335</v>
      </c>
      <c r="Z13" s="54" t="b">
        <f>Z12=$J$50</f>
        <v>1</v>
      </c>
      <c r="AA13" s="54" t="b">
        <f>AA12=1</f>
        <v>1</v>
      </c>
      <c r="AG13" s="54" t="s">
        <v>48</v>
      </c>
      <c r="AH13" s="54" t="s">
        <v>22</v>
      </c>
      <c r="AI13" s="88">
        <f t="shared" si="0"/>
        <v>5000000</v>
      </c>
      <c r="AJ13" s="89">
        <f t="shared" si="1"/>
        <v>0.16666666666666666</v>
      </c>
      <c r="AN13" s="54" t="s">
        <v>94</v>
      </c>
      <c r="AP13" s="54" t="s">
        <v>95</v>
      </c>
      <c r="AQ13" s="89">
        <f t="shared" si="2"/>
        <v>3.3333333333333333E-2</v>
      </c>
      <c r="AR13" s="88">
        <v>1000000</v>
      </c>
    </row>
    <row r="14" spans="2:46" x14ac:dyDescent="0.25">
      <c r="B14" s="42">
        <v>5</v>
      </c>
      <c r="C14" s="15" t="s">
        <v>16</v>
      </c>
      <c r="D14" s="15" t="s">
        <v>48</v>
      </c>
      <c r="E14" s="15" t="s">
        <v>52</v>
      </c>
      <c r="F14" s="15" t="s">
        <v>81</v>
      </c>
      <c r="G14" s="15"/>
      <c r="H14" s="15"/>
      <c r="I14" s="16" t="s">
        <v>17</v>
      </c>
      <c r="J14" s="19">
        <f>1000000*B14</f>
        <v>5000000</v>
      </c>
      <c r="K14" s="18">
        <f>J14/J$50</f>
        <v>0.16666666666666666</v>
      </c>
      <c r="L14" s="18">
        <f>N14</f>
        <v>0.06</v>
      </c>
      <c r="M14" s="19">
        <f t="shared" ref="M14" si="3">J14*L14</f>
        <v>300000</v>
      </c>
      <c r="N14" s="18">
        <v>0.06</v>
      </c>
      <c r="O14" s="19">
        <f t="shared" ref="O14" si="4">J14*N14</f>
        <v>300000</v>
      </c>
      <c r="P14" s="20">
        <v>3.1529399999999999E-2</v>
      </c>
      <c r="Q14" s="20">
        <f>M14/$J$50</f>
        <v>0.01</v>
      </c>
      <c r="R14" s="20">
        <f>O14/$J$50-Q14</f>
        <v>0</v>
      </c>
      <c r="S14" s="17">
        <f>J14</f>
        <v>5000000</v>
      </c>
      <c r="W14" s="54" t="b">
        <f>W13=N50</f>
        <v>1</v>
      </c>
      <c r="AG14" s="54" t="s">
        <v>12</v>
      </c>
      <c r="AH14" s="54" t="s">
        <v>12</v>
      </c>
      <c r="AI14" s="88">
        <f t="shared" si="0"/>
        <v>2000000</v>
      </c>
      <c r="AJ14" s="89">
        <f t="shared" si="1"/>
        <v>6.6666666666666666E-2</v>
      </c>
      <c r="AN14" s="54" t="s">
        <v>96</v>
      </c>
      <c r="AP14" s="54" t="s">
        <v>97</v>
      </c>
      <c r="AQ14" s="89">
        <f t="shared" si="2"/>
        <v>0.1</v>
      </c>
      <c r="AR14" s="88">
        <f>J28-AR16</f>
        <v>3000000</v>
      </c>
    </row>
    <row r="15" spans="2:46" x14ac:dyDescent="0.25">
      <c r="B15" s="42"/>
      <c r="C15" s="15"/>
      <c r="D15" s="15"/>
      <c r="E15" s="15"/>
      <c r="F15" s="15"/>
      <c r="G15" s="15"/>
      <c r="H15" s="15"/>
      <c r="I15" s="16"/>
      <c r="J15" s="19"/>
      <c r="K15" s="18"/>
      <c r="L15" s="18"/>
      <c r="M15" s="19"/>
      <c r="N15" s="18"/>
      <c r="O15" s="19"/>
      <c r="P15" s="20"/>
      <c r="Q15" s="20"/>
      <c r="R15" s="20"/>
      <c r="S15" s="17"/>
      <c r="AI15" s="88"/>
      <c r="AJ15" s="89"/>
      <c r="AQ15" s="89"/>
      <c r="AR15" s="88"/>
    </row>
    <row r="16" spans="2:46" ht="14.25" thickBot="1" x14ac:dyDescent="0.3">
      <c r="B16" s="73"/>
      <c r="C16" s="15"/>
      <c r="D16" s="15"/>
      <c r="E16" s="15"/>
      <c r="F16" s="15"/>
      <c r="G16" s="15"/>
      <c r="H16" s="15"/>
      <c r="I16" s="16"/>
      <c r="J16" s="19"/>
      <c r="K16" s="18"/>
      <c r="L16" s="18"/>
      <c r="M16" s="19"/>
      <c r="N16" s="18"/>
      <c r="O16" s="19"/>
      <c r="P16" s="20"/>
      <c r="Q16" s="20"/>
      <c r="R16" s="20"/>
      <c r="S16" s="20"/>
      <c r="AG16" s="86"/>
      <c r="AH16" s="86" t="s">
        <v>76</v>
      </c>
      <c r="AI16" s="90">
        <f>SUM(AI8:AI14)</f>
        <v>30000000</v>
      </c>
      <c r="AJ16" s="91">
        <f>SUM(AJ8:AJ14)</f>
        <v>0.99999999999999989</v>
      </c>
      <c r="AP16" s="54" t="s">
        <v>98</v>
      </c>
      <c r="AQ16" s="89">
        <f t="shared" ref="AQ16:AQ37" si="5">AR16/AR$42</f>
        <v>3.3333333333333333E-2</v>
      </c>
      <c r="AR16" s="88">
        <v>1000000</v>
      </c>
    </row>
    <row r="17" spans="2:44" x14ac:dyDescent="0.25">
      <c r="B17" s="73"/>
      <c r="C17" s="76" t="s">
        <v>66</v>
      </c>
      <c r="D17" s="76" t="s">
        <v>66</v>
      </c>
      <c r="E17" s="76" t="s">
        <v>66</v>
      </c>
      <c r="F17" s="76"/>
      <c r="G17" s="76"/>
      <c r="H17" s="76"/>
      <c r="I17" s="10" t="s">
        <v>18</v>
      </c>
      <c r="J17" s="11">
        <f>SUM(J18:J22)</f>
        <v>7000000</v>
      </c>
      <c r="K17" s="12">
        <f>SUM(K18:K21)</f>
        <v>0.23333333333333334</v>
      </c>
      <c r="L17" s="13"/>
      <c r="M17" s="14"/>
      <c r="N17" s="12">
        <f>SUMPRODUCT(N18:N21,$J18:$J21)/SUM($J18:$J21)</f>
        <v>0.14214285714285715</v>
      </c>
      <c r="O17" s="14"/>
      <c r="P17" s="14"/>
      <c r="Q17" s="12">
        <f>SUM(Q18:Q21)</f>
        <v>3.3166666666666664E-2</v>
      </c>
      <c r="R17" s="12">
        <f>SUM(R18:R21)</f>
        <v>0</v>
      </c>
      <c r="S17" s="12"/>
      <c r="AI17" s="54" t="b">
        <f>AI16=$J$50</f>
        <v>1</v>
      </c>
      <c r="AJ17" s="54" t="b">
        <f>AJ16=1</f>
        <v>1</v>
      </c>
      <c r="AN17" s="54" t="s">
        <v>99</v>
      </c>
      <c r="AP17" s="54" t="s">
        <v>100</v>
      </c>
      <c r="AQ17" s="89">
        <f t="shared" si="5"/>
        <v>3.3333333333333333E-2</v>
      </c>
      <c r="AR17" s="88">
        <f>J29</f>
        <v>1000000</v>
      </c>
    </row>
    <row r="18" spans="2:44" x14ac:dyDescent="0.25">
      <c r="B18" s="42">
        <v>1</v>
      </c>
      <c r="C18" s="27" t="s">
        <v>19</v>
      </c>
      <c r="D18" s="15" t="s">
        <v>48</v>
      </c>
      <c r="E18" s="27" t="s">
        <v>53</v>
      </c>
      <c r="F18" s="27" t="s">
        <v>82</v>
      </c>
      <c r="G18" s="27"/>
      <c r="H18" s="27"/>
      <c r="I18" s="28" t="s">
        <v>20</v>
      </c>
      <c r="J18" s="17">
        <f>1000000*B18</f>
        <v>1000000</v>
      </c>
      <c r="K18" s="18">
        <f>J18/J$50</f>
        <v>3.3333333333333333E-2</v>
      </c>
      <c r="L18" s="20">
        <f>N18</f>
        <v>0.115</v>
      </c>
      <c r="M18" s="17">
        <f t="shared" ref="M18:M21" si="6">J18*L18</f>
        <v>115000</v>
      </c>
      <c r="N18" s="20">
        <v>0.115</v>
      </c>
      <c r="O18" s="17">
        <f t="shared" ref="O18:O21" si="7">J18*N18</f>
        <v>115000</v>
      </c>
      <c r="P18" s="29">
        <v>4.8000000000000001E-2</v>
      </c>
      <c r="Q18" s="20">
        <f>M18/$J$50</f>
        <v>3.8333333333333331E-3</v>
      </c>
      <c r="R18" s="20">
        <f>O18/$J$50-Q18</f>
        <v>0</v>
      </c>
      <c r="S18" s="17">
        <f t="shared" ref="S18:S21" si="8">J18</f>
        <v>1000000</v>
      </c>
      <c r="AN18" s="54" t="s">
        <v>101</v>
      </c>
      <c r="AP18" s="54" t="s">
        <v>102</v>
      </c>
      <c r="AQ18" s="89">
        <f t="shared" si="5"/>
        <v>6.6666666666666666E-2</v>
      </c>
      <c r="AR18" s="88">
        <f>J30</f>
        <v>2000000</v>
      </c>
    </row>
    <row r="19" spans="2:44" x14ac:dyDescent="0.25">
      <c r="B19" s="42">
        <v>2</v>
      </c>
      <c r="C19" s="15" t="s">
        <v>19</v>
      </c>
      <c r="D19" s="15" t="s">
        <v>48</v>
      </c>
      <c r="E19" s="27" t="s">
        <v>53</v>
      </c>
      <c r="F19" s="27" t="s">
        <v>82</v>
      </c>
      <c r="G19" s="27"/>
      <c r="H19" s="27"/>
      <c r="I19" s="16" t="s">
        <v>21</v>
      </c>
      <c r="J19" s="19">
        <f>1000000*B19</f>
        <v>2000000</v>
      </c>
      <c r="K19" s="18">
        <f>J19/J$50</f>
        <v>6.6666666666666666E-2</v>
      </c>
      <c r="L19" s="20">
        <f t="shared" ref="L19:L21" si="9">N19</f>
        <v>0.12</v>
      </c>
      <c r="M19" s="19">
        <f>J19*L19</f>
        <v>240000</v>
      </c>
      <c r="N19" s="20">
        <v>0.12</v>
      </c>
      <c r="O19" s="19">
        <f>J19*N19</f>
        <v>240000</v>
      </c>
      <c r="P19" s="29">
        <v>4.8000000000000001E-2</v>
      </c>
      <c r="Q19" s="20">
        <f>M19/$J$50</f>
        <v>8.0000000000000002E-3</v>
      </c>
      <c r="R19" s="20">
        <f>O19/$J$50-Q19</f>
        <v>0</v>
      </c>
      <c r="S19" s="17">
        <f t="shared" si="8"/>
        <v>2000000</v>
      </c>
      <c r="AN19" s="54" t="s">
        <v>135</v>
      </c>
      <c r="AP19" s="54" t="s">
        <v>134</v>
      </c>
      <c r="AQ19" s="89">
        <f t="shared" si="5"/>
        <v>3.3333333333333333E-2</v>
      </c>
      <c r="AR19" s="88">
        <f>J31</f>
        <v>1000000</v>
      </c>
    </row>
    <row r="20" spans="2:44" x14ac:dyDescent="0.25">
      <c r="B20" s="42">
        <v>2</v>
      </c>
      <c r="C20" s="15" t="s">
        <v>22</v>
      </c>
      <c r="D20" s="15" t="s">
        <v>48</v>
      </c>
      <c r="E20" s="27" t="s">
        <v>53</v>
      </c>
      <c r="F20" s="27" t="s">
        <v>82</v>
      </c>
      <c r="G20" s="27"/>
      <c r="H20" s="27"/>
      <c r="I20" s="16" t="s">
        <v>23</v>
      </c>
      <c r="J20" s="19">
        <f>1000000*B20</f>
        <v>2000000</v>
      </c>
      <c r="K20" s="18">
        <f>J20/J$50</f>
        <v>6.6666666666666666E-2</v>
      </c>
      <c r="L20" s="20">
        <f t="shared" si="9"/>
        <v>0.14000000000000001</v>
      </c>
      <c r="M20" s="19">
        <f t="shared" si="6"/>
        <v>280000</v>
      </c>
      <c r="N20" s="20">
        <v>0.14000000000000001</v>
      </c>
      <c r="O20" s="19">
        <f t="shared" si="7"/>
        <v>280000</v>
      </c>
      <c r="P20" s="29">
        <v>4.8000000000000001E-2</v>
      </c>
      <c r="Q20" s="20">
        <f>M20/$J$50</f>
        <v>9.3333333333333341E-3</v>
      </c>
      <c r="R20" s="20">
        <f>O20/$J$50-Q20</f>
        <v>0</v>
      </c>
      <c r="S20" s="17">
        <f t="shared" si="8"/>
        <v>2000000</v>
      </c>
      <c r="AL20" s="54" t="s">
        <v>82</v>
      </c>
      <c r="AQ20" s="89">
        <f t="shared" si="5"/>
        <v>0</v>
      </c>
      <c r="AR20" s="88"/>
    </row>
    <row r="21" spans="2:44" x14ac:dyDescent="0.25">
      <c r="B21" s="42">
        <v>2</v>
      </c>
      <c r="C21" s="15" t="s">
        <v>22</v>
      </c>
      <c r="D21" s="15" t="s">
        <v>48</v>
      </c>
      <c r="E21" s="27" t="s">
        <v>53</v>
      </c>
      <c r="F21" s="27" t="s">
        <v>82</v>
      </c>
      <c r="G21" s="27"/>
      <c r="H21" s="27"/>
      <c r="I21" s="16" t="s">
        <v>24</v>
      </c>
      <c r="J21" s="19">
        <f>1000000*B21</f>
        <v>2000000</v>
      </c>
      <c r="K21" s="18">
        <f>J21/J$50</f>
        <v>6.6666666666666666E-2</v>
      </c>
      <c r="L21" s="20">
        <f t="shared" si="9"/>
        <v>0.18</v>
      </c>
      <c r="M21" s="19">
        <f t="shared" si="6"/>
        <v>360000</v>
      </c>
      <c r="N21" s="20">
        <v>0.18</v>
      </c>
      <c r="O21" s="19">
        <f t="shared" si="7"/>
        <v>360000</v>
      </c>
      <c r="P21" s="29">
        <v>4.8000000000000001E-2</v>
      </c>
      <c r="Q21" s="20">
        <f>M21/$J$50</f>
        <v>1.2E-2</v>
      </c>
      <c r="R21" s="20">
        <f>O21/$J$50-Q21</f>
        <v>0</v>
      </c>
      <c r="S21" s="17">
        <f t="shared" si="8"/>
        <v>2000000</v>
      </c>
      <c r="AM21" s="54" t="s">
        <v>18</v>
      </c>
      <c r="AN21" s="54" t="s">
        <v>104</v>
      </c>
      <c r="AP21" s="54" t="s">
        <v>105</v>
      </c>
      <c r="AQ21" s="89">
        <f t="shared" si="5"/>
        <v>2.5000000000000001E-2</v>
      </c>
      <c r="AR21" s="88">
        <v>750000</v>
      </c>
    </row>
    <row r="22" spans="2:44" x14ac:dyDescent="0.25">
      <c r="B22" s="42"/>
      <c r="C22" s="15"/>
      <c r="D22" s="15"/>
      <c r="E22" s="15"/>
      <c r="F22" s="15"/>
      <c r="G22" s="15"/>
      <c r="H22" s="15"/>
      <c r="I22" s="16"/>
      <c r="J22" s="19"/>
      <c r="K22" s="18"/>
      <c r="L22" s="18"/>
      <c r="M22" s="19"/>
      <c r="N22" s="18"/>
      <c r="O22" s="19"/>
      <c r="P22" s="20"/>
      <c r="Q22" s="20"/>
      <c r="R22" s="20"/>
      <c r="S22" s="20"/>
      <c r="AP22" s="54" t="s">
        <v>106</v>
      </c>
      <c r="AQ22" s="89">
        <f t="shared" si="5"/>
        <v>8.3333333333333332E-3</v>
      </c>
      <c r="AR22" s="88">
        <v>250000</v>
      </c>
    </row>
    <row r="23" spans="2:44" x14ac:dyDescent="0.25">
      <c r="B23" s="42"/>
      <c r="C23" s="76" t="s">
        <v>66</v>
      </c>
      <c r="D23" s="76" t="s">
        <v>66</v>
      </c>
      <c r="E23" s="76" t="s">
        <v>66</v>
      </c>
      <c r="F23" s="76"/>
      <c r="G23" s="76"/>
      <c r="H23" s="76"/>
      <c r="I23" s="10" t="s">
        <v>25</v>
      </c>
      <c r="J23" s="11">
        <f>SUM(J24:J25)</f>
        <v>1000000</v>
      </c>
      <c r="K23" s="12">
        <f>K24</f>
        <v>3.3333333333333333E-2</v>
      </c>
      <c r="L23" s="13"/>
      <c r="M23" s="14"/>
      <c r="N23" s="12">
        <f>SUMPRODUCT(N24,$J24)/SUM($J24)</f>
        <v>0.13</v>
      </c>
      <c r="O23" s="14"/>
      <c r="P23" s="14"/>
      <c r="Q23" s="12">
        <f>Q24</f>
        <v>3.0000000000000001E-3</v>
      </c>
      <c r="R23" s="12">
        <f>R24</f>
        <v>1.3333333333333331E-3</v>
      </c>
      <c r="S23" s="12"/>
      <c r="AN23" s="54" t="s">
        <v>107</v>
      </c>
      <c r="AP23" s="54" t="s">
        <v>108</v>
      </c>
      <c r="AQ23" s="89">
        <f t="shared" si="5"/>
        <v>1.6666666666666666E-2</v>
      </c>
      <c r="AR23" s="88">
        <v>500000</v>
      </c>
    </row>
    <row r="24" spans="2:44" x14ac:dyDescent="0.25">
      <c r="B24" s="42">
        <v>1</v>
      </c>
      <c r="C24" s="15" t="s">
        <v>22</v>
      </c>
      <c r="D24" s="15" t="s">
        <v>48</v>
      </c>
      <c r="E24" s="27" t="s">
        <v>53</v>
      </c>
      <c r="F24" s="27" t="s">
        <v>82</v>
      </c>
      <c r="G24" s="27"/>
      <c r="H24" s="27"/>
      <c r="I24" s="16" t="s">
        <v>26</v>
      </c>
      <c r="J24" s="19">
        <f>1000000*B24</f>
        <v>1000000</v>
      </c>
      <c r="K24" s="18">
        <f>J24/J$50</f>
        <v>3.3333333333333333E-2</v>
      </c>
      <c r="L24" s="18">
        <v>0.09</v>
      </c>
      <c r="M24" s="19">
        <f>J24*L24</f>
        <v>90000</v>
      </c>
      <c r="N24" s="18">
        <v>0.13</v>
      </c>
      <c r="O24" s="19">
        <f>J24*N24</f>
        <v>130000</v>
      </c>
      <c r="P24" s="29">
        <v>8.1000000000000003E-2</v>
      </c>
      <c r="Q24" s="20">
        <f>M24/$J$50</f>
        <v>3.0000000000000001E-3</v>
      </c>
      <c r="R24" s="20">
        <f>O24/$J$50-Q24</f>
        <v>1.3333333333333331E-3</v>
      </c>
      <c r="S24" s="17">
        <f>J24</f>
        <v>1000000</v>
      </c>
      <c r="AP24" s="54" t="s">
        <v>109</v>
      </c>
      <c r="AQ24" s="89">
        <f t="shared" si="5"/>
        <v>1.6666666666666666E-2</v>
      </c>
      <c r="AR24" s="88">
        <v>500000</v>
      </c>
    </row>
    <row r="25" spans="2:44" x14ac:dyDescent="0.25">
      <c r="B25" s="42"/>
      <c r="C25" s="15"/>
      <c r="D25" s="15"/>
      <c r="E25" s="15"/>
      <c r="F25" s="15"/>
      <c r="G25" s="15"/>
      <c r="H25" s="15"/>
      <c r="I25" s="16"/>
      <c r="J25" s="19"/>
      <c r="K25" s="18"/>
      <c r="L25" s="18"/>
      <c r="M25" s="19"/>
      <c r="N25" s="18"/>
      <c r="O25" s="19"/>
      <c r="P25" s="20"/>
      <c r="Q25" s="20"/>
      <c r="R25" s="20"/>
      <c r="S25" s="20"/>
      <c r="AP25" s="54" t="s">
        <v>110</v>
      </c>
      <c r="AQ25" s="89">
        <f t="shared" si="5"/>
        <v>1.6666666666666666E-2</v>
      </c>
      <c r="AR25" s="88">
        <v>500000</v>
      </c>
    </row>
    <row r="26" spans="2:44" x14ac:dyDescent="0.25">
      <c r="B26" s="42"/>
      <c r="C26" s="77" t="s">
        <v>66</v>
      </c>
      <c r="D26" s="77" t="s">
        <v>66</v>
      </c>
      <c r="E26" s="77" t="s">
        <v>66</v>
      </c>
      <c r="F26" s="77"/>
      <c r="G26" s="77"/>
      <c r="H26" s="77"/>
      <c r="I26" s="30" t="s">
        <v>27</v>
      </c>
      <c r="J26" s="31">
        <f>J27+J33+J40+J44+J47</f>
        <v>15000000</v>
      </c>
      <c r="K26" s="32">
        <f>K27+K33+K40+K47</f>
        <v>0.5</v>
      </c>
      <c r="L26" s="33"/>
      <c r="M26" s="34"/>
      <c r="N26" s="33"/>
      <c r="O26" s="34"/>
      <c r="P26" s="35">
        <f>SUMPRODUCT(S28:S48,P28:P48)/SUM(S28:S48)</f>
        <v>0.15942000000000001</v>
      </c>
      <c r="Q26" s="35">
        <f>SUM(Q27,Q33,Q40,Q44,Q47)</f>
        <v>2.6666666666666666E-3</v>
      </c>
      <c r="R26" s="35">
        <f>SUM(R27,R33,R40,R44,R47)</f>
        <v>7.0166666666666669E-2</v>
      </c>
      <c r="S26" s="35"/>
      <c r="AP26" s="54" t="s">
        <v>111</v>
      </c>
      <c r="AQ26" s="89">
        <f t="shared" si="5"/>
        <v>1.6666666666666666E-2</v>
      </c>
      <c r="AR26" s="88">
        <v>500000</v>
      </c>
    </row>
    <row r="27" spans="2:44" x14ac:dyDescent="0.25">
      <c r="B27" s="42"/>
      <c r="C27" s="78" t="s">
        <v>66</v>
      </c>
      <c r="D27" s="78" t="s">
        <v>66</v>
      </c>
      <c r="E27" s="78" t="s">
        <v>66</v>
      </c>
      <c r="F27" s="78"/>
      <c r="G27" s="78"/>
      <c r="H27" s="78"/>
      <c r="I27" s="36" t="s">
        <v>28</v>
      </c>
      <c r="J27" s="37">
        <f>SUM(J28:J32)</f>
        <v>8000000</v>
      </c>
      <c r="K27" s="38">
        <f>SUM(K28:K31)</f>
        <v>0.26666666666666666</v>
      </c>
      <c r="L27" s="39"/>
      <c r="M27" s="40"/>
      <c r="N27" s="38">
        <f>SUMPRODUCT(N28:N31,$J28:$J31)/SUM($J28:$J31)</f>
        <v>0.115</v>
      </c>
      <c r="O27" s="40"/>
      <c r="P27" s="40"/>
      <c r="Q27" s="95">
        <f>SUM(Q28:Q31)</f>
        <v>2.6666666666666666E-3</v>
      </c>
      <c r="R27" s="95">
        <f>SUM(R28:R31)</f>
        <v>2.8000000000000004E-2</v>
      </c>
      <c r="S27" s="41"/>
      <c r="AP27" s="54" t="s">
        <v>112</v>
      </c>
      <c r="AQ27" s="89">
        <f t="shared" si="5"/>
        <v>3.3333333333333333E-2</v>
      </c>
      <c r="AR27" s="88">
        <v>1000000</v>
      </c>
    </row>
    <row r="28" spans="2:44" x14ac:dyDescent="0.25">
      <c r="B28" s="42">
        <v>4</v>
      </c>
      <c r="C28" s="15" t="s">
        <v>16</v>
      </c>
      <c r="D28" s="15" t="s">
        <v>49</v>
      </c>
      <c r="E28" s="15" t="s">
        <v>52</v>
      </c>
      <c r="F28" s="15" t="s">
        <v>81</v>
      </c>
      <c r="G28" s="15"/>
      <c r="H28" s="15"/>
      <c r="I28" s="16" t="s">
        <v>29</v>
      </c>
      <c r="J28" s="19">
        <f>1000000*B28</f>
        <v>4000000</v>
      </c>
      <c r="K28" s="18">
        <f>J28/J$50</f>
        <v>0.13333333333333333</v>
      </c>
      <c r="L28" s="18">
        <v>0.02</v>
      </c>
      <c r="M28" s="19">
        <f>J28*L28</f>
        <v>80000</v>
      </c>
      <c r="N28" s="18">
        <v>8.5000000000000006E-2</v>
      </c>
      <c r="O28" s="19">
        <f t="shared" ref="O28:O31" si="10">J28*N28</f>
        <v>340000</v>
      </c>
      <c r="P28" s="29">
        <f>'[1]Equity Allocation'!F16</f>
        <v>0.18210000000000001</v>
      </c>
      <c r="Q28" s="20">
        <f>M28/$J$50</f>
        <v>2.6666666666666666E-3</v>
      </c>
      <c r="R28" s="20">
        <f>O28/$J$50-Q28</f>
        <v>8.666666666666668E-3</v>
      </c>
      <c r="S28" s="17">
        <f t="shared" ref="S28:S31" si="11">J28</f>
        <v>4000000</v>
      </c>
      <c r="AN28" s="54" t="s">
        <v>113</v>
      </c>
      <c r="AP28" s="54" t="s">
        <v>114</v>
      </c>
      <c r="AQ28" s="89">
        <f t="shared" si="5"/>
        <v>3.3333333333333333E-2</v>
      </c>
      <c r="AR28" s="88">
        <v>1000000</v>
      </c>
    </row>
    <row r="29" spans="2:44" x14ac:dyDescent="0.25">
      <c r="B29" s="42">
        <v>1</v>
      </c>
      <c r="C29" s="15" t="s">
        <v>19</v>
      </c>
      <c r="D29" s="15" t="s">
        <v>49</v>
      </c>
      <c r="E29" s="15" t="s">
        <v>52</v>
      </c>
      <c r="F29" s="15" t="s">
        <v>81</v>
      </c>
      <c r="G29" s="15"/>
      <c r="H29" s="15"/>
      <c r="I29" s="16" t="s">
        <v>30</v>
      </c>
      <c r="J29" s="19">
        <f>1000000*B29</f>
        <v>1000000</v>
      </c>
      <c r="K29" s="18">
        <f>J29/J$50</f>
        <v>3.3333333333333333E-2</v>
      </c>
      <c r="L29" s="18"/>
      <c r="M29" s="19"/>
      <c r="N29" s="18">
        <v>0.12</v>
      </c>
      <c r="O29" s="19">
        <f t="shared" si="10"/>
        <v>120000</v>
      </c>
      <c r="P29" s="29">
        <f>'[1]Equity Allocation'!F17</f>
        <v>0.23619999999999999</v>
      </c>
      <c r="Q29" s="20">
        <f>M29/$J$50</f>
        <v>0</v>
      </c>
      <c r="R29" s="20">
        <f>O29/$J$50-Q29</f>
        <v>4.0000000000000001E-3</v>
      </c>
      <c r="S29" s="17">
        <f t="shared" si="11"/>
        <v>1000000</v>
      </c>
      <c r="AN29" s="54" t="s">
        <v>115</v>
      </c>
      <c r="AP29" s="54" t="s">
        <v>116</v>
      </c>
      <c r="AQ29" s="89">
        <f t="shared" si="5"/>
        <v>3.3333333333333333E-2</v>
      </c>
      <c r="AR29" s="88">
        <v>1000000</v>
      </c>
    </row>
    <row r="30" spans="2:44" x14ac:dyDescent="0.25">
      <c r="B30" s="42">
        <v>2</v>
      </c>
      <c r="C30" s="15" t="s">
        <v>16</v>
      </c>
      <c r="D30" s="15" t="s">
        <v>49</v>
      </c>
      <c r="E30" s="15" t="s">
        <v>52</v>
      </c>
      <c r="F30" s="15" t="s">
        <v>81</v>
      </c>
      <c r="G30" s="15"/>
      <c r="H30" s="15"/>
      <c r="I30" s="16" t="s">
        <v>31</v>
      </c>
      <c r="J30" s="19">
        <f>1000000*B30</f>
        <v>2000000</v>
      </c>
      <c r="K30" s="18">
        <f>J30/J$50</f>
        <v>6.6666666666666666E-2</v>
      </c>
      <c r="L30" s="18"/>
      <c r="M30" s="19"/>
      <c r="N30" s="18">
        <v>0.18</v>
      </c>
      <c r="O30" s="19">
        <f t="shared" si="10"/>
        <v>360000</v>
      </c>
      <c r="P30" s="29">
        <f>'[1]Equity Allocation'!F24</f>
        <v>0.19989999999999999</v>
      </c>
      <c r="Q30" s="20">
        <f>M30/$J$50</f>
        <v>0</v>
      </c>
      <c r="R30" s="20">
        <f>O30/$J$50-Q30</f>
        <v>1.2E-2</v>
      </c>
      <c r="S30" s="17">
        <f t="shared" si="11"/>
        <v>2000000</v>
      </c>
      <c r="AP30" s="54" t="s">
        <v>117</v>
      </c>
      <c r="AQ30" s="89">
        <f t="shared" si="5"/>
        <v>3.3333333333333333E-2</v>
      </c>
      <c r="AR30" s="88">
        <v>1000000</v>
      </c>
    </row>
    <row r="31" spans="2:44" x14ac:dyDescent="0.25">
      <c r="B31" s="42">
        <v>1</v>
      </c>
      <c r="C31" s="15" t="s">
        <v>16</v>
      </c>
      <c r="D31" s="15" t="s">
        <v>49</v>
      </c>
      <c r="E31" s="15" t="s">
        <v>52</v>
      </c>
      <c r="F31" s="15" t="s">
        <v>81</v>
      </c>
      <c r="G31" s="15"/>
      <c r="H31" s="15"/>
      <c r="I31" s="16" t="s">
        <v>32</v>
      </c>
      <c r="J31" s="19">
        <f>1000000*B31</f>
        <v>1000000</v>
      </c>
      <c r="K31" s="18">
        <f>J31/J$50</f>
        <v>3.3333333333333333E-2</v>
      </c>
      <c r="L31" s="18"/>
      <c r="M31" s="19"/>
      <c r="N31" s="18">
        <v>0.1</v>
      </c>
      <c r="O31" s="19">
        <f t="shared" si="10"/>
        <v>100000</v>
      </c>
      <c r="P31" s="29">
        <f>'[1]Equity Allocation'!F18</f>
        <v>0.1668</v>
      </c>
      <c r="Q31" s="20">
        <f>M31/$J$50</f>
        <v>0</v>
      </c>
      <c r="R31" s="20">
        <f>O31/$J$50-Q31</f>
        <v>3.3333333333333335E-3</v>
      </c>
      <c r="S31" s="17">
        <f t="shared" si="11"/>
        <v>1000000</v>
      </c>
      <c r="AN31" s="54" t="s">
        <v>118</v>
      </c>
      <c r="AP31" s="54" t="s">
        <v>119</v>
      </c>
      <c r="AQ31" s="89">
        <f t="shared" si="5"/>
        <v>3.3333333333333333E-2</v>
      </c>
      <c r="AR31" s="88">
        <f>J24</f>
        <v>1000000</v>
      </c>
    </row>
    <row r="32" spans="2:44" x14ac:dyDescent="0.25">
      <c r="B32" s="73"/>
      <c r="C32" s="15"/>
      <c r="D32" s="15"/>
      <c r="E32" s="15"/>
      <c r="F32" s="15"/>
      <c r="G32" s="15"/>
      <c r="H32" s="15"/>
      <c r="I32" s="16"/>
      <c r="J32" s="17"/>
      <c r="K32" s="18"/>
      <c r="L32" s="18"/>
      <c r="M32" s="19"/>
      <c r="N32" s="18"/>
      <c r="O32" s="19"/>
      <c r="P32" s="20"/>
      <c r="Q32" s="20"/>
      <c r="R32" s="20"/>
      <c r="S32" s="20"/>
      <c r="AN32" s="54" t="s">
        <v>120</v>
      </c>
      <c r="AP32" s="54" t="s">
        <v>121</v>
      </c>
      <c r="AQ32" s="89">
        <f t="shared" si="5"/>
        <v>3.3333333333333333E-2</v>
      </c>
      <c r="AR32" s="88">
        <v>1000000</v>
      </c>
    </row>
    <row r="33" spans="2:44" x14ac:dyDescent="0.25">
      <c r="B33" s="42"/>
      <c r="C33" s="79" t="s">
        <v>66</v>
      </c>
      <c r="D33" s="79" t="s">
        <v>66</v>
      </c>
      <c r="E33" s="79" t="s">
        <v>66</v>
      </c>
      <c r="F33" s="79"/>
      <c r="G33" s="79"/>
      <c r="H33" s="79"/>
      <c r="I33" s="43" t="s">
        <v>33</v>
      </c>
      <c r="J33" s="44">
        <f>SUM(J34:J39)</f>
        <v>5000000</v>
      </c>
      <c r="K33" s="45">
        <f>SUM(K34:K38)</f>
        <v>0.16666666666666666</v>
      </c>
      <c r="L33" s="46"/>
      <c r="M33" s="47"/>
      <c r="N33" s="45">
        <f>SUMPRODUCT(N34:N38,$J34:$J38)/SUM($J34:$J38)</f>
        <v>0.186</v>
      </c>
      <c r="O33" s="47"/>
      <c r="P33" s="47"/>
      <c r="Q33" s="45">
        <f>SUM(Q34:Q38)</f>
        <v>0</v>
      </c>
      <c r="R33" s="45">
        <f>SUM(R34:R38)</f>
        <v>3.1E-2</v>
      </c>
      <c r="S33" s="46"/>
      <c r="AN33" s="54" t="s">
        <v>122</v>
      </c>
      <c r="AP33" s="54" t="s">
        <v>123</v>
      </c>
      <c r="AQ33" s="89">
        <f t="shared" si="5"/>
        <v>3.3333333333333333E-2</v>
      </c>
      <c r="AR33" s="88">
        <v>1000000</v>
      </c>
    </row>
    <row r="34" spans="2:44" x14ac:dyDescent="0.25">
      <c r="B34" s="42">
        <v>1</v>
      </c>
      <c r="C34" s="15" t="s">
        <v>22</v>
      </c>
      <c r="D34" s="15" t="s">
        <v>49</v>
      </c>
      <c r="E34" s="27" t="s">
        <v>53</v>
      </c>
      <c r="F34" s="27" t="s">
        <v>82</v>
      </c>
      <c r="G34" s="27"/>
      <c r="H34" s="27"/>
      <c r="I34" s="16" t="s">
        <v>34</v>
      </c>
      <c r="J34" s="19">
        <f>1000000*B34</f>
        <v>1000000</v>
      </c>
      <c r="K34" s="18">
        <f>J34/J$50</f>
        <v>3.3333333333333333E-2</v>
      </c>
      <c r="L34" s="18"/>
      <c r="M34" s="19"/>
      <c r="N34" s="18">
        <v>0.17499999999999999</v>
      </c>
      <c r="O34" s="19">
        <f>J34*N34</f>
        <v>175000</v>
      </c>
      <c r="P34" s="29">
        <v>0.11700000000000001</v>
      </c>
      <c r="Q34" s="20">
        <f>M34/$J$50</f>
        <v>0</v>
      </c>
      <c r="R34" s="20">
        <f>O34/$J$50-Q34</f>
        <v>5.8333333333333336E-3</v>
      </c>
      <c r="S34" s="17">
        <f t="shared" ref="S34:S38" si="12">J34</f>
        <v>1000000</v>
      </c>
      <c r="AN34" s="54" t="s">
        <v>124</v>
      </c>
      <c r="AP34" s="54" t="s">
        <v>125</v>
      </c>
      <c r="AQ34" s="89">
        <f t="shared" si="5"/>
        <v>3.3333333333333333E-2</v>
      </c>
      <c r="AR34" s="88">
        <v>1000000</v>
      </c>
    </row>
    <row r="35" spans="2:44" x14ac:dyDescent="0.25">
      <c r="B35" s="42">
        <v>1</v>
      </c>
      <c r="C35" s="15" t="s">
        <v>22</v>
      </c>
      <c r="D35" s="15" t="s">
        <v>49</v>
      </c>
      <c r="E35" s="27" t="s">
        <v>53</v>
      </c>
      <c r="F35" s="27" t="s">
        <v>82</v>
      </c>
      <c r="G35" s="27"/>
      <c r="H35" s="27"/>
      <c r="I35" s="16" t="s">
        <v>35</v>
      </c>
      <c r="J35" s="19">
        <f>1000000*B35</f>
        <v>1000000</v>
      </c>
      <c r="K35" s="18">
        <f>J35/J$50</f>
        <v>3.3333333333333333E-2</v>
      </c>
      <c r="L35" s="18"/>
      <c r="M35" s="19"/>
      <c r="N35" s="18">
        <v>0.17499999999999999</v>
      </c>
      <c r="O35" s="19">
        <f>J35*N35</f>
        <v>175000</v>
      </c>
      <c r="P35" s="29">
        <v>0.11700000000000001</v>
      </c>
      <c r="Q35" s="20">
        <f>M35/$J$50</f>
        <v>0</v>
      </c>
      <c r="R35" s="20">
        <f>O35/$J$50-Q35</f>
        <v>5.8333333333333336E-3</v>
      </c>
      <c r="S35" s="17">
        <f t="shared" si="12"/>
        <v>1000000</v>
      </c>
      <c r="AN35" s="54" t="s">
        <v>115</v>
      </c>
      <c r="AP35" s="54" t="s">
        <v>126</v>
      </c>
      <c r="AQ35" s="89">
        <f t="shared" si="5"/>
        <v>3.3333333333333333E-2</v>
      </c>
      <c r="AR35" s="88">
        <v>1000000</v>
      </c>
    </row>
    <row r="36" spans="2:44" x14ac:dyDescent="0.25">
      <c r="B36" s="42">
        <v>1</v>
      </c>
      <c r="C36" s="15" t="s">
        <v>22</v>
      </c>
      <c r="D36" s="15" t="s">
        <v>49</v>
      </c>
      <c r="E36" s="27" t="s">
        <v>53</v>
      </c>
      <c r="F36" s="27" t="s">
        <v>82</v>
      </c>
      <c r="G36" s="27"/>
      <c r="H36" s="27"/>
      <c r="I36" s="16" t="s">
        <v>36</v>
      </c>
      <c r="J36" s="19">
        <f>1000000*B36</f>
        <v>1000000</v>
      </c>
      <c r="K36" s="18">
        <f>J36/J$50</f>
        <v>3.3333333333333333E-2</v>
      </c>
      <c r="L36" s="18"/>
      <c r="M36" s="19"/>
      <c r="N36" s="18">
        <v>0.23</v>
      </c>
      <c r="O36" s="19">
        <f t="shared" ref="O36:O37" si="13">J36*N36</f>
        <v>230000</v>
      </c>
      <c r="P36" s="48">
        <v>0.108</v>
      </c>
      <c r="Q36" s="20">
        <f>M36/$J$50</f>
        <v>0</v>
      </c>
      <c r="R36" s="20">
        <f>O36/$J$50-Q36</f>
        <v>7.6666666666666662E-3</v>
      </c>
      <c r="S36" s="17">
        <f t="shared" si="12"/>
        <v>1000000</v>
      </c>
      <c r="AP36" s="54" t="s">
        <v>127</v>
      </c>
      <c r="AQ36" s="89">
        <f t="shared" si="5"/>
        <v>3.3333333333333333E-2</v>
      </c>
      <c r="AR36" s="88">
        <v>1000000</v>
      </c>
    </row>
    <row r="37" spans="2:44" x14ac:dyDescent="0.25">
      <c r="B37" s="42">
        <v>1</v>
      </c>
      <c r="C37" s="15" t="s">
        <v>22</v>
      </c>
      <c r="D37" s="15" t="s">
        <v>49</v>
      </c>
      <c r="E37" s="27" t="s">
        <v>53</v>
      </c>
      <c r="F37" s="27" t="s">
        <v>82</v>
      </c>
      <c r="G37" s="27"/>
      <c r="H37" s="27"/>
      <c r="I37" s="16" t="s">
        <v>37</v>
      </c>
      <c r="J37" s="19">
        <f>1000000*B37</f>
        <v>1000000</v>
      </c>
      <c r="K37" s="18">
        <f>J37/J$50</f>
        <v>3.3333333333333333E-2</v>
      </c>
      <c r="L37" s="18"/>
      <c r="M37" s="19"/>
      <c r="N37" s="18">
        <v>0.17499999999999999</v>
      </c>
      <c r="O37" s="19">
        <f t="shared" si="13"/>
        <v>175000</v>
      </c>
      <c r="P37" s="48">
        <v>0.108</v>
      </c>
      <c r="Q37" s="20">
        <f>M37/$J$50</f>
        <v>0</v>
      </c>
      <c r="R37" s="20">
        <f>O37/$J$50-Q37</f>
        <v>5.8333333333333336E-3</v>
      </c>
      <c r="S37" s="17">
        <f t="shared" si="12"/>
        <v>1000000</v>
      </c>
      <c r="AN37" s="54" t="s">
        <v>128</v>
      </c>
      <c r="AP37" s="54" t="s">
        <v>129</v>
      </c>
      <c r="AQ37" s="89">
        <f t="shared" si="5"/>
        <v>0</v>
      </c>
      <c r="AR37" s="88">
        <v>0</v>
      </c>
    </row>
    <row r="38" spans="2:44" x14ac:dyDescent="0.25">
      <c r="B38" s="42">
        <v>1</v>
      </c>
      <c r="C38" s="15" t="s">
        <v>19</v>
      </c>
      <c r="D38" s="15" t="s">
        <v>49</v>
      </c>
      <c r="E38" s="27" t="s">
        <v>53</v>
      </c>
      <c r="F38" s="27" t="s">
        <v>82</v>
      </c>
      <c r="G38" s="27"/>
      <c r="H38" s="27"/>
      <c r="I38" s="16" t="s">
        <v>38</v>
      </c>
      <c r="J38" s="19">
        <f>1000000*B38</f>
        <v>1000000</v>
      </c>
      <c r="K38" s="18">
        <f>J38/J$50</f>
        <v>3.3333333333333333E-2</v>
      </c>
      <c r="L38" s="18"/>
      <c r="M38" s="19"/>
      <c r="N38" s="18">
        <v>0.17499999999999999</v>
      </c>
      <c r="O38" s="19">
        <f>J38*N38</f>
        <v>175000</v>
      </c>
      <c r="P38" s="29">
        <v>0.1663</v>
      </c>
      <c r="Q38" s="20">
        <f>M38/$J$50</f>
        <v>0</v>
      </c>
      <c r="R38" s="20">
        <f>O38/$J$50-Q38</f>
        <v>5.8333333333333336E-3</v>
      </c>
      <c r="S38" s="17">
        <f t="shared" si="12"/>
        <v>1000000</v>
      </c>
      <c r="AP38" s="54" t="s">
        <v>130</v>
      </c>
      <c r="AQ38" s="89">
        <f t="shared" ref="AQ38" si="14">AR38/AR$42</f>
        <v>0</v>
      </c>
      <c r="AR38" s="88">
        <v>0</v>
      </c>
    </row>
    <row r="39" spans="2:44" x14ac:dyDescent="0.25">
      <c r="B39" s="42"/>
      <c r="C39" s="15"/>
      <c r="D39" s="15"/>
      <c r="E39" s="15"/>
      <c r="F39" s="15"/>
      <c r="G39" s="15"/>
      <c r="H39" s="15"/>
      <c r="I39" s="16"/>
      <c r="J39" s="19"/>
      <c r="K39" s="18"/>
      <c r="L39" s="18"/>
      <c r="M39" s="19"/>
      <c r="N39" s="18"/>
      <c r="O39" s="19"/>
      <c r="P39" s="20"/>
      <c r="Q39" s="20"/>
      <c r="R39" s="20"/>
      <c r="S39" s="20"/>
      <c r="AN39" s="54" t="s">
        <v>27</v>
      </c>
      <c r="AP39" s="54" t="s">
        <v>131</v>
      </c>
      <c r="AQ39" s="89">
        <f>AR39/AR$42</f>
        <v>3.3333333333333333E-2</v>
      </c>
      <c r="AR39" s="88">
        <v>1000000</v>
      </c>
    </row>
    <row r="40" spans="2:44" x14ac:dyDescent="0.25">
      <c r="B40" s="42"/>
      <c r="C40" s="79" t="s">
        <v>66</v>
      </c>
      <c r="D40" s="79" t="s">
        <v>66</v>
      </c>
      <c r="E40" s="79" t="s">
        <v>66</v>
      </c>
      <c r="F40" s="79"/>
      <c r="G40" s="79"/>
      <c r="H40" s="79"/>
      <c r="I40" s="43" t="s">
        <v>39</v>
      </c>
      <c r="J40" s="44">
        <f>SUM(J41:J43)</f>
        <v>1000000</v>
      </c>
      <c r="K40" s="45">
        <f>SUM(K41:K42)</f>
        <v>3.3333333333333333E-2</v>
      </c>
      <c r="L40" s="46"/>
      <c r="M40" s="47"/>
      <c r="N40" s="45">
        <f>SUMPRODUCT(N41:N42,$J41:$J42)/SUM($J41:$J42)</f>
        <v>0.18</v>
      </c>
      <c r="O40" s="47"/>
      <c r="P40" s="47"/>
      <c r="Q40" s="45">
        <f t="shared" ref="Q40:R40" si="15">SUM(Q41:Q42)</f>
        <v>0</v>
      </c>
      <c r="R40" s="45">
        <f t="shared" si="15"/>
        <v>6.0000000000000001E-3</v>
      </c>
      <c r="S40" s="46"/>
      <c r="AN40" s="54" t="s">
        <v>132</v>
      </c>
      <c r="AP40" s="54" t="s">
        <v>133</v>
      </c>
      <c r="AQ40" s="89">
        <f>AR40/AR$42</f>
        <v>3.3333333333333333E-2</v>
      </c>
      <c r="AR40" s="88">
        <f>J48</f>
        <v>1000000</v>
      </c>
    </row>
    <row r="41" spans="2:44" x14ac:dyDescent="0.25">
      <c r="B41" s="42">
        <v>0</v>
      </c>
      <c r="C41" s="15" t="s">
        <v>22</v>
      </c>
      <c r="D41" s="15" t="s">
        <v>49</v>
      </c>
      <c r="E41" s="27" t="s">
        <v>53</v>
      </c>
      <c r="F41" s="27" t="s">
        <v>82</v>
      </c>
      <c r="G41" s="27"/>
      <c r="H41" s="27"/>
      <c r="I41" s="16" t="s">
        <v>40</v>
      </c>
      <c r="J41" s="19">
        <f>1000000*B41</f>
        <v>0</v>
      </c>
      <c r="K41" s="18">
        <f>J41/J$50</f>
        <v>0</v>
      </c>
      <c r="L41" s="18"/>
      <c r="M41" s="19"/>
      <c r="N41" s="18">
        <v>0.3</v>
      </c>
      <c r="O41" s="19">
        <f t="shared" ref="O41:O42" si="16">J41*N41</f>
        <v>0</v>
      </c>
      <c r="P41" s="20">
        <v>0.32700000000000001</v>
      </c>
      <c r="Q41" s="20">
        <f>M41/$J$50</f>
        <v>0</v>
      </c>
      <c r="R41" s="20">
        <f>O41/$J$50-Q41</f>
        <v>0</v>
      </c>
      <c r="S41" s="17">
        <f t="shared" ref="S41:S42" si="17">J41</f>
        <v>0</v>
      </c>
      <c r="AQ41" s="89">
        <f>AR41/AR$42</f>
        <v>0</v>
      </c>
      <c r="AR41" s="88"/>
    </row>
    <row r="42" spans="2:44" ht="14.25" thickBot="1" x14ac:dyDescent="0.3">
      <c r="B42" s="42">
        <v>1</v>
      </c>
      <c r="C42" s="15" t="s">
        <v>22</v>
      </c>
      <c r="D42" s="15" t="s">
        <v>49</v>
      </c>
      <c r="E42" s="27" t="s">
        <v>53</v>
      </c>
      <c r="F42" s="27" t="s">
        <v>82</v>
      </c>
      <c r="G42" s="27"/>
      <c r="H42" s="27"/>
      <c r="I42" s="16" t="s">
        <v>41</v>
      </c>
      <c r="J42" s="19">
        <f>1000000*B42</f>
        <v>1000000</v>
      </c>
      <c r="K42" s="18">
        <f>J42/J$50</f>
        <v>3.3333333333333333E-2</v>
      </c>
      <c r="L42" s="18"/>
      <c r="M42" s="19"/>
      <c r="N42" s="18">
        <v>0.18</v>
      </c>
      <c r="O42" s="19">
        <f t="shared" si="16"/>
        <v>180000</v>
      </c>
      <c r="P42" s="20">
        <v>0.13700000000000001</v>
      </c>
      <c r="Q42" s="20">
        <f>M42/$J$50</f>
        <v>0</v>
      </c>
      <c r="R42" s="20">
        <f>O42/$J$50-Q42</f>
        <v>6.0000000000000001E-3</v>
      </c>
      <c r="S42" s="17">
        <f t="shared" si="17"/>
        <v>1000000</v>
      </c>
      <c r="AL42" s="86"/>
      <c r="AM42" s="86"/>
      <c r="AN42" s="86"/>
      <c r="AO42" s="86"/>
      <c r="AP42" s="86"/>
      <c r="AQ42" s="91">
        <f>SUM(AQ8:AQ41)</f>
        <v>1.0000000000000002</v>
      </c>
      <c r="AR42" s="90">
        <f>SUM(AR8:AR41)</f>
        <v>30000000</v>
      </c>
    </row>
    <row r="43" spans="2:44" x14ac:dyDescent="0.25">
      <c r="B43" s="42"/>
      <c r="C43" s="15"/>
      <c r="D43" s="15"/>
      <c r="E43" s="15"/>
      <c r="F43" s="15"/>
      <c r="G43" s="15"/>
      <c r="H43" s="15"/>
      <c r="I43" s="16"/>
      <c r="J43" s="19"/>
      <c r="K43" s="18"/>
      <c r="L43" s="18"/>
      <c r="M43" s="19"/>
      <c r="N43" s="18"/>
      <c r="O43" s="19"/>
      <c r="P43" s="20"/>
      <c r="Q43" s="20"/>
      <c r="R43" s="20"/>
      <c r="S43" s="20"/>
      <c r="AQ43" s="54" t="b">
        <f>AQ42=1</f>
        <v>1</v>
      </c>
      <c r="AR43" s="54" t="b">
        <f>AR42=J50</f>
        <v>1</v>
      </c>
    </row>
    <row r="44" spans="2:44" x14ac:dyDescent="0.25">
      <c r="B44" s="42"/>
      <c r="C44" s="80" t="s">
        <v>66</v>
      </c>
      <c r="D44" s="80" t="s">
        <v>66</v>
      </c>
      <c r="E44" s="80" t="s">
        <v>66</v>
      </c>
      <c r="F44" s="80"/>
      <c r="G44" s="80"/>
      <c r="H44" s="80"/>
      <c r="I44" s="49" t="s">
        <v>42</v>
      </c>
      <c r="J44" s="50">
        <f>SUM(J45:J46)</f>
        <v>0</v>
      </c>
      <c r="K44" s="51">
        <f>K45</f>
        <v>0</v>
      </c>
      <c r="L44" s="52"/>
      <c r="M44" s="53"/>
      <c r="N44" s="51" t="e">
        <f>SUMPRODUCT(N45,$J45)/SUM($J45)</f>
        <v>#DIV/0!</v>
      </c>
      <c r="O44" s="53"/>
      <c r="P44" s="53"/>
      <c r="Q44" s="51">
        <f>Q45</f>
        <v>0</v>
      </c>
      <c r="R44" s="51">
        <f>R45</f>
        <v>0</v>
      </c>
      <c r="S44" s="52"/>
    </row>
    <row r="45" spans="2:44" x14ac:dyDescent="0.25">
      <c r="B45" s="42">
        <v>0</v>
      </c>
      <c r="C45" s="15" t="s">
        <v>22</v>
      </c>
      <c r="D45" s="15"/>
      <c r="E45" s="27"/>
      <c r="F45" s="27" t="s">
        <v>82</v>
      </c>
      <c r="G45" s="27"/>
      <c r="H45" s="27"/>
      <c r="I45" s="16"/>
      <c r="J45" s="19">
        <f>1000000*B45</f>
        <v>0</v>
      </c>
      <c r="K45" s="18">
        <f>J45/J$50</f>
        <v>0</v>
      </c>
      <c r="L45" s="18"/>
      <c r="M45" s="19"/>
      <c r="N45" s="18">
        <v>0.155</v>
      </c>
      <c r="O45" s="19">
        <f>J45*N45</f>
        <v>0</v>
      </c>
      <c r="P45" s="20">
        <v>0.10680000000000001</v>
      </c>
      <c r="Q45" s="20">
        <f>M45/$J$50</f>
        <v>0</v>
      </c>
      <c r="R45" s="20">
        <f>O45/$J$50-Q45</f>
        <v>0</v>
      </c>
      <c r="S45" s="20"/>
    </row>
    <row r="46" spans="2:44" x14ac:dyDescent="0.25">
      <c r="B46" s="42"/>
      <c r="C46" s="15"/>
      <c r="D46" s="15"/>
      <c r="E46" s="15"/>
      <c r="F46" s="15"/>
      <c r="G46" s="15"/>
      <c r="H46" s="15"/>
      <c r="I46" s="16"/>
      <c r="J46" s="19"/>
      <c r="K46" s="18"/>
      <c r="L46" s="18"/>
      <c r="M46" s="19"/>
      <c r="N46" s="18"/>
      <c r="O46" s="19"/>
      <c r="P46" s="20"/>
      <c r="Q46" s="20"/>
      <c r="R46" s="20"/>
      <c r="S46" s="20"/>
    </row>
    <row r="47" spans="2:44" x14ac:dyDescent="0.25">
      <c r="B47" s="42"/>
      <c r="C47" s="80" t="s">
        <v>66</v>
      </c>
      <c r="D47" s="80" t="s">
        <v>66</v>
      </c>
      <c r="E47" s="80" t="s">
        <v>66</v>
      </c>
      <c r="F47" s="80"/>
      <c r="G47" s="80"/>
      <c r="H47" s="80"/>
      <c r="I47" s="49" t="s">
        <v>43</v>
      </c>
      <c r="J47" s="50">
        <f>SUM(J48:J49)</f>
        <v>1000000</v>
      </c>
      <c r="K47" s="51">
        <f>K48</f>
        <v>3.3333333333333333E-2</v>
      </c>
      <c r="L47" s="52"/>
      <c r="M47" s="53"/>
      <c r="N47" s="51">
        <f>SUMPRODUCT(N48,$J48)/SUM($J48)</f>
        <v>0.155</v>
      </c>
      <c r="O47" s="53"/>
      <c r="P47" s="53"/>
      <c r="Q47" s="51">
        <f>Q48</f>
        <v>0</v>
      </c>
      <c r="R47" s="51">
        <f>R48</f>
        <v>5.1666666666666666E-3</v>
      </c>
      <c r="S47" s="52"/>
    </row>
    <row r="48" spans="2:44" x14ac:dyDescent="0.25">
      <c r="B48" s="42">
        <v>1</v>
      </c>
      <c r="C48" s="15" t="s">
        <v>22</v>
      </c>
      <c r="D48" s="15" t="s">
        <v>49</v>
      </c>
      <c r="E48" s="15" t="s">
        <v>52</v>
      </c>
      <c r="F48" s="27" t="s">
        <v>82</v>
      </c>
      <c r="G48" s="27"/>
      <c r="H48" s="27"/>
      <c r="I48" s="16" t="s">
        <v>44</v>
      </c>
      <c r="J48" s="19">
        <f>1000000*B48</f>
        <v>1000000</v>
      </c>
      <c r="K48" s="18">
        <f>J48/J$50</f>
        <v>3.3333333333333333E-2</v>
      </c>
      <c r="L48" s="18"/>
      <c r="M48" s="19"/>
      <c r="N48" s="18">
        <v>0.155</v>
      </c>
      <c r="O48" s="19">
        <f>J48*N48</f>
        <v>155000</v>
      </c>
      <c r="P48" s="20">
        <v>0.10680000000000001</v>
      </c>
      <c r="Q48" s="20">
        <f>M48/$J$50</f>
        <v>0</v>
      </c>
      <c r="R48" s="20">
        <f>O48/$J$50-Q48</f>
        <v>5.1666666666666666E-3</v>
      </c>
      <c r="S48" s="17">
        <f>J48</f>
        <v>1000000</v>
      </c>
    </row>
    <row r="49" spans="2:19" ht="14.25" thickBot="1" x14ac:dyDescent="0.3">
      <c r="B49" s="42"/>
    </row>
    <row r="50" spans="2:19" ht="15" thickTop="1" thickBot="1" x14ac:dyDescent="0.3">
      <c r="B50" s="74">
        <f>SUM(B10:B48)</f>
        <v>30</v>
      </c>
      <c r="C50" s="56"/>
      <c r="D50" s="56"/>
      <c r="E50" s="56"/>
      <c r="F50" s="56"/>
      <c r="G50" s="56"/>
      <c r="H50" s="56"/>
      <c r="I50" s="57" t="s">
        <v>45</v>
      </c>
      <c r="J50" s="58">
        <f>J26+J8</f>
        <v>30000000</v>
      </c>
      <c r="K50" s="59">
        <f>K26+K8</f>
        <v>1</v>
      </c>
      <c r="L50" s="59">
        <f>M50/J50</f>
        <v>5.1833333333333335E-2</v>
      </c>
      <c r="M50" s="58">
        <f>SUM(M10:M49)</f>
        <v>1555000</v>
      </c>
      <c r="N50" s="59">
        <f>O50/J50</f>
        <v>0.12333333333333334</v>
      </c>
      <c r="O50" s="58">
        <f>SUM(O10:O49)</f>
        <v>3700000</v>
      </c>
      <c r="P50" s="59">
        <f>SUMPRODUCT(S10:S48,P10:P48)/SUM(S10:S48)</f>
        <v>9.8864900000000006E-2</v>
      </c>
      <c r="Q50" s="59">
        <f>SUM(Q8,Q26)</f>
        <v>5.1833333333333335E-2</v>
      </c>
      <c r="R50" s="59">
        <f>SUM(R8,R26)</f>
        <v>7.1500000000000008E-2</v>
      </c>
      <c r="S50" s="60"/>
    </row>
    <row r="51" spans="2:19" ht="14.25" thickTop="1" x14ac:dyDescent="0.25">
      <c r="B51" s="55"/>
      <c r="C51" s="61"/>
      <c r="D51" s="61"/>
      <c r="E51" s="61"/>
      <c r="F51" s="61"/>
      <c r="G51" s="61"/>
      <c r="H51" s="61"/>
      <c r="I51" s="62"/>
      <c r="J51" s="63" t="b">
        <f>J50=B50*10^6</f>
        <v>1</v>
      </c>
      <c r="K51" s="60"/>
      <c r="L51" s="60"/>
      <c r="M51" s="63"/>
      <c r="N51" s="60"/>
      <c r="O51" s="63"/>
      <c r="P51" s="60"/>
      <c r="Q51" s="60" t="b">
        <f>Q50=L50</f>
        <v>1</v>
      </c>
      <c r="R51" s="60" t="b">
        <f>R50=(N50-L50)</f>
        <v>1</v>
      </c>
      <c r="S51" s="60"/>
    </row>
  </sheetData>
  <conditionalFormatting sqref="C8:H49">
    <cfRule type="expression" dxfId="1" priority="2">
      <formula>AND($B8&gt;0,C8="")</formula>
    </cfRule>
  </conditionalFormatting>
  <conditionalFormatting sqref="AL8:AR18 AL19:AO19 AQ19:AR19 AL20:AR41">
    <cfRule type="expression" dxfId="0" priority="1">
      <formula>AND($AL8&lt;&gt;"",$AM8="")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DC6E1D4-FBA9-463A-8D93-82CDA0FB2722}">
          <x14:formula1>
            <xm:f>dropdown!$B$3:$B$7</xm:f>
          </x14:formula1>
          <xm:sqref>C8:C49</xm:sqref>
        </x14:dataValidation>
        <x14:dataValidation type="list" allowBlank="1" showInputMessage="1" showErrorMessage="1" xr:uid="{E6BBF028-5748-49BD-8B9D-45D1A5F6688A}">
          <x14:formula1>
            <xm:f>dropdown!$F$3:$F$6</xm:f>
          </x14:formula1>
          <xm:sqref>E8:E49</xm:sqref>
        </x14:dataValidation>
        <x14:dataValidation type="list" allowBlank="1" showInputMessage="1" showErrorMessage="1" xr:uid="{EDD27A8B-AE7C-4504-9A1F-277BC3E10187}">
          <x14:formula1>
            <xm:f>dropdown!$D$3:$D$7</xm:f>
          </x14:formula1>
          <xm:sqref>D8:D49</xm:sqref>
        </x14:dataValidation>
        <x14:dataValidation type="list" allowBlank="1" showInputMessage="1" showErrorMessage="1" xr:uid="{B794C3C1-F19E-4582-A260-8A6554DDE801}">
          <x14:formula1>
            <xm:f>dropdown!$J$3:$J$5</xm:f>
          </x14:formula1>
          <xm:sqref>AL8:AL41 F8:F49</xm:sqref>
        </x14:dataValidation>
        <x14:dataValidation type="list" allowBlank="1" showInputMessage="1" showErrorMessage="1" xr:uid="{5BD504E4-9680-41A0-AC16-5CA23FC6FECF}">
          <x14:formula1>
            <xm:f>dropdown!$L$3:$L$13</xm:f>
          </x14:formula1>
          <xm:sqref>AM8:AM9 AM11:AM41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A0F7E-6EA5-4969-8F11-EA2CF748EA7F}">
  <dimension ref="B2:L13"/>
  <sheetViews>
    <sheetView workbookViewId="0">
      <selection activeCell="J4" sqref="J4"/>
    </sheetView>
  </sheetViews>
  <sheetFormatPr defaultRowHeight="15" x14ac:dyDescent="0.25"/>
  <cols>
    <col min="1" max="1" width="2.7109375" customWidth="1"/>
    <col min="2" max="2" width="19.85546875" customWidth="1"/>
    <col min="3" max="3" width="2.7109375" customWidth="1"/>
    <col min="4" max="4" width="19.85546875" customWidth="1"/>
    <col min="5" max="5" width="2.7109375" customWidth="1"/>
    <col min="6" max="6" width="19.85546875" customWidth="1"/>
    <col min="7" max="7" width="2.7109375" customWidth="1"/>
    <col min="8" max="8" width="25" bestFit="1" customWidth="1"/>
    <col min="9" max="9" width="2.7109375" customWidth="1"/>
    <col min="10" max="10" width="19.85546875" customWidth="1"/>
    <col min="11" max="11" width="2.7109375" customWidth="1"/>
    <col min="12" max="12" width="19.85546875" customWidth="1"/>
  </cols>
  <sheetData>
    <row r="2" spans="2:12" x14ac:dyDescent="0.25">
      <c r="B2" s="69" t="s">
        <v>47</v>
      </c>
      <c r="D2" s="69" t="s">
        <v>51</v>
      </c>
      <c r="F2" s="69" t="s">
        <v>50</v>
      </c>
      <c r="H2" s="69" t="s">
        <v>60</v>
      </c>
      <c r="J2" s="69" t="s">
        <v>86</v>
      </c>
      <c r="L2" s="69" t="s">
        <v>84</v>
      </c>
    </row>
    <row r="3" spans="2:12" x14ac:dyDescent="0.25">
      <c r="B3" t="s">
        <v>12</v>
      </c>
      <c r="D3" t="str">
        <f>B3</f>
        <v>Cash &amp; Equivalent</v>
      </c>
      <c r="F3" t="str">
        <f>B3</f>
        <v>Cash &amp; Equivalent</v>
      </c>
      <c r="H3" t="s">
        <v>57</v>
      </c>
      <c r="J3" t="s">
        <v>81</v>
      </c>
      <c r="L3" t="s">
        <v>12</v>
      </c>
    </row>
    <row r="4" spans="2:12" x14ac:dyDescent="0.25">
      <c r="B4" t="s">
        <v>16</v>
      </c>
      <c r="D4" t="s">
        <v>48</v>
      </c>
      <c r="F4" t="s">
        <v>52</v>
      </c>
      <c r="H4" t="s">
        <v>58</v>
      </c>
      <c r="J4" t="s">
        <v>82</v>
      </c>
      <c r="L4" t="s">
        <v>15</v>
      </c>
    </row>
    <row r="5" spans="2:12" x14ac:dyDescent="0.25">
      <c r="B5" t="s">
        <v>19</v>
      </c>
      <c r="D5" t="s">
        <v>49</v>
      </c>
      <c r="F5" t="s">
        <v>53</v>
      </c>
      <c r="H5" t="s">
        <v>59</v>
      </c>
      <c r="J5" t="s">
        <v>66</v>
      </c>
      <c r="L5" t="s">
        <v>28</v>
      </c>
    </row>
    <row r="6" spans="2:12" x14ac:dyDescent="0.25">
      <c r="B6" t="s">
        <v>22</v>
      </c>
      <c r="D6" t="s">
        <v>67</v>
      </c>
      <c r="F6" t="s">
        <v>66</v>
      </c>
      <c r="H6" t="s">
        <v>54</v>
      </c>
      <c r="L6" t="s">
        <v>33</v>
      </c>
    </row>
    <row r="7" spans="2:12" x14ac:dyDescent="0.25">
      <c r="B7" t="s">
        <v>66</v>
      </c>
      <c r="D7" t="s">
        <v>66</v>
      </c>
      <c r="H7" t="s">
        <v>55</v>
      </c>
      <c r="L7" t="s">
        <v>39</v>
      </c>
    </row>
    <row r="8" spans="2:12" x14ac:dyDescent="0.25">
      <c r="H8" t="s">
        <v>56</v>
      </c>
      <c r="L8" t="s">
        <v>18</v>
      </c>
    </row>
    <row r="9" spans="2:12" x14ac:dyDescent="0.25">
      <c r="H9" t="str">
        <f>B3</f>
        <v>Cash &amp; Equivalent</v>
      </c>
      <c r="L9" t="s">
        <v>87</v>
      </c>
    </row>
    <row r="10" spans="2:12" x14ac:dyDescent="0.25">
      <c r="H10" t="s">
        <v>66</v>
      </c>
      <c r="L10" t="s">
        <v>88</v>
      </c>
    </row>
    <row r="11" spans="2:12" x14ac:dyDescent="0.25">
      <c r="L11" t="s">
        <v>43</v>
      </c>
    </row>
    <row r="12" spans="2:12" x14ac:dyDescent="0.25">
      <c r="L12" t="s">
        <v>42</v>
      </c>
    </row>
    <row r="13" spans="2:12" x14ac:dyDescent="0.25">
      <c r="L1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SecurityList</vt:lpstr>
      <vt:lpstr>Sample Allocation Template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Yongpu Lin</cp:lastModifiedBy>
  <dcterms:created xsi:type="dcterms:W3CDTF">2015-06-05T18:17:20Z</dcterms:created>
  <dcterms:modified xsi:type="dcterms:W3CDTF">2025-03-05T04:14:53Z</dcterms:modified>
</cp:coreProperties>
</file>