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hmond0-my.sharepoint.com/personal/connor_gasgarth_richmond_edu/Documents/School/360 ETF Fund/ETF-Tools/"/>
    </mc:Choice>
  </mc:AlternateContent>
  <xr:revisionPtr revIDLastSave="0" documentId="11_019BC688EC5B5D1DBE78D072A3B2EB38612C3EC0" xr6:coauthVersionLast="47" xr6:coauthVersionMax="47" xr10:uidLastSave="{00000000-0000-0000-0000-000000000000}"/>
  <bookViews>
    <workbookView xWindow="0" yWindow="3045" windowWidth="36150" windowHeight="17955" xr2:uid="{00000000-000D-0000-FFFF-FFFF00000000}"/>
  </bookViews>
  <sheets>
    <sheet name="URETF Portfolio" sheetId="1" r:id="rId1"/>
    <sheet name="Sheet5" sheetId="2" state="hidden" r:id="rId2"/>
    <sheet name="Performance since 2016" sheetId="3" state="hidden" r:id="rId3"/>
    <sheet name="Performance B" sheetId="4" state="hidden" r:id="rId4"/>
    <sheet name="Wt Price" sheetId="5" state="hidden" r:id="rId5"/>
    <sheet name="Notes" sheetId="6" state="hidden" r:id="rId6"/>
    <sheet name="Region Allocation" sheetId="7" state="hidden" r:id="rId7"/>
  </sheets>
  <definedNames>
    <definedName name="Z_909237D5_7793_41BC_B7DD_027F874AA2EA_.wvu.FilterData" localSheetId="3" hidden="1">'Performance B'!$K$4:$R$20</definedName>
  </definedNames>
  <calcPr calcId="191029"/>
  <customWorkbookViews>
    <customWorkbookView name="Filter 1" guid="{909237D5-7793-41BC-B7DD-027F874AA2E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7" l="1"/>
  <c r="Q21" i="5"/>
  <c r="Q20" i="5"/>
  <c r="Q19" i="5"/>
  <c r="Q18" i="5"/>
  <c r="Q17" i="5"/>
  <c r="F17" i="5"/>
  <c r="Q16" i="5"/>
  <c r="Q14" i="5"/>
  <c r="Q13" i="5"/>
  <c r="F13" i="5"/>
  <c r="Q12" i="5"/>
  <c r="F12" i="5"/>
  <c r="Q11" i="5"/>
  <c r="F10" i="5"/>
  <c r="V9" i="5"/>
  <c r="X9" i="5" s="1"/>
  <c r="Q9" i="5"/>
  <c r="F9" i="5"/>
  <c r="V8" i="5"/>
  <c r="Q8" i="5"/>
  <c r="X8" i="5" s="1"/>
  <c r="D10" i="1" s="1"/>
  <c r="F10" i="1" s="1"/>
  <c r="I10" i="1" s="1"/>
  <c r="F8" i="5"/>
  <c r="V7" i="5"/>
  <c r="X7" i="5" s="1"/>
  <c r="Q7" i="5"/>
  <c r="V6" i="5"/>
  <c r="Q6" i="5"/>
  <c r="X6" i="5" s="1"/>
  <c r="I6" i="5"/>
  <c r="K6" i="5" s="1"/>
  <c r="F6" i="5"/>
  <c r="V5" i="5"/>
  <c r="Q5" i="5"/>
  <c r="X5" i="5" s="1"/>
  <c r="I5" i="5"/>
  <c r="K5" i="5" s="1"/>
  <c r="F5" i="5"/>
  <c r="N19" i="4"/>
  <c r="M19" i="4"/>
  <c r="K19" i="4"/>
  <c r="E19" i="4"/>
  <c r="P19" i="4" s="1"/>
  <c r="D19" i="4"/>
  <c r="F19" i="4" s="1"/>
  <c r="B19" i="4"/>
  <c r="N18" i="4"/>
  <c r="M18" i="4"/>
  <c r="K18" i="4"/>
  <c r="E18" i="4"/>
  <c r="P18" i="4" s="1"/>
  <c r="D18" i="4"/>
  <c r="F18" i="4" s="1"/>
  <c r="B18" i="4"/>
  <c r="N17" i="4"/>
  <c r="M17" i="4"/>
  <c r="K17" i="4"/>
  <c r="E17" i="4"/>
  <c r="P17" i="4" s="1"/>
  <c r="D17" i="4"/>
  <c r="F17" i="4" s="1"/>
  <c r="B17" i="4"/>
  <c r="N16" i="4"/>
  <c r="M16" i="4"/>
  <c r="K16" i="4"/>
  <c r="E16" i="4"/>
  <c r="P16" i="4" s="1"/>
  <c r="D16" i="4"/>
  <c r="F16" i="4" s="1"/>
  <c r="B16" i="4"/>
  <c r="N15" i="4"/>
  <c r="M15" i="4"/>
  <c r="K15" i="4"/>
  <c r="E15" i="4"/>
  <c r="P15" i="4" s="1"/>
  <c r="D15" i="4"/>
  <c r="F15" i="4" s="1"/>
  <c r="B15" i="4"/>
  <c r="N14" i="4"/>
  <c r="M14" i="4"/>
  <c r="K14" i="4"/>
  <c r="E14" i="4"/>
  <c r="P14" i="4" s="1"/>
  <c r="D14" i="4"/>
  <c r="F14" i="4" s="1"/>
  <c r="B14" i="4"/>
  <c r="N13" i="4"/>
  <c r="M13" i="4"/>
  <c r="K13" i="4"/>
  <c r="E13" i="4"/>
  <c r="P13" i="4" s="1"/>
  <c r="D13" i="4"/>
  <c r="F13" i="4" s="1"/>
  <c r="B13" i="4"/>
  <c r="N12" i="4"/>
  <c r="M12" i="4"/>
  <c r="K12" i="4"/>
  <c r="E12" i="4"/>
  <c r="P12" i="4" s="1"/>
  <c r="D12" i="4"/>
  <c r="F12" i="4" s="1"/>
  <c r="B12" i="4"/>
  <c r="N11" i="4"/>
  <c r="M11" i="4"/>
  <c r="K11" i="4"/>
  <c r="E11" i="4"/>
  <c r="P11" i="4" s="1"/>
  <c r="D11" i="4"/>
  <c r="F11" i="4" s="1"/>
  <c r="B11" i="4"/>
  <c r="N10" i="4"/>
  <c r="M10" i="4"/>
  <c r="K10" i="4"/>
  <c r="E10" i="4"/>
  <c r="P10" i="4" s="1"/>
  <c r="D10" i="4"/>
  <c r="F10" i="4" s="1"/>
  <c r="B10" i="4"/>
  <c r="N9" i="4"/>
  <c r="M9" i="4"/>
  <c r="K9" i="4"/>
  <c r="E9" i="4"/>
  <c r="P9" i="4" s="1"/>
  <c r="D9" i="4"/>
  <c r="F9" i="4" s="1"/>
  <c r="B9" i="4"/>
  <c r="N8" i="4"/>
  <c r="M8" i="4"/>
  <c r="K8" i="4"/>
  <c r="E8" i="4"/>
  <c r="P8" i="4" s="1"/>
  <c r="D8" i="4"/>
  <c r="F8" i="4" s="1"/>
  <c r="B8" i="4"/>
  <c r="N7" i="4"/>
  <c r="M7" i="4"/>
  <c r="K7" i="4"/>
  <c r="E7" i="4"/>
  <c r="P7" i="4" s="1"/>
  <c r="D7" i="4"/>
  <c r="F7" i="4" s="1"/>
  <c r="B7" i="4"/>
  <c r="N6" i="4"/>
  <c r="M6" i="4"/>
  <c r="K6" i="4"/>
  <c r="E6" i="4"/>
  <c r="P6" i="4" s="1"/>
  <c r="D6" i="4"/>
  <c r="F6" i="4" s="1"/>
  <c r="B6" i="4"/>
  <c r="N5" i="4"/>
  <c r="M5" i="4"/>
  <c r="K5" i="4"/>
  <c r="E5" i="4"/>
  <c r="P5" i="4" s="1"/>
  <c r="D5" i="4"/>
  <c r="F5" i="4" s="1"/>
  <c r="B5" i="4"/>
  <c r="N4" i="4"/>
  <c r="M4" i="4"/>
  <c r="K4" i="4"/>
  <c r="E4" i="4"/>
  <c r="P4" i="4" s="1"/>
  <c r="D4" i="4"/>
  <c r="F4" i="4" s="1"/>
  <c r="F21" i="4" s="1"/>
  <c r="F22" i="4" s="1"/>
  <c r="P1287" i="3"/>
  <c r="O1287" i="3"/>
  <c r="C1287" i="3"/>
  <c r="B1287" i="3"/>
  <c r="P1286" i="3"/>
  <c r="O1286" i="3"/>
  <c r="C1286" i="3"/>
  <c r="B1286" i="3"/>
  <c r="P1285" i="3"/>
  <c r="O1285" i="3"/>
  <c r="C1285" i="3"/>
  <c r="B1285" i="3"/>
  <c r="P1284" i="3"/>
  <c r="O1284" i="3"/>
  <c r="C1284" i="3"/>
  <c r="B1284" i="3"/>
  <c r="P1283" i="3"/>
  <c r="O1283" i="3"/>
  <c r="C1283" i="3"/>
  <c r="B1283" i="3"/>
  <c r="P1282" i="3"/>
  <c r="O1282" i="3"/>
  <c r="C1282" i="3"/>
  <c r="B1282" i="3"/>
  <c r="P1281" i="3"/>
  <c r="O1281" i="3"/>
  <c r="C1281" i="3"/>
  <c r="B1281" i="3"/>
  <c r="P1280" i="3"/>
  <c r="O1280" i="3"/>
  <c r="C1280" i="3"/>
  <c r="B1280" i="3"/>
  <c r="P1279" i="3"/>
  <c r="O1279" i="3"/>
  <c r="C1279" i="3"/>
  <c r="B1279" i="3"/>
  <c r="P1278" i="3"/>
  <c r="O1278" i="3"/>
  <c r="C1278" i="3"/>
  <c r="B1278" i="3"/>
  <c r="P1277" i="3"/>
  <c r="O1277" i="3"/>
  <c r="C1277" i="3"/>
  <c r="B1277" i="3"/>
  <c r="P1276" i="3"/>
  <c r="O1276" i="3"/>
  <c r="C1276" i="3"/>
  <c r="B1276" i="3"/>
  <c r="P1275" i="3"/>
  <c r="O1275" i="3"/>
  <c r="C1275" i="3"/>
  <c r="B1275" i="3"/>
  <c r="P1274" i="3"/>
  <c r="O1274" i="3"/>
  <c r="C1274" i="3"/>
  <c r="B1274" i="3"/>
  <c r="P1273" i="3"/>
  <c r="O1273" i="3"/>
  <c r="C1273" i="3"/>
  <c r="B1273" i="3"/>
  <c r="P1272" i="3"/>
  <c r="O1272" i="3"/>
  <c r="C1272" i="3"/>
  <c r="B1272" i="3"/>
  <c r="P1271" i="3"/>
  <c r="O1271" i="3"/>
  <c r="C1271" i="3"/>
  <c r="B1271" i="3"/>
  <c r="P1270" i="3"/>
  <c r="O1270" i="3"/>
  <c r="C1270" i="3"/>
  <c r="B1270" i="3"/>
  <c r="P1269" i="3"/>
  <c r="O1269" i="3"/>
  <c r="C1269" i="3"/>
  <c r="B1269" i="3"/>
  <c r="P1268" i="3"/>
  <c r="O1268" i="3"/>
  <c r="C1268" i="3"/>
  <c r="B1268" i="3"/>
  <c r="P1267" i="3"/>
  <c r="O1267" i="3"/>
  <c r="C1267" i="3"/>
  <c r="B1267" i="3"/>
  <c r="P1266" i="3"/>
  <c r="O1266" i="3"/>
  <c r="C1266" i="3"/>
  <c r="B1266" i="3"/>
  <c r="P1265" i="3"/>
  <c r="O1265" i="3"/>
  <c r="C1265" i="3"/>
  <c r="B1265" i="3"/>
  <c r="P1264" i="3"/>
  <c r="O1264" i="3"/>
  <c r="C1264" i="3"/>
  <c r="B1264" i="3"/>
  <c r="P1263" i="3"/>
  <c r="O1263" i="3"/>
  <c r="C1263" i="3"/>
  <c r="B1263" i="3"/>
  <c r="P1262" i="3"/>
  <c r="O1262" i="3"/>
  <c r="C1262" i="3"/>
  <c r="B1262" i="3"/>
  <c r="P1261" i="3"/>
  <c r="O1261" i="3"/>
  <c r="C1261" i="3"/>
  <c r="B1261" i="3"/>
  <c r="P1260" i="3"/>
  <c r="O1260" i="3"/>
  <c r="C1260" i="3"/>
  <c r="B1260" i="3"/>
  <c r="P1259" i="3"/>
  <c r="O1259" i="3"/>
  <c r="C1259" i="3"/>
  <c r="B1259" i="3"/>
  <c r="P1258" i="3"/>
  <c r="O1258" i="3"/>
  <c r="C1258" i="3"/>
  <c r="B1258" i="3"/>
  <c r="P1257" i="3"/>
  <c r="O1257" i="3"/>
  <c r="C1257" i="3"/>
  <c r="B1257" i="3"/>
  <c r="P1256" i="3"/>
  <c r="O1256" i="3"/>
  <c r="C1256" i="3"/>
  <c r="B1256" i="3"/>
  <c r="P1255" i="3"/>
  <c r="O1255" i="3"/>
  <c r="C1255" i="3"/>
  <c r="B1255" i="3"/>
  <c r="P1254" i="3"/>
  <c r="O1254" i="3"/>
  <c r="C1254" i="3"/>
  <c r="B1254" i="3"/>
  <c r="P1253" i="3"/>
  <c r="O1253" i="3"/>
  <c r="C1253" i="3"/>
  <c r="B1253" i="3"/>
  <c r="P1252" i="3"/>
  <c r="O1252" i="3"/>
  <c r="C1252" i="3"/>
  <c r="B1252" i="3"/>
  <c r="P1251" i="3"/>
  <c r="O1251" i="3"/>
  <c r="C1251" i="3"/>
  <c r="B1251" i="3"/>
  <c r="P1250" i="3"/>
  <c r="O1250" i="3"/>
  <c r="C1250" i="3"/>
  <c r="B1250" i="3"/>
  <c r="P1249" i="3"/>
  <c r="O1249" i="3"/>
  <c r="C1249" i="3"/>
  <c r="B1249" i="3"/>
  <c r="P1248" i="3"/>
  <c r="O1248" i="3"/>
  <c r="C1248" i="3"/>
  <c r="B1248" i="3"/>
  <c r="P1247" i="3"/>
  <c r="O1247" i="3"/>
  <c r="C1247" i="3"/>
  <c r="B1247" i="3"/>
  <c r="P1246" i="3"/>
  <c r="O1246" i="3"/>
  <c r="C1246" i="3"/>
  <c r="B1246" i="3"/>
  <c r="P1245" i="3"/>
  <c r="O1245" i="3"/>
  <c r="C1245" i="3"/>
  <c r="B1245" i="3"/>
  <c r="P1244" i="3"/>
  <c r="O1244" i="3"/>
  <c r="C1244" i="3"/>
  <c r="B1244" i="3"/>
  <c r="P1243" i="3"/>
  <c r="O1243" i="3"/>
  <c r="C1243" i="3"/>
  <c r="B1243" i="3"/>
  <c r="P1242" i="3"/>
  <c r="O1242" i="3"/>
  <c r="C1242" i="3"/>
  <c r="B1242" i="3"/>
  <c r="P1241" i="3"/>
  <c r="O1241" i="3"/>
  <c r="C1241" i="3"/>
  <c r="B1241" i="3"/>
  <c r="P1240" i="3"/>
  <c r="O1240" i="3"/>
  <c r="C1240" i="3"/>
  <c r="B1240" i="3"/>
  <c r="P1239" i="3"/>
  <c r="O1239" i="3"/>
  <c r="C1239" i="3"/>
  <c r="B1239" i="3"/>
  <c r="P1238" i="3"/>
  <c r="O1238" i="3"/>
  <c r="C1238" i="3"/>
  <c r="B1238" i="3"/>
  <c r="P1237" i="3"/>
  <c r="O1237" i="3"/>
  <c r="C1237" i="3"/>
  <c r="B1237" i="3"/>
  <c r="P1236" i="3"/>
  <c r="O1236" i="3"/>
  <c r="C1236" i="3"/>
  <c r="B1236" i="3"/>
  <c r="P1235" i="3"/>
  <c r="O1235" i="3"/>
  <c r="C1235" i="3"/>
  <c r="B1235" i="3"/>
  <c r="P1234" i="3"/>
  <c r="O1234" i="3"/>
  <c r="C1234" i="3"/>
  <c r="B1234" i="3"/>
  <c r="P1233" i="3"/>
  <c r="O1233" i="3"/>
  <c r="C1233" i="3"/>
  <c r="B1233" i="3"/>
  <c r="P1232" i="3"/>
  <c r="O1232" i="3"/>
  <c r="C1232" i="3"/>
  <c r="B1232" i="3"/>
  <c r="P1231" i="3"/>
  <c r="O1231" i="3"/>
  <c r="C1231" i="3"/>
  <c r="B1231" i="3"/>
  <c r="P1230" i="3"/>
  <c r="O1230" i="3"/>
  <c r="C1230" i="3"/>
  <c r="B1230" i="3"/>
  <c r="P1229" i="3"/>
  <c r="O1229" i="3"/>
  <c r="C1229" i="3"/>
  <c r="B1229" i="3"/>
  <c r="P1228" i="3"/>
  <c r="O1228" i="3"/>
  <c r="C1228" i="3"/>
  <c r="B1228" i="3"/>
  <c r="P1227" i="3"/>
  <c r="O1227" i="3"/>
  <c r="C1227" i="3"/>
  <c r="B1227" i="3"/>
  <c r="P1226" i="3"/>
  <c r="O1226" i="3"/>
  <c r="C1226" i="3"/>
  <c r="B1226" i="3"/>
  <c r="P1225" i="3"/>
  <c r="O1225" i="3"/>
  <c r="C1225" i="3"/>
  <c r="B1225" i="3"/>
  <c r="P1224" i="3"/>
  <c r="O1224" i="3"/>
  <c r="C1224" i="3"/>
  <c r="B1224" i="3"/>
  <c r="P1223" i="3"/>
  <c r="O1223" i="3"/>
  <c r="C1223" i="3"/>
  <c r="B1223" i="3"/>
  <c r="P1222" i="3"/>
  <c r="O1222" i="3"/>
  <c r="C1222" i="3"/>
  <c r="B1222" i="3"/>
  <c r="P1221" i="3"/>
  <c r="O1221" i="3"/>
  <c r="C1221" i="3"/>
  <c r="B1221" i="3"/>
  <c r="P1220" i="3"/>
  <c r="O1220" i="3"/>
  <c r="C1220" i="3"/>
  <c r="B1220" i="3"/>
  <c r="P1219" i="3"/>
  <c r="O1219" i="3"/>
  <c r="C1219" i="3"/>
  <c r="B1219" i="3"/>
  <c r="P1218" i="3"/>
  <c r="O1218" i="3"/>
  <c r="C1218" i="3"/>
  <c r="B1218" i="3"/>
  <c r="P1217" i="3"/>
  <c r="O1217" i="3"/>
  <c r="C1217" i="3"/>
  <c r="B1217" i="3"/>
  <c r="P1216" i="3"/>
  <c r="O1216" i="3"/>
  <c r="C1216" i="3"/>
  <c r="B1216" i="3"/>
  <c r="P1215" i="3"/>
  <c r="O1215" i="3"/>
  <c r="C1215" i="3"/>
  <c r="B1215" i="3"/>
  <c r="P1214" i="3"/>
  <c r="O1214" i="3"/>
  <c r="C1214" i="3"/>
  <c r="B1214" i="3"/>
  <c r="P1213" i="3"/>
  <c r="O1213" i="3"/>
  <c r="C1213" i="3"/>
  <c r="B1213" i="3"/>
  <c r="P1212" i="3"/>
  <c r="O1212" i="3"/>
  <c r="C1212" i="3"/>
  <c r="B1212" i="3"/>
  <c r="P1211" i="3"/>
  <c r="O1211" i="3"/>
  <c r="C1211" i="3"/>
  <c r="B1211" i="3"/>
  <c r="P1210" i="3"/>
  <c r="O1210" i="3"/>
  <c r="C1210" i="3"/>
  <c r="B1210" i="3"/>
  <c r="P1209" i="3"/>
  <c r="O1209" i="3"/>
  <c r="C1209" i="3"/>
  <c r="B1209" i="3"/>
  <c r="P1208" i="3"/>
  <c r="O1208" i="3"/>
  <c r="C1208" i="3"/>
  <c r="B1208" i="3"/>
  <c r="P1207" i="3"/>
  <c r="O1207" i="3"/>
  <c r="C1207" i="3"/>
  <c r="B1207" i="3"/>
  <c r="P1206" i="3"/>
  <c r="O1206" i="3"/>
  <c r="C1206" i="3"/>
  <c r="B1206" i="3"/>
  <c r="P1205" i="3"/>
  <c r="O1205" i="3"/>
  <c r="C1205" i="3"/>
  <c r="B1205" i="3"/>
  <c r="P1204" i="3"/>
  <c r="O1204" i="3"/>
  <c r="C1204" i="3"/>
  <c r="B1204" i="3"/>
  <c r="P1203" i="3"/>
  <c r="O1203" i="3"/>
  <c r="C1203" i="3"/>
  <c r="B1203" i="3"/>
  <c r="P1202" i="3"/>
  <c r="O1202" i="3"/>
  <c r="C1202" i="3"/>
  <c r="B1202" i="3"/>
  <c r="P1201" i="3"/>
  <c r="O1201" i="3"/>
  <c r="C1201" i="3"/>
  <c r="B1201" i="3"/>
  <c r="P1200" i="3"/>
  <c r="O1200" i="3"/>
  <c r="C1200" i="3"/>
  <c r="B1200" i="3"/>
  <c r="P1199" i="3"/>
  <c r="O1199" i="3"/>
  <c r="C1199" i="3"/>
  <c r="B1199" i="3"/>
  <c r="P1198" i="3"/>
  <c r="O1198" i="3"/>
  <c r="C1198" i="3"/>
  <c r="B1198" i="3"/>
  <c r="P1197" i="3"/>
  <c r="O1197" i="3"/>
  <c r="C1197" i="3"/>
  <c r="B1197" i="3"/>
  <c r="P1196" i="3"/>
  <c r="O1196" i="3"/>
  <c r="C1196" i="3"/>
  <c r="B1196" i="3"/>
  <c r="P1195" i="3"/>
  <c r="O1195" i="3"/>
  <c r="C1195" i="3"/>
  <c r="B1195" i="3"/>
  <c r="P1194" i="3"/>
  <c r="O1194" i="3"/>
  <c r="C1194" i="3"/>
  <c r="B1194" i="3"/>
  <c r="P1193" i="3"/>
  <c r="O1193" i="3"/>
  <c r="C1193" i="3"/>
  <c r="B1193" i="3"/>
  <c r="P1192" i="3"/>
  <c r="O1192" i="3"/>
  <c r="C1192" i="3"/>
  <c r="B1192" i="3"/>
  <c r="P1191" i="3"/>
  <c r="O1191" i="3"/>
  <c r="C1191" i="3"/>
  <c r="B1191" i="3"/>
  <c r="P1190" i="3"/>
  <c r="O1190" i="3"/>
  <c r="C1190" i="3"/>
  <c r="B1190" i="3"/>
  <c r="P1189" i="3"/>
  <c r="O1189" i="3"/>
  <c r="C1189" i="3"/>
  <c r="B1189" i="3"/>
  <c r="P1188" i="3"/>
  <c r="O1188" i="3"/>
  <c r="C1188" i="3"/>
  <c r="B1188" i="3"/>
  <c r="P1187" i="3"/>
  <c r="O1187" i="3"/>
  <c r="C1187" i="3"/>
  <c r="B1187" i="3"/>
  <c r="P1186" i="3"/>
  <c r="O1186" i="3"/>
  <c r="C1186" i="3"/>
  <c r="B1186" i="3"/>
  <c r="P1185" i="3"/>
  <c r="O1185" i="3"/>
  <c r="C1185" i="3"/>
  <c r="B1185" i="3"/>
  <c r="P1184" i="3"/>
  <c r="O1184" i="3"/>
  <c r="C1184" i="3"/>
  <c r="B1184" i="3"/>
  <c r="P1183" i="3"/>
  <c r="O1183" i="3"/>
  <c r="C1183" i="3"/>
  <c r="B1183" i="3"/>
  <c r="P1182" i="3"/>
  <c r="O1182" i="3"/>
  <c r="C1182" i="3"/>
  <c r="B1182" i="3"/>
  <c r="P1181" i="3"/>
  <c r="O1181" i="3"/>
  <c r="C1181" i="3"/>
  <c r="B1181" i="3"/>
  <c r="P1180" i="3"/>
  <c r="O1180" i="3"/>
  <c r="C1180" i="3"/>
  <c r="B1180" i="3"/>
  <c r="P1179" i="3"/>
  <c r="O1179" i="3"/>
  <c r="C1179" i="3"/>
  <c r="B1179" i="3"/>
  <c r="P1178" i="3"/>
  <c r="O1178" i="3"/>
  <c r="C1178" i="3"/>
  <c r="B1178" i="3"/>
  <c r="P1177" i="3"/>
  <c r="O1177" i="3"/>
  <c r="C1177" i="3"/>
  <c r="B1177" i="3"/>
  <c r="P1176" i="3"/>
  <c r="O1176" i="3"/>
  <c r="C1176" i="3"/>
  <c r="B1176" i="3"/>
  <c r="P1175" i="3"/>
  <c r="O1175" i="3"/>
  <c r="C1175" i="3"/>
  <c r="B1175" i="3"/>
  <c r="P1174" i="3"/>
  <c r="O1174" i="3"/>
  <c r="C1174" i="3"/>
  <c r="B1174" i="3"/>
  <c r="P1173" i="3"/>
  <c r="O1173" i="3"/>
  <c r="C1173" i="3"/>
  <c r="B1173" i="3"/>
  <c r="P1172" i="3"/>
  <c r="O1172" i="3"/>
  <c r="C1172" i="3"/>
  <c r="B1172" i="3"/>
  <c r="P1171" i="3"/>
  <c r="O1171" i="3"/>
  <c r="C1171" i="3"/>
  <c r="B1171" i="3"/>
  <c r="P1170" i="3"/>
  <c r="O1170" i="3"/>
  <c r="C1170" i="3"/>
  <c r="B1170" i="3"/>
  <c r="P1169" i="3"/>
  <c r="O1169" i="3"/>
  <c r="C1169" i="3"/>
  <c r="B1169" i="3"/>
  <c r="P1168" i="3"/>
  <c r="O1168" i="3"/>
  <c r="C1168" i="3"/>
  <c r="B1168" i="3"/>
  <c r="P1167" i="3"/>
  <c r="O1167" i="3"/>
  <c r="C1167" i="3"/>
  <c r="B1167" i="3"/>
  <c r="P1166" i="3"/>
  <c r="O1166" i="3"/>
  <c r="C1166" i="3"/>
  <c r="B1166" i="3"/>
  <c r="P1165" i="3"/>
  <c r="O1165" i="3"/>
  <c r="C1165" i="3"/>
  <c r="B1165" i="3"/>
  <c r="P1164" i="3"/>
  <c r="O1164" i="3"/>
  <c r="C1164" i="3"/>
  <c r="B1164" i="3"/>
  <c r="P1163" i="3"/>
  <c r="O1163" i="3"/>
  <c r="C1163" i="3"/>
  <c r="B1163" i="3"/>
  <c r="P1162" i="3"/>
  <c r="O1162" i="3"/>
  <c r="C1162" i="3"/>
  <c r="B1162" i="3"/>
  <c r="P1161" i="3"/>
  <c r="O1161" i="3"/>
  <c r="C1161" i="3"/>
  <c r="B1161" i="3"/>
  <c r="P1160" i="3"/>
  <c r="O1160" i="3"/>
  <c r="C1160" i="3"/>
  <c r="B1160" i="3"/>
  <c r="P1159" i="3"/>
  <c r="O1159" i="3"/>
  <c r="C1159" i="3"/>
  <c r="B1159" i="3"/>
  <c r="P1158" i="3"/>
  <c r="O1158" i="3"/>
  <c r="C1158" i="3"/>
  <c r="B1158" i="3"/>
  <c r="P1157" i="3"/>
  <c r="O1157" i="3"/>
  <c r="C1157" i="3"/>
  <c r="B1157" i="3"/>
  <c r="P1156" i="3"/>
  <c r="O1156" i="3"/>
  <c r="C1156" i="3"/>
  <c r="B1156" i="3"/>
  <c r="P1155" i="3"/>
  <c r="O1155" i="3"/>
  <c r="C1155" i="3"/>
  <c r="B1155" i="3"/>
  <c r="P1154" i="3"/>
  <c r="O1154" i="3"/>
  <c r="C1154" i="3"/>
  <c r="B1154" i="3"/>
  <c r="P1153" i="3"/>
  <c r="O1153" i="3"/>
  <c r="C1153" i="3"/>
  <c r="B1153" i="3"/>
  <c r="P1152" i="3"/>
  <c r="O1152" i="3"/>
  <c r="C1152" i="3"/>
  <c r="B1152" i="3"/>
  <c r="P1151" i="3"/>
  <c r="O1151" i="3"/>
  <c r="C1151" i="3"/>
  <c r="B1151" i="3"/>
  <c r="P1150" i="3"/>
  <c r="O1150" i="3"/>
  <c r="C1150" i="3"/>
  <c r="B1150" i="3"/>
  <c r="P1149" i="3"/>
  <c r="O1149" i="3"/>
  <c r="C1149" i="3"/>
  <c r="B1149" i="3"/>
  <c r="P1148" i="3"/>
  <c r="O1148" i="3"/>
  <c r="C1148" i="3"/>
  <c r="B1148" i="3"/>
  <c r="P1147" i="3"/>
  <c r="O1147" i="3"/>
  <c r="C1147" i="3"/>
  <c r="B1147" i="3"/>
  <c r="P1146" i="3"/>
  <c r="O1146" i="3"/>
  <c r="C1146" i="3"/>
  <c r="B1146" i="3"/>
  <c r="P1145" i="3"/>
  <c r="O1145" i="3"/>
  <c r="C1145" i="3"/>
  <c r="B1145" i="3"/>
  <c r="P1144" i="3"/>
  <c r="O1144" i="3"/>
  <c r="C1144" i="3"/>
  <c r="B1144" i="3"/>
  <c r="P1143" i="3"/>
  <c r="O1143" i="3"/>
  <c r="C1143" i="3"/>
  <c r="B1143" i="3"/>
  <c r="P1142" i="3"/>
  <c r="O1142" i="3"/>
  <c r="C1142" i="3"/>
  <c r="B1142" i="3"/>
  <c r="P1141" i="3"/>
  <c r="O1141" i="3"/>
  <c r="C1141" i="3"/>
  <c r="B1141" i="3"/>
  <c r="P1140" i="3"/>
  <c r="O1140" i="3"/>
  <c r="C1140" i="3"/>
  <c r="B1140" i="3"/>
  <c r="P1139" i="3"/>
  <c r="O1139" i="3"/>
  <c r="C1139" i="3"/>
  <c r="B1139" i="3"/>
  <c r="P1138" i="3"/>
  <c r="O1138" i="3"/>
  <c r="C1138" i="3"/>
  <c r="B1138" i="3"/>
  <c r="P1137" i="3"/>
  <c r="O1137" i="3"/>
  <c r="C1137" i="3"/>
  <c r="B1137" i="3"/>
  <c r="P1136" i="3"/>
  <c r="O1136" i="3"/>
  <c r="C1136" i="3"/>
  <c r="B1136" i="3"/>
  <c r="P1135" i="3"/>
  <c r="O1135" i="3"/>
  <c r="C1135" i="3"/>
  <c r="B1135" i="3"/>
  <c r="P1134" i="3"/>
  <c r="O1134" i="3"/>
  <c r="C1134" i="3"/>
  <c r="B1134" i="3"/>
  <c r="P1133" i="3"/>
  <c r="O1133" i="3"/>
  <c r="C1133" i="3"/>
  <c r="B1133" i="3"/>
  <c r="P1132" i="3"/>
  <c r="O1132" i="3"/>
  <c r="C1132" i="3"/>
  <c r="B1132" i="3"/>
  <c r="P1131" i="3"/>
  <c r="O1131" i="3"/>
  <c r="C1131" i="3"/>
  <c r="B1131" i="3"/>
  <c r="P1130" i="3"/>
  <c r="O1130" i="3"/>
  <c r="C1130" i="3"/>
  <c r="B1130" i="3"/>
  <c r="P1129" i="3"/>
  <c r="O1129" i="3"/>
  <c r="C1129" i="3"/>
  <c r="B1129" i="3"/>
  <c r="P1128" i="3"/>
  <c r="O1128" i="3"/>
  <c r="C1128" i="3"/>
  <c r="B1128" i="3"/>
  <c r="P1127" i="3"/>
  <c r="O1127" i="3"/>
  <c r="C1127" i="3"/>
  <c r="B1127" i="3"/>
  <c r="P1126" i="3"/>
  <c r="O1126" i="3"/>
  <c r="C1126" i="3"/>
  <c r="B1126" i="3"/>
  <c r="P1125" i="3"/>
  <c r="O1125" i="3"/>
  <c r="C1125" i="3"/>
  <c r="B1125" i="3"/>
  <c r="P1124" i="3"/>
  <c r="O1124" i="3"/>
  <c r="C1124" i="3"/>
  <c r="B1124" i="3"/>
  <c r="P1123" i="3"/>
  <c r="O1123" i="3"/>
  <c r="C1123" i="3"/>
  <c r="B1123" i="3"/>
  <c r="P1122" i="3"/>
  <c r="O1122" i="3"/>
  <c r="C1122" i="3"/>
  <c r="B1122" i="3"/>
  <c r="P1121" i="3"/>
  <c r="O1121" i="3"/>
  <c r="C1121" i="3"/>
  <c r="B1121" i="3"/>
  <c r="P1120" i="3"/>
  <c r="O1120" i="3"/>
  <c r="C1120" i="3"/>
  <c r="B1120" i="3"/>
  <c r="P1119" i="3"/>
  <c r="O1119" i="3"/>
  <c r="C1119" i="3"/>
  <c r="B1119" i="3"/>
  <c r="P1118" i="3"/>
  <c r="O1118" i="3"/>
  <c r="C1118" i="3"/>
  <c r="B1118" i="3"/>
  <c r="P1117" i="3"/>
  <c r="O1117" i="3"/>
  <c r="C1117" i="3"/>
  <c r="B1117" i="3"/>
  <c r="P1116" i="3"/>
  <c r="O1116" i="3"/>
  <c r="C1116" i="3"/>
  <c r="B1116" i="3"/>
  <c r="P1115" i="3"/>
  <c r="O1115" i="3"/>
  <c r="C1115" i="3"/>
  <c r="B1115" i="3"/>
  <c r="P1114" i="3"/>
  <c r="O1114" i="3"/>
  <c r="C1114" i="3"/>
  <c r="B1114" i="3"/>
  <c r="P1113" i="3"/>
  <c r="O1113" i="3"/>
  <c r="C1113" i="3"/>
  <c r="B1113" i="3"/>
  <c r="P1112" i="3"/>
  <c r="O1112" i="3"/>
  <c r="C1112" i="3"/>
  <c r="B1112" i="3"/>
  <c r="P1111" i="3"/>
  <c r="O1111" i="3"/>
  <c r="C1111" i="3"/>
  <c r="B1111" i="3"/>
  <c r="P1110" i="3"/>
  <c r="O1110" i="3"/>
  <c r="C1110" i="3"/>
  <c r="B1110" i="3"/>
  <c r="P1109" i="3"/>
  <c r="O1109" i="3"/>
  <c r="C1109" i="3"/>
  <c r="B1109" i="3"/>
  <c r="P1108" i="3"/>
  <c r="O1108" i="3"/>
  <c r="C1108" i="3"/>
  <c r="B1108" i="3"/>
  <c r="P1107" i="3"/>
  <c r="O1107" i="3"/>
  <c r="C1107" i="3"/>
  <c r="B1107" i="3"/>
  <c r="P1106" i="3"/>
  <c r="O1106" i="3"/>
  <c r="C1106" i="3"/>
  <c r="B1106" i="3"/>
  <c r="P1105" i="3"/>
  <c r="O1105" i="3"/>
  <c r="C1105" i="3"/>
  <c r="B1105" i="3"/>
  <c r="P1104" i="3"/>
  <c r="O1104" i="3"/>
  <c r="C1104" i="3"/>
  <c r="B1104" i="3"/>
  <c r="P1103" i="3"/>
  <c r="O1103" i="3"/>
  <c r="C1103" i="3"/>
  <c r="B1103" i="3"/>
  <c r="P1102" i="3"/>
  <c r="O1102" i="3"/>
  <c r="C1102" i="3"/>
  <c r="B1102" i="3"/>
  <c r="P1101" i="3"/>
  <c r="O1101" i="3"/>
  <c r="C1101" i="3"/>
  <c r="B1101" i="3"/>
  <c r="P1100" i="3"/>
  <c r="O1100" i="3"/>
  <c r="C1100" i="3"/>
  <c r="B1100" i="3"/>
  <c r="P1099" i="3"/>
  <c r="O1099" i="3"/>
  <c r="C1099" i="3"/>
  <c r="B1099" i="3"/>
  <c r="P1098" i="3"/>
  <c r="O1098" i="3"/>
  <c r="C1098" i="3"/>
  <c r="B1098" i="3"/>
  <c r="P1097" i="3"/>
  <c r="O1097" i="3"/>
  <c r="C1097" i="3"/>
  <c r="B1097" i="3"/>
  <c r="P1096" i="3"/>
  <c r="O1096" i="3"/>
  <c r="C1096" i="3"/>
  <c r="B1096" i="3"/>
  <c r="P1095" i="3"/>
  <c r="O1095" i="3"/>
  <c r="C1095" i="3"/>
  <c r="B1095" i="3"/>
  <c r="P1094" i="3"/>
  <c r="O1094" i="3"/>
  <c r="C1094" i="3"/>
  <c r="B1094" i="3"/>
  <c r="P1093" i="3"/>
  <c r="O1093" i="3"/>
  <c r="C1093" i="3"/>
  <c r="B1093" i="3"/>
  <c r="P1092" i="3"/>
  <c r="O1092" i="3"/>
  <c r="C1092" i="3"/>
  <c r="B1092" i="3"/>
  <c r="P1091" i="3"/>
  <c r="O1091" i="3"/>
  <c r="C1091" i="3"/>
  <c r="B1091" i="3"/>
  <c r="P1090" i="3"/>
  <c r="O1090" i="3"/>
  <c r="C1090" i="3"/>
  <c r="B1090" i="3"/>
  <c r="P1089" i="3"/>
  <c r="O1089" i="3"/>
  <c r="C1089" i="3"/>
  <c r="B1089" i="3"/>
  <c r="P1088" i="3"/>
  <c r="O1088" i="3"/>
  <c r="C1088" i="3"/>
  <c r="B1088" i="3"/>
  <c r="P1087" i="3"/>
  <c r="O1087" i="3"/>
  <c r="C1087" i="3"/>
  <c r="B1087" i="3"/>
  <c r="P1086" i="3"/>
  <c r="O1086" i="3"/>
  <c r="C1086" i="3"/>
  <c r="B1086" i="3"/>
  <c r="P1085" i="3"/>
  <c r="O1085" i="3"/>
  <c r="C1085" i="3"/>
  <c r="B1085" i="3"/>
  <c r="P1084" i="3"/>
  <c r="O1084" i="3"/>
  <c r="C1084" i="3"/>
  <c r="B1084" i="3"/>
  <c r="P1083" i="3"/>
  <c r="O1083" i="3"/>
  <c r="C1083" i="3"/>
  <c r="B1083" i="3"/>
  <c r="P1082" i="3"/>
  <c r="O1082" i="3"/>
  <c r="C1082" i="3"/>
  <c r="B1082" i="3"/>
  <c r="P1081" i="3"/>
  <c r="O1081" i="3"/>
  <c r="C1081" i="3"/>
  <c r="B1081" i="3"/>
  <c r="P1080" i="3"/>
  <c r="O1080" i="3"/>
  <c r="C1080" i="3"/>
  <c r="B1080" i="3"/>
  <c r="P1079" i="3"/>
  <c r="O1079" i="3"/>
  <c r="C1079" i="3"/>
  <c r="B1079" i="3"/>
  <c r="P1078" i="3"/>
  <c r="O1078" i="3"/>
  <c r="C1078" i="3"/>
  <c r="B1078" i="3"/>
  <c r="P1077" i="3"/>
  <c r="O1077" i="3"/>
  <c r="C1077" i="3"/>
  <c r="B1077" i="3"/>
  <c r="P1076" i="3"/>
  <c r="O1076" i="3"/>
  <c r="C1076" i="3"/>
  <c r="B1076" i="3"/>
  <c r="P1075" i="3"/>
  <c r="O1075" i="3"/>
  <c r="C1075" i="3"/>
  <c r="B1075" i="3"/>
  <c r="P1074" i="3"/>
  <c r="O1074" i="3"/>
  <c r="C1074" i="3"/>
  <c r="B1074" i="3"/>
  <c r="P1073" i="3"/>
  <c r="O1073" i="3"/>
  <c r="C1073" i="3"/>
  <c r="B1073" i="3"/>
  <c r="P1072" i="3"/>
  <c r="O1072" i="3"/>
  <c r="C1072" i="3"/>
  <c r="B1072" i="3"/>
  <c r="P1071" i="3"/>
  <c r="O1071" i="3"/>
  <c r="C1071" i="3"/>
  <c r="B1071" i="3"/>
  <c r="P1070" i="3"/>
  <c r="O1070" i="3"/>
  <c r="C1070" i="3"/>
  <c r="B1070" i="3"/>
  <c r="P1069" i="3"/>
  <c r="O1069" i="3"/>
  <c r="C1069" i="3"/>
  <c r="B1069" i="3"/>
  <c r="P1068" i="3"/>
  <c r="O1068" i="3"/>
  <c r="C1068" i="3"/>
  <c r="B1068" i="3"/>
  <c r="P1067" i="3"/>
  <c r="O1067" i="3"/>
  <c r="C1067" i="3"/>
  <c r="B1067" i="3"/>
  <c r="P1066" i="3"/>
  <c r="O1066" i="3"/>
  <c r="C1066" i="3"/>
  <c r="B1066" i="3"/>
  <c r="P1065" i="3"/>
  <c r="O1065" i="3"/>
  <c r="C1065" i="3"/>
  <c r="B1065" i="3"/>
  <c r="P1064" i="3"/>
  <c r="O1064" i="3"/>
  <c r="C1064" i="3"/>
  <c r="B1064" i="3"/>
  <c r="P1063" i="3"/>
  <c r="O1063" i="3"/>
  <c r="C1063" i="3"/>
  <c r="B1063" i="3"/>
  <c r="P1062" i="3"/>
  <c r="O1062" i="3"/>
  <c r="C1062" i="3"/>
  <c r="B1062" i="3"/>
  <c r="P1061" i="3"/>
  <c r="O1061" i="3"/>
  <c r="C1061" i="3"/>
  <c r="B1061" i="3"/>
  <c r="P1060" i="3"/>
  <c r="O1060" i="3"/>
  <c r="C1060" i="3"/>
  <c r="B1060" i="3"/>
  <c r="P1059" i="3"/>
  <c r="O1059" i="3"/>
  <c r="C1059" i="3"/>
  <c r="B1059" i="3"/>
  <c r="P1058" i="3"/>
  <c r="O1058" i="3"/>
  <c r="C1058" i="3"/>
  <c r="B1058" i="3"/>
  <c r="P1057" i="3"/>
  <c r="O1057" i="3"/>
  <c r="C1057" i="3"/>
  <c r="B1057" i="3"/>
  <c r="P1056" i="3"/>
  <c r="O1056" i="3"/>
  <c r="C1056" i="3"/>
  <c r="B1056" i="3"/>
  <c r="P1055" i="3"/>
  <c r="O1055" i="3"/>
  <c r="C1055" i="3"/>
  <c r="B1055" i="3"/>
  <c r="P1054" i="3"/>
  <c r="O1054" i="3"/>
  <c r="C1054" i="3"/>
  <c r="B1054" i="3"/>
  <c r="P1053" i="3"/>
  <c r="O1053" i="3"/>
  <c r="C1053" i="3"/>
  <c r="B1053" i="3"/>
  <c r="P1052" i="3"/>
  <c r="O1052" i="3"/>
  <c r="C1052" i="3"/>
  <c r="B1052" i="3"/>
  <c r="P1051" i="3"/>
  <c r="O1051" i="3"/>
  <c r="C1051" i="3"/>
  <c r="B1051" i="3"/>
  <c r="P1050" i="3"/>
  <c r="O1050" i="3"/>
  <c r="C1050" i="3"/>
  <c r="B1050" i="3"/>
  <c r="P1049" i="3"/>
  <c r="O1049" i="3"/>
  <c r="C1049" i="3"/>
  <c r="B1049" i="3"/>
  <c r="P1048" i="3"/>
  <c r="O1048" i="3"/>
  <c r="C1048" i="3"/>
  <c r="B1048" i="3"/>
  <c r="P1047" i="3"/>
  <c r="O1047" i="3"/>
  <c r="C1047" i="3"/>
  <c r="B1047" i="3"/>
  <c r="P1046" i="3"/>
  <c r="O1046" i="3"/>
  <c r="C1046" i="3"/>
  <c r="B1046" i="3"/>
  <c r="P1045" i="3"/>
  <c r="O1045" i="3"/>
  <c r="C1045" i="3"/>
  <c r="B1045" i="3"/>
  <c r="P1044" i="3"/>
  <c r="O1044" i="3"/>
  <c r="C1044" i="3"/>
  <c r="B1044" i="3"/>
  <c r="P1043" i="3"/>
  <c r="O1043" i="3"/>
  <c r="C1043" i="3"/>
  <c r="B1043" i="3"/>
  <c r="P1042" i="3"/>
  <c r="O1042" i="3"/>
  <c r="C1042" i="3"/>
  <c r="B1042" i="3"/>
  <c r="P1041" i="3"/>
  <c r="O1041" i="3"/>
  <c r="C1041" i="3"/>
  <c r="B1041" i="3"/>
  <c r="P1040" i="3"/>
  <c r="O1040" i="3"/>
  <c r="C1040" i="3"/>
  <c r="B1040" i="3"/>
  <c r="P1039" i="3"/>
  <c r="O1039" i="3"/>
  <c r="C1039" i="3"/>
  <c r="B1039" i="3"/>
  <c r="P1038" i="3"/>
  <c r="O1038" i="3"/>
  <c r="C1038" i="3"/>
  <c r="B1038" i="3"/>
  <c r="P1037" i="3"/>
  <c r="O1037" i="3"/>
  <c r="C1037" i="3"/>
  <c r="B1037" i="3"/>
  <c r="P1036" i="3"/>
  <c r="O1036" i="3"/>
  <c r="C1036" i="3"/>
  <c r="B1036" i="3"/>
  <c r="P1035" i="3"/>
  <c r="O1035" i="3"/>
  <c r="C1035" i="3"/>
  <c r="B1035" i="3"/>
  <c r="P1034" i="3"/>
  <c r="O1034" i="3"/>
  <c r="C1034" i="3"/>
  <c r="B1034" i="3"/>
  <c r="P1033" i="3"/>
  <c r="O1033" i="3"/>
  <c r="C1033" i="3"/>
  <c r="B1033" i="3"/>
  <c r="P1032" i="3"/>
  <c r="O1032" i="3"/>
  <c r="C1032" i="3"/>
  <c r="B1032" i="3"/>
  <c r="P1031" i="3"/>
  <c r="O1031" i="3"/>
  <c r="C1031" i="3"/>
  <c r="B1031" i="3"/>
  <c r="P1030" i="3"/>
  <c r="O1030" i="3"/>
  <c r="C1030" i="3"/>
  <c r="B1030" i="3"/>
  <c r="P1029" i="3"/>
  <c r="O1029" i="3"/>
  <c r="C1029" i="3"/>
  <c r="B1029" i="3"/>
  <c r="P1028" i="3"/>
  <c r="O1028" i="3"/>
  <c r="C1028" i="3"/>
  <c r="B1028" i="3"/>
  <c r="P1027" i="3"/>
  <c r="O1027" i="3"/>
  <c r="C1027" i="3"/>
  <c r="B1027" i="3"/>
  <c r="P1026" i="3"/>
  <c r="O1026" i="3"/>
  <c r="C1026" i="3"/>
  <c r="B1026" i="3"/>
  <c r="P1025" i="3"/>
  <c r="O1025" i="3"/>
  <c r="C1025" i="3"/>
  <c r="B1025" i="3"/>
  <c r="P1024" i="3"/>
  <c r="O1024" i="3"/>
  <c r="C1024" i="3"/>
  <c r="B1024" i="3"/>
  <c r="P1023" i="3"/>
  <c r="O1023" i="3"/>
  <c r="C1023" i="3"/>
  <c r="B1023" i="3"/>
  <c r="P1022" i="3"/>
  <c r="O1022" i="3"/>
  <c r="C1022" i="3"/>
  <c r="B1022" i="3"/>
  <c r="P1021" i="3"/>
  <c r="O1021" i="3"/>
  <c r="C1021" i="3"/>
  <c r="B1021" i="3"/>
  <c r="P1020" i="3"/>
  <c r="O1020" i="3"/>
  <c r="C1020" i="3"/>
  <c r="B1020" i="3"/>
  <c r="P1019" i="3"/>
  <c r="O1019" i="3"/>
  <c r="C1019" i="3"/>
  <c r="B1019" i="3"/>
  <c r="P1018" i="3"/>
  <c r="O1018" i="3"/>
  <c r="C1018" i="3"/>
  <c r="B1018" i="3"/>
  <c r="P1017" i="3"/>
  <c r="O1017" i="3"/>
  <c r="C1017" i="3"/>
  <c r="B1017" i="3"/>
  <c r="P1016" i="3"/>
  <c r="O1016" i="3"/>
  <c r="C1016" i="3"/>
  <c r="B1016" i="3"/>
  <c r="P1015" i="3"/>
  <c r="O1015" i="3"/>
  <c r="C1015" i="3"/>
  <c r="B1015" i="3"/>
  <c r="P1014" i="3"/>
  <c r="O1014" i="3"/>
  <c r="C1014" i="3"/>
  <c r="B1014" i="3"/>
  <c r="P1013" i="3"/>
  <c r="O1013" i="3"/>
  <c r="C1013" i="3"/>
  <c r="B1013" i="3"/>
  <c r="P1012" i="3"/>
  <c r="O1012" i="3"/>
  <c r="C1012" i="3"/>
  <c r="B1012" i="3"/>
  <c r="P1011" i="3"/>
  <c r="O1011" i="3"/>
  <c r="C1011" i="3"/>
  <c r="B1011" i="3"/>
  <c r="P1010" i="3"/>
  <c r="O1010" i="3"/>
  <c r="C1010" i="3"/>
  <c r="B1010" i="3"/>
  <c r="P1009" i="3"/>
  <c r="O1009" i="3"/>
  <c r="C1009" i="3"/>
  <c r="B1009" i="3"/>
  <c r="P1008" i="3"/>
  <c r="O1008" i="3"/>
  <c r="C1008" i="3"/>
  <c r="B1008" i="3"/>
  <c r="P1007" i="3"/>
  <c r="O1007" i="3"/>
  <c r="C1007" i="3"/>
  <c r="B1007" i="3"/>
  <c r="P1006" i="3"/>
  <c r="O1006" i="3"/>
  <c r="C1006" i="3"/>
  <c r="B1006" i="3"/>
  <c r="P1005" i="3"/>
  <c r="O1005" i="3"/>
  <c r="C1005" i="3"/>
  <c r="B1005" i="3"/>
  <c r="P1004" i="3"/>
  <c r="O1004" i="3"/>
  <c r="C1004" i="3"/>
  <c r="B1004" i="3"/>
  <c r="P1003" i="3"/>
  <c r="O1003" i="3"/>
  <c r="C1003" i="3"/>
  <c r="B1003" i="3"/>
  <c r="P1002" i="3"/>
  <c r="O1002" i="3"/>
  <c r="C1002" i="3"/>
  <c r="B1002" i="3"/>
  <c r="P1001" i="3"/>
  <c r="O1001" i="3"/>
  <c r="C1001" i="3"/>
  <c r="B1001" i="3"/>
  <c r="P1000" i="3"/>
  <c r="O1000" i="3"/>
  <c r="C1000" i="3"/>
  <c r="B1000" i="3"/>
  <c r="P999" i="3"/>
  <c r="O999" i="3"/>
  <c r="C999" i="3"/>
  <c r="B999" i="3"/>
  <c r="P998" i="3"/>
  <c r="O998" i="3"/>
  <c r="C998" i="3"/>
  <c r="B998" i="3"/>
  <c r="P997" i="3"/>
  <c r="O997" i="3"/>
  <c r="C997" i="3"/>
  <c r="B997" i="3"/>
  <c r="P996" i="3"/>
  <c r="O996" i="3"/>
  <c r="C996" i="3"/>
  <c r="B996" i="3"/>
  <c r="P995" i="3"/>
  <c r="O995" i="3"/>
  <c r="C995" i="3"/>
  <c r="B995" i="3"/>
  <c r="P994" i="3"/>
  <c r="O994" i="3"/>
  <c r="C994" i="3"/>
  <c r="B994" i="3"/>
  <c r="P993" i="3"/>
  <c r="O993" i="3"/>
  <c r="C993" i="3"/>
  <c r="B993" i="3"/>
  <c r="P992" i="3"/>
  <c r="O992" i="3"/>
  <c r="C992" i="3"/>
  <c r="B992" i="3"/>
  <c r="P991" i="3"/>
  <c r="O991" i="3"/>
  <c r="C991" i="3"/>
  <c r="B991" i="3"/>
  <c r="P990" i="3"/>
  <c r="O990" i="3"/>
  <c r="C990" i="3"/>
  <c r="B990" i="3"/>
  <c r="P989" i="3"/>
  <c r="O989" i="3"/>
  <c r="C989" i="3"/>
  <c r="B989" i="3"/>
  <c r="P988" i="3"/>
  <c r="O988" i="3"/>
  <c r="C988" i="3"/>
  <c r="B988" i="3"/>
  <c r="P987" i="3"/>
  <c r="O987" i="3"/>
  <c r="C987" i="3"/>
  <c r="B987" i="3"/>
  <c r="P986" i="3"/>
  <c r="O986" i="3"/>
  <c r="C986" i="3"/>
  <c r="B986" i="3"/>
  <c r="P985" i="3"/>
  <c r="O985" i="3"/>
  <c r="C985" i="3"/>
  <c r="B985" i="3"/>
  <c r="P984" i="3"/>
  <c r="O984" i="3"/>
  <c r="C984" i="3"/>
  <c r="B984" i="3"/>
  <c r="P983" i="3"/>
  <c r="O983" i="3"/>
  <c r="C983" i="3"/>
  <c r="B983" i="3"/>
  <c r="P982" i="3"/>
  <c r="O982" i="3"/>
  <c r="C982" i="3"/>
  <c r="B982" i="3"/>
  <c r="P981" i="3"/>
  <c r="O981" i="3"/>
  <c r="C981" i="3"/>
  <c r="B981" i="3"/>
  <c r="P980" i="3"/>
  <c r="O980" i="3"/>
  <c r="C980" i="3"/>
  <c r="B980" i="3"/>
  <c r="P979" i="3"/>
  <c r="O979" i="3"/>
  <c r="C979" i="3"/>
  <c r="B979" i="3"/>
  <c r="P978" i="3"/>
  <c r="O978" i="3"/>
  <c r="C978" i="3"/>
  <c r="B978" i="3"/>
  <c r="P977" i="3"/>
  <c r="O977" i="3"/>
  <c r="C977" i="3"/>
  <c r="B977" i="3"/>
  <c r="P976" i="3"/>
  <c r="O976" i="3"/>
  <c r="C976" i="3"/>
  <c r="B976" i="3"/>
  <c r="P975" i="3"/>
  <c r="O975" i="3"/>
  <c r="C975" i="3"/>
  <c r="B975" i="3"/>
  <c r="P974" i="3"/>
  <c r="O974" i="3"/>
  <c r="C974" i="3"/>
  <c r="B974" i="3"/>
  <c r="P973" i="3"/>
  <c r="O973" i="3"/>
  <c r="C973" i="3"/>
  <c r="B973" i="3"/>
  <c r="P972" i="3"/>
  <c r="O972" i="3"/>
  <c r="C972" i="3"/>
  <c r="B972" i="3"/>
  <c r="P971" i="3"/>
  <c r="O971" i="3"/>
  <c r="C971" i="3"/>
  <c r="B971" i="3"/>
  <c r="P970" i="3"/>
  <c r="O970" i="3"/>
  <c r="C970" i="3"/>
  <c r="B970" i="3"/>
  <c r="P969" i="3"/>
  <c r="O969" i="3"/>
  <c r="C969" i="3"/>
  <c r="B969" i="3"/>
  <c r="P968" i="3"/>
  <c r="O968" i="3"/>
  <c r="C968" i="3"/>
  <c r="B968" i="3"/>
  <c r="P967" i="3"/>
  <c r="O967" i="3"/>
  <c r="C967" i="3"/>
  <c r="B967" i="3"/>
  <c r="P966" i="3"/>
  <c r="O966" i="3"/>
  <c r="C966" i="3"/>
  <c r="B966" i="3"/>
  <c r="P965" i="3"/>
  <c r="O965" i="3"/>
  <c r="C965" i="3"/>
  <c r="B965" i="3"/>
  <c r="P964" i="3"/>
  <c r="O964" i="3"/>
  <c r="C964" i="3"/>
  <c r="B964" i="3"/>
  <c r="P963" i="3"/>
  <c r="O963" i="3"/>
  <c r="C963" i="3"/>
  <c r="B963" i="3"/>
  <c r="P962" i="3"/>
  <c r="O962" i="3"/>
  <c r="C962" i="3"/>
  <c r="B962" i="3"/>
  <c r="P961" i="3"/>
  <c r="O961" i="3"/>
  <c r="C961" i="3"/>
  <c r="B961" i="3"/>
  <c r="P960" i="3"/>
  <c r="O960" i="3"/>
  <c r="C960" i="3"/>
  <c r="B960" i="3"/>
  <c r="P959" i="3"/>
  <c r="O959" i="3"/>
  <c r="C959" i="3"/>
  <c r="B959" i="3"/>
  <c r="P958" i="3"/>
  <c r="O958" i="3"/>
  <c r="C958" i="3"/>
  <c r="B958" i="3"/>
  <c r="P957" i="3"/>
  <c r="O957" i="3"/>
  <c r="C957" i="3"/>
  <c r="B957" i="3"/>
  <c r="P956" i="3"/>
  <c r="O956" i="3"/>
  <c r="C956" i="3"/>
  <c r="B956" i="3"/>
  <c r="P955" i="3"/>
  <c r="O955" i="3"/>
  <c r="C955" i="3"/>
  <c r="B955" i="3"/>
  <c r="P954" i="3"/>
  <c r="O954" i="3"/>
  <c r="C954" i="3"/>
  <c r="B954" i="3"/>
  <c r="P953" i="3"/>
  <c r="O953" i="3"/>
  <c r="C953" i="3"/>
  <c r="B953" i="3"/>
  <c r="P952" i="3"/>
  <c r="O952" i="3"/>
  <c r="C952" i="3"/>
  <c r="B952" i="3"/>
  <c r="P951" i="3"/>
  <c r="O951" i="3"/>
  <c r="C951" i="3"/>
  <c r="B951" i="3"/>
  <c r="P950" i="3"/>
  <c r="O950" i="3"/>
  <c r="C950" i="3"/>
  <c r="B950" i="3"/>
  <c r="P949" i="3"/>
  <c r="O949" i="3"/>
  <c r="C949" i="3"/>
  <c r="B949" i="3"/>
  <c r="P948" i="3"/>
  <c r="O948" i="3"/>
  <c r="C948" i="3"/>
  <c r="B948" i="3"/>
  <c r="P947" i="3"/>
  <c r="O947" i="3"/>
  <c r="C947" i="3"/>
  <c r="B947" i="3"/>
  <c r="P946" i="3"/>
  <c r="O946" i="3"/>
  <c r="C946" i="3"/>
  <c r="B946" i="3"/>
  <c r="P945" i="3"/>
  <c r="O945" i="3"/>
  <c r="C945" i="3"/>
  <c r="B945" i="3"/>
  <c r="P944" i="3"/>
  <c r="O944" i="3"/>
  <c r="C944" i="3"/>
  <c r="B944" i="3"/>
  <c r="P943" i="3"/>
  <c r="O943" i="3"/>
  <c r="C943" i="3"/>
  <c r="B943" i="3"/>
  <c r="P942" i="3"/>
  <c r="O942" i="3"/>
  <c r="C942" i="3"/>
  <c r="B942" i="3"/>
  <c r="P941" i="3"/>
  <c r="O941" i="3"/>
  <c r="C941" i="3"/>
  <c r="B941" i="3"/>
  <c r="P940" i="3"/>
  <c r="O940" i="3"/>
  <c r="C940" i="3"/>
  <c r="B940" i="3"/>
  <c r="P939" i="3"/>
  <c r="O939" i="3"/>
  <c r="C939" i="3"/>
  <c r="B939" i="3"/>
  <c r="P938" i="3"/>
  <c r="O938" i="3"/>
  <c r="C938" i="3"/>
  <c r="B938" i="3"/>
  <c r="P937" i="3"/>
  <c r="O937" i="3"/>
  <c r="C937" i="3"/>
  <c r="B937" i="3"/>
  <c r="P936" i="3"/>
  <c r="O936" i="3"/>
  <c r="C936" i="3"/>
  <c r="B936" i="3"/>
  <c r="P935" i="3"/>
  <c r="O935" i="3"/>
  <c r="C935" i="3"/>
  <c r="B935" i="3"/>
  <c r="P934" i="3"/>
  <c r="O934" i="3"/>
  <c r="C934" i="3"/>
  <c r="B934" i="3"/>
  <c r="P933" i="3"/>
  <c r="O933" i="3"/>
  <c r="C933" i="3"/>
  <c r="B933" i="3"/>
  <c r="P932" i="3"/>
  <c r="O932" i="3"/>
  <c r="C932" i="3"/>
  <c r="B932" i="3"/>
  <c r="P931" i="3"/>
  <c r="O931" i="3"/>
  <c r="C931" i="3"/>
  <c r="B931" i="3"/>
  <c r="P930" i="3"/>
  <c r="O930" i="3"/>
  <c r="C930" i="3"/>
  <c r="B930" i="3"/>
  <c r="P929" i="3"/>
  <c r="O929" i="3"/>
  <c r="C929" i="3"/>
  <c r="B929" i="3"/>
  <c r="P928" i="3"/>
  <c r="O928" i="3"/>
  <c r="C928" i="3"/>
  <c r="B928" i="3"/>
  <c r="P927" i="3"/>
  <c r="O927" i="3"/>
  <c r="C927" i="3"/>
  <c r="B927" i="3"/>
  <c r="P926" i="3"/>
  <c r="O926" i="3"/>
  <c r="C926" i="3"/>
  <c r="B926" i="3"/>
  <c r="P925" i="3"/>
  <c r="O925" i="3"/>
  <c r="C925" i="3"/>
  <c r="B925" i="3"/>
  <c r="P924" i="3"/>
  <c r="O924" i="3"/>
  <c r="C924" i="3"/>
  <c r="B924" i="3"/>
  <c r="P923" i="3"/>
  <c r="O923" i="3"/>
  <c r="C923" i="3"/>
  <c r="B923" i="3"/>
  <c r="P922" i="3"/>
  <c r="O922" i="3"/>
  <c r="C922" i="3"/>
  <c r="B922" i="3"/>
  <c r="P921" i="3"/>
  <c r="O921" i="3"/>
  <c r="C921" i="3"/>
  <c r="B921" i="3"/>
  <c r="P920" i="3"/>
  <c r="O920" i="3"/>
  <c r="N920" i="3"/>
  <c r="M920" i="3"/>
  <c r="C920" i="3"/>
  <c r="B920" i="3"/>
  <c r="P919" i="3"/>
  <c r="O919" i="3"/>
  <c r="N919" i="3"/>
  <c r="M919" i="3"/>
  <c r="C919" i="3"/>
  <c r="B919" i="3"/>
  <c r="P918" i="3"/>
  <c r="O918" i="3"/>
  <c r="N918" i="3"/>
  <c r="M918" i="3"/>
  <c r="C918" i="3"/>
  <c r="B918" i="3"/>
  <c r="P917" i="3"/>
  <c r="O917" i="3"/>
  <c r="N917" i="3"/>
  <c r="M917" i="3"/>
  <c r="C917" i="3"/>
  <c r="B917" i="3"/>
  <c r="P916" i="3"/>
  <c r="O916" i="3"/>
  <c r="N916" i="3"/>
  <c r="M916" i="3"/>
  <c r="C916" i="3"/>
  <c r="B916" i="3"/>
  <c r="P915" i="3"/>
  <c r="O915" i="3"/>
  <c r="N915" i="3"/>
  <c r="M915" i="3"/>
  <c r="C915" i="3"/>
  <c r="B915" i="3"/>
  <c r="P914" i="3"/>
  <c r="O914" i="3"/>
  <c r="N914" i="3"/>
  <c r="M914" i="3"/>
  <c r="C914" i="3"/>
  <c r="B914" i="3"/>
  <c r="P913" i="3"/>
  <c r="O913" i="3"/>
  <c r="N913" i="3"/>
  <c r="M913" i="3"/>
  <c r="C913" i="3"/>
  <c r="B913" i="3"/>
  <c r="P912" i="3"/>
  <c r="O912" i="3"/>
  <c r="N912" i="3"/>
  <c r="M912" i="3"/>
  <c r="C912" i="3"/>
  <c r="B912" i="3"/>
  <c r="P911" i="3"/>
  <c r="O911" i="3"/>
  <c r="N911" i="3"/>
  <c r="M911" i="3"/>
  <c r="C911" i="3"/>
  <c r="B911" i="3"/>
  <c r="P910" i="3"/>
  <c r="O910" i="3"/>
  <c r="N910" i="3"/>
  <c r="M910" i="3"/>
  <c r="C910" i="3"/>
  <c r="B910" i="3"/>
  <c r="P909" i="3"/>
  <c r="O909" i="3"/>
  <c r="N909" i="3"/>
  <c r="M909" i="3"/>
  <c r="C909" i="3"/>
  <c r="B909" i="3"/>
  <c r="P908" i="3"/>
  <c r="O908" i="3"/>
  <c r="N908" i="3"/>
  <c r="M908" i="3"/>
  <c r="C908" i="3"/>
  <c r="B908" i="3"/>
  <c r="P907" i="3"/>
  <c r="O907" i="3"/>
  <c r="N907" i="3"/>
  <c r="M907" i="3"/>
  <c r="C907" i="3"/>
  <c r="B907" i="3"/>
  <c r="P906" i="3"/>
  <c r="O906" i="3"/>
  <c r="N906" i="3"/>
  <c r="M906" i="3"/>
  <c r="C906" i="3"/>
  <c r="B906" i="3"/>
  <c r="P905" i="3"/>
  <c r="O905" i="3"/>
  <c r="N905" i="3"/>
  <c r="M905" i="3"/>
  <c r="C905" i="3"/>
  <c r="B905" i="3"/>
  <c r="P904" i="3"/>
  <c r="O904" i="3"/>
  <c r="N904" i="3"/>
  <c r="M904" i="3"/>
  <c r="C904" i="3"/>
  <c r="B904" i="3"/>
  <c r="P903" i="3"/>
  <c r="O903" i="3"/>
  <c r="N903" i="3"/>
  <c r="M903" i="3"/>
  <c r="C903" i="3"/>
  <c r="B903" i="3"/>
  <c r="P902" i="3"/>
  <c r="O902" i="3"/>
  <c r="N902" i="3"/>
  <c r="M902" i="3"/>
  <c r="C902" i="3"/>
  <c r="B902" i="3"/>
  <c r="P901" i="3"/>
  <c r="O901" i="3"/>
  <c r="N901" i="3"/>
  <c r="M901" i="3"/>
  <c r="C901" i="3"/>
  <c r="B901" i="3"/>
  <c r="P900" i="3"/>
  <c r="O900" i="3"/>
  <c r="N900" i="3"/>
  <c r="M900" i="3"/>
  <c r="C900" i="3"/>
  <c r="B900" i="3"/>
  <c r="P899" i="3"/>
  <c r="O899" i="3"/>
  <c r="N899" i="3"/>
  <c r="M899" i="3"/>
  <c r="C899" i="3"/>
  <c r="B899" i="3"/>
  <c r="P898" i="3"/>
  <c r="O898" i="3"/>
  <c r="N898" i="3"/>
  <c r="M898" i="3"/>
  <c r="C898" i="3"/>
  <c r="B898" i="3"/>
  <c r="P897" i="3"/>
  <c r="O897" i="3"/>
  <c r="N897" i="3"/>
  <c r="M897" i="3"/>
  <c r="C897" i="3"/>
  <c r="B897" i="3"/>
  <c r="P896" i="3"/>
  <c r="O896" i="3"/>
  <c r="N896" i="3"/>
  <c r="M896" i="3"/>
  <c r="C896" i="3"/>
  <c r="B896" i="3"/>
  <c r="P895" i="3"/>
  <c r="O895" i="3"/>
  <c r="N895" i="3"/>
  <c r="M895" i="3"/>
  <c r="C895" i="3"/>
  <c r="B895" i="3"/>
  <c r="P894" i="3"/>
  <c r="O894" i="3"/>
  <c r="N894" i="3"/>
  <c r="M894" i="3"/>
  <c r="C894" i="3"/>
  <c r="B894" i="3"/>
  <c r="P893" i="3"/>
  <c r="O893" i="3"/>
  <c r="N893" i="3"/>
  <c r="M893" i="3"/>
  <c r="C893" i="3"/>
  <c r="B893" i="3"/>
  <c r="P892" i="3"/>
  <c r="O892" i="3"/>
  <c r="N892" i="3"/>
  <c r="M892" i="3"/>
  <c r="C892" i="3"/>
  <c r="B892" i="3"/>
  <c r="P891" i="3"/>
  <c r="O891" i="3"/>
  <c r="N891" i="3"/>
  <c r="M891" i="3"/>
  <c r="C891" i="3"/>
  <c r="B891" i="3"/>
  <c r="P890" i="3"/>
  <c r="O890" i="3"/>
  <c r="N890" i="3"/>
  <c r="M890" i="3"/>
  <c r="C890" i="3"/>
  <c r="B890" i="3"/>
  <c r="P889" i="3"/>
  <c r="O889" i="3"/>
  <c r="N889" i="3"/>
  <c r="M889" i="3"/>
  <c r="C889" i="3"/>
  <c r="B889" i="3"/>
  <c r="P888" i="3"/>
  <c r="O888" i="3"/>
  <c r="N888" i="3"/>
  <c r="M888" i="3"/>
  <c r="C888" i="3"/>
  <c r="B888" i="3"/>
  <c r="P887" i="3"/>
  <c r="O887" i="3"/>
  <c r="N887" i="3"/>
  <c r="M887" i="3"/>
  <c r="C887" i="3"/>
  <c r="B887" i="3"/>
  <c r="P886" i="3"/>
  <c r="O886" i="3"/>
  <c r="N886" i="3"/>
  <c r="M886" i="3"/>
  <c r="C886" i="3"/>
  <c r="B886" i="3"/>
  <c r="P885" i="3"/>
  <c r="O885" i="3"/>
  <c r="N885" i="3"/>
  <c r="M885" i="3"/>
  <c r="C885" i="3"/>
  <c r="B885" i="3"/>
  <c r="P884" i="3"/>
  <c r="O884" i="3"/>
  <c r="N884" i="3"/>
  <c r="M884" i="3"/>
  <c r="C884" i="3"/>
  <c r="B884" i="3"/>
  <c r="P883" i="3"/>
  <c r="O883" i="3"/>
  <c r="N883" i="3"/>
  <c r="M883" i="3"/>
  <c r="C883" i="3"/>
  <c r="B883" i="3"/>
  <c r="P882" i="3"/>
  <c r="O882" i="3"/>
  <c r="N882" i="3"/>
  <c r="M882" i="3"/>
  <c r="C882" i="3"/>
  <c r="B882" i="3"/>
  <c r="P881" i="3"/>
  <c r="O881" i="3"/>
  <c r="N881" i="3"/>
  <c r="M881" i="3"/>
  <c r="C881" i="3"/>
  <c r="B881" i="3"/>
  <c r="P880" i="3"/>
  <c r="O880" i="3"/>
  <c r="N880" i="3"/>
  <c r="M880" i="3"/>
  <c r="C880" i="3"/>
  <c r="B880" i="3"/>
  <c r="P879" i="3"/>
  <c r="O879" i="3"/>
  <c r="N879" i="3"/>
  <c r="M879" i="3"/>
  <c r="C879" i="3"/>
  <c r="B879" i="3"/>
  <c r="P878" i="3"/>
  <c r="O878" i="3"/>
  <c r="N878" i="3"/>
  <c r="M878" i="3"/>
  <c r="C878" i="3"/>
  <c r="B878" i="3"/>
  <c r="P877" i="3"/>
  <c r="O877" i="3"/>
  <c r="N877" i="3"/>
  <c r="M877" i="3"/>
  <c r="C877" i="3"/>
  <c r="B877" i="3"/>
  <c r="P876" i="3"/>
  <c r="O876" i="3"/>
  <c r="N876" i="3"/>
  <c r="M876" i="3"/>
  <c r="C876" i="3"/>
  <c r="B876" i="3"/>
  <c r="P875" i="3"/>
  <c r="O875" i="3"/>
  <c r="N875" i="3"/>
  <c r="M875" i="3"/>
  <c r="C875" i="3"/>
  <c r="B875" i="3"/>
  <c r="P874" i="3"/>
  <c r="O874" i="3"/>
  <c r="N874" i="3"/>
  <c r="M874" i="3"/>
  <c r="C874" i="3"/>
  <c r="B874" i="3"/>
  <c r="P873" i="3"/>
  <c r="O873" i="3"/>
  <c r="N873" i="3"/>
  <c r="M873" i="3"/>
  <c r="C873" i="3"/>
  <c r="B873" i="3"/>
  <c r="P872" i="3"/>
  <c r="O872" i="3"/>
  <c r="N872" i="3"/>
  <c r="M872" i="3"/>
  <c r="C872" i="3"/>
  <c r="B872" i="3"/>
  <c r="P871" i="3"/>
  <c r="O871" i="3"/>
  <c r="N871" i="3"/>
  <c r="M871" i="3"/>
  <c r="C871" i="3"/>
  <c r="B871" i="3"/>
  <c r="P870" i="3"/>
  <c r="O870" i="3"/>
  <c r="N870" i="3"/>
  <c r="M870" i="3"/>
  <c r="C870" i="3"/>
  <c r="B870" i="3"/>
  <c r="P869" i="3"/>
  <c r="O869" i="3"/>
  <c r="N869" i="3"/>
  <c r="M869" i="3"/>
  <c r="C869" i="3"/>
  <c r="B869" i="3"/>
  <c r="P868" i="3"/>
  <c r="O868" i="3"/>
  <c r="N868" i="3"/>
  <c r="M868" i="3"/>
  <c r="C868" i="3"/>
  <c r="B868" i="3"/>
  <c r="P867" i="3"/>
  <c r="O867" i="3"/>
  <c r="N867" i="3"/>
  <c r="M867" i="3"/>
  <c r="C867" i="3"/>
  <c r="B867" i="3"/>
  <c r="P866" i="3"/>
  <c r="O866" i="3"/>
  <c r="N866" i="3"/>
  <c r="M866" i="3"/>
  <c r="C866" i="3"/>
  <c r="B866" i="3"/>
  <c r="P865" i="3"/>
  <c r="O865" i="3"/>
  <c r="N865" i="3"/>
  <c r="M865" i="3"/>
  <c r="C865" i="3"/>
  <c r="B865" i="3"/>
  <c r="P864" i="3"/>
  <c r="O864" i="3"/>
  <c r="N864" i="3"/>
  <c r="M864" i="3"/>
  <c r="C864" i="3"/>
  <c r="B864" i="3"/>
  <c r="P863" i="3"/>
  <c r="O863" i="3"/>
  <c r="N863" i="3"/>
  <c r="M863" i="3"/>
  <c r="C863" i="3"/>
  <c r="B863" i="3"/>
  <c r="P862" i="3"/>
  <c r="O862" i="3"/>
  <c r="N862" i="3"/>
  <c r="M862" i="3"/>
  <c r="C862" i="3"/>
  <c r="B862" i="3"/>
  <c r="P861" i="3"/>
  <c r="O861" i="3"/>
  <c r="N861" i="3"/>
  <c r="M861" i="3"/>
  <c r="C861" i="3"/>
  <c r="B861" i="3"/>
  <c r="P860" i="3"/>
  <c r="O860" i="3"/>
  <c r="N860" i="3"/>
  <c r="M860" i="3"/>
  <c r="C860" i="3"/>
  <c r="B860" i="3"/>
  <c r="P859" i="3"/>
  <c r="O859" i="3"/>
  <c r="N859" i="3"/>
  <c r="M859" i="3"/>
  <c r="C859" i="3"/>
  <c r="B859" i="3"/>
  <c r="P858" i="3"/>
  <c r="O858" i="3"/>
  <c r="N858" i="3"/>
  <c r="M858" i="3"/>
  <c r="C858" i="3"/>
  <c r="B858" i="3"/>
  <c r="P857" i="3"/>
  <c r="O857" i="3"/>
  <c r="N857" i="3"/>
  <c r="M857" i="3"/>
  <c r="C857" i="3"/>
  <c r="B857" i="3"/>
  <c r="P856" i="3"/>
  <c r="O856" i="3"/>
  <c r="N856" i="3"/>
  <c r="M856" i="3"/>
  <c r="C856" i="3"/>
  <c r="B856" i="3"/>
  <c r="P855" i="3"/>
  <c r="O855" i="3"/>
  <c r="N855" i="3"/>
  <c r="M855" i="3"/>
  <c r="C855" i="3"/>
  <c r="B855" i="3"/>
  <c r="P854" i="3"/>
  <c r="O854" i="3"/>
  <c r="N854" i="3"/>
  <c r="M854" i="3"/>
  <c r="C854" i="3"/>
  <c r="B854" i="3"/>
  <c r="P853" i="3"/>
  <c r="O853" i="3"/>
  <c r="N853" i="3"/>
  <c r="M853" i="3"/>
  <c r="C853" i="3"/>
  <c r="B853" i="3"/>
  <c r="P852" i="3"/>
  <c r="O852" i="3"/>
  <c r="N852" i="3"/>
  <c r="M852" i="3"/>
  <c r="C852" i="3"/>
  <c r="B852" i="3"/>
  <c r="P851" i="3"/>
  <c r="O851" i="3"/>
  <c r="N851" i="3"/>
  <c r="M851" i="3"/>
  <c r="C851" i="3"/>
  <c r="B851" i="3"/>
  <c r="P850" i="3"/>
  <c r="O850" i="3"/>
  <c r="N850" i="3"/>
  <c r="M850" i="3"/>
  <c r="C850" i="3"/>
  <c r="B850" i="3"/>
  <c r="P849" i="3"/>
  <c r="O849" i="3"/>
  <c r="N849" i="3"/>
  <c r="M849" i="3"/>
  <c r="C849" i="3"/>
  <c r="B849" i="3"/>
  <c r="P848" i="3"/>
  <c r="O848" i="3"/>
  <c r="N848" i="3"/>
  <c r="M848" i="3"/>
  <c r="C848" i="3"/>
  <c r="B848" i="3"/>
  <c r="P847" i="3"/>
  <c r="O847" i="3"/>
  <c r="N847" i="3"/>
  <c r="M847" i="3"/>
  <c r="C847" i="3"/>
  <c r="B847" i="3"/>
  <c r="P846" i="3"/>
  <c r="O846" i="3"/>
  <c r="N846" i="3"/>
  <c r="M846" i="3"/>
  <c r="C846" i="3"/>
  <c r="B846" i="3"/>
  <c r="P845" i="3"/>
  <c r="O845" i="3"/>
  <c r="N845" i="3"/>
  <c r="M845" i="3"/>
  <c r="C845" i="3"/>
  <c r="B845" i="3"/>
  <c r="P844" i="3"/>
  <c r="O844" i="3"/>
  <c r="N844" i="3"/>
  <c r="M844" i="3"/>
  <c r="C844" i="3"/>
  <c r="B844" i="3"/>
  <c r="P843" i="3"/>
  <c r="O843" i="3"/>
  <c r="N843" i="3"/>
  <c r="M843" i="3"/>
  <c r="C843" i="3"/>
  <c r="B843" i="3"/>
  <c r="P842" i="3"/>
  <c r="O842" i="3"/>
  <c r="N842" i="3"/>
  <c r="M842" i="3"/>
  <c r="C842" i="3"/>
  <c r="B842" i="3"/>
  <c r="P841" i="3"/>
  <c r="O841" i="3"/>
  <c r="N841" i="3"/>
  <c r="M841" i="3"/>
  <c r="C841" i="3"/>
  <c r="B841" i="3"/>
  <c r="P840" i="3"/>
  <c r="O840" i="3"/>
  <c r="N840" i="3"/>
  <c r="M840" i="3"/>
  <c r="C840" i="3"/>
  <c r="B840" i="3"/>
  <c r="P839" i="3"/>
  <c r="O839" i="3"/>
  <c r="N839" i="3"/>
  <c r="M839" i="3"/>
  <c r="C839" i="3"/>
  <c r="B839" i="3"/>
  <c r="P838" i="3"/>
  <c r="O838" i="3"/>
  <c r="N838" i="3"/>
  <c r="M838" i="3"/>
  <c r="C838" i="3"/>
  <c r="B838" i="3"/>
  <c r="P837" i="3"/>
  <c r="O837" i="3"/>
  <c r="N837" i="3"/>
  <c r="M837" i="3"/>
  <c r="C837" i="3"/>
  <c r="B837" i="3"/>
  <c r="P836" i="3"/>
  <c r="O836" i="3"/>
  <c r="N836" i="3"/>
  <c r="M836" i="3"/>
  <c r="C836" i="3"/>
  <c r="B836" i="3"/>
  <c r="P835" i="3"/>
  <c r="O835" i="3"/>
  <c r="N835" i="3"/>
  <c r="M835" i="3"/>
  <c r="C835" i="3"/>
  <c r="B835" i="3"/>
  <c r="P834" i="3"/>
  <c r="O834" i="3"/>
  <c r="N834" i="3"/>
  <c r="M834" i="3"/>
  <c r="C834" i="3"/>
  <c r="B834" i="3"/>
  <c r="P833" i="3"/>
  <c r="O833" i="3"/>
  <c r="N833" i="3"/>
  <c r="M833" i="3"/>
  <c r="C833" i="3"/>
  <c r="B833" i="3"/>
  <c r="P832" i="3"/>
  <c r="O832" i="3"/>
  <c r="N832" i="3"/>
  <c r="M832" i="3"/>
  <c r="C832" i="3"/>
  <c r="B832" i="3"/>
  <c r="P831" i="3"/>
  <c r="O831" i="3"/>
  <c r="N831" i="3"/>
  <c r="M831" i="3"/>
  <c r="C831" i="3"/>
  <c r="B831" i="3"/>
  <c r="P830" i="3"/>
  <c r="O830" i="3"/>
  <c r="N830" i="3"/>
  <c r="M830" i="3"/>
  <c r="C830" i="3"/>
  <c r="B830" i="3"/>
  <c r="P829" i="3"/>
  <c r="O829" i="3"/>
  <c r="N829" i="3"/>
  <c r="M829" i="3"/>
  <c r="C829" i="3"/>
  <c r="B829" i="3"/>
  <c r="P828" i="3"/>
  <c r="O828" i="3"/>
  <c r="N828" i="3"/>
  <c r="M828" i="3"/>
  <c r="C828" i="3"/>
  <c r="B828" i="3"/>
  <c r="P827" i="3"/>
  <c r="O827" i="3"/>
  <c r="N827" i="3"/>
  <c r="M827" i="3"/>
  <c r="C827" i="3"/>
  <c r="B827" i="3"/>
  <c r="P826" i="3"/>
  <c r="O826" i="3"/>
  <c r="N826" i="3"/>
  <c r="M826" i="3"/>
  <c r="C826" i="3"/>
  <c r="B826" i="3"/>
  <c r="P825" i="3"/>
  <c r="O825" i="3"/>
  <c r="N825" i="3"/>
  <c r="M825" i="3"/>
  <c r="C825" i="3"/>
  <c r="B825" i="3"/>
  <c r="P824" i="3"/>
  <c r="O824" i="3"/>
  <c r="N824" i="3"/>
  <c r="M824" i="3"/>
  <c r="C824" i="3"/>
  <c r="B824" i="3"/>
  <c r="P823" i="3"/>
  <c r="O823" i="3"/>
  <c r="N823" i="3"/>
  <c r="M823" i="3"/>
  <c r="C823" i="3"/>
  <c r="B823" i="3"/>
  <c r="P822" i="3"/>
  <c r="O822" i="3"/>
  <c r="N822" i="3"/>
  <c r="M822" i="3"/>
  <c r="C822" i="3"/>
  <c r="B822" i="3"/>
  <c r="P821" i="3"/>
  <c r="O821" i="3"/>
  <c r="N821" i="3"/>
  <c r="M821" i="3"/>
  <c r="C821" i="3"/>
  <c r="B821" i="3"/>
  <c r="P820" i="3"/>
  <c r="O820" i="3"/>
  <c r="N820" i="3"/>
  <c r="M820" i="3"/>
  <c r="C820" i="3"/>
  <c r="B820" i="3"/>
  <c r="P819" i="3"/>
  <c r="O819" i="3"/>
  <c r="N819" i="3"/>
  <c r="M819" i="3"/>
  <c r="C819" i="3"/>
  <c r="B819" i="3"/>
  <c r="P818" i="3"/>
  <c r="O818" i="3"/>
  <c r="N818" i="3"/>
  <c r="M818" i="3"/>
  <c r="C818" i="3"/>
  <c r="B818" i="3"/>
  <c r="P817" i="3"/>
  <c r="O817" i="3"/>
  <c r="N817" i="3"/>
  <c r="M817" i="3"/>
  <c r="C817" i="3"/>
  <c r="B817" i="3"/>
  <c r="P816" i="3"/>
  <c r="O816" i="3"/>
  <c r="N816" i="3"/>
  <c r="M816" i="3"/>
  <c r="C816" i="3"/>
  <c r="B816" i="3"/>
  <c r="P815" i="3"/>
  <c r="O815" i="3"/>
  <c r="N815" i="3"/>
  <c r="M815" i="3"/>
  <c r="C815" i="3"/>
  <c r="B815" i="3"/>
  <c r="P814" i="3"/>
  <c r="O814" i="3"/>
  <c r="N814" i="3"/>
  <c r="M814" i="3"/>
  <c r="C814" i="3"/>
  <c r="B814" i="3"/>
  <c r="P813" i="3"/>
  <c r="O813" i="3"/>
  <c r="N813" i="3"/>
  <c r="M813" i="3"/>
  <c r="C813" i="3"/>
  <c r="B813" i="3"/>
  <c r="P812" i="3"/>
  <c r="O812" i="3"/>
  <c r="N812" i="3"/>
  <c r="M812" i="3"/>
  <c r="C812" i="3"/>
  <c r="B812" i="3"/>
  <c r="P811" i="3"/>
  <c r="O811" i="3"/>
  <c r="N811" i="3"/>
  <c r="M811" i="3"/>
  <c r="C811" i="3"/>
  <c r="B811" i="3"/>
  <c r="P810" i="3"/>
  <c r="O810" i="3"/>
  <c r="N810" i="3"/>
  <c r="M810" i="3"/>
  <c r="C810" i="3"/>
  <c r="B810" i="3"/>
  <c r="P809" i="3"/>
  <c r="O809" i="3"/>
  <c r="N809" i="3"/>
  <c r="M809" i="3"/>
  <c r="C809" i="3"/>
  <c r="B809" i="3"/>
  <c r="P808" i="3"/>
  <c r="O808" i="3"/>
  <c r="N808" i="3"/>
  <c r="M808" i="3"/>
  <c r="C808" i="3"/>
  <c r="B808" i="3"/>
  <c r="P807" i="3"/>
  <c r="O807" i="3"/>
  <c r="N807" i="3"/>
  <c r="M807" i="3"/>
  <c r="C807" i="3"/>
  <c r="B807" i="3"/>
  <c r="P806" i="3"/>
  <c r="O806" i="3"/>
  <c r="N806" i="3"/>
  <c r="M806" i="3"/>
  <c r="C806" i="3"/>
  <c r="B806" i="3"/>
  <c r="P805" i="3"/>
  <c r="O805" i="3"/>
  <c r="N805" i="3"/>
  <c r="M805" i="3"/>
  <c r="C805" i="3"/>
  <c r="B805" i="3"/>
  <c r="P804" i="3"/>
  <c r="O804" i="3"/>
  <c r="N804" i="3"/>
  <c r="M804" i="3"/>
  <c r="C804" i="3"/>
  <c r="B804" i="3"/>
  <c r="P803" i="3"/>
  <c r="O803" i="3"/>
  <c r="N803" i="3"/>
  <c r="M803" i="3"/>
  <c r="C803" i="3"/>
  <c r="B803" i="3"/>
  <c r="P802" i="3"/>
  <c r="O802" i="3"/>
  <c r="N802" i="3"/>
  <c r="M802" i="3"/>
  <c r="C802" i="3"/>
  <c r="B802" i="3"/>
  <c r="P801" i="3"/>
  <c r="O801" i="3"/>
  <c r="N801" i="3"/>
  <c r="M801" i="3"/>
  <c r="C801" i="3"/>
  <c r="B801" i="3"/>
  <c r="P800" i="3"/>
  <c r="O800" i="3"/>
  <c r="N800" i="3"/>
  <c r="M800" i="3"/>
  <c r="C800" i="3"/>
  <c r="B800" i="3"/>
  <c r="P799" i="3"/>
  <c r="O799" i="3"/>
  <c r="N799" i="3"/>
  <c r="M799" i="3"/>
  <c r="C799" i="3"/>
  <c r="B799" i="3"/>
  <c r="P798" i="3"/>
  <c r="O798" i="3"/>
  <c r="N798" i="3"/>
  <c r="M798" i="3"/>
  <c r="C798" i="3"/>
  <c r="B798" i="3"/>
  <c r="P797" i="3"/>
  <c r="O797" i="3"/>
  <c r="N797" i="3"/>
  <c r="M797" i="3"/>
  <c r="C797" i="3"/>
  <c r="B797" i="3"/>
  <c r="P796" i="3"/>
  <c r="O796" i="3"/>
  <c r="N796" i="3"/>
  <c r="M796" i="3"/>
  <c r="C796" i="3"/>
  <c r="B796" i="3"/>
  <c r="P795" i="3"/>
  <c r="O795" i="3"/>
  <c r="N795" i="3"/>
  <c r="M795" i="3"/>
  <c r="C795" i="3"/>
  <c r="B795" i="3"/>
  <c r="P794" i="3"/>
  <c r="O794" i="3"/>
  <c r="N794" i="3"/>
  <c r="M794" i="3"/>
  <c r="C794" i="3"/>
  <c r="B794" i="3"/>
  <c r="P793" i="3"/>
  <c r="O793" i="3"/>
  <c r="N793" i="3"/>
  <c r="M793" i="3"/>
  <c r="C793" i="3"/>
  <c r="B793" i="3"/>
  <c r="P792" i="3"/>
  <c r="O792" i="3"/>
  <c r="N792" i="3"/>
  <c r="M792" i="3"/>
  <c r="C792" i="3"/>
  <c r="B792" i="3"/>
  <c r="P791" i="3"/>
  <c r="O791" i="3"/>
  <c r="N791" i="3"/>
  <c r="M791" i="3"/>
  <c r="C791" i="3"/>
  <c r="B791" i="3"/>
  <c r="P790" i="3"/>
  <c r="O790" i="3"/>
  <c r="N790" i="3"/>
  <c r="M790" i="3"/>
  <c r="C790" i="3"/>
  <c r="B790" i="3"/>
  <c r="P789" i="3"/>
  <c r="O789" i="3"/>
  <c r="N789" i="3"/>
  <c r="M789" i="3"/>
  <c r="C789" i="3"/>
  <c r="B789" i="3"/>
  <c r="P788" i="3"/>
  <c r="O788" i="3"/>
  <c r="N788" i="3"/>
  <c r="M788" i="3"/>
  <c r="C788" i="3"/>
  <c r="B788" i="3"/>
  <c r="P787" i="3"/>
  <c r="O787" i="3"/>
  <c r="N787" i="3"/>
  <c r="M787" i="3"/>
  <c r="C787" i="3"/>
  <c r="B787" i="3"/>
  <c r="P786" i="3"/>
  <c r="O786" i="3"/>
  <c r="N786" i="3"/>
  <c r="M786" i="3"/>
  <c r="C786" i="3"/>
  <c r="B786" i="3"/>
  <c r="P785" i="3"/>
  <c r="O785" i="3"/>
  <c r="N785" i="3"/>
  <c r="M785" i="3"/>
  <c r="C785" i="3"/>
  <c r="B785" i="3"/>
  <c r="P784" i="3"/>
  <c r="O784" i="3"/>
  <c r="N784" i="3"/>
  <c r="M784" i="3"/>
  <c r="C784" i="3"/>
  <c r="B784" i="3"/>
  <c r="P783" i="3"/>
  <c r="O783" i="3"/>
  <c r="N783" i="3"/>
  <c r="M783" i="3"/>
  <c r="C783" i="3"/>
  <c r="B783" i="3"/>
  <c r="P782" i="3"/>
  <c r="O782" i="3"/>
  <c r="N782" i="3"/>
  <c r="M782" i="3"/>
  <c r="C782" i="3"/>
  <c r="B782" i="3"/>
  <c r="P781" i="3"/>
  <c r="O781" i="3"/>
  <c r="N781" i="3"/>
  <c r="M781" i="3"/>
  <c r="C781" i="3"/>
  <c r="B781" i="3"/>
  <c r="P780" i="3"/>
  <c r="O780" i="3"/>
  <c r="N780" i="3"/>
  <c r="M780" i="3"/>
  <c r="C780" i="3"/>
  <c r="B780" i="3"/>
  <c r="P779" i="3"/>
  <c r="O779" i="3"/>
  <c r="N779" i="3"/>
  <c r="M779" i="3"/>
  <c r="C779" i="3"/>
  <c r="B779" i="3"/>
  <c r="P778" i="3"/>
  <c r="O778" i="3"/>
  <c r="N778" i="3"/>
  <c r="M778" i="3"/>
  <c r="C778" i="3"/>
  <c r="B778" i="3"/>
  <c r="P777" i="3"/>
  <c r="O777" i="3"/>
  <c r="N777" i="3"/>
  <c r="M777" i="3"/>
  <c r="C777" i="3"/>
  <c r="B777" i="3"/>
  <c r="P776" i="3"/>
  <c r="O776" i="3"/>
  <c r="N776" i="3"/>
  <c r="M776" i="3"/>
  <c r="C776" i="3"/>
  <c r="B776" i="3"/>
  <c r="P775" i="3"/>
  <c r="O775" i="3"/>
  <c r="N775" i="3"/>
  <c r="M775" i="3"/>
  <c r="C775" i="3"/>
  <c r="B775" i="3"/>
  <c r="P774" i="3"/>
  <c r="O774" i="3"/>
  <c r="N774" i="3"/>
  <c r="M774" i="3"/>
  <c r="C774" i="3"/>
  <c r="B774" i="3"/>
  <c r="P773" i="3"/>
  <c r="O773" i="3"/>
  <c r="N773" i="3"/>
  <c r="M773" i="3"/>
  <c r="C773" i="3"/>
  <c r="B773" i="3"/>
  <c r="P772" i="3"/>
  <c r="O772" i="3"/>
  <c r="N772" i="3"/>
  <c r="M772" i="3"/>
  <c r="C772" i="3"/>
  <c r="B772" i="3"/>
  <c r="P771" i="3"/>
  <c r="O771" i="3"/>
  <c r="N771" i="3"/>
  <c r="M771" i="3"/>
  <c r="C771" i="3"/>
  <c r="B771" i="3"/>
  <c r="P770" i="3"/>
  <c r="O770" i="3"/>
  <c r="N770" i="3"/>
  <c r="M770" i="3"/>
  <c r="C770" i="3"/>
  <c r="B770" i="3"/>
  <c r="P769" i="3"/>
  <c r="O769" i="3"/>
  <c r="N769" i="3"/>
  <c r="M769" i="3"/>
  <c r="C769" i="3"/>
  <c r="B769" i="3"/>
  <c r="P768" i="3"/>
  <c r="O768" i="3"/>
  <c r="N768" i="3"/>
  <c r="M768" i="3"/>
  <c r="C768" i="3"/>
  <c r="B768" i="3"/>
  <c r="P767" i="3"/>
  <c r="O767" i="3"/>
  <c r="N767" i="3"/>
  <c r="M767" i="3"/>
  <c r="C767" i="3"/>
  <c r="B767" i="3"/>
  <c r="P766" i="3"/>
  <c r="O766" i="3"/>
  <c r="N766" i="3"/>
  <c r="M766" i="3"/>
  <c r="C766" i="3"/>
  <c r="B766" i="3"/>
  <c r="P765" i="3"/>
  <c r="O765" i="3"/>
  <c r="N765" i="3"/>
  <c r="M765" i="3"/>
  <c r="C765" i="3"/>
  <c r="B765" i="3"/>
  <c r="P764" i="3"/>
  <c r="O764" i="3"/>
  <c r="N764" i="3"/>
  <c r="M764" i="3"/>
  <c r="C764" i="3"/>
  <c r="B764" i="3"/>
  <c r="P763" i="3"/>
  <c r="O763" i="3"/>
  <c r="N763" i="3"/>
  <c r="M763" i="3"/>
  <c r="C763" i="3"/>
  <c r="B763" i="3"/>
  <c r="P762" i="3"/>
  <c r="O762" i="3"/>
  <c r="N762" i="3"/>
  <c r="M762" i="3"/>
  <c r="C762" i="3"/>
  <c r="B762" i="3"/>
  <c r="P761" i="3"/>
  <c r="O761" i="3"/>
  <c r="N761" i="3"/>
  <c r="M761" i="3"/>
  <c r="C761" i="3"/>
  <c r="B761" i="3"/>
  <c r="P760" i="3"/>
  <c r="O760" i="3"/>
  <c r="N760" i="3"/>
  <c r="M760" i="3"/>
  <c r="C760" i="3"/>
  <c r="B760" i="3"/>
  <c r="P759" i="3"/>
  <c r="O759" i="3"/>
  <c r="N759" i="3"/>
  <c r="M759" i="3"/>
  <c r="C759" i="3"/>
  <c r="B759" i="3"/>
  <c r="P758" i="3"/>
  <c r="O758" i="3"/>
  <c r="N758" i="3"/>
  <c r="M758" i="3"/>
  <c r="C758" i="3"/>
  <c r="B758" i="3"/>
  <c r="P757" i="3"/>
  <c r="O757" i="3"/>
  <c r="N757" i="3"/>
  <c r="M757" i="3"/>
  <c r="C757" i="3"/>
  <c r="B757" i="3"/>
  <c r="P756" i="3"/>
  <c r="O756" i="3"/>
  <c r="N756" i="3"/>
  <c r="M756" i="3"/>
  <c r="C756" i="3"/>
  <c r="B756" i="3"/>
  <c r="P755" i="3"/>
  <c r="O755" i="3"/>
  <c r="N755" i="3"/>
  <c r="M755" i="3"/>
  <c r="C755" i="3"/>
  <c r="B755" i="3"/>
  <c r="P754" i="3"/>
  <c r="O754" i="3"/>
  <c r="N754" i="3"/>
  <c r="M754" i="3"/>
  <c r="C754" i="3"/>
  <c r="B754" i="3"/>
  <c r="P753" i="3"/>
  <c r="O753" i="3"/>
  <c r="N753" i="3"/>
  <c r="M753" i="3"/>
  <c r="C753" i="3"/>
  <c r="B753" i="3"/>
  <c r="P752" i="3"/>
  <c r="O752" i="3"/>
  <c r="N752" i="3"/>
  <c r="M752" i="3"/>
  <c r="C752" i="3"/>
  <c r="B752" i="3"/>
  <c r="P751" i="3"/>
  <c r="O751" i="3"/>
  <c r="N751" i="3"/>
  <c r="M751" i="3"/>
  <c r="C751" i="3"/>
  <c r="B751" i="3"/>
  <c r="P750" i="3"/>
  <c r="O750" i="3"/>
  <c r="N750" i="3"/>
  <c r="M750" i="3"/>
  <c r="C750" i="3"/>
  <c r="B750" i="3"/>
  <c r="P749" i="3"/>
  <c r="O749" i="3"/>
  <c r="N749" i="3"/>
  <c r="M749" i="3"/>
  <c r="C749" i="3"/>
  <c r="B749" i="3"/>
  <c r="P748" i="3"/>
  <c r="O748" i="3"/>
  <c r="N748" i="3"/>
  <c r="M748" i="3"/>
  <c r="C748" i="3"/>
  <c r="B748" i="3"/>
  <c r="P747" i="3"/>
  <c r="O747" i="3"/>
  <c r="N747" i="3"/>
  <c r="M747" i="3"/>
  <c r="C747" i="3"/>
  <c r="B747" i="3"/>
  <c r="P746" i="3"/>
  <c r="O746" i="3"/>
  <c r="N746" i="3"/>
  <c r="M746" i="3"/>
  <c r="C746" i="3"/>
  <c r="B746" i="3"/>
  <c r="P745" i="3"/>
  <c r="O745" i="3"/>
  <c r="N745" i="3"/>
  <c r="M745" i="3"/>
  <c r="C745" i="3"/>
  <c r="B745" i="3"/>
  <c r="P744" i="3"/>
  <c r="O744" i="3"/>
  <c r="N744" i="3"/>
  <c r="M744" i="3"/>
  <c r="C744" i="3"/>
  <c r="B744" i="3"/>
  <c r="P743" i="3"/>
  <c r="O743" i="3"/>
  <c r="N743" i="3"/>
  <c r="M743" i="3"/>
  <c r="C743" i="3"/>
  <c r="B743" i="3"/>
  <c r="P742" i="3"/>
  <c r="O742" i="3"/>
  <c r="N742" i="3"/>
  <c r="M742" i="3"/>
  <c r="C742" i="3"/>
  <c r="B742" i="3"/>
  <c r="P741" i="3"/>
  <c r="O741" i="3"/>
  <c r="N741" i="3"/>
  <c r="M741" i="3"/>
  <c r="C741" i="3"/>
  <c r="B741" i="3"/>
  <c r="P740" i="3"/>
  <c r="O740" i="3"/>
  <c r="N740" i="3"/>
  <c r="M740" i="3"/>
  <c r="C740" i="3"/>
  <c r="B740" i="3"/>
  <c r="P739" i="3"/>
  <c r="O739" i="3"/>
  <c r="N739" i="3"/>
  <c r="M739" i="3"/>
  <c r="C739" i="3"/>
  <c r="B739" i="3"/>
  <c r="P738" i="3"/>
  <c r="O738" i="3"/>
  <c r="N738" i="3"/>
  <c r="M738" i="3"/>
  <c r="C738" i="3"/>
  <c r="B738" i="3"/>
  <c r="P737" i="3"/>
  <c r="O737" i="3"/>
  <c r="N737" i="3"/>
  <c r="M737" i="3"/>
  <c r="C737" i="3"/>
  <c r="B737" i="3"/>
  <c r="P736" i="3"/>
  <c r="O736" i="3"/>
  <c r="N736" i="3"/>
  <c r="M736" i="3"/>
  <c r="C736" i="3"/>
  <c r="B736" i="3"/>
  <c r="P735" i="3"/>
  <c r="O735" i="3"/>
  <c r="N735" i="3"/>
  <c r="M735" i="3"/>
  <c r="C735" i="3"/>
  <c r="B735" i="3"/>
  <c r="P734" i="3"/>
  <c r="O734" i="3"/>
  <c r="N734" i="3"/>
  <c r="M734" i="3"/>
  <c r="C734" i="3"/>
  <c r="B734" i="3"/>
  <c r="P733" i="3"/>
  <c r="O733" i="3"/>
  <c r="N733" i="3"/>
  <c r="M733" i="3"/>
  <c r="C733" i="3"/>
  <c r="B733" i="3"/>
  <c r="P732" i="3"/>
  <c r="O732" i="3"/>
  <c r="N732" i="3"/>
  <c r="M732" i="3"/>
  <c r="C732" i="3"/>
  <c r="B732" i="3"/>
  <c r="P731" i="3"/>
  <c r="O731" i="3"/>
  <c r="N731" i="3"/>
  <c r="M731" i="3"/>
  <c r="C731" i="3"/>
  <c r="B731" i="3"/>
  <c r="P730" i="3"/>
  <c r="O730" i="3"/>
  <c r="N730" i="3"/>
  <c r="M730" i="3"/>
  <c r="C730" i="3"/>
  <c r="B730" i="3"/>
  <c r="P729" i="3"/>
  <c r="O729" i="3"/>
  <c r="N729" i="3"/>
  <c r="M729" i="3"/>
  <c r="C729" i="3"/>
  <c r="B729" i="3"/>
  <c r="P728" i="3"/>
  <c r="O728" i="3"/>
  <c r="N728" i="3"/>
  <c r="M728" i="3"/>
  <c r="C728" i="3"/>
  <c r="B728" i="3"/>
  <c r="P727" i="3"/>
  <c r="O727" i="3"/>
  <c r="N727" i="3"/>
  <c r="M727" i="3"/>
  <c r="C727" i="3"/>
  <c r="B727" i="3"/>
  <c r="P726" i="3"/>
  <c r="O726" i="3"/>
  <c r="N726" i="3"/>
  <c r="M726" i="3"/>
  <c r="C726" i="3"/>
  <c r="B726" i="3"/>
  <c r="P725" i="3"/>
  <c r="O725" i="3"/>
  <c r="N725" i="3"/>
  <c r="M725" i="3"/>
  <c r="C725" i="3"/>
  <c r="B725" i="3"/>
  <c r="P724" i="3"/>
  <c r="O724" i="3"/>
  <c r="N724" i="3"/>
  <c r="M724" i="3"/>
  <c r="C724" i="3"/>
  <c r="B724" i="3"/>
  <c r="P723" i="3"/>
  <c r="O723" i="3"/>
  <c r="N723" i="3"/>
  <c r="M723" i="3"/>
  <c r="C723" i="3"/>
  <c r="B723" i="3"/>
  <c r="P722" i="3"/>
  <c r="O722" i="3"/>
  <c r="N722" i="3"/>
  <c r="M722" i="3"/>
  <c r="C722" i="3"/>
  <c r="B722" i="3"/>
  <c r="P721" i="3"/>
  <c r="O721" i="3"/>
  <c r="N721" i="3"/>
  <c r="M721" i="3"/>
  <c r="C721" i="3"/>
  <c r="B721" i="3"/>
  <c r="P720" i="3"/>
  <c r="O720" i="3"/>
  <c r="N720" i="3"/>
  <c r="M720" i="3"/>
  <c r="C720" i="3"/>
  <c r="B720" i="3"/>
  <c r="P719" i="3"/>
  <c r="O719" i="3"/>
  <c r="N719" i="3"/>
  <c r="M719" i="3"/>
  <c r="C719" i="3"/>
  <c r="B719" i="3"/>
  <c r="P718" i="3"/>
  <c r="O718" i="3"/>
  <c r="N718" i="3"/>
  <c r="M718" i="3"/>
  <c r="C718" i="3"/>
  <c r="B718" i="3"/>
  <c r="P717" i="3"/>
  <c r="O717" i="3"/>
  <c r="N717" i="3"/>
  <c r="M717" i="3"/>
  <c r="C717" i="3"/>
  <c r="B717" i="3"/>
  <c r="P716" i="3"/>
  <c r="O716" i="3"/>
  <c r="N716" i="3"/>
  <c r="M716" i="3"/>
  <c r="C716" i="3"/>
  <c r="B716" i="3"/>
  <c r="P715" i="3"/>
  <c r="O715" i="3"/>
  <c r="N715" i="3"/>
  <c r="M715" i="3"/>
  <c r="C715" i="3"/>
  <c r="B715" i="3"/>
  <c r="P714" i="3"/>
  <c r="O714" i="3"/>
  <c r="N714" i="3"/>
  <c r="M714" i="3"/>
  <c r="C714" i="3"/>
  <c r="B714" i="3"/>
  <c r="P713" i="3"/>
  <c r="O713" i="3"/>
  <c r="N713" i="3"/>
  <c r="M713" i="3"/>
  <c r="C713" i="3"/>
  <c r="B713" i="3"/>
  <c r="P712" i="3"/>
  <c r="O712" i="3"/>
  <c r="N712" i="3"/>
  <c r="M712" i="3"/>
  <c r="C712" i="3"/>
  <c r="B712" i="3"/>
  <c r="P711" i="3"/>
  <c r="O711" i="3"/>
  <c r="N711" i="3"/>
  <c r="M711" i="3"/>
  <c r="C711" i="3"/>
  <c r="B711" i="3"/>
  <c r="P710" i="3"/>
  <c r="O710" i="3"/>
  <c r="N710" i="3"/>
  <c r="M710" i="3"/>
  <c r="C710" i="3"/>
  <c r="B710" i="3"/>
  <c r="P709" i="3"/>
  <c r="O709" i="3"/>
  <c r="N709" i="3"/>
  <c r="M709" i="3"/>
  <c r="C709" i="3"/>
  <c r="B709" i="3"/>
  <c r="P708" i="3"/>
  <c r="O708" i="3"/>
  <c r="N708" i="3"/>
  <c r="M708" i="3"/>
  <c r="C708" i="3"/>
  <c r="B708" i="3"/>
  <c r="P707" i="3"/>
  <c r="O707" i="3"/>
  <c r="N707" i="3"/>
  <c r="M707" i="3"/>
  <c r="C707" i="3"/>
  <c r="B707" i="3"/>
  <c r="P706" i="3"/>
  <c r="O706" i="3"/>
  <c r="N706" i="3"/>
  <c r="M706" i="3"/>
  <c r="C706" i="3"/>
  <c r="B706" i="3"/>
  <c r="P705" i="3"/>
  <c r="O705" i="3"/>
  <c r="N705" i="3"/>
  <c r="M705" i="3"/>
  <c r="C705" i="3"/>
  <c r="B705" i="3"/>
  <c r="P704" i="3"/>
  <c r="O704" i="3"/>
  <c r="N704" i="3"/>
  <c r="M704" i="3"/>
  <c r="C704" i="3"/>
  <c r="B704" i="3"/>
  <c r="P703" i="3"/>
  <c r="O703" i="3"/>
  <c r="N703" i="3"/>
  <c r="M703" i="3"/>
  <c r="C703" i="3"/>
  <c r="B703" i="3"/>
  <c r="P702" i="3"/>
  <c r="O702" i="3"/>
  <c r="N702" i="3"/>
  <c r="M702" i="3"/>
  <c r="C702" i="3"/>
  <c r="B702" i="3"/>
  <c r="P701" i="3"/>
  <c r="O701" i="3"/>
  <c r="N701" i="3"/>
  <c r="M701" i="3"/>
  <c r="C701" i="3"/>
  <c r="B701" i="3"/>
  <c r="P700" i="3"/>
  <c r="O700" i="3"/>
  <c r="N700" i="3"/>
  <c r="M700" i="3"/>
  <c r="C700" i="3"/>
  <c r="B700" i="3"/>
  <c r="P699" i="3"/>
  <c r="O699" i="3"/>
  <c r="N699" i="3"/>
  <c r="M699" i="3"/>
  <c r="C699" i="3"/>
  <c r="B699" i="3"/>
  <c r="P698" i="3"/>
  <c r="O698" i="3"/>
  <c r="N698" i="3"/>
  <c r="M698" i="3"/>
  <c r="C698" i="3"/>
  <c r="B698" i="3"/>
  <c r="P697" i="3"/>
  <c r="O697" i="3"/>
  <c r="N697" i="3"/>
  <c r="M697" i="3"/>
  <c r="C697" i="3"/>
  <c r="B697" i="3"/>
  <c r="P696" i="3"/>
  <c r="O696" i="3"/>
  <c r="N696" i="3"/>
  <c r="M696" i="3"/>
  <c r="C696" i="3"/>
  <c r="B696" i="3"/>
  <c r="P695" i="3"/>
  <c r="O695" i="3"/>
  <c r="N695" i="3"/>
  <c r="M695" i="3"/>
  <c r="C695" i="3"/>
  <c r="B695" i="3"/>
  <c r="P694" i="3"/>
  <c r="O694" i="3"/>
  <c r="N694" i="3"/>
  <c r="M694" i="3"/>
  <c r="C694" i="3"/>
  <c r="B694" i="3"/>
  <c r="P693" i="3"/>
  <c r="O693" i="3"/>
  <c r="N693" i="3"/>
  <c r="M693" i="3"/>
  <c r="C693" i="3"/>
  <c r="B693" i="3"/>
  <c r="P692" i="3"/>
  <c r="O692" i="3"/>
  <c r="N692" i="3"/>
  <c r="M692" i="3"/>
  <c r="C692" i="3"/>
  <c r="B692" i="3"/>
  <c r="P691" i="3"/>
  <c r="O691" i="3"/>
  <c r="N691" i="3"/>
  <c r="M691" i="3"/>
  <c r="C691" i="3"/>
  <c r="B691" i="3"/>
  <c r="P690" i="3"/>
  <c r="O690" i="3"/>
  <c r="N690" i="3"/>
  <c r="M690" i="3"/>
  <c r="C690" i="3"/>
  <c r="B690" i="3"/>
  <c r="P689" i="3"/>
  <c r="O689" i="3"/>
  <c r="N689" i="3"/>
  <c r="M689" i="3"/>
  <c r="C689" i="3"/>
  <c r="B689" i="3"/>
  <c r="P688" i="3"/>
  <c r="O688" i="3"/>
  <c r="N688" i="3"/>
  <c r="M688" i="3"/>
  <c r="C688" i="3"/>
  <c r="B688" i="3"/>
  <c r="P687" i="3"/>
  <c r="O687" i="3"/>
  <c r="N687" i="3"/>
  <c r="M687" i="3"/>
  <c r="C687" i="3"/>
  <c r="B687" i="3"/>
  <c r="P686" i="3"/>
  <c r="O686" i="3"/>
  <c r="N686" i="3"/>
  <c r="M686" i="3"/>
  <c r="C686" i="3"/>
  <c r="B686" i="3"/>
  <c r="P685" i="3"/>
  <c r="O685" i="3"/>
  <c r="N685" i="3"/>
  <c r="M685" i="3"/>
  <c r="C685" i="3"/>
  <c r="B685" i="3"/>
  <c r="P684" i="3"/>
  <c r="O684" i="3"/>
  <c r="N684" i="3"/>
  <c r="M684" i="3"/>
  <c r="C684" i="3"/>
  <c r="B684" i="3"/>
  <c r="P683" i="3"/>
  <c r="O683" i="3"/>
  <c r="N683" i="3"/>
  <c r="M683" i="3"/>
  <c r="C683" i="3"/>
  <c r="B683" i="3"/>
  <c r="P682" i="3"/>
  <c r="O682" i="3"/>
  <c r="N682" i="3"/>
  <c r="M682" i="3"/>
  <c r="C682" i="3"/>
  <c r="B682" i="3"/>
  <c r="P681" i="3"/>
  <c r="O681" i="3"/>
  <c r="N681" i="3"/>
  <c r="M681" i="3"/>
  <c r="C681" i="3"/>
  <c r="B681" i="3"/>
  <c r="P680" i="3"/>
  <c r="O680" i="3"/>
  <c r="N680" i="3"/>
  <c r="M680" i="3"/>
  <c r="C680" i="3"/>
  <c r="B680" i="3"/>
  <c r="P679" i="3"/>
  <c r="O679" i="3"/>
  <c r="N679" i="3"/>
  <c r="M679" i="3"/>
  <c r="C679" i="3"/>
  <c r="B679" i="3"/>
  <c r="P678" i="3"/>
  <c r="O678" i="3"/>
  <c r="N678" i="3"/>
  <c r="M678" i="3"/>
  <c r="C678" i="3"/>
  <c r="B678" i="3"/>
  <c r="P677" i="3"/>
  <c r="O677" i="3"/>
  <c r="N677" i="3"/>
  <c r="M677" i="3"/>
  <c r="C677" i="3"/>
  <c r="B677" i="3"/>
  <c r="P676" i="3"/>
  <c r="O676" i="3"/>
  <c r="N676" i="3"/>
  <c r="M676" i="3"/>
  <c r="C676" i="3"/>
  <c r="B676" i="3"/>
  <c r="P675" i="3"/>
  <c r="O675" i="3"/>
  <c r="N675" i="3"/>
  <c r="M675" i="3"/>
  <c r="C675" i="3"/>
  <c r="B675" i="3"/>
  <c r="P674" i="3"/>
  <c r="O674" i="3"/>
  <c r="N674" i="3"/>
  <c r="M674" i="3"/>
  <c r="C674" i="3"/>
  <c r="B674" i="3"/>
  <c r="P673" i="3"/>
  <c r="O673" i="3"/>
  <c r="N673" i="3"/>
  <c r="M673" i="3"/>
  <c r="C673" i="3"/>
  <c r="B673" i="3"/>
  <c r="P672" i="3"/>
  <c r="O672" i="3"/>
  <c r="N672" i="3"/>
  <c r="M672" i="3"/>
  <c r="C672" i="3"/>
  <c r="B672" i="3"/>
  <c r="P671" i="3"/>
  <c r="O671" i="3"/>
  <c r="N671" i="3"/>
  <c r="M671" i="3"/>
  <c r="C671" i="3"/>
  <c r="B671" i="3"/>
  <c r="P670" i="3"/>
  <c r="O670" i="3"/>
  <c r="N670" i="3"/>
  <c r="M670" i="3"/>
  <c r="C670" i="3"/>
  <c r="B670" i="3"/>
  <c r="P669" i="3"/>
  <c r="O669" i="3"/>
  <c r="N669" i="3"/>
  <c r="M669" i="3"/>
  <c r="C669" i="3"/>
  <c r="B669" i="3"/>
  <c r="P668" i="3"/>
  <c r="O668" i="3"/>
  <c r="N668" i="3"/>
  <c r="M668" i="3"/>
  <c r="C668" i="3"/>
  <c r="B668" i="3"/>
  <c r="P667" i="3"/>
  <c r="O667" i="3"/>
  <c r="N667" i="3"/>
  <c r="M667" i="3"/>
  <c r="C667" i="3"/>
  <c r="B667" i="3"/>
  <c r="P666" i="3"/>
  <c r="O666" i="3"/>
  <c r="N666" i="3"/>
  <c r="M666" i="3"/>
  <c r="C666" i="3"/>
  <c r="B666" i="3"/>
  <c r="P665" i="3"/>
  <c r="O665" i="3"/>
  <c r="N665" i="3"/>
  <c r="M665" i="3"/>
  <c r="C665" i="3"/>
  <c r="B665" i="3"/>
  <c r="P664" i="3"/>
  <c r="O664" i="3"/>
  <c r="N664" i="3"/>
  <c r="M664" i="3"/>
  <c r="C664" i="3"/>
  <c r="B664" i="3"/>
  <c r="P663" i="3"/>
  <c r="O663" i="3"/>
  <c r="N663" i="3"/>
  <c r="M663" i="3"/>
  <c r="C663" i="3"/>
  <c r="B663" i="3"/>
  <c r="P662" i="3"/>
  <c r="O662" i="3"/>
  <c r="N662" i="3"/>
  <c r="M662" i="3"/>
  <c r="C662" i="3"/>
  <c r="B662" i="3"/>
  <c r="P661" i="3"/>
  <c r="O661" i="3"/>
  <c r="N661" i="3"/>
  <c r="M661" i="3"/>
  <c r="C661" i="3"/>
  <c r="B661" i="3"/>
  <c r="P660" i="3"/>
  <c r="O660" i="3"/>
  <c r="N660" i="3"/>
  <c r="M660" i="3"/>
  <c r="C660" i="3"/>
  <c r="B660" i="3"/>
  <c r="P659" i="3"/>
  <c r="O659" i="3"/>
  <c r="N659" i="3"/>
  <c r="M659" i="3"/>
  <c r="C659" i="3"/>
  <c r="B659" i="3"/>
  <c r="P658" i="3"/>
  <c r="O658" i="3"/>
  <c r="N658" i="3"/>
  <c r="M658" i="3"/>
  <c r="C658" i="3"/>
  <c r="B658" i="3"/>
  <c r="P657" i="3"/>
  <c r="O657" i="3"/>
  <c r="N657" i="3"/>
  <c r="M657" i="3"/>
  <c r="C657" i="3"/>
  <c r="B657" i="3"/>
  <c r="P656" i="3"/>
  <c r="O656" i="3"/>
  <c r="N656" i="3"/>
  <c r="M656" i="3"/>
  <c r="C656" i="3"/>
  <c r="B656" i="3"/>
  <c r="P655" i="3"/>
  <c r="O655" i="3"/>
  <c r="N655" i="3"/>
  <c r="M655" i="3"/>
  <c r="C655" i="3"/>
  <c r="B655" i="3"/>
  <c r="P654" i="3"/>
  <c r="O654" i="3"/>
  <c r="N654" i="3"/>
  <c r="M654" i="3"/>
  <c r="C654" i="3"/>
  <c r="B654" i="3"/>
  <c r="P653" i="3"/>
  <c r="O653" i="3"/>
  <c r="N653" i="3"/>
  <c r="M653" i="3"/>
  <c r="C653" i="3"/>
  <c r="B653" i="3"/>
  <c r="P652" i="3"/>
  <c r="O652" i="3"/>
  <c r="N652" i="3"/>
  <c r="M652" i="3"/>
  <c r="C652" i="3"/>
  <c r="B652" i="3"/>
  <c r="P651" i="3"/>
  <c r="O651" i="3"/>
  <c r="N651" i="3"/>
  <c r="M651" i="3"/>
  <c r="C651" i="3"/>
  <c r="B651" i="3"/>
  <c r="P650" i="3"/>
  <c r="O650" i="3"/>
  <c r="N650" i="3"/>
  <c r="M650" i="3"/>
  <c r="C650" i="3"/>
  <c r="B650" i="3"/>
  <c r="P649" i="3"/>
  <c r="O649" i="3"/>
  <c r="N649" i="3"/>
  <c r="M649" i="3"/>
  <c r="C649" i="3"/>
  <c r="B649" i="3"/>
  <c r="P648" i="3"/>
  <c r="O648" i="3"/>
  <c r="N648" i="3"/>
  <c r="M648" i="3"/>
  <c r="C648" i="3"/>
  <c r="B648" i="3"/>
  <c r="P647" i="3"/>
  <c r="O647" i="3"/>
  <c r="N647" i="3"/>
  <c r="M647" i="3"/>
  <c r="C647" i="3"/>
  <c r="B647" i="3"/>
  <c r="P646" i="3"/>
  <c r="O646" i="3"/>
  <c r="N646" i="3"/>
  <c r="M646" i="3"/>
  <c r="C646" i="3"/>
  <c r="B646" i="3"/>
  <c r="P645" i="3"/>
  <c r="O645" i="3"/>
  <c r="N645" i="3"/>
  <c r="M645" i="3"/>
  <c r="C645" i="3"/>
  <c r="B645" i="3"/>
  <c r="P644" i="3"/>
  <c r="O644" i="3"/>
  <c r="N644" i="3"/>
  <c r="M644" i="3"/>
  <c r="C644" i="3"/>
  <c r="B644" i="3"/>
  <c r="P643" i="3"/>
  <c r="O643" i="3"/>
  <c r="N643" i="3"/>
  <c r="M643" i="3"/>
  <c r="C643" i="3"/>
  <c r="B643" i="3"/>
  <c r="P642" i="3"/>
  <c r="O642" i="3"/>
  <c r="N642" i="3"/>
  <c r="M642" i="3"/>
  <c r="C642" i="3"/>
  <c r="B642" i="3"/>
  <c r="P641" i="3"/>
  <c r="O641" i="3"/>
  <c r="N641" i="3"/>
  <c r="M641" i="3"/>
  <c r="C641" i="3"/>
  <c r="B641" i="3"/>
  <c r="P640" i="3"/>
  <c r="O640" i="3"/>
  <c r="N640" i="3"/>
  <c r="M640" i="3"/>
  <c r="C640" i="3"/>
  <c r="B640" i="3"/>
  <c r="P639" i="3"/>
  <c r="O639" i="3"/>
  <c r="N639" i="3"/>
  <c r="M639" i="3"/>
  <c r="C639" i="3"/>
  <c r="B639" i="3"/>
  <c r="P638" i="3"/>
  <c r="O638" i="3"/>
  <c r="N638" i="3"/>
  <c r="M638" i="3"/>
  <c r="C638" i="3"/>
  <c r="B638" i="3"/>
  <c r="P637" i="3"/>
  <c r="O637" i="3"/>
  <c r="N637" i="3"/>
  <c r="M637" i="3"/>
  <c r="C637" i="3"/>
  <c r="B637" i="3"/>
  <c r="P636" i="3"/>
  <c r="O636" i="3"/>
  <c r="N636" i="3"/>
  <c r="M636" i="3"/>
  <c r="C636" i="3"/>
  <c r="B636" i="3"/>
  <c r="P635" i="3"/>
  <c r="O635" i="3"/>
  <c r="N635" i="3"/>
  <c r="M635" i="3"/>
  <c r="C635" i="3"/>
  <c r="B635" i="3"/>
  <c r="P634" i="3"/>
  <c r="O634" i="3"/>
  <c r="N634" i="3"/>
  <c r="M634" i="3"/>
  <c r="C634" i="3"/>
  <c r="B634" i="3"/>
  <c r="P633" i="3"/>
  <c r="O633" i="3"/>
  <c r="N633" i="3"/>
  <c r="M633" i="3"/>
  <c r="C633" i="3"/>
  <c r="B633" i="3"/>
  <c r="P632" i="3"/>
  <c r="O632" i="3"/>
  <c r="N632" i="3"/>
  <c r="M632" i="3"/>
  <c r="C632" i="3"/>
  <c r="B632" i="3"/>
  <c r="P631" i="3"/>
  <c r="O631" i="3"/>
  <c r="N631" i="3"/>
  <c r="M631" i="3"/>
  <c r="C631" i="3"/>
  <c r="B631" i="3"/>
  <c r="P630" i="3"/>
  <c r="O630" i="3"/>
  <c r="N630" i="3"/>
  <c r="M630" i="3"/>
  <c r="C630" i="3"/>
  <c r="B630" i="3"/>
  <c r="P629" i="3"/>
  <c r="O629" i="3"/>
  <c r="N629" i="3"/>
  <c r="M629" i="3"/>
  <c r="C629" i="3"/>
  <c r="B629" i="3"/>
  <c r="P628" i="3"/>
  <c r="O628" i="3"/>
  <c r="N628" i="3"/>
  <c r="M628" i="3"/>
  <c r="C628" i="3"/>
  <c r="B628" i="3"/>
  <c r="P627" i="3"/>
  <c r="O627" i="3"/>
  <c r="N627" i="3"/>
  <c r="M627" i="3"/>
  <c r="C627" i="3"/>
  <c r="B627" i="3"/>
  <c r="P626" i="3"/>
  <c r="O626" i="3"/>
  <c r="N626" i="3"/>
  <c r="M626" i="3"/>
  <c r="C626" i="3"/>
  <c r="B626" i="3"/>
  <c r="P625" i="3"/>
  <c r="O625" i="3"/>
  <c r="N625" i="3"/>
  <c r="M625" i="3"/>
  <c r="C625" i="3"/>
  <c r="B625" i="3"/>
  <c r="P624" i="3"/>
  <c r="O624" i="3"/>
  <c r="N624" i="3"/>
  <c r="M624" i="3"/>
  <c r="C624" i="3"/>
  <c r="B624" i="3"/>
  <c r="P623" i="3"/>
  <c r="O623" i="3"/>
  <c r="N623" i="3"/>
  <c r="M623" i="3"/>
  <c r="C623" i="3"/>
  <c r="B623" i="3"/>
  <c r="P622" i="3"/>
  <c r="O622" i="3"/>
  <c r="N622" i="3"/>
  <c r="M622" i="3"/>
  <c r="C622" i="3"/>
  <c r="B622" i="3"/>
  <c r="P621" i="3"/>
  <c r="O621" i="3"/>
  <c r="N621" i="3"/>
  <c r="M621" i="3"/>
  <c r="C621" i="3"/>
  <c r="B621" i="3"/>
  <c r="P620" i="3"/>
  <c r="O620" i="3"/>
  <c r="N620" i="3"/>
  <c r="M620" i="3"/>
  <c r="C620" i="3"/>
  <c r="B620" i="3"/>
  <c r="P619" i="3"/>
  <c r="O619" i="3"/>
  <c r="N619" i="3"/>
  <c r="M619" i="3"/>
  <c r="C619" i="3"/>
  <c r="B619" i="3"/>
  <c r="P618" i="3"/>
  <c r="O618" i="3"/>
  <c r="N618" i="3"/>
  <c r="M618" i="3"/>
  <c r="C618" i="3"/>
  <c r="B618" i="3"/>
  <c r="P617" i="3"/>
  <c r="O617" i="3"/>
  <c r="N617" i="3"/>
  <c r="M617" i="3"/>
  <c r="C617" i="3"/>
  <c r="B617" i="3"/>
  <c r="P616" i="3"/>
  <c r="O616" i="3"/>
  <c r="N616" i="3"/>
  <c r="M616" i="3"/>
  <c r="C616" i="3"/>
  <c r="B616" i="3"/>
  <c r="P615" i="3"/>
  <c r="O615" i="3"/>
  <c r="N615" i="3"/>
  <c r="M615" i="3"/>
  <c r="C615" i="3"/>
  <c r="B615" i="3"/>
  <c r="P614" i="3"/>
  <c r="O614" i="3"/>
  <c r="N614" i="3"/>
  <c r="M614" i="3"/>
  <c r="C614" i="3"/>
  <c r="B614" i="3"/>
  <c r="P613" i="3"/>
  <c r="O613" i="3"/>
  <c r="N613" i="3"/>
  <c r="M613" i="3"/>
  <c r="C613" i="3"/>
  <c r="B613" i="3"/>
  <c r="P612" i="3"/>
  <c r="O612" i="3"/>
  <c r="N612" i="3"/>
  <c r="M612" i="3"/>
  <c r="C612" i="3"/>
  <c r="B612" i="3"/>
  <c r="P611" i="3"/>
  <c r="O611" i="3"/>
  <c r="N611" i="3"/>
  <c r="M611" i="3"/>
  <c r="C611" i="3"/>
  <c r="B611" i="3"/>
  <c r="P610" i="3"/>
  <c r="O610" i="3"/>
  <c r="N610" i="3"/>
  <c r="M610" i="3"/>
  <c r="C610" i="3"/>
  <c r="B610" i="3"/>
  <c r="P609" i="3"/>
  <c r="O609" i="3"/>
  <c r="N609" i="3"/>
  <c r="M609" i="3"/>
  <c r="C609" i="3"/>
  <c r="B609" i="3"/>
  <c r="P608" i="3"/>
  <c r="O608" i="3"/>
  <c r="N608" i="3"/>
  <c r="M608" i="3"/>
  <c r="C608" i="3"/>
  <c r="B608" i="3"/>
  <c r="P607" i="3"/>
  <c r="O607" i="3"/>
  <c r="N607" i="3"/>
  <c r="M607" i="3"/>
  <c r="C607" i="3"/>
  <c r="B607" i="3"/>
  <c r="P606" i="3"/>
  <c r="O606" i="3"/>
  <c r="N606" i="3"/>
  <c r="M606" i="3"/>
  <c r="C606" i="3"/>
  <c r="B606" i="3"/>
  <c r="P605" i="3"/>
  <c r="O605" i="3"/>
  <c r="N605" i="3"/>
  <c r="M605" i="3"/>
  <c r="C605" i="3"/>
  <c r="B605" i="3"/>
  <c r="P604" i="3"/>
  <c r="O604" i="3"/>
  <c r="N604" i="3"/>
  <c r="M604" i="3"/>
  <c r="C604" i="3"/>
  <c r="B604" i="3"/>
  <c r="P603" i="3"/>
  <c r="O603" i="3"/>
  <c r="N603" i="3"/>
  <c r="M603" i="3"/>
  <c r="C603" i="3"/>
  <c r="B603" i="3"/>
  <c r="P602" i="3"/>
  <c r="O602" i="3"/>
  <c r="N602" i="3"/>
  <c r="M602" i="3"/>
  <c r="C602" i="3"/>
  <c r="B602" i="3"/>
  <c r="P601" i="3"/>
  <c r="O601" i="3"/>
  <c r="N601" i="3"/>
  <c r="M601" i="3"/>
  <c r="C601" i="3"/>
  <c r="B601" i="3"/>
  <c r="P600" i="3"/>
  <c r="O600" i="3"/>
  <c r="N600" i="3"/>
  <c r="M600" i="3"/>
  <c r="C600" i="3"/>
  <c r="B600" i="3"/>
  <c r="P599" i="3"/>
  <c r="O599" i="3"/>
  <c r="N599" i="3"/>
  <c r="M599" i="3"/>
  <c r="C599" i="3"/>
  <c r="B599" i="3"/>
  <c r="P598" i="3"/>
  <c r="O598" i="3"/>
  <c r="N598" i="3"/>
  <c r="M598" i="3"/>
  <c r="C598" i="3"/>
  <c r="B598" i="3"/>
  <c r="P597" i="3"/>
  <c r="O597" i="3"/>
  <c r="N597" i="3"/>
  <c r="M597" i="3"/>
  <c r="C597" i="3"/>
  <c r="B597" i="3"/>
  <c r="P596" i="3"/>
  <c r="O596" i="3"/>
  <c r="N596" i="3"/>
  <c r="M596" i="3"/>
  <c r="C596" i="3"/>
  <c r="B596" i="3"/>
  <c r="P595" i="3"/>
  <c r="O595" i="3"/>
  <c r="N595" i="3"/>
  <c r="M595" i="3"/>
  <c r="C595" i="3"/>
  <c r="B595" i="3"/>
  <c r="P594" i="3"/>
  <c r="O594" i="3"/>
  <c r="N594" i="3"/>
  <c r="M594" i="3"/>
  <c r="C594" i="3"/>
  <c r="B594" i="3"/>
  <c r="P593" i="3"/>
  <c r="O593" i="3"/>
  <c r="N593" i="3"/>
  <c r="M593" i="3"/>
  <c r="C593" i="3"/>
  <c r="B593" i="3"/>
  <c r="P592" i="3"/>
  <c r="O592" i="3"/>
  <c r="N592" i="3"/>
  <c r="M592" i="3"/>
  <c r="C592" i="3"/>
  <c r="B592" i="3"/>
  <c r="P591" i="3"/>
  <c r="O591" i="3"/>
  <c r="N591" i="3"/>
  <c r="M591" i="3"/>
  <c r="C591" i="3"/>
  <c r="B591" i="3"/>
  <c r="P590" i="3"/>
  <c r="O590" i="3"/>
  <c r="N590" i="3"/>
  <c r="M590" i="3"/>
  <c r="C590" i="3"/>
  <c r="B590" i="3"/>
  <c r="P589" i="3"/>
  <c r="O589" i="3"/>
  <c r="N589" i="3"/>
  <c r="M589" i="3"/>
  <c r="C589" i="3"/>
  <c r="B589" i="3"/>
  <c r="P588" i="3"/>
  <c r="O588" i="3"/>
  <c r="N588" i="3"/>
  <c r="M588" i="3"/>
  <c r="C588" i="3"/>
  <c r="B588" i="3"/>
  <c r="P587" i="3"/>
  <c r="O587" i="3"/>
  <c r="N587" i="3"/>
  <c r="M587" i="3"/>
  <c r="C587" i="3"/>
  <c r="B587" i="3"/>
  <c r="P586" i="3"/>
  <c r="O586" i="3"/>
  <c r="N586" i="3"/>
  <c r="M586" i="3"/>
  <c r="C586" i="3"/>
  <c r="B586" i="3"/>
  <c r="P585" i="3"/>
  <c r="O585" i="3"/>
  <c r="N585" i="3"/>
  <c r="M585" i="3"/>
  <c r="C585" i="3"/>
  <c r="B585" i="3"/>
  <c r="P584" i="3"/>
  <c r="O584" i="3"/>
  <c r="N584" i="3"/>
  <c r="M584" i="3"/>
  <c r="C584" i="3"/>
  <c r="B584" i="3"/>
  <c r="P583" i="3"/>
  <c r="O583" i="3"/>
  <c r="N583" i="3"/>
  <c r="M583" i="3"/>
  <c r="C583" i="3"/>
  <c r="B583" i="3"/>
  <c r="P582" i="3"/>
  <c r="O582" i="3"/>
  <c r="N582" i="3"/>
  <c r="M582" i="3"/>
  <c r="C582" i="3"/>
  <c r="B582" i="3"/>
  <c r="P581" i="3"/>
  <c r="O581" i="3"/>
  <c r="N581" i="3"/>
  <c r="M581" i="3"/>
  <c r="C581" i="3"/>
  <c r="B581" i="3"/>
  <c r="P580" i="3"/>
  <c r="O580" i="3"/>
  <c r="N580" i="3"/>
  <c r="M580" i="3"/>
  <c r="C580" i="3"/>
  <c r="B580" i="3"/>
  <c r="P579" i="3"/>
  <c r="O579" i="3"/>
  <c r="N579" i="3"/>
  <c r="M579" i="3"/>
  <c r="C579" i="3"/>
  <c r="B579" i="3"/>
  <c r="P578" i="3"/>
  <c r="O578" i="3"/>
  <c r="N578" i="3"/>
  <c r="M578" i="3"/>
  <c r="C578" i="3"/>
  <c r="B578" i="3"/>
  <c r="P577" i="3"/>
  <c r="O577" i="3"/>
  <c r="N577" i="3"/>
  <c r="M577" i="3"/>
  <c r="C577" i="3"/>
  <c r="B577" i="3"/>
  <c r="P576" i="3"/>
  <c r="O576" i="3"/>
  <c r="N576" i="3"/>
  <c r="M576" i="3"/>
  <c r="C576" i="3"/>
  <c r="B576" i="3"/>
  <c r="P575" i="3"/>
  <c r="O575" i="3"/>
  <c r="N575" i="3"/>
  <c r="M575" i="3"/>
  <c r="C575" i="3"/>
  <c r="B575" i="3"/>
  <c r="P574" i="3"/>
  <c r="O574" i="3"/>
  <c r="N574" i="3"/>
  <c r="M574" i="3"/>
  <c r="C574" i="3"/>
  <c r="B574" i="3"/>
  <c r="P573" i="3"/>
  <c r="O573" i="3"/>
  <c r="N573" i="3"/>
  <c r="M573" i="3"/>
  <c r="C573" i="3"/>
  <c r="B573" i="3"/>
  <c r="P572" i="3"/>
  <c r="O572" i="3"/>
  <c r="N572" i="3"/>
  <c r="M572" i="3"/>
  <c r="C572" i="3"/>
  <c r="B572" i="3"/>
  <c r="P571" i="3"/>
  <c r="O571" i="3"/>
  <c r="N571" i="3"/>
  <c r="M571" i="3"/>
  <c r="C571" i="3"/>
  <c r="B571" i="3"/>
  <c r="P570" i="3"/>
  <c r="O570" i="3"/>
  <c r="N570" i="3"/>
  <c r="M570" i="3"/>
  <c r="C570" i="3"/>
  <c r="B570" i="3"/>
  <c r="P569" i="3"/>
  <c r="O569" i="3"/>
  <c r="N569" i="3"/>
  <c r="M569" i="3"/>
  <c r="C569" i="3"/>
  <c r="B569" i="3"/>
  <c r="P568" i="3"/>
  <c r="O568" i="3"/>
  <c r="N568" i="3"/>
  <c r="M568" i="3"/>
  <c r="C568" i="3"/>
  <c r="B568" i="3"/>
  <c r="P567" i="3"/>
  <c r="O567" i="3"/>
  <c r="N567" i="3"/>
  <c r="M567" i="3"/>
  <c r="C567" i="3"/>
  <c r="B567" i="3"/>
  <c r="P566" i="3"/>
  <c r="O566" i="3"/>
  <c r="N566" i="3"/>
  <c r="M566" i="3"/>
  <c r="C566" i="3"/>
  <c r="B566" i="3"/>
  <c r="P565" i="3"/>
  <c r="O565" i="3"/>
  <c r="N565" i="3"/>
  <c r="M565" i="3"/>
  <c r="C565" i="3"/>
  <c r="B565" i="3"/>
  <c r="P564" i="3"/>
  <c r="O564" i="3"/>
  <c r="N564" i="3"/>
  <c r="M564" i="3"/>
  <c r="C564" i="3"/>
  <c r="B564" i="3"/>
  <c r="P563" i="3"/>
  <c r="O563" i="3"/>
  <c r="N563" i="3"/>
  <c r="M563" i="3"/>
  <c r="C563" i="3"/>
  <c r="B563" i="3"/>
  <c r="P562" i="3"/>
  <c r="O562" i="3"/>
  <c r="N562" i="3"/>
  <c r="M562" i="3"/>
  <c r="C562" i="3"/>
  <c r="B562" i="3"/>
  <c r="P561" i="3"/>
  <c r="O561" i="3"/>
  <c r="N561" i="3"/>
  <c r="M561" i="3"/>
  <c r="C561" i="3"/>
  <c r="B561" i="3"/>
  <c r="P560" i="3"/>
  <c r="O560" i="3"/>
  <c r="N560" i="3"/>
  <c r="M560" i="3"/>
  <c r="C560" i="3"/>
  <c r="B560" i="3"/>
  <c r="P559" i="3"/>
  <c r="O559" i="3"/>
  <c r="N559" i="3"/>
  <c r="M559" i="3"/>
  <c r="C559" i="3"/>
  <c r="B559" i="3"/>
  <c r="P558" i="3"/>
  <c r="O558" i="3"/>
  <c r="N558" i="3"/>
  <c r="M558" i="3"/>
  <c r="C558" i="3"/>
  <c r="B558" i="3"/>
  <c r="P557" i="3"/>
  <c r="O557" i="3"/>
  <c r="N557" i="3"/>
  <c r="M557" i="3"/>
  <c r="C557" i="3"/>
  <c r="B557" i="3"/>
  <c r="P556" i="3"/>
  <c r="O556" i="3"/>
  <c r="N556" i="3"/>
  <c r="M556" i="3"/>
  <c r="C556" i="3"/>
  <c r="B556" i="3"/>
  <c r="P555" i="3"/>
  <c r="O555" i="3"/>
  <c r="N555" i="3"/>
  <c r="M555" i="3"/>
  <c r="C555" i="3"/>
  <c r="B555" i="3"/>
  <c r="P554" i="3"/>
  <c r="O554" i="3"/>
  <c r="N554" i="3"/>
  <c r="M554" i="3"/>
  <c r="C554" i="3"/>
  <c r="B554" i="3"/>
  <c r="P553" i="3"/>
  <c r="O553" i="3"/>
  <c r="N553" i="3"/>
  <c r="M553" i="3"/>
  <c r="C553" i="3"/>
  <c r="B553" i="3"/>
  <c r="P552" i="3"/>
  <c r="O552" i="3"/>
  <c r="N552" i="3"/>
  <c r="M552" i="3"/>
  <c r="C552" i="3"/>
  <c r="B552" i="3"/>
  <c r="P551" i="3"/>
  <c r="O551" i="3"/>
  <c r="N551" i="3"/>
  <c r="M551" i="3"/>
  <c r="C551" i="3"/>
  <c r="B551" i="3"/>
  <c r="P550" i="3"/>
  <c r="O550" i="3"/>
  <c r="N550" i="3"/>
  <c r="M550" i="3"/>
  <c r="C550" i="3"/>
  <c r="B550" i="3"/>
  <c r="P549" i="3"/>
  <c r="O549" i="3"/>
  <c r="N549" i="3"/>
  <c r="M549" i="3"/>
  <c r="C549" i="3"/>
  <c r="B549" i="3"/>
  <c r="P548" i="3"/>
  <c r="O548" i="3"/>
  <c r="N548" i="3"/>
  <c r="M548" i="3"/>
  <c r="C548" i="3"/>
  <c r="B548" i="3"/>
  <c r="P547" i="3"/>
  <c r="O547" i="3"/>
  <c r="N547" i="3"/>
  <c r="M547" i="3"/>
  <c r="C547" i="3"/>
  <c r="B547" i="3"/>
  <c r="P546" i="3"/>
  <c r="O546" i="3"/>
  <c r="N546" i="3"/>
  <c r="M546" i="3"/>
  <c r="C546" i="3"/>
  <c r="B546" i="3"/>
  <c r="P545" i="3"/>
  <c r="O545" i="3"/>
  <c r="N545" i="3"/>
  <c r="M545" i="3"/>
  <c r="C545" i="3"/>
  <c r="B545" i="3"/>
  <c r="P544" i="3"/>
  <c r="O544" i="3"/>
  <c r="N544" i="3"/>
  <c r="M544" i="3"/>
  <c r="C544" i="3"/>
  <c r="B544" i="3"/>
  <c r="P543" i="3"/>
  <c r="O543" i="3"/>
  <c r="N543" i="3"/>
  <c r="M543" i="3"/>
  <c r="C543" i="3"/>
  <c r="B543" i="3"/>
  <c r="P542" i="3"/>
  <c r="O542" i="3"/>
  <c r="N542" i="3"/>
  <c r="M542" i="3"/>
  <c r="C542" i="3"/>
  <c r="B542" i="3"/>
  <c r="P541" i="3"/>
  <c r="O541" i="3"/>
  <c r="N541" i="3"/>
  <c r="M541" i="3"/>
  <c r="C541" i="3"/>
  <c r="B541" i="3"/>
  <c r="P540" i="3"/>
  <c r="O540" i="3"/>
  <c r="N540" i="3"/>
  <c r="M540" i="3"/>
  <c r="C540" i="3"/>
  <c r="B540" i="3"/>
  <c r="P539" i="3"/>
  <c r="O539" i="3"/>
  <c r="N539" i="3"/>
  <c r="M539" i="3"/>
  <c r="C539" i="3"/>
  <c r="B539" i="3"/>
  <c r="P538" i="3"/>
  <c r="O538" i="3"/>
  <c r="N538" i="3"/>
  <c r="M538" i="3"/>
  <c r="C538" i="3"/>
  <c r="B538" i="3"/>
  <c r="P537" i="3"/>
  <c r="O537" i="3"/>
  <c r="N537" i="3"/>
  <c r="M537" i="3"/>
  <c r="C537" i="3"/>
  <c r="B537" i="3"/>
  <c r="P536" i="3"/>
  <c r="O536" i="3"/>
  <c r="N536" i="3"/>
  <c r="M536" i="3"/>
  <c r="C536" i="3"/>
  <c r="B536" i="3"/>
  <c r="P535" i="3"/>
  <c r="O535" i="3"/>
  <c r="N535" i="3"/>
  <c r="M535" i="3"/>
  <c r="C535" i="3"/>
  <c r="B535" i="3"/>
  <c r="P534" i="3"/>
  <c r="O534" i="3"/>
  <c r="N534" i="3"/>
  <c r="M534" i="3"/>
  <c r="C534" i="3"/>
  <c r="B534" i="3"/>
  <c r="P533" i="3"/>
  <c r="O533" i="3"/>
  <c r="N533" i="3"/>
  <c r="M533" i="3"/>
  <c r="C533" i="3"/>
  <c r="B533" i="3"/>
  <c r="P532" i="3"/>
  <c r="O532" i="3"/>
  <c r="N532" i="3"/>
  <c r="M532" i="3"/>
  <c r="C532" i="3"/>
  <c r="B532" i="3"/>
  <c r="P531" i="3"/>
  <c r="O531" i="3"/>
  <c r="N531" i="3"/>
  <c r="M531" i="3"/>
  <c r="C531" i="3"/>
  <c r="B531" i="3"/>
  <c r="P530" i="3"/>
  <c r="O530" i="3"/>
  <c r="N530" i="3"/>
  <c r="M530" i="3"/>
  <c r="C530" i="3"/>
  <c r="B530" i="3"/>
  <c r="P529" i="3"/>
  <c r="O529" i="3"/>
  <c r="N529" i="3"/>
  <c r="M529" i="3"/>
  <c r="C529" i="3"/>
  <c r="B529" i="3"/>
  <c r="P528" i="3"/>
  <c r="O528" i="3"/>
  <c r="N528" i="3"/>
  <c r="M528" i="3"/>
  <c r="C528" i="3"/>
  <c r="B528" i="3"/>
  <c r="P527" i="3"/>
  <c r="O527" i="3"/>
  <c r="N527" i="3"/>
  <c r="M527" i="3"/>
  <c r="C527" i="3"/>
  <c r="B527" i="3"/>
  <c r="P526" i="3"/>
  <c r="O526" i="3"/>
  <c r="N526" i="3"/>
  <c r="M526" i="3"/>
  <c r="C526" i="3"/>
  <c r="B526" i="3"/>
  <c r="P525" i="3"/>
  <c r="O525" i="3"/>
  <c r="N525" i="3"/>
  <c r="M525" i="3"/>
  <c r="C525" i="3"/>
  <c r="B525" i="3"/>
  <c r="P524" i="3"/>
  <c r="O524" i="3"/>
  <c r="N524" i="3"/>
  <c r="M524" i="3"/>
  <c r="C524" i="3"/>
  <c r="B524" i="3"/>
  <c r="P523" i="3"/>
  <c r="O523" i="3"/>
  <c r="N523" i="3"/>
  <c r="M523" i="3"/>
  <c r="C523" i="3"/>
  <c r="B523" i="3"/>
  <c r="P522" i="3"/>
  <c r="O522" i="3"/>
  <c r="N522" i="3"/>
  <c r="M522" i="3"/>
  <c r="C522" i="3"/>
  <c r="B522" i="3"/>
  <c r="P521" i="3"/>
  <c r="O521" i="3"/>
  <c r="N521" i="3"/>
  <c r="M521" i="3"/>
  <c r="C521" i="3"/>
  <c r="B521" i="3"/>
  <c r="P520" i="3"/>
  <c r="O520" i="3"/>
  <c r="N520" i="3"/>
  <c r="M520" i="3"/>
  <c r="C520" i="3"/>
  <c r="B520" i="3"/>
  <c r="P519" i="3"/>
  <c r="O519" i="3"/>
  <c r="N519" i="3"/>
  <c r="M519" i="3"/>
  <c r="C519" i="3"/>
  <c r="B519" i="3"/>
  <c r="P518" i="3"/>
  <c r="O518" i="3"/>
  <c r="N518" i="3"/>
  <c r="M518" i="3"/>
  <c r="C518" i="3"/>
  <c r="B518" i="3"/>
  <c r="P517" i="3"/>
  <c r="O517" i="3"/>
  <c r="N517" i="3"/>
  <c r="M517" i="3"/>
  <c r="C517" i="3"/>
  <c r="B517" i="3"/>
  <c r="P516" i="3"/>
  <c r="O516" i="3"/>
  <c r="N516" i="3"/>
  <c r="M516" i="3"/>
  <c r="C516" i="3"/>
  <c r="B516" i="3"/>
  <c r="P515" i="3"/>
  <c r="O515" i="3"/>
  <c r="N515" i="3"/>
  <c r="M515" i="3"/>
  <c r="C515" i="3"/>
  <c r="B515" i="3"/>
  <c r="P514" i="3"/>
  <c r="O514" i="3"/>
  <c r="N514" i="3"/>
  <c r="M514" i="3"/>
  <c r="C514" i="3"/>
  <c r="B514" i="3"/>
  <c r="P513" i="3"/>
  <c r="O513" i="3"/>
  <c r="N513" i="3"/>
  <c r="M513" i="3"/>
  <c r="C513" i="3"/>
  <c r="B513" i="3"/>
  <c r="P512" i="3"/>
  <c r="O512" i="3"/>
  <c r="N512" i="3"/>
  <c r="M512" i="3"/>
  <c r="C512" i="3"/>
  <c r="B512" i="3"/>
  <c r="P511" i="3"/>
  <c r="O511" i="3"/>
  <c r="N511" i="3"/>
  <c r="M511" i="3"/>
  <c r="C511" i="3"/>
  <c r="B511" i="3"/>
  <c r="P510" i="3"/>
  <c r="O510" i="3"/>
  <c r="N510" i="3"/>
  <c r="M510" i="3"/>
  <c r="C510" i="3"/>
  <c r="B510" i="3"/>
  <c r="P509" i="3"/>
  <c r="O509" i="3"/>
  <c r="N509" i="3"/>
  <c r="M509" i="3"/>
  <c r="C509" i="3"/>
  <c r="B509" i="3"/>
  <c r="P508" i="3"/>
  <c r="O508" i="3"/>
  <c r="N508" i="3"/>
  <c r="M508" i="3"/>
  <c r="C508" i="3"/>
  <c r="B508" i="3"/>
  <c r="P507" i="3"/>
  <c r="O507" i="3"/>
  <c r="N507" i="3"/>
  <c r="M507" i="3"/>
  <c r="C507" i="3"/>
  <c r="B507" i="3"/>
  <c r="P506" i="3"/>
  <c r="O506" i="3"/>
  <c r="N506" i="3"/>
  <c r="M506" i="3"/>
  <c r="C506" i="3"/>
  <c r="B506" i="3"/>
  <c r="P505" i="3"/>
  <c r="O505" i="3"/>
  <c r="N505" i="3"/>
  <c r="M505" i="3"/>
  <c r="C505" i="3"/>
  <c r="B505" i="3"/>
  <c r="P504" i="3"/>
  <c r="O504" i="3"/>
  <c r="N504" i="3"/>
  <c r="M504" i="3"/>
  <c r="C504" i="3"/>
  <c r="B504" i="3"/>
  <c r="P503" i="3"/>
  <c r="O503" i="3"/>
  <c r="N503" i="3"/>
  <c r="M503" i="3"/>
  <c r="C503" i="3"/>
  <c r="B503" i="3"/>
  <c r="P502" i="3"/>
  <c r="O502" i="3"/>
  <c r="N502" i="3"/>
  <c r="M502" i="3"/>
  <c r="C502" i="3"/>
  <c r="B502" i="3"/>
  <c r="P501" i="3"/>
  <c r="O501" i="3"/>
  <c r="N501" i="3"/>
  <c r="M501" i="3"/>
  <c r="C501" i="3"/>
  <c r="B501" i="3"/>
  <c r="P500" i="3"/>
  <c r="O500" i="3"/>
  <c r="N500" i="3"/>
  <c r="M500" i="3"/>
  <c r="C500" i="3"/>
  <c r="B500" i="3"/>
  <c r="P499" i="3"/>
  <c r="O499" i="3"/>
  <c r="N499" i="3"/>
  <c r="M499" i="3"/>
  <c r="C499" i="3"/>
  <c r="B499" i="3"/>
  <c r="P498" i="3"/>
  <c r="O498" i="3"/>
  <c r="N498" i="3"/>
  <c r="M498" i="3"/>
  <c r="C498" i="3"/>
  <c r="B498" i="3"/>
  <c r="P497" i="3"/>
  <c r="O497" i="3"/>
  <c r="N497" i="3"/>
  <c r="M497" i="3"/>
  <c r="C497" i="3"/>
  <c r="B497" i="3"/>
  <c r="P496" i="3"/>
  <c r="O496" i="3"/>
  <c r="N496" i="3"/>
  <c r="M496" i="3"/>
  <c r="C496" i="3"/>
  <c r="B496" i="3"/>
  <c r="P495" i="3"/>
  <c r="O495" i="3"/>
  <c r="N495" i="3"/>
  <c r="M495" i="3"/>
  <c r="C495" i="3"/>
  <c r="B495" i="3"/>
  <c r="P494" i="3"/>
  <c r="O494" i="3"/>
  <c r="N494" i="3"/>
  <c r="M494" i="3"/>
  <c r="C494" i="3"/>
  <c r="B494" i="3"/>
  <c r="P493" i="3"/>
  <c r="O493" i="3"/>
  <c r="N493" i="3"/>
  <c r="M493" i="3"/>
  <c r="C493" i="3"/>
  <c r="B493" i="3"/>
  <c r="P492" i="3"/>
  <c r="O492" i="3"/>
  <c r="N492" i="3"/>
  <c r="M492" i="3"/>
  <c r="C492" i="3"/>
  <c r="B492" i="3"/>
  <c r="P491" i="3"/>
  <c r="O491" i="3"/>
  <c r="N491" i="3"/>
  <c r="M491" i="3"/>
  <c r="C491" i="3"/>
  <c r="B491" i="3"/>
  <c r="P490" i="3"/>
  <c r="O490" i="3"/>
  <c r="N490" i="3"/>
  <c r="M490" i="3"/>
  <c r="C490" i="3"/>
  <c r="B490" i="3"/>
  <c r="P489" i="3"/>
  <c r="O489" i="3"/>
  <c r="N489" i="3"/>
  <c r="M489" i="3"/>
  <c r="C489" i="3"/>
  <c r="B489" i="3"/>
  <c r="P488" i="3"/>
  <c r="O488" i="3"/>
  <c r="N488" i="3"/>
  <c r="M488" i="3"/>
  <c r="C488" i="3"/>
  <c r="B488" i="3"/>
  <c r="P487" i="3"/>
  <c r="O487" i="3"/>
  <c r="N487" i="3"/>
  <c r="M487" i="3"/>
  <c r="C487" i="3"/>
  <c r="B487" i="3"/>
  <c r="P486" i="3"/>
  <c r="O486" i="3"/>
  <c r="N486" i="3"/>
  <c r="M486" i="3"/>
  <c r="C486" i="3"/>
  <c r="B486" i="3"/>
  <c r="P485" i="3"/>
  <c r="O485" i="3"/>
  <c r="N485" i="3"/>
  <c r="M485" i="3"/>
  <c r="C485" i="3"/>
  <c r="B485" i="3"/>
  <c r="P484" i="3"/>
  <c r="O484" i="3"/>
  <c r="N484" i="3"/>
  <c r="M484" i="3"/>
  <c r="C484" i="3"/>
  <c r="B484" i="3"/>
  <c r="P483" i="3"/>
  <c r="O483" i="3"/>
  <c r="N483" i="3"/>
  <c r="M483" i="3"/>
  <c r="C483" i="3"/>
  <c r="B483" i="3"/>
  <c r="P482" i="3"/>
  <c r="O482" i="3"/>
  <c r="N482" i="3"/>
  <c r="M482" i="3"/>
  <c r="C482" i="3"/>
  <c r="B482" i="3"/>
  <c r="P481" i="3"/>
  <c r="O481" i="3"/>
  <c r="N481" i="3"/>
  <c r="M481" i="3"/>
  <c r="C481" i="3"/>
  <c r="B481" i="3"/>
  <c r="P480" i="3"/>
  <c r="O480" i="3"/>
  <c r="N480" i="3"/>
  <c r="M480" i="3"/>
  <c r="C480" i="3"/>
  <c r="B480" i="3"/>
  <c r="P479" i="3"/>
  <c r="O479" i="3"/>
  <c r="N479" i="3"/>
  <c r="M479" i="3"/>
  <c r="C479" i="3"/>
  <c r="B479" i="3"/>
  <c r="P478" i="3"/>
  <c r="O478" i="3"/>
  <c r="N478" i="3"/>
  <c r="M478" i="3"/>
  <c r="C478" i="3"/>
  <c r="B478" i="3"/>
  <c r="P477" i="3"/>
  <c r="O477" i="3"/>
  <c r="N477" i="3"/>
  <c r="M477" i="3"/>
  <c r="C477" i="3"/>
  <c r="B477" i="3"/>
  <c r="P476" i="3"/>
  <c r="O476" i="3"/>
  <c r="N476" i="3"/>
  <c r="M476" i="3"/>
  <c r="C476" i="3"/>
  <c r="B476" i="3"/>
  <c r="P475" i="3"/>
  <c r="O475" i="3"/>
  <c r="N475" i="3"/>
  <c r="M475" i="3"/>
  <c r="C475" i="3"/>
  <c r="B475" i="3"/>
  <c r="P474" i="3"/>
  <c r="O474" i="3"/>
  <c r="N474" i="3"/>
  <c r="M474" i="3"/>
  <c r="C474" i="3"/>
  <c r="B474" i="3"/>
  <c r="P473" i="3"/>
  <c r="O473" i="3"/>
  <c r="N473" i="3"/>
  <c r="M473" i="3"/>
  <c r="C473" i="3"/>
  <c r="B473" i="3"/>
  <c r="P472" i="3"/>
  <c r="O472" i="3"/>
  <c r="N472" i="3"/>
  <c r="M472" i="3"/>
  <c r="C472" i="3"/>
  <c r="B472" i="3"/>
  <c r="P471" i="3"/>
  <c r="O471" i="3"/>
  <c r="N471" i="3"/>
  <c r="M471" i="3"/>
  <c r="C471" i="3"/>
  <c r="B471" i="3"/>
  <c r="P470" i="3"/>
  <c r="O470" i="3"/>
  <c r="N470" i="3"/>
  <c r="M470" i="3"/>
  <c r="C470" i="3"/>
  <c r="B470" i="3"/>
  <c r="P469" i="3"/>
  <c r="O469" i="3"/>
  <c r="N469" i="3"/>
  <c r="M469" i="3"/>
  <c r="C469" i="3"/>
  <c r="B469" i="3"/>
  <c r="P468" i="3"/>
  <c r="O468" i="3"/>
  <c r="N468" i="3"/>
  <c r="M468" i="3"/>
  <c r="C468" i="3"/>
  <c r="B468" i="3"/>
  <c r="P467" i="3"/>
  <c r="O467" i="3"/>
  <c r="N467" i="3"/>
  <c r="M467" i="3"/>
  <c r="C467" i="3"/>
  <c r="B467" i="3"/>
  <c r="P466" i="3"/>
  <c r="O466" i="3"/>
  <c r="N466" i="3"/>
  <c r="M466" i="3"/>
  <c r="C466" i="3"/>
  <c r="B466" i="3"/>
  <c r="P465" i="3"/>
  <c r="O465" i="3"/>
  <c r="N465" i="3"/>
  <c r="M465" i="3"/>
  <c r="C465" i="3"/>
  <c r="B465" i="3"/>
  <c r="P464" i="3"/>
  <c r="O464" i="3"/>
  <c r="N464" i="3"/>
  <c r="M464" i="3"/>
  <c r="C464" i="3"/>
  <c r="B464" i="3"/>
  <c r="P463" i="3"/>
  <c r="O463" i="3"/>
  <c r="N463" i="3"/>
  <c r="M463" i="3"/>
  <c r="C463" i="3"/>
  <c r="B463" i="3"/>
  <c r="P462" i="3"/>
  <c r="O462" i="3"/>
  <c r="N462" i="3"/>
  <c r="M462" i="3"/>
  <c r="C462" i="3"/>
  <c r="B462" i="3"/>
  <c r="P461" i="3"/>
  <c r="O461" i="3"/>
  <c r="N461" i="3"/>
  <c r="M461" i="3"/>
  <c r="C461" i="3"/>
  <c r="B461" i="3"/>
  <c r="P460" i="3"/>
  <c r="O460" i="3"/>
  <c r="N460" i="3"/>
  <c r="M460" i="3"/>
  <c r="C460" i="3"/>
  <c r="B460" i="3"/>
  <c r="P459" i="3"/>
  <c r="O459" i="3"/>
  <c r="N459" i="3"/>
  <c r="M459" i="3"/>
  <c r="C459" i="3"/>
  <c r="B459" i="3"/>
  <c r="P458" i="3"/>
  <c r="O458" i="3"/>
  <c r="N458" i="3"/>
  <c r="M458" i="3"/>
  <c r="C458" i="3"/>
  <c r="B458" i="3"/>
  <c r="P457" i="3"/>
  <c r="O457" i="3"/>
  <c r="N457" i="3"/>
  <c r="M457" i="3"/>
  <c r="C457" i="3"/>
  <c r="B457" i="3"/>
  <c r="P456" i="3"/>
  <c r="O456" i="3"/>
  <c r="N456" i="3"/>
  <c r="M456" i="3"/>
  <c r="C456" i="3"/>
  <c r="B456" i="3"/>
  <c r="P455" i="3"/>
  <c r="O455" i="3"/>
  <c r="N455" i="3"/>
  <c r="M455" i="3"/>
  <c r="C455" i="3"/>
  <c r="B455" i="3"/>
  <c r="P454" i="3"/>
  <c r="O454" i="3"/>
  <c r="N454" i="3"/>
  <c r="M454" i="3"/>
  <c r="C454" i="3"/>
  <c r="B454" i="3"/>
  <c r="P453" i="3"/>
  <c r="O453" i="3"/>
  <c r="N453" i="3"/>
  <c r="M453" i="3"/>
  <c r="C453" i="3"/>
  <c r="B453" i="3"/>
  <c r="P452" i="3"/>
  <c r="O452" i="3"/>
  <c r="N452" i="3"/>
  <c r="M452" i="3"/>
  <c r="C452" i="3"/>
  <c r="B452" i="3"/>
  <c r="P451" i="3"/>
  <c r="O451" i="3"/>
  <c r="N451" i="3"/>
  <c r="M451" i="3"/>
  <c r="C451" i="3"/>
  <c r="B451" i="3"/>
  <c r="P450" i="3"/>
  <c r="O450" i="3"/>
  <c r="N450" i="3"/>
  <c r="M450" i="3"/>
  <c r="C450" i="3"/>
  <c r="B450" i="3"/>
  <c r="P449" i="3"/>
  <c r="O449" i="3"/>
  <c r="N449" i="3"/>
  <c r="M449" i="3"/>
  <c r="C449" i="3"/>
  <c r="B449" i="3"/>
  <c r="P448" i="3"/>
  <c r="O448" i="3"/>
  <c r="N448" i="3"/>
  <c r="M448" i="3"/>
  <c r="C448" i="3"/>
  <c r="B448" i="3"/>
  <c r="P447" i="3"/>
  <c r="O447" i="3"/>
  <c r="N447" i="3"/>
  <c r="M447" i="3"/>
  <c r="C447" i="3"/>
  <c r="B447" i="3"/>
  <c r="P446" i="3"/>
  <c r="O446" i="3"/>
  <c r="N446" i="3"/>
  <c r="M446" i="3"/>
  <c r="C446" i="3"/>
  <c r="B446" i="3"/>
  <c r="P445" i="3"/>
  <c r="O445" i="3"/>
  <c r="N445" i="3"/>
  <c r="M445" i="3"/>
  <c r="C445" i="3"/>
  <c r="B445" i="3"/>
  <c r="P444" i="3"/>
  <c r="O444" i="3"/>
  <c r="N444" i="3"/>
  <c r="M444" i="3"/>
  <c r="C444" i="3"/>
  <c r="B444" i="3"/>
  <c r="P443" i="3"/>
  <c r="O443" i="3"/>
  <c r="N443" i="3"/>
  <c r="M443" i="3"/>
  <c r="C443" i="3"/>
  <c r="B443" i="3"/>
  <c r="P442" i="3"/>
  <c r="O442" i="3"/>
  <c r="N442" i="3"/>
  <c r="M442" i="3"/>
  <c r="C442" i="3"/>
  <c r="B442" i="3"/>
  <c r="P441" i="3"/>
  <c r="O441" i="3"/>
  <c r="N441" i="3"/>
  <c r="M441" i="3"/>
  <c r="C441" i="3"/>
  <c r="B441" i="3"/>
  <c r="P440" i="3"/>
  <c r="O440" i="3"/>
  <c r="N440" i="3"/>
  <c r="M440" i="3"/>
  <c r="C440" i="3"/>
  <c r="B440" i="3"/>
  <c r="P439" i="3"/>
  <c r="O439" i="3"/>
  <c r="N439" i="3"/>
  <c r="M439" i="3"/>
  <c r="C439" i="3"/>
  <c r="B439" i="3"/>
  <c r="P438" i="3"/>
  <c r="O438" i="3"/>
  <c r="N438" i="3"/>
  <c r="M438" i="3"/>
  <c r="C438" i="3"/>
  <c r="B438" i="3"/>
  <c r="P437" i="3"/>
  <c r="O437" i="3"/>
  <c r="N437" i="3"/>
  <c r="M437" i="3"/>
  <c r="C437" i="3"/>
  <c r="B437" i="3"/>
  <c r="P436" i="3"/>
  <c r="O436" i="3"/>
  <c r="N436" i="3"/>
  <c r="M436" i="3"/>
  <c r="C436" i="3"/>
  <c r="B436" i="3"/>
  <c r="P435" i="3"/>
  <c r="O435" i="3"/>
  <c r="N435" i="3"/>
  <c r="M435" i="3"/>
  <c r="C435" i="3"/>
  <c r="B435" i="3"/>
  <c r="P434" i="3"/>
  <c r="O434" i="3"/>
  <c r="N434" i="3"/>
  <c r="M434" i="3"/>
  <c r="C434" i="3"/>
  <c r="B434" i="3"/>
  <c r="P433" i="3"/>
  <c r="O433" i="3"/>
  <c r="N433" i="3"/>
  <c r="M433" i="3"/>
  <c r="C433" i="3"/>
  <c r="B433" i="3"/>
  <c r="P432" i="3"/>
  <c r="O432" i="3"/>
  <c r="N432" i="3"/>
  <c r="M432" i="3"/>
  <c r="C432" i="3"/>
  <c r="B432" i="3"/>
  <c r="P431" i="3"/>
  <c r="O431" i="3"/>
  <c r="N431" i="3"/>
  <c r="M431" i="3"/>
  <c r="C431" i="3"/>
  <c r="B431" i="3"/>
  <c r="P430" i="3"/>
  <c r="O430" i="3"/>
  <c r="N430" i="3"/>
  <c r="M430" i="3"/>
  <c r="C430" i="3"/>
  <c r="B430" i="3"/>
  <c r="P429" i="3"/>
  <c r="O429" i="3"/>
  <c r="N429" i="3"/>
  <c r="M429" i="3"/>
  <c r="C429" i="3"/>
  <c r="B429" i="3"/>
  <c r="P428" i="3"/>
  <c r="O428" i="3"/>
  <c r="N428" i="3"/>
  <c r="M428" i="3"/>
  <c r="C428" i="3"/>
  <c r="B428" i="3"/>
  <c r="P427" i="3"/>
  <c r="O427" i="3"/>
  <c r="N427" i="3"/>
  <c r="M427" i="3"/>
  <c r="C427" i="3"/>
  <c r="B427" i="3"/>
  <c r="P426" i="3"/>
  <c r="O426" i="3"/>
  <c r="N426" i="3"/>
  <c r="M426" i="3"/>
  <c r="C426" i="3"/>
  <c r="B426" i="3"/>
  <c r="P425" i="3"/>
  <c r="O425" i="3"/>
  <c r="N425" i="3"/>
  <c r="M425" i="3"/>
  <c r="C425" i="3"/>
  <c r="B425" i="3"/>
  <c r="P424" i="3"/>
  <c r="O424" i="3"/>
  <c r="N424" i="3"/>
  <c r="M424" i="3"/>
  <c r="C424" i="3"/>
  <c r="B424" i="3"/>
  <c r="P423" i="3"/>
  <c r="O423" i="3"/>
  <c r="N423" i="3"/>
  <c r="M423" i="3"/>
  <c r="C423" i="3"/>
  <c r="B423" i="3"/>
  <c r="P422" i="3"/>
  <c r="O422" i="3"/>
  <c r="N422" i="3"/>
  <c r="M422" i="3"/>
  <c r="C422" i="3"/>
  <c r="B422" i="3"/>
  <c r="P421" i="3"/>
  <c r="O421" i="3"/>
  <c r="N421" i="3"/>
  <c r="M421" i="3"/>
  <c r="C421" i="3"/>
  <c r="B421" i="3"/>
  <c r="P420" i="3"/>
  <c r="O420" i="3"/>
  <c r="N420" i="3"/>
  <c r="M420" i="3"/>
  <c r="C420" i="3"/>
  <c r="B420" i="3"/>
  <c r="P419" i="3"/>
  <c r="O419" i="3"/>
  <c r="N419" i="3"/>
  <c r="M419" i="3"/>
  <c r="C419" i="3"/>
  <c r="B419" i="3"/>
  <c r="P418" i="3"/>
  <c r="O418" i="3"/>
  <c r="N418" i="3"/>
  <c r="M418" i="3"/>
  <c r="C418" i="3"/>
  <c r="B418" i="3"/>
  <c r="P417" i="3"/>
  <c r="O417" i="3"/>
  <c r="N417" i="3"/>
  <c r="M417" i="3"/>
  <c r="C417" i="3"/>
  <c r="B417" i="3"/>
  <c r="P416" i="3"/>
  <c r="O416" i="3"/>
  <c r="N416" i="3"/>
  <c r="M416" i="3"/>
  <c r="C416" i="3"/>
  <c r="B416" i="3"/>
  <c r="P415" i="3"/>
  <c r="O415" i="3"/>
  <c r="N415" i="3"/>
  <c r="M415" i="3"/>
  <c r="C415" i="3"/>
  <c r="B415" i="3"/>
  <c r="P414" i="3"/>
  <c r="O414" i="3"/>
  <c r="N414" i="3"/>
  <c r="M414" i="3"/>
  <c r="C414" i="3"/>
  <c r="B414" i="3"/>
  <c r="P413" i="3"/>
  <c r="O413" i="3"/>
  <c r="N413" i="3"/>
  <c r="M413" i="3"/>
  <c r="C413" i="3"/>
  <c r="B413" i="3"/>
  <c r="P412" i="3"/>
  <c r="O412" i="3"/>
  <c r="N412" i="3"/>
  <c r="M412" i="3"/>
  <c r="C412" i="3"/>
  <c r="B412" i="3"/>
  <c r="P411" i="3"/>
  <c r="O411" i="3"/>
  <c r="N411" i="3"/>
  <c r="M411" i="3"/>
  <c r="C411" i="3"/>
  <c r="B411" i="3"/>
  <c r="P410" i="3"/>
  <c r="O410" i="3"/>
  <c r="N410" i="3"/>
  <c r="M410" i="3"/>
  <c r="C410" i="3"/>
  <c r="B410" i="3"/>
  <c r="P409" i="3"/>
  <c r="O409" i="3"/>
  <c r="N409" i="3"/>
  <c r="M409" i="3"/>
  <c r="C409" i="3"/>
  <c r="B409" i="3"/>
  <c r="P408" i="3"/>
  <c r="O408" i="3"/>
  <c r="N408" i="3"/>
  <c r="M408" i="3"/>
  <c r="C408" i="3"/>
  <c r="B408" i="3"/>
  <c r="P407" i="3"/>
  <c r="O407" i="3"/>
  <c r="N407" i="3"/>
  <c r="M407" i="3"/>
  <c r="C407" i="3"/>
  <c r="B407" i="3"/>
  <c r="P406" i="3"/>
  <c r="O406" i="3"/>
  <c r="N406" i="3"/>
  <c r="M406" i="3"/>
  <c r="C406" i="3"/>
  <c r="B406" i="3"/>
  <c r="P405" i="3"/>
  <c r="O405" i="3"/>
  <c r="N405" i="3"/>
  <c r="M405" i="3"/>
  <c r="C405" i="3"/>
  <c r="B405" i="3"/>
  <c r="P404" i="3"/>
  <c r="O404" i="3"/>
  <c r="N404" i="3"/>
  <c r="M404" i="3"/>
  <c r="C404" i="3"/>
  <c r="B404" i="3"/>
  <c r="P403" i="3"/>
  <c r="O403" i="3"/>
  <c r="N403" i="3"/>
  <c r="M403" i="3"/>
  <c r="C403" i="3"/>
  <c r="B403" i="3"/>
  <c r="P402" i="3"/>
  <c r="O402" i="3"/>
  <c r="N402" i="3"/>
  <c r="M402" i="3"/>
  <c r="C402" i="3"/>
  <c r="B402" i="3"/>
  <c r="P401" i="3"/>
  <c r="O401" i="3"/>
  <c r="N401" i="3"/>
  <c r="M401" i="3"/>
  <c r="C401" i="3"/>
  <c r="B401" i="3"/>
  <c r="P400" i="3"/>
  <c r="O400" i="3"/>
  <c r="N400" i="3"/>
  <c r="M400" i="3"/>
  <c r="C400" i="3"/>
  <c r="B400" i="3"/>
  <c r="P399" i="3"/>
  <c r="O399" i="3"/>
  <c r="N399" i="3"/>
  <c r="M399" i="3"/>
  <c r="C399" i="3"/>
  <c r="B399" i="3"/>
  <c r="P398" i="3"/>
  <c r="O398" i="3"/>
  <c r="N398" i="3"/>
  <c r="M398" i="3"/>
  <c r="C398" i="3"/>
  <c r="B398" i="3"/>
  <c r="P397" i="3"/>
  <c r="O397" i="3"/>
  <c r="N397" i="3"/>
  <c r="M397" i="3"/>
  <c r="C397" i="3"/>
  <c r="B397" i="3"/>
  <c r="P396" i="3"/>
  <c r="O396" i="3"/>
  <c r="N396" i="3"/>
  <c r="M396" i="3"/>
  <c r="C396" i="3"/>
  <c r="B396" i="3"/>
  <c r="P395" i="3"/>
  <c r="O395" i="3"/>
  <c r="N395" i="3"/>
  <c r="M395" i="3"/>
  <c r="C395" i="3"/>
  <c r="B395" i="3"/>
  <c r="P394" i="3"/>
  <c r="O394" i="3"/>
  <c r="N394" i="3"/>
  <c r="M394" i="3"/>
  <c r="C394" i="3"/>
  <c r="B394" i="3"/>
  <c r="P393" i="3"/>
  <c r="O393" i="3"/>
  <c r="N393" i="3"/>
  <c r="M393" i="3"/>
  <c r="C393" i="3"/>
  <c r="B393" i="3"/>
  <c r="P392" i="3"/>
  <c r="O392" i="3"/>
  <c r="N392" i="3"/>
  <c r="M392" i="3"/>
  <c r="C392" i="3"/>
  <c r="B392" i="3"/>
  <c r="P391" i="3"/>
  <c r="O391" i="3"/>
  <c r="N391" i="3"/>
  <c r="M391" i="3"/>
  <c r="C391" i="3"/>
  <c r="B391" i="3"/>
  <c r="P390" i="3"/>
  <c r="O390" i="3"/>
  <c r="N390" i="3"/>
  <c r="M390" i="3"/>
  <c r="C390" i="3"/>
  <c r="B390" i="3"/>
  <c r="P389" i="3"/>
  <c r="O389" i="3"/>
  <c r="N389" i="3"/>
  <c r="M389" i="3"/>
  <c r="C389" i="3"/>
  <c r="B389" i="3"/>
  <c r="P388" i="3"/>
  <c r="O388" i="3"/>
  <c r="N388" i="3"/>
  <c r="M388" i="3"/>
  <c r="C388" i="3"/>
  <c r="B388" i="3"/>
  <c r="P387" i="3"/>
  <c r="O387" i="3"/>
  <c r="N387" i="3"/>
  <c r="M387" i="3"/>
  <c r="C387" i="3"/>
  <c r="B387" i="3"/>
  <c r="P386" i="3"/>
  <c r="O386" i="3"/>
  <c r="N386" i="3"/>
  <c r="M386" i="3"/>
  <c r="C386" i="3"/>
  <c r="B386" i="3"/>
  <c r="P385" i="3"/>
  <c r="O385" i="3"/>
  <c r="N385" i="3"/>
  <c r="M385" i="3"/>
  <c r="C385" i="3"/>
  <c r="B385" i="3"/>
  <c r="P384" i="3"/>
  <c r="O384" i="3"/>
  <c r="N384" i="3"/>
  <c r="M384" i="3"/>
  <c r="C384" i="3"/>
  <c r="B384" i="3"/>
  <c r="P383" i="3"/>
  <c r="O383" i="3"/>
  <c r="N383" i="3"/>
  <c r="M383" i="3"/>
  <c r="C383" i="3"/>
  <c r="B383" i="3"/>
  <c r="P382" i="3"/>
  <c r="O382" i="3"/>
  <c r="N382" i="3"/>
  <c r="M382" i="3"/>
  <c r="C382" i="3"/>
  <c r="B382" i="3"/>
  <c r="P381" i="3"/>
  <c r="O381" i="3"/>
  <c r="N381" i="3"/>
  <c r="M381" i="3"/>
  <c r="C381" i="3"/>
  <c r="B381" i="3"/>
  <c r="P380" i="3"/>
  <c r="O380" i="3"/>
  <c r="N380" i="3"/>
  <c r="M380" i="3"/>
  <c r="C380" i="3"/>
  <c r="B380" i="3"/>
  <c r="P379" i="3"/>
  <c r="O379" i="3"/>
  <c r="N379" i="3"/>
  <c r="M379" i="3"/>
  <c r="C379" i="3"/>
  <c r="B379" i="3"/>
  <c r="P378" i="3"/>
  <c r="O378" i="3"/>
  <c r="N378" i="3"/>
  <c r="M378" i="3"/>
  <c r="C378" i="3"/>
  <c r="B378" i="3"/>
  <c r="P377" i="3"/>
  <c r="O377" i="3"/>
  <c r="N377" i="3"/>
  <c r="M377" i="3"/>
  <c r="C377" i="3"/>
  <c r="B377" i="3"/>
  <c r="P376" i="3"/>
  <c r="O376" i="3"/>
  <c r="N376" i="3"/>
  <c r="M376" i="3"/>
  <c r="C376" i="3"/>
  <c r="B376" i="3"/>
  <c r="P375" i="3"/>
  <c r="O375" i="3"/>
  <c r="N375" i="3"/>
  <c r="M375" i="3"/>
  <c r="C375" i="3"/>
  <c r="B375" i="3"/>
  <c r="P374" i="3"/>
  <c r="O374" i="3"/>
  <c r="N374" i="3"/>
  <c r="M374" i="3"/>
  <c r="C374" i="3"/>
  <c r="B374" i="3"/>
  <c r="P373" i="3"/>
  <c r="O373" i="3"/>
  <c r="N373" i="3"/>
  <c r="M373" i="3"/>
  <c r="C373" i="3"/>
  <c r="B373" i="3"/>
  <c r="P372" i="3"/>
  <c r="O372" i="3"/>
  <c r="N372" i="3"/>
  <c r="M372" i="3"/>
  <c r="C372" i="3"/>
  <c r="B372" i="3"/>
  <c r="P371" i="3"/>
  <c r="O371" i="3"/>
  <c r="N371" i="3"/>
  <c r="M371" i="3"/>
  <c r="C371" i="3"/>
  <c r="B371" i="3"/>
  <c r="P370" i="3"/>
  <c r="O370" i="3"/>
  <c r="N370" i="3"/>
  <c r="M370" i="3"/>
  <c r="C370" i="3"/>
  <c r="B370" i="3"/>
  <c r="P369" i="3"/>
  <c r="O369" i="3"/>
  <c r="N369" i="3"/>
  <c r="M369" i="3"/>
  <c r="C369" i="3"/>
  <c r="B369" i="3"/>
  <c r="P368" i="3"/>
  <c r="O368" i="3"/>
  <c r="N368" i="3"/>
  <c r="M368" i="3"/>
  <c r="C368" i="3"/>
  <c r="B368" i="3"/>
  <c r="P367" i="3"/>
  <c r="O367" i="3"/>
  <c r="N367" i="3"/>
  <c r="M367" i="3"/>
  <c r="C367" i="3"/>
  <c r="B367" i="3"/>
  <c r="P366" i="3"/>
  <c r="O366" i="3"/>
  <c r="N366" i="3"/>
  <c r="M366" i="3"/>
  <c r="C366" i="3"/>
  <c r="B366" i="3"/>
  <c r="P365" i="3"/>
  <c r="O365" i="3"/>
  <c r="N365" i="3"/>
  <c r="M365" i="3"/>
  <c r="C365" i="3"/>
  <c r="B365" i="3"/>
  <c r="P364" i="3"/>
  <c r="O364" i="3"/>
  <c r="N364" i="3"/>
  <c r="M364" i="3"/>
  <c r="C364" i="3"/>
  <c r="B364" i="3"/>
  <c r="P363" i="3"/>
  <c r="O363" i="3"/>
  <c r="N363" i="3"/>
  <c r="M363" i="3"/>
  <c r="C363" i="3"/>
  <c r="B363" i="3"/>
  <c r="P362" i="3"/>
  <c r="O362" i="3"/>
  <c r="N362" i="3"/>
  <c r="M362" i="3"/>
  <c r="C362" i="3"/>
  <c r="B362" i="3"/>
  <c r="P361" i="3"/>
  <c r="O361" i="3"/>
  <c r="N361" i="3"/>
  <c r="M361" i="3"/>
  <c r="C361" i="3"/>
  <c r="B361" i="3"/>
  <c r="P360" i="3"/>
  <c r="O360" i="3"/>
  <c r="N360" i="3"/>
  <c r="M360" i="3"/>
  <c r="C360" i="3"/>
  <c r="B360" i="3"/>
  <c r="P359" i="3"/>
  <c r="O359" i="3"/>
  <c r="N359" i="3"/>
  <c r="M359" i="3"/>
  <c r="C359" i="3"/>
  <c r="B359" i="3"/>
  <c r="P358" i="3"/>
  <c r="O358" i="3"/>
  <c r="N358" i="3"/>
  <c r="M358" i="3"/>
  <c r="C358" i="3"/>
  <c r="B358" i="3"/>
  <c r="P357" i="3"/>
  <c r="O357" i="3"/>
  <c r="N357" i="3"/>
  <c r="M357" i="3"/>
  <c r="C357" i="3"/>
  <c r="B357" i="3"/>
  <c r="P356" i="3"/>
  <c r="O356" i="3"/>
  <c r="N356" i="3"/>
  <c r="M356" i="3"/>
  <c r="C356" i="3"/>
  <c r="B356" i="3"/>
  <c r="P355" i="3"/>
  <c r="O355" i="3"/>
  <c r="N355" i="3"/>
  <c r="M355" i="3"/>
  <c r="C355" i="3"/>
  <c r="B355" i="3"/>
  <c r="P354" i="3"/>
  <c r="O354" i="3"/>
  <c r="N354" i="3"/>
  <c r="M354" i="3"/>
  <c r="C354" i="3"/>
  <c r="B354" i="3"/>
  <c r="P353" i="3"/>
  <c r="O353" i="3"/>
  <c r="N353" i="3"/>
  <c r="M353" i="3"/>
  <c r="C353" i="3"/>
  <c r="B353" i="3"/>
  <c r="P352" i="3"/>
  <c r="O352" i="3"/>
  <c r="N352" i="3"/>
  <c r="M352" i="3"/>
  <c r="C352" i="3"/>
  <c r="B352" i="3"/>
  <c r="P351" i="3"/>
  <c r="O351" i="3"/>
  <c r="N351" i="3"/>
  <c r="M351" i="3"/>
  <c r="C351" i="3"/>
  <c r="B351" i="3"/>
  <c r="P350" i="3"/>
  <c r="O350" i="3"/>
  <c r="N350" i="3"/>
  <c r="M350" i="3"/>
  <c r="C350" i="3"/>
  <c r="B350" i="3"/>
  <c r="P349" i="3"/>
  <c r="O349" i="3"/>
  <c r="N349" i="3"/>
  <c r="M349" i="3"/>
  <c r="C349" i="3"/>
  <c r="B349" i="3"/>
  <c r="P348" i="3"/>
  <c r="O348" i="3"/>
  <c r="N348" i="3"/>
  <c r="M348" i="3"/>
  <c r="C348" i="3"/>
  <c r="B348" i="3"/>
  <c r="P347" i="3"/>
  <c r="O347" i="3"/>
  <c r="N347" i="3"/>
  <c r="M347" i="3"/>
  <c r="C347" i="3"/>
  <c r="B347" i="3"/>
  <c r="P346" i="3"/>
  <c r="O346" i="3"/>
  <c r="N346" i="3"/>
  <c r="M346" i="3"/>
  <c r="C346" i="3"/>
  <c r="B346" i="3"/>
  <c r="P345" i="3"/>
  <c r="O345" i="3"/>
  <c r="N345" i="3"/>
  <c r="M345" i="3"/>
  <c r="C345" i="3"/>
  <c r="B345" i="3"/>
  <c r="P344" i="3"/>
  <c r="O344" i="3"/>
  <c r="N344" i="3"/>
  <c r="M344" i="3"/>
  <c r="C344" i="3"/>
  <c r="B344" i="3"/>
  <c r="P343" i="3"/>
  <c r="O343" i="3"/>
  <c r="N343" i="3"/>
  <c r="M343" i="3"/>
  <c r="C343" i="3"/>
  <c r="B343" i="3"/>
  <c r="P342" i="3"/>
  <c r="O342" i="3"/>
  <c r="N342" i="3"/>
  <c r="M342" i="3"/>
  <c r="C342" i="3"/>
  <c r="B342" i="3"/>
  <c r="P341" i="3"/>
  <c r="O341" i="3"/>
  <c r="N341" i="3"/>
  <c r="M341" i="3"/>
  <c r="C341" i="3"/>
  <c r="B341" i="3"/>
  <c r="P340" i="3"/>
  <c r="O340" i="3"/>
  <c r="N340" i="3"/>
  <c r="M340" i="3"/>
  <c r="C340" i="3"/>
  <c r="B340" i="3"/>
  <c r="P339" i="3"/>
  <c r="O339" i="3"/>
  <c r="N339" i="3"/>
  <c r="M339" i="3"/>
  <c r="C339" i="3"/>
  <c r="B339" i="3"/>
  <c r="P338" i="3"/>
  <c r="O338" i="3"/>
  <c r="N338" i="3"/>
  <c r="M338" i="3"/>
  <c r="C338" i="3"/>
  <c r="B338" i="3"/>
  <c r="P337" i="3"/>
  <c r="O337" i="3"/>
  <c r="N337" i="3"/>
  <c r="M337" i="3"/>
  <c r="C337" i="3"/>
  <c r="B337" i="3"/>
  <c r="P336" i="3"/>
  <c r="O336" i="3"/>
  <c r="N336" i="3"/>
  <c r="M336" i="3"/>
  <c r="C336" i="3"/>
  <c r="B336" i="3"/>
  <c r="P335" i="3"/>
  <c r="O335" i="3"/>
  <c r="N335" i="3"/>
  <c r="M335" i="3"/>
  <c r="C335" i="3"/>
  <c r="B335" i="3"/>
  <c r="P334" i="3"/>
  <c r="O334" i="3"/>
  <c r="N334" i="3"/>
  <c r="M334" i="3"/>
  <c r="C334" i="3"/>
  <c r="B334" i="3"/>
  <c r="P333" i="3"/>
  <c r="O333" i="3"/>
  <c r="N333" i="3"/>
  <c r="M333" i="3"/>
  <c r="C333" i="3"/>
  <c r="B333" i="3"/>
  <c r="P332" i="3"/>
  <c r="O332" i="3"/>
  <c r="N332" i="3"/>
  <c r="M332" i="3"/>
  <c r="C332" i="3"/>
  <c r="B332" i="3"/>
  <c r="P331" i="3"/>
  <c r="O331" i="3"/>
  <c r="N331" i="3"/>
  <c r="M331" i="3"/>
  <c r="C331" i="3"/>
  <c r="B331" i="3"/>
  <c r="P330" i="3"/>
  <c r="O330" i="3"/>
  <c r="N330" i="3"/>
  <c r="M330" i="3"/>
  <c r="C330" i="3"/>
  <c r="B330" i="3"/>
  <c r="P329" i="3"/>
  <c r="O329" i="3"/>
  <c r="N329" i="3"/>
  <c r="M329" i="3"/>
  <c r="C329" i="3"/>
  <c r="B329" i="3"/>
  <c r="P328" i="3"/>
  <c r="O328" i="3"/>
  <c r="N328" i="3"/>
  <c r="M328" i="3"/>
  <c r="C328" i="3"/>
  <c r="B328" i="3"/>
  <c r="P327" i="3"/>
  <c r="O327" i="3"/>
  <c r="N327" i="3"/>
  <c r="M327" i="3"/>
  <c r="C327" i="3"/>
  <c r="B327" i="3"/>
  <c r="P326" i="3"/>
  <c r="O326" i="3"/>
  <c r="N326" i="3"/>
  <c r="M326" i="3"/>
  <c r="C326" i="3"/>
  <c r="B326" i="3"/>
  <c r="P325" i="3"/>
  <c r="O325" i="3"/>
  <c r="N325" i="3"/>
  <c r="M325" i="3"/>
  <c r="C325" i="3"/>
  <c r="B325" i="3"/>
  <c r="P324" i="3"/>
  <c r="O324" i="3"/>
  <c r="N324" i="3"/>
  <c r="M324" i="3"/>
  <c r="C324" i="3"/>
  <c r="B324" i="3"/>
  <c r="P323" i="3"/>
  <c r="O323" i="3"/>
  <c r="N323" i="3"/>
  <c r="M323" i="3"/>
  <c r="C323" i="3"/>
  <c r="B323" i="3"/>
  <c r="P322" i="3"/>
  <c r="O322" i="3"/>
  <c r="N322" i="3"/>
  <c r="M322" i="3"/>
  <c r="C322" i="3"/>
  <c r="B322" i="3"/>
  <c r="P321" i="3"/>
  <c r="O321" i="3"/>
  <c r="N321" i="3"/>
  <c r="M321" i="3"/>
  <c r="C321" i="3"/>
  <c r="B321" i="3"/>
  <c r="P320" i="3"/>
  <c r="O320" i="3"/>
  <c r="N320" i="3"/>
  <c r="M320" i="3"/>
  <c r="C320" i="3"/>
  <c r="B320" i="3"/>
  <c r="P319" i="3"/>
  <c r="O319" i="3"/>
  <c r="N319" i="3"/>
  <c r="M319" i="3"/>
  <c r="C319" i="3"/>
  <c r="B319" i="3"/>
  <c r="P318" i="3"/>
  <c r="O318" i="3"/>
  <c r="N318" i="3"/>
  <c r="M318" i="3"/>
  <c r="C318" i="3"/>
  <c r="B318" i="3"/>
  <c r="P317" i="3"/>
  <c r="O317" i="3"/>
  <c r="N317" i="3"/>
  <c r="M317" i="3"/>
  <c r="C317" i="3"/>
  <c r="B317" i="3"/>
  <c r="P316" i="3"/>
  <c r="O316" i="3"/>
  <c r="N316" i="3"/>
  <c r="M316" i="3"/>
  <c r="C316" i="3"/>
  <c r="B316" i="3"/>
  <c r="P315" i="3"/>
  <c r="O315" i="3"/>
  <c r="N315" i="3"/>
  <c r="M315" i="3"/>
  <c r="C315" i="3"/>
  <c r="B315" i="3"/>
  <c r="P314" i="3"/>
  <c r="O314" i="3"/>
  <c r="N314" i="3"/>
  <c r="M314" i="3"/>
  <c r="C314" i="3"/>
  <c r="B314" i="3"/>
  <c r="P313" i="3"/>
  <c r="O313" i="3"/>
  <c r="N313" i="3"/>
  <c r="M313" i="3"/>
  <c r="C313" i="3"/>
  <c r="B313" i="3"/>
  <c r="P312" i="3"/>
  <c r="O312" i="3"/>
  <c r="N312" i="3"/>
  <c r="M312" i="3"/>
  <c r="C312" i="3"/>
  <c r="B312" i="3"/>
  <c r="P311" i="3"/>
  <c r="O311" i="3"/>
  <c r="N311" i="3"/>
  <c r="M311" i="3"/>
  <c r="C311" i="3"/>
  <c r="B311" i="3"/>
  <c r="P310" i="3"/>
  <c r="O310" i="3"/>
  <c r="N310" i="3"/>
  <c r="M310" i="3"/>
  <c r="C310" i="3"/>
  <c r="B310" i="3"/>
  <c r="P309" i="3"/>
  <c r="O309" i="3"/>
  <c r="N309" i="3"/>
  <c r="M309" i="3"/>
  <c r="C309" i="3"/>
  <c r="B309" i="3"/>
  <c r="P308" i="3"/>
  <c r="O308" i="3"/>
  <c r="N308" i="3"/>
  <c r="M308" i="3"/>
  <c r="C308" i="3"/>
  <c r="B308" i="3"/>
  <c r="P307" i="3"/>
  <c r="O307" i="3"/>
  <c r="N307" i="3"/>
  <c r="M307" i="3"/>
  <c r="C307" i="3"/>
  <c r="B307" i="3"/>
  <c r="P306" i="3"/>
  <c r="O306" i="3"/>
  <c r="N306" i="3"/>
  <c r="M306" i="3"/>
  <c r="C306" i="3"/>
  <c r="B306" i="3"/>
  <c r="P305" i="3"/>
  <c r="O305" i="3"/>
  <c r="N305" i="3"/>
  <c r="M305" i="3"/>
  <c r="C305" i="3"/>
  <c r="B305" i="3"/>
  <c r="P304" i="3"/>
  <c r="O304" i="3"/>
  <c r="N304" i="3"/>
  <c r="M304" i="3"/>
  <c r="C304" i="3"/>
  <c r="B304" i="3"/>
  <c r="P303" i="3"/>
  <c r="O303" i="3"/>
  <c r="N303" i="3"/>
  <c r="M303" i="3"/>
  <c r="C303" i="3"/>
  <c r="B303" i="3"/>
  <c r="P302" i="3"/>
  <c r="O302" i="3"/>
  <c r="N302" i="3"/>
  <c r="M302" i="3"/>
  <c r="C302" i="3"/>
  <c r="B302" i="3"/>
  <c r="P301" i="3"/>
  <c r="O301" i="3"/>
  <c r="N301" i="3"/>
  <c r="M301" i="3"/>
  <c r="C301" i="3"/>
  <c r="B301" i="3"/>
  <c r="P300" i="3"/>
  <c r="O300" i="3"/>
  <c r="N300" i="3"/>
  <c r="M300" i="3"/>
  <c r="C300" i="3"/>
  <c r="B300" i="3"/>
  <c r="P299" i="3"/>
  <c r="O299" i="3"/>
  <c r="N299" i="3"/>
  <c r="M299" i="3"/>
  <c r="C299" i="3"/>
  <c r="B299" i="3"/>
  <c r="P298" i="3"/>
  <c r="O298" i="3"/>
  <c r="N298" i="3"/>
  <c r="M298" i="3"/>
  <c r="C298" i="3"/>
  <c r="B298" i="3"/>
  <c r="P297" i="3"/>
  <c r="O297" i="3"/>
  <c r="N297" i="3"/>
  <c r="M297" i="3"/>
  <c r="C297" i="3"/>
  <c r="B297" i="3"/>
  <c r="P296" i="3"/>
  <c r="O296" i="3"/>
  <c r="N296" i="3"/>
  <c r="M296" i="3"/>
  <c r="C296" i="3"/>
  <c r="B296" i="3"/>
  <c r="P295" i="3"/>
  <c r="O295" i="3"/>
  <c r="N295" i="3"/>
  <c r="M295" i="3"/>
  <c r="C295" i="3"/>
  <c r="B295" i="3"/>
  <c r="P294" i="3"/>
  <c r="O294" i="3"/>
  <c r="N294" i="3"/>
  <c r="M294" i="3"/>
  <c r="C294" i="3"/>
  <c r="B294" i="3"/>
  <c r="P293" i="3"/>
  <c r="O293" i="3"/>
  <c r="N293" i="3"/>
  <c r="M293" i="3"/>
  <c r="C293" i="3"/>
  <c r="B293" i="3"/>
  <c r="P292" i="3"/>
  <c r="O292" i="3"/>
  <c r="N292" i="3"/>
  <c r="M292" i="3"/>
  <c r="C292" i="3"/>
  <c r="B292" i="3"/>
  <c r="P291" i="3"/>
  <c r="O291" i="3"/>
  <c r="N291" i="3"/>
  <c r="M291" i="3"/>
  <c r="C291" i="3"/>
  <c r="B291" i="3"/>
  <c r="P290" i="3"/>
  <c r="O290" i="3"/>
  <c r="N290" i="3"/>
  <c r="M290" i="3"/>
  <c r="C290" i="3"/>
  <c r="B290" i="3"/>
  <c r="P289" i="3"/>
  <c r="O289" i="3"/>
  <c r="N289" i="3"/>
  <c r="M289" i="3"/>
  <c r="C289" i="3"/>
  <c r="B289" i="3"/>
  <c r="P288" i="3"/>
  <c r="O288" i="3"/>
  <c r="N288" i="3"/>
  <c r="M288" i="3"/>
  <c r="C288" i="3"/>
  <c r="B288" i="3"/>
  <c r="P287" i="3"/>
  <c r="O287" i="3"/>
  <c r="N287" i="3"/>
  <c r="M287" i="3"/>
  <c r="C287" i="3"/>
  <c r="B287" i="3"/>
  <c r="P286" i="3"/>
  <c r="O286" i="3"/>
  <c r="N286" i="3"/>
  <c r="M286" i="3"/>
  <c r="C286" i="3"/>
  <c r="B286" i="3"/>
  <c r="P285" i="3"/>
  <c r="O285" i="3"/>
  <c r="N285" i="3"/>
  <c r="M285" i="3"/>
  <c r="C285" i="3"/>
  <c r="B285" i="3"/>
  <c r="P284" i="3"/>
  <c r="O284" i="3"/>
  <c r="N284" i="3"/>
  <c r="M284" i="3"/>
  <c r="C284" i="3"/>
  <c r="B284" i="3"/>
  <c r="P283" i="3"/>
  <c r="O283" i="3"/>
  <c r="N283" i="3"/>
  <c r="M283" i="3"/>
  <c r="C283" i="3"/>
  <c r="B283" i="3"/>
  <c r="P282" i="3"/>
  <c r="O282" i="3"/>
  <c r="N282" i="3"/>
  <c r="M282" i="3"/>
  <c r="C282" i="3"/>
  <c r="B282" i="3"/>
  <c r="P281" i="3"/>
  <c r="O281" i="3"/>
  <c r="N281" i="3"/>
  <c r="M281" i="3"/>
  <c r="C281" i="3"/>
  <c r="B281" i="3"/>
  <c r="P280" i="3"/>
  <c r="O280" i="3"/>
  <c r="N280" i="3"/>
  <c r="M280" i="3"/>
  <c r="C280" i="3"/>
  <c r="B280" i="3"/>
  <c r="P279" i="3"/>
  <c r="O279" i="3"/>
  <c r="N279" i="3"/>
  <c r="M279" i="3"/>
  <c r="C279" i="3"/>
  <c r="B279" i="3"/>
  <c r="P278" i="3"/>
  <c r="O278" i="3"/>
  <c r="N278" i="3"/>
  <c r="M278" i="3"/>
  <c r="C278" i="3"/>
  <c r="B278" i="3"/>
  <c r="P277" i="3"/>
  <c r="O277" i="3"/>
  <c r="N277" i="3"/>
  <c r="M277" i="3"/>
  <c r="C277" i="3"/>
  <c r="B277" i="3"/>
  <c r="P276" i="3"/>
  <c r="O276" i="3"/>
  <c r="N276" i="3"/>
  <c r="M276" i="3"/>
  <c r="C276" i="3"/>
  <c r="B276" i="3"/>
  <c r="P275" i="3"/>
  <c r="O275" i="3"/>
  <c r="N275" i="3"/>
  <c r="M275" i="3"/>
  <c r="C275" i="3"/>
  <c r="B275" i="3"/>
  <c r="P274" i="3"/>
  <c r="O274" i="3"/>
  <c r="N274" i="3"/>
  <c r="M274" i="3"/>
  <c r="C274" i="3"/>
  <c r="B274" i="3"/>
  <c r="P273" i="3"/>
  <c r="O273" i="3"/>
  <c r="N273" i="3"/>
  <c r="M273" i="3"/>
  <c r="C273" i="3"/>
  <c r="B273" i="3"/>
  <c r="P272" i="3"/>
  <c r="O272" i="3"/>
  <c r="N272" i="3"/>
  <c r="M272" i="3"/>
  <c r="C272" i="3"/>
  <c r="B272" i="3"/>
  <c r="P271" i="3"/>
  <c r="O271" i="3"/>
  <c r="N271" i="3"/>
  <c r="M271" i="3"/>
  <c r="C271" i="3"/>
  <c r="B271" i="3"/>
  <c r="P270" i="3"/>
  <c r="O270" i="3"/>
  <c r="N270" i="3"/>
  <c r="M270" i="3"/>
  <c r="C270" i="3"/>
  <c r="B270" i="3"/>
  <c r="P269" i="3"/>
  <c r="O269" i="3"/>
  <c r="N269" i="3"/>
  <c r="M269" i="3"/>
  <c r="C269" i="3"/>
  <c r="B269" i="3"/>
  <c r="P268" i="3"/>
  <c r="O268" i="3"/>
  <c r="N268" i="3"/>
  <c r="M268" i="3"/>
  <c r="C268" i="3"/>
  <c r="B268" i="3"/>
  <c r="P267" i="3"/>
  <c r="O267" i="3"/>
  <c r="N267" i="3"/>
  <c r="M267" i="3"/>
  <c r="C267" i="3"/>
  <c r="B267" i="3"/>
  <c r="P266" i="3"/>
  <c r="O266" i="3"/>
  <c r="N266" i="3"/>
  <c r="M266" i="3"/>
  <c r="C266" i="3"/>
  <c r="B266" i="3"/>
  <c r="P265" i="3"/>
  <c r="O265" i="3"/>
  <c r="N265" i="3"/>
  <c r="M265" i="3"/>
  <c r="C265" i="3"/>
  <c r="B265" i="3"/>
  <c r="P264" i="3"/>
  <c r="O264" i="3"/>
  <c r="N264" i="3"/>
  <c r="M264" i="3"/>
  <c r="C264" i="3"/>
  <c r="B264" i="3"/>
  <c r="P263" i="3"/>
  <c r="O263" i="3"/>
  <c r="N263" i="3"/>
  <c r="M263" i="3"/>
  <c r="C263" i="3"/>
  <c r="B263" i="3"/>
  <c r="P262" i="3"/>
  <c r="O262" i="3"/>
  <c r="N262" i="3"/>
  <c r="M262" i="3"/>
  <c r="C262" i="3"/>
  <c r="B262" i="3"/>
  <c r="P261" i="3"/>
  <c r="O261" i="3"/>
  <c r="N261" i="3"/>
  <c r="M261" i="3"/>
  <c r="C261" i="3"/>
  <c r="B261" i="3"/>
  <c r="P260" i="3"/>
  <c r="O260" i="3"/>
  <c r="N260" i="3"/>
  <c r="M260" i="3"/>
  <c r="C260" i="3"/>
  <c r="B260" i="3"/>
  <c r="P259" i="3"/>
  <c r="O259" i="3"/>
  <c r="N259" i="3"/>
  <c r="M259" i="3"/>
  <c r="C259" i="3"/>
  <c r="B259" i="3"/>
  <c r="P258" i="3"/>
  <c r="O258" i="3"/>
  <c r="N258" i="3"/>
  <c r="M258" i="3"/>
  <c r="C258" i="3"/>
  <c r="B258" i="3"/>
  <c r="P257" i="3"/>
  <c r="O257" i="3"/>
  <c r="N257" i="3"/>
  <c r="M257" i="3"/>
  <c r="C257" i="3"/>
  <c r="B257" i="3"/>
  <c r="P256" i="3"/>
  <c r="O256" i="3"/>
  <c r="N256" i="3"/>
  <c r="M256" i="3"/>
  <c r="C256" i="3"/>
  <c r="B256" i="3"/>
  <c r="P255" i="3"/>
  <c r="O255" i="3"/>
  <c r="N255" i="3"/>
  <c r="M255" i="3"/>
  <c r="C255" i="3"/>
  <c r="B255" i="3"/>
  <c r="P254" i="3"/>
  <c r="O254" i="3"/>
  <c r="N254" i="3"/>
  <c r="M254" i="3"/>
  <c r="C254" i="3"/>
  <c r="B254" i="3"/>
  <c r="P253" i="3"/>
  <c r="O253" i="3"/>
  <c r="N253" i="3"/>
  <c r="M253" i="3"/>
  <c r="C253" i="3"/>
  <c r="B253" i="3"/>
  <c r="P252" i="3"/>
  <c r="O252" i="3"/>
  <c r="N252" i="3"/>
  <c r="M252" i="3"/>
  <c r="C252" i="3"/>
  <c r="B252" i="3"/>
  <c r="P251" i="3"/>
  <c r="O251" i="3"/>
  <c r="N251" i="3"/>
  <c r="M251" i="3"/>
  <c r="C251" i="3"/>
  <c r="B251" i="3"/>
  <c r="P250" i="3"/>
  <c r="O250" i="3"/>
  <c r="N250" i="3"/>
  <c r="M250" i="3"/>
  <c r="C250" i="3"/>
  <c r="B250" i="3"/>
  <c r="P249" i="3"/>
  <c r="O249" i="3"/>
  <c r="N249" i="3"/>
  <c r="M249" i="3"/>
  <c r="C249" i="3"/>
  <c r="B249" i="3"/>
  <c r="P248" i="3"/>
  <c r="O248" i="3"/>
  <c r="N248" i="3"/>
  <c r="M248" i="3"/>
  <c r="C248" i="3"/>
  <c r="B248" i="3"/>
  <c r="P247" i="3"/>
  <c r="O247" i="3"/>
  <c r="N247" i="3"/>
  <c r="M247" i="3"/>
  <c r="C247" i="3"/>
  <c r="B247" i="3"/>
  <c r="P246" i="3"/>
  <c r="O246" i="3"/>
  <c r="N246" i="3"/>
  <c r="M246" i="3"/>
  <c r="C246" i="3"/>
  <c r="B246" i="3"/>
  <c r="P245" i="3"/>
  <c r="O245" i="3"/>
  <c r="N245" i="3"/>
  <c r="M245" i="3"/>
  <c r="C245" i="3"/>
  <c r="B245" i="3"/>
  <c r="P244" i="3"/>
  <c r="O244" i="3"/>
  <c r="N244" i="3"/>
  <c r="M244" i="3"/>
  <c r="C244" i="3"/>
  <c r="B244" i="3"/>
  <c r="P243" i="3"/>
  <c r="O243" i="3"/>
  <c r="N243" i="3"/>
  <c r="M243" i="3"/>
  <c r="C243" i="3"/>
  <c r="B243" i="3"/>
  <c r="P242" i="3"/>
  <c r="O242" i="3"/>
  <c r="N242" i="3"/>
  <c r="M242" i="3"/>
  <c r="C242" i="3"/>
  <c r="B242" i="3"/>
  <c r="P241" i="3"/>
  <c r="O241" i="3"/>
  <c r="N241" i="3"/>
  <c r="M241" i="3"/>
  <c r="C241" i="3"/>
  <c r="B241" i="3"/>
  <c r="P240" i="3"/>
  <c r="O240" i="3"/>
  <c r="N240" i="3"/>
  <c r="M240" i="3"/>
  <c r="C240" i="3"/>
  <c r="B240" i="3"/>
  <c r="P239" i="3"/>
  <c r="O239" i="3"/>
  <c r="N239" i="3"/>
  <c r="M239" i="3"/>
  <c r="C239" i="3"/>
  <c r="B239" i="3"/>
  <c r="P238" i="3"/>
  <c r="O238" i="3"/>
  <c r="N238" i="3"/>
  <c r="M238" i="3"/>
  <c r="C238" i="3"/>
  <c r="B238" i="3"/>
  <c r="P237" i="3"/>
  <c r="O237" i="3"/>
  <c r="N237" i="3"/>
  <c r="M237" i="3"/>
  <c r="C237" i="3"/>
  <c r="B237" i="3"/>
  <c r="P236" i="3"/>
  <c r="O236" i="3"/>
  <c r="N236" i="3"/>
  <c r="M236" i="3"/>
  <c r="C236" i="3"/>
  <c r="B236" i="3"/>
  <c r="P235" i="3"/>
  <c r="O235" i="3"/>
  <c r="N235" i="3"/>
  <c r="M235" i="3"/>
  <c r="C235" i="3"/>
  <c r="B235" i="3"/>
  <c r="P234" i="3"/>
  <c r="O234" i="3"/>
  <c r="N234" i="3"/>
  <c r="M234" i="3"/>
  <c r="C234" i="3"/>
  <c r="B234" i="3"/>
  <c r="P233" i="3"/>
  <c r="O233" i="3"/>
  <c r="N233" i="3"/>
  <c r="M233" i="3"/>
  <c r="C233" i="3"/>
  <c r="B233" i="3"/>
  <c r="P232" i="3"/>
  <c r="O232" i="3"/>
  <c r="N232" i="3"/>
  <c r="M232" i="3"/>
  <c r="C232" i="3"/>
  <c r="B232" i="3"/>
  <c r="P231" i="3"/>
  <c r="O231" i="3"/>
  <c r="N231" i="3"/>
  <c r="M231" i="3"/>
  <c r="C231" i="3"/>
  <c r="B231" i="3"/>
  <c r="P230" i="3"/>
  <c r="O230" i="3"/>
  <c r="N230" i="3"/>
  <c r="M230" i="3"/>
  <c r="C230" i="3"/>
  <c r="B230" i="3"/>
  <c r="P229" i="3"/>
  <c r="O229" i="3"/>
  <c r="N229" i="3"/>
  <c r="M229" i="3"/>
  <c r="C229" i="3"/>
  <c r="B229" i="3"/>
  <c r="P228" i="3"/>
  <c r="O228" i="3"/>
  <c r="N228" i="3"/>
  <c r="M228" i="3"/>
  <c r="C228" i="3"/>
  <c r="B228" i="3"/>
  <c r="P227" i="3"/>
  <c r="O227" i="3"/>
  <c r="N227" i="3"/>
  <c r="M227" i="3"/>
  <c r="C227" i="3"/>
  <c r="B227" i="3"/>
  <c r="P226" i="3"/>
  <c r="O226" i="3"/>
  <c r="N226" i="3"/>
  <c r="M226" i="3"/>
  <c r="C226" i="3"/>
  <c r="B226" i="3"/>
  <c r="P225" i="3"/>
  <c r="O225" i="3"/>
  <c r="N225" i="3"/>
  <c r="M225" i="3"/>
  <c r="C225" i="3"/>
  <c r="B225" i="3"/>
  <c r="P224" i="3"/>
  <c r="O224" i="3"/>
  <c r="N224" i="3"/>
  <c r="M224" i="3"/>
  <c r="C224" i="3"/>
  <c r="B224" i="3"/>
  <c r="P223" i="3"/>
  <c r="O223" i="3"/>
  <c r="N223" i="3"/>
  <c r="M223" i="3"/>
  <c r="C223" i="3"/>
  <c r="B223" i="3"/>
  <c r="P222" i="3"/>
  <c r="O222" i="3"/>
  <c r="N222" i="3"/>
  <c r="M222" i="3"/>
  <c r="C222" i="3"/>
  <c r="B222" i="3"/>
  <c r="P221" i="3"/>
  <c r="O221" i="3"/>
  <c r="N221" i="3"/>
  <c r="M221" i="3"/>
  <c r="C221" i="3"/>
  <c r="B221" i="3"/>
  <c r="P220" i="3"/>
  <c r="O220" i="3"/>
  <c r="N220" i="3"/>
  <c r="M220" i="3"/>
  <c r="C220" i="3"/>
  <c r="B220" i="3"/>
  <c r="P219" i="3"/>
  <c r="O219" i="3"/>
  <c r="N219" i="3"/>
  <c r="M219" i="3"/>
  <c r="C219" i="3"/>
  <c r="B219" i="3"/>
  <c r="P218" i="3"/>
  <c r="O218" i="3"/>
  <c r="N218" i="3"/>
  <c r="M218" i="3"/>
  <c r="C218" i="3"/>
  <c r="B218" i="3"/>
  <c r="P217" i="3"/>
  <c r="O217" i="3"/>
  <c r="N217" i="3"/>
  <c r="M217" i="3"/>
  <c r="C217" i="3"/>
  <c r="B217" i="3"/>
  <c r="P216" i="3"/>
  <c r="O216" i="3"/>
  <c r="N216" i="3"/>
  <c r="M216" i="3"/>
  <c r="C216" i="3"/>
  <c r="B216" i="3"/>
  <c r="P215" i="3"/>
  <c r="O215" i="3"/>
  <c r="N215" i="3"/>
  <c r="M215" i="3"/>
  <c r="C215" i="3"/>
  <c r="B215" i="3"/>
  <c r="P214" i="3"/>
  <c r="O214" i="3"/>
  <c r="N214" i="3"/>
  <c r="M214" i="3"/>
  <c r="C214" i="3"/>
  <c r="B214" i="3"/>
  <c r="P213" i="3"/>
  <c r="O213" i="3"/>
  <c r="N213" i="3"/>
  <c r="M213" i="3"/>
  <c r="C213" i="3"/>
  <c r="B213" i="3"/>
  <c r="P212" i="3"/>
  <c r="O212" i="3"/>
  <c r="N212" i="3"/>
  <c r="M212" i="3"/>
  <c r="C212" i="3"/>
  <c r="B212" i="3"/>
  <c r="P211" i="3"/>
  <c r="O211" i="3"/>
  <c r="N211" i="3"/>
  <c r="M211" i="3"/>
  <c r="C211" i="3"/>
  <c r="B211" i="3"/>
  <c r="P210" i="3"/>
  <c r="O210" i="3"/>
  <c r="N210" i="3"/>
  <c r="M210" i="3"/>
  <c r="C210" i="3"/>
  <c r="B210" i="3"/>
  <c r="P209" i="3"/>
  <c r="O209" i="3"/>
  <c r="N209" i="3"/>
  <c r="M209" i="3"/>
  <c r="C209" i="3"/>
  <c r="B209" i="3"/>
  <c r="P208" i="3"/>
  <c r="O208" i="3"/>
  <c r="N208" i="3"/>
  <c r="M208" i="3"/>
  <c r="C208" i="3"/>
  <c r="B208" i="3"/>
  <c r="P207" i="3"/>
  <c r="O207" i="3"/>
  <c r="N207" i="3"/>
  <c r="M207" i="3"/>
  <c r="C207" i="3"/>
  <c r="B207" i="3"/>
  <c r="P206" i="3"/>
  <c r="O206" i="3"/>
  <c r="N206" i="3"/>
  <c r="M206" i="3"/>
  <c r="C206" i="3"/>
  <c r="B206" i="3"/>
  <c r="P205" i="3"/>
  <c r="O205" i="3"/>
  <c r="N205" i="3"/>
  <c r="M205" i="3"/>
  <c r="C205" i="3"/>
  <c r="B205" i="3"/>
  <c r="P204" i="3"/>
  <c r="O204" i="3"/>
  <c r="N204" i="3"/>
  <c r="M204" i="3"/>
  <c r="C204" i="3"/>
  <c r="B204" i="3"/>
  <c r="P203" i="3"/>
  <c r="O203" i="3"/>
  <c r="N203" i="3"/>
  <c r="M203" i="3"/>
  <c r="C203" i="3"/>
  <c r="B203" i="3"/>
  <c r="P202" i="3"/>
  <c r="O202" i="3"/>
  <c r="N202" i="3"/>
  <c r="M202" i="3"/>
  <c r="C202" i="3"/>
  <c r="B202" i="3"/>
  <c r="P201" i="3"/>
  <c r="O201" i="3"/>
  <c r="N201" i="3"/>
  <c r="M201" i="3"/>
  <c r="C201" i="3"/>
  <c r="B201" i="3"/>
  <c r="P200" i="3"/>
  <c r="O200" i="3"/>
  <c r="N200" i="3"/>
  <c r="M200" i="3"/>
  <c r="C200" i="3"/>
  <c r="B200" i="3"/>
  <c r="P199" i="3"/>
  <c r="O199" i="3"/>
  <c r="N199" i="3"/>
  <c r="M199" i="3"/>
  <c r="C199" i="3"/>
  <c r="B199" i="3"/>
  <c r="P198" i="3"/>
  <c r="O198" i="3"/>
  <c r="N198" i="3"/>
  <c r="M198" i="3"/>
  <c r="C198" i="3"/>
  <c r="B198" i="3"/>
  <c r="P197" i="3"/>
  <c r="O197" i="3"/>
  <c r="N197" i="3"/>
  <c r="M197" i="3"/>
  <c r="C197" i="3"/>
  <c r="B197" i="3"/>
  <c r="P196" i="3"/>
  <c r="O196" i="3"/>
  <c r="N196" i="3"/>
  <c r="M196" i="3"/>
  <c r="C196" i="3"/>
  <c r="B196" i="3"/>
  <c r="P195" i="3"/>
  <c r="O195" i="3"/>
  <c r="N195" i="3"/>
  <c r="M195" i="3"/>
  <c r="C195" i="3"/>
  <c r="B195" i="3"/>
  <c r="P194" i="3"/>
  <c r="O194" i="3"/>
  <c r="N194" i="3"/>
  <c r="M194" i="3"/>
  <c r="C194" i="3"/>
  <c r="B194" i="3"/>
  <c r="P193" i="3"/>
  <c r="O193" i="3"/>
  <c r="N193" i="3"/>
  <c r="M193" i="3"/>
  <c r="C193" i="3"/>
  <c r="B193" i="3"/>
  <c r="P192" i="3"/>
  <c r="O192" i="3"/>
  <c r="N192" i="3"/>
  <c r="M192" i="3"/>
  <c r="C192" i="3"/>
  <c r="B192" i="3"/>
  <c r="P191" i="3"/>
  <c r="O191" i="3"/>
  <c r="N191" i="3"/>
  <c r="M191" i="3"/>
  <c r="C191" i="3"/>
  <c r="B191" i="3"/>
  <c r="P190" i="3"/>
  <c r="O190" i="3"/>
  <c r="N190" i="3"/>
  <c r="M190" i="3"/>
  <c r="C190" i="3"/>
  <c r="B190" i="3"/>
  <c r="P189" i="3"/>
  <c r="O189" i="3"/>
  <c r="N189" i="3"/>
  <c r="M189" i="3"/>
  <c r="C189" i="3"/>
  <c r="B189" i="3"/>
  <c r="P188" i="3"/>
  <c r="O188" i="3"/>
  <c r="N188" i="3"/>
  <c r="M188" i="3"/>
  <c r="C188" i="3"/>
  <c r="B188" i="3"/>
  <c r="P187" i="3"/>
  <c r="O187" i="3"/>
  <c r="N187" i="3"/>
  <c r="M187" i="3"/>
  <c r="C187" i="3"/>
  <c r="B187" i="3"/>
  <c r="P186" i="3"/>
  <c r="O186" i="3"/>
  <c r="N186" i="3"/>
  <c r="M186" i="3"/>
  <c r="C186" i="3"/>
  <c r="B186" i="3"/>
  <c r="P185" i="3"/>
  <c r="O185" i="3"/>
  <c r="N185" i="3"/>
  <c r="M185" i="3"/>
  <c r="C185" i="3"/>
  <c r="B185" i="3"/>
  <c r="P184" i="3"/>
  <c r="O184" i="3"/>
  <c r="N184" i="3"/>
  <c r="M184" i="3"/>
  <c r="C184" i="3"/>
  <c r="B184" i="3"/>
  <c r="P183" i="3"/>
  <c r="O183" i="3"/>
  <c r="N183" i="3"/>
  <c r="M183" i="3"/>
  <c r="C183" i="3"/>
  <c r="B183" i="3"/>
  <c r="P182" i="3"/>
  <c r="O182" i="3"/>
  <c r="N182" i="3"/>
  <c r="M182" i="3"/>
  <c r="C182" i="3"/>
  <c r="B182" i="3"/>
  <c r="P181" i="3"/>
  <c r="O181" i="3"/>
  <c r="N181" i="3"/>
  <c r="M181" i="3"/>
  <c r="C181" i="3"/>
  <c r="B181" i="3"/>
  <c r="P180" i="3"/>
  <c r="O180" i="3"/>
  <c r="N180" i="3"/>
  <c r="M180" i="3"/>
  <c r="C180" i="3"/>
  <c r="B180" i="3"/>
  <c r="P179" i="3"/>
  <c r="O179" i="3"/>
  <c r="N179" i="3"/>
  <c r="M179" i="3"/>
  <c r="C179" i="3"/>
  <c r="B179" i="3"/>
  <c r="P178" i="3"/>
  <c r="O178" i="3"/>
  <c r="N178" i="3"/>
  <c r="M178" i="3"/>
  <c r="C178" i="3"/>
  <c r="B178" i="3"/>
  <c r="P177" i="3"/>
  <c r="O177" i="3"/>
  <c r="N177" i="3"/>
  <c r="M177" i="3"/>
  <c r="C177" i="3"/>
  <c r="B177" i="3"/>
  <c r="P176" i="3"/>
  <c r="O176" i="3"/>
  <c r="N176" i="3"/>
  <c r="M176" i="3"/>
  <c r="C176" i="3"/>
  <c r="B176" i="3"/>
  <c r="P175" i="3"/>
  <c r="O175" i="3"/>
  <c r="N175" i="3"/>
  <c r="M175" i="3"/>
  <c r="C175" i="3"/>
  <c r="B175" i="3"/>
  <c r="P174" i="3"/>
  <c r="O174" i="3"/>
  <c r="N174" i="3"/>
  <c r="M174" i="3"/>
  <c r="C174" i="3"/>
  <c r="B174" i="3"/>
  <c r="P173" i="3"/>
  <c r="O173" i="3"/>
  <c r="N173" i="3"/>
  <c r="M173" i="3"/>
  <c r="C173" i="3"/>
  <c r="B173" i="3"/>
  <c r="P172" i="3"/>
  <c r="O172" i="3"/>
  <c r="N172" i="3"/>
  <c r="M172" i="3"/>
  <c r="C172" i="3"/>
  <c r="B172" i="3"/>
  <c r="P171" i="3"/>
  <c r="O171" i="3"/>
  <c r="N171" i="3"/>
  <c r="M171" i="3"/>
  <c r="C171" i="3"/>
  <c r="B171" i="3"/>
  <c r="P170" i="3"/>
  <c r="O170" i="3"/>
  <c r="N170" i="3"/>
  <c r="M170" i="3"/>
  <c r="C170" i="3"/>
  <c r="B170" i="3"/>
  <c r="P169" i="3"/>
  <c r="O169" i="3"/>
  <c r="N169" i="3"/>
  <c r="M169" i="3"/>
  <c r="C169" i="3"/>
  <c r="B169" i="3"/>
  <c r="P168" i="3"/>
  <c r="O168" i="3"/>
  <c r="N168" i="3"/>
  <c r="M168" i="3"/>
  <c r="C168" i="3"/>
  <c r="B168" i="3"/>
  <c r="P167" i="3"/>
  <c r="O167" i="3"/>
  <c r="N167" i="3"/>
  <c r="M167" i="3"/>
  <c r="C167" i="3"/>
  <c r="B167" i="3"/>
  <c r="P166" i="3"/>
  <c r="O166" i="3"/>
  <c r="N166" i="3"/>
  <c r="M166" i="3"/>
  <c r="C166" i="3"/>
  <c r="B166" i="3"/>
  <c r="P165" i="3"/>
  <c r="O165" i="3"/>
  <c r="N165" i="3"/>
  <c r="M165" i="3"/>
  <c r="C165" i="3"/>
  <c r="B165" i="3"/>
  <c r="P164" i="3"/>
  <c r="O164" i="3"/>
  <c r="N164" i="3"/>
  <c r="M164" i="3"/>
  <c r="C164" i="3"/>
  <c r="B164" i="3"/>
  <c r="P163" i="3"/>
  <c r="O163" i="3"/>
  <c r="N163" i="3"/>
  <c r="M163" i="3"/>
  <c r="C163" i="3"/>
  <c r="B163" i="3"/>
  <c r="P162" i="3"/>
  <c r="O162" i="3"/>
  <c r="N162" i="3"/>
  <c r="M162" i="3"/>
  <c r="C162" i="3"/>
  <c r="B162" i="3"/>
  <c r="P161" i="3"/>
  <c r="O161" i="3"/>
  <c r="N161" i="3"/>
  <c r="M161" i="3"/>
  <c r="C161" i="3"/>
  <c r="B161" i="3"/>
  <c r="P160" i="3"/>
  <c r="O160" i="3"/>
  <c r="N160" i="3"/>
  <c r="M160" i="3"/>
  <c r="C160" i="3"/>
  <c r="B160" i="3"/>
  <c r="P159" i="3"/>
  <c r="O159" i="3"/>
  <c r="N159" i="3"/>
  <c r="M159" i="3"/>
  <c r="C159" i="3"/>
  <c r="B159" i="3"/>
  <c r="P158" i="3"/>
  <c r="O158" i="3"/>
  <c r="N158" i="3"/>
  <c r="M158" i="3"/>
  <c r="C158" i="3"/>
  <c r="B158" i="3"/>
  <c r="P157" i="3"/>
  <c r="O157" i="3"/>
  <c r="N157" i="3"/>
  <c r="M157" i="3"/>
  <c r="C157" i="3"/>
  <c r="B157" i="3"/>
  <c r="P156" i="3"/>
  <c r="O156" i="3"/>
  <c r="N156" i="3"/>
  <c r="M156" i="3"/>
  <c r="C156" i="3"/>
  <c r="B156" i="3"/>
  <c r="P155" i="3"/>
  <c r="O155" i="3"/>
  <c r="N155" i="3"/>
  <c r="M155" i="3"/>
  <c r="C155" i="3"/>
  <c r="B155" i="3"/>
  <c r="P154" i="3"/>
  <c r="O154" i="3"/>
  <c r="N154" i="3"/>
  <c r="M154" i="3"/>
  <c r="C154" i="3"/>
  <c r="B154" i="3"/>
  <c r="P153" i="3"/>
  <c r="O153" i="3"/>
  <c r="N153" i="3"/>
  <c r="M153" i="3"/>
  <c r="C153" i="3"/>
  <c r="B153" i="3"/>
  <c r="P152" i="3"/>
  <c r="O152" i="3"/>
  <c r="N152" i="3"/>
  <c r="M152" i="3"/>
  <c r="C152" i="3"/>
  <c r="B152" i="3"/>
  <c r="P151" i="3"/>
  <c r="O151" i="3"/>
  <c r="N151" i="3"/>
  <c r="M151" i="3"/>
  <c r="C151" i="3"/>
  <c r="B151" i="3"/>
  <c r="P150" i="3"/>
  <c r="O150" i="3"/>
  <c r="N150" i="3"/>
  <c r="M150" i="3"/>
  <c r="C150" i="3"/>
  <c r="B150" i="3"/>
  <c r="P149" i="3"/>
  <c r="O149" i="3"/>
  <c r="N149" i="3"/>
  <c r="M149" i="3"/>
  <c r="C149" i="3"/>
  <c r="B149" i="3"/>
  <c r="P148" i="3"/>
  <c r="O148" i="3"/>
  <c r="N148" i="3"/>
  <c r="M148" i="3"/>
  <c r="C148" i="3"/>
  <c r="B148" i="3"/>
  <c r="P147" i="3"/>
  <c r="O147" i="3"/>
  <c r="N147" i="3"/>
  <c r="M147" i="3"/>
  <c r="C147" i="3"/>
  <c r="B147" i="3"/>
  <c r="P146" i="3"/>
  <c r="O146" i="3"/>
  <c r="N146" i="3"/>
  <c r="M146" i="3"/>
  <c r="C146" i="3"/>
  <c r="B146" i="3"/>
  <c r="P145" i="3"/>
  <c r="O145" i="3"/>
  <c r="N145" i="3"/>
  <c r="M145" i="3"/>
  <c r="C145" i="3"/>
  <c r="B145" i="3"/>
  <c r="P144" i="3"/>
  <c r="O144" i="3"/>
  <c r="N144" i="3"/>
  <c r="M144" i="3"/>
  <c r="C144" i="3"/>
  <c r="B144" i="3"/>
  <c r="P143" i="3"/>
  <c r="O143" i="3"/>
  <c r="N143" i="3"/>
  <c r="M143" i="3"/>
  <c r="C143" i="3"/>
  <c r="B143" i="3"/>
  <c r="P142" i="3"/>
  <c r="O142" i="3"/>
  <c r="N142" i="3"/>
  <c r="M142" i="3"/>
  <c r="C142" i="3"/>
  <c r="B142" i="3"/>
  <c r="P141" i="3"/>
  <c r="O141" i="3"/>
  <c r="N141" i="3"/>
  <c r="M141" i="3"/>
  <c r="C141" i="3"/>
  <c r="B141" i="3"/>
  <c r="P140" i="3"/>
  <c r="O140" i="3"/>
  <c r="N140" i="3"/>
  <c r="M140" i="3"/>
  <c r="C140" i="3"/>
  <c r="B140" i="3"/>
  <c r="P139" i="3"/>
  <c r="O139" i="3"/>
  <c r="N139" i="3"/>
  <c r="M139" i="3"/>
  <c r="C139" i="3"/>
  <c r="B139" i="3"/>
  <c r="P138" i="3"/>
  <c r="O138" i="3"/>
  <c r="N138" i="3"/>
  <c r="M138" i="3"/>
  <c r="C138" i="3"/>
  <c r="B138" i="3"/>
  <c r="P137" i="3"/>
  <c r="O137" i="3"/>
  <c r="N137" i="3"/>
  <c r="M137" i="3"/>
  <c r="C137" i="3"/>
  <c r="B137" i="3"/>
  <c r="P136" i="3"/>
  <c r="O136" i="3"/>
  <c r="N136" i="3"/>
  <c r="M136" i="3"/>
  <c r="C136" i="3"/>
  <c r="B136" i="3"/>
  <c r="P135" i="3"/>
  <c r="O135" i="3"/>
  <c r="N135" i="3"/>
  <c r="M135" i="3"/>
  <c r="C135" i="3"/>
  <c r="B135" i="3"/>
  <c r="P134" i="3"/>
  <c r="O134" i="3"/>
  <c r="N134" i="3"/>
  <c r="M134" i="3"/>
  <c r="C134" i="3"/>
  <c r="B134" i="3"/>
  <c r="P133" i="3"/>
  <c r="O133" i="3"/>
  <c r="N133" i="3"/>
  <c r="M133" i="3"/>
  <c r="C133" i="3"/>
  <c r="B133" i="3"/>
  <c r="P132" i="3"/>
  <c r="O132" i="3"/>
  <c r="N132" i="3"/>
  <c r="M132" i="3"/>
  <c r="C132" i="3"/>
  <c r="B132" i="3"/>
  <c r="P131" i="3"/>
  <c r="O131" i="3"/>
  <c r="N131" i="3"/>
  <c r="M131" i="3"/>
  <c r="C131" i="3"/>
  <c r="B131" i="3"/>
  <c r="P130" i="3"/>
  <c r="O130" i="3"/>
  <c r="N130" i="3"/>
  <c r="M130" i="3"/>
  <c r="C130" i="3"/>
  <c r="B130" i="3"/>
  <c r="P129" i="3"/>
  <c r="O129" i="3"/>
  <c r="N129" i="3"/>
  <c r="M129" i="3"/>
  <c r="C129" i="3"/>
  <c r="B129" i="3"/>
  <c r="P128" i="3"/>
  <c r="O128" i="3"/>
  <c r="N128" i="3"/>
  <c r="M128" i="3"/>
  <c r="C128" i="3"/>
  <c r="B128" i="3"/>
  <c r="P127" i="3"/>
  <c r="O127" i="3"/>
  <c r="N127" i="3"/>
  <c r="M127" i="3"/>
  <c r="C127" i="3"/>
  <c r="B127" i="3"/>
  <c r="P126" i="3"/>
  <c r="O126" i="3"/>
  <c r="N126" i="3"/>
  <c r="M126" i="3"/>
  <c r="C126" i="3"/>
  <c r="B126" i="3"/>
  <c r="P125" i="3"/>
  <c r="O125" i="3"/>
  <c r="N125" i="3"/>
  <c r="M125" i="3"/>
  <c r="C125" i="3"/>
  <c r="B125" i="3"/>
  <c r="P124" i="3"/>
  <c r="O124" i="3"/>
  <c r="N124" i="3"/>
  <c r="M124" i="3"/>
  <c r="C124" i="3"/>
  <c r="B124" i="3"/>
  <c r="P123" i="3"/>
  <c r="O123" i="3"/>
  <c r="N123" i="3"/>
  <c r="M123" i="3"/>
  <c r="C123" i="3"/>
  <c r="B123" i="3"/>
  <c r="P122" i="3"/>
  <c r="O122" i="3"/>
  <c r="N122" i="3"/>
  <c r="M122" i="3"/>
  <c r="C122" i="3"/>
  <c r="B122" i="3"/>
  <c r="P121" i="3"/>
  <c r="O121" i="3"/>
  <c r="N121" i="3"/>
  <c r="M121" i="3"/>
  <c r="C121" i="3"/>
  <c r="B121" i="3"/>
  <c r="P120" i="3"/>
  <c r="O120" i="3"/>
  <c r="N120" i="3"/>
  <c r="M120" i="3"/>
  <c r="C120" i="3"/>
  <c r="B120" i="3"/>
  <c r="P119" i="3"/>
  <c r="O119" i="3"/>
  <c r="N119" i="3"/>
  <c r="M119" i="3"/>
  <c r="C119" i="3"/>
  <c r="B119" i="3"/>
  <c r="P118" i="3"/>
  <c r="O118" i="3"/>
  <c r="N118" i="3"/>
  <c r="M118" i="3"/>
  <c r="C118" i="3"/>
  <c r="B118" i="3"/>
  <c r="P117" i="3"/>
  <c r="O117" i="3"/>
  <c r="N117" i="3"/>
  <c r="M117" i="3"/>
  <c r="C117" i="3"/>
  <c r="B117" i="3"/>
  <c r="P116" i="3"/>
  <c r="O116" i="3"/>
  <c r="N116" i="3"/>
  <c r="M116" i="3"/>
  <c r="C116" i="3"/>
  <c r="B116" i="3"/>
  <c r="P115" i="3"/>
  <c r="O115" i="3"/>
  <c r="N115" i="3"/>
  <c r="M115" i="3"/>
  <c r="C115" i="3"/>
  <c r="B115" i="3"/>
  <c r="P114" i="3"/>
  <c r="O114" i="3"/>
  <c r="N114" i="3"/>
  <c r="M114" i="3"/>
  <c r="C114" i="3"/>
  <c r="B114" i="3"/>
  <c r="P113" i="3"/>
  <c r="O113" i="3"/>
  <c r="N113" i="3"/>
  <c r="M113" i="3"/>
  <c r="C113" i="3"/>
  <c r="B113" i="3"/>
  <c r="P112" i="3"/>
  <c r="O112" i="3"/>
  <c r="N112" i="3"/>
  <c r="M112" i="3"/>
  <c r="C112" i="3"/>
  <c r="B112" i="3"/>
  <c r="P111" i="3"/>
  <c r="O111" i="3"/>
  <c r="N111" i="3"/>
  <c r="M111" i="3"/>
  <c r="C111" i="3"/>
  <c r="B111" i="3"/>
  <c r="P110" i="3"/>
  <c r="O110" i="3"/>
  <c r="N110" i="3"/>
  <c r="M110" i="3"/>
  <c r="C110" i="3"/>
  <c r="B110" i="3"/>
  <c r="P109" i="3"/>
  <c r="O109" i="3"/>
  <c r="N109" i="3"/>
  <c r="M109" i="3"/>
  <c r="C109" i="3"/>
  <c r="B109" i="3"/>
  <c r="P108" i="3"/>
  <c r="O108" i="3"/>
  <c r="N108" i="3"/>
  <c r="M108" i="3"/>
  <c r="C108" i="3"/>
  <c r="B108" i="3"/>
  <c r="P107" i="3"/>
  <c r="O107" i="3"/>
  <c r="N107" i="3"/>
  <c r="M107" i="3"/>
  <c r="C107" i="3"/>
  <c r="B107" i="3"/>
  <c r="P106" i="3"/>
  <c r="O106" i="3"/>
  <c r="N106" i="3"/>
  <c r="M106" i="3"/>
  <c r="C106" i="3"/>
  <c r="B106" i="3"/>
  <c r="P105" i="3"/>
  <c r="O105" i="3"/>
  <c r="N105" i="3"/>
  <c r="M105" i="3"/>
  <c r="C105" i="3"/>
  <c r="B105" i="3"/>
  <c r="P104" i="3"/>
  <c r="O104" i="3"/>
  <c r="N104" i="3"/>
  <c r="M104" i="3"/>
  <c r="C104" i="3"/>
  <c r="B104" i="3"/>
  <c r="P103" i="3"/>
  <c r="O103" i="3"/>
  <c r="N103" i="3"/>
  <c r="M103" i="3"/>
  <c r="C103" i="3"/>
  <c r="B103" i="3"/>
  <c r="P102" i="3"/>
  <c r="O102" i="3"/>
  <c r="N102" i="3"/>
  <c r="M102" i="3"/>
  <c r="C102" i="3"/>
  <c r="B102" i="3"/>
  <c r="P101" i="3"/>
  <c r="O101" i="3"/>
  <c r="N101" i="3"/>
  <c r="M101" i="3"/>
  <c r="C101" i="3"/>
  <c r="B101" i="3"/>
  <c r="P100" i="3"/>
  <c r="O100" i="3"/>
  <c r="N100" i="3"/>
  <c r="M100" i="3"/>
  <c r="C100" i="3"/>
  <c r="B100" i="3"/>
  <c r="P99" i="3"/>
  <c r="O99" i="3"/>
  <c r="N99" i="3"/>
  <c r="M99" i="3"/>
  <c r="C99" i="3"/>
  <c r="B99" i="3"/>
  <c r="P98" i="3"/>
  <c r="O98" i="3"/>
  <c r="N98" i="3"/>
  <c r="M98" i="3"/>
  <c r="C98" i="3"/>
  <c r="B98" i="3"/>
  <c r="P97" i="3"/>
  <c r="O97" i="3"/>
  <c r="N97" i="3"/>
  <c r="M97" i="3"/>
  <c r="C97" i="3"/>
  <c r="B97" i="3"/>
  <c r="P96" i="3"/>
  <c r="O96" i="3"/>
  <c r="N96" i="3"/>
  <c r="M96" i="3"/>
  <c r="C96" i="3"/>
  <c r="B96" i="3"/>
  <c r="P95" i="3"/>
  <c r="O95" i="3"/>
  <c r="N95" i="3"/>
  <c r="M95" i="3"/>
  <c r="C95" i="3"/>
  <c r="B95" i="3"/>
  <c r="P94" i="3"/>
  <c r="O94" i="3"/>
  <c r="N94" i="3"/>
  <c r="M94" i="3"/>
  <c r="C94" i="3"/>
  <c r="B94" i="3"/>
  <c r="P93" i="3"/>
  <c r="O93" i="3"/>
  <c r="N93" i="3"/>
  <c r="M93" i="3"/>
  <c r="C93" i="3"/>
  <c r="B93" i="3"/>
  <c r="P92" i="3"/>
  <c r="O92" i="3"/>
  <c r="N92" i="3"/>
  <c r="M92" i="3"/>
  <c r="C92" i="3"/>
  <c r="B92" i="3"/>
  <c r="P91" i="3"/>
  <c r="O91" i="3"/>
  <c r="N91" i="3"/>
  <c r="M91" i="3"/>
  <c r="C91" i="3"/>
  <c r="B91" i="3"/>
  <c r="P90" i="3"/>
  <c r="O90" i="3"/>
  <c r="N90" i="3"/>
  <c r="M90" i="3"/>
  <c r="C90" i="3"/>
  <c r="B90" i="3"/>
  <c r="P89" i="3"/>
  <c r="O89" i="3"/>
  <c r="N89" i="3"/>
  <c r="M89" i="3"/>
  <c r="C89" i="3"/>
  <c r="B89" i="3"/>
  <c r="P88" i="3"/>
  <c r="O88" i="3"/>
  <c r="N88" i="3"/>
  <c r="M88" i="3"/>
  <c r="C88" i="3"/>
  <c r="B88" i="3"/>
  <c r="P87" i="3"/>
  <c r="O87" i="3"/>
  <c r="N87" i="3"/>
  <c r="M87" i="3"/>
  <c r="C87" i="3"/>
  <c r="B87" i="3"/>
  <c r="P86" i="3"/>
  <c r="O86" i="3"/>
  <c r="N86" i="3"/>
  <c r="M86" i="3"/>
  <c r="C86" i="3"/>
  <c r="B86" i="3"/>
  <c r="P85" i="3"/>
  <c r="O85" i="3"/>
  <c r="N85" i="3"/>
  <c r="M85" i="3"/>
  <c r="C85" i="3"/>
  <c r="B85" i="3"/>
  <c r="P84" i="3"/>
  <c r="O84" i="3"/>
  <c r="N84" i="3"/>
  <c r="M84" i="3"/>
  <c r="C84" i="3"/>
  <c r="B84" i="3"/>
  <c r="P83" i="3"/>
  <c r="O83" i="3"/>
  <c r="N83" i="3"/>
  <c r="M83" i="3"/>
  <c r="C83" i="3"/>
  <c r="B83" i="3"/>
  <c r="P82" i="3"/>
  <c r="O82" i="3"/>
  <c r="N82" i="3"/>
  <c r="M82" i="3"/>
  <c r="C82" i="3"/>
  <c r="B82" i="3"/>
  <c r="P81" i="3"/>
  <c r="O81" i="3"/>
  <c r="N81" i="3"/>
  <c r="M81" i="3"/>
  <c r="C81" i="3"/>
  <c r="B81" i="3"/>
  <c r="P80" i="3"/>
  <c r="O80" i="3"/>
  <c r="N80" i="3"/>
  <c r="M80" i="3"/>
  <c r="C80" i="3"/>
  <c r="B80" i="3"/>
  <c r="P79" i="3"/>
  <c r="O79" i="3"/>
  <c r="N79" i="3"/>
  <c r="M79" i="3"/>
  <c r="C79" i="3"/>
  <c r="B79" i="3"/>
  <c r="P78" i="3"/>
  <c r="O78" i="3"/>
  <c r="N78" i="3"/>
  <c r="M78" i="3"/>
  <c r="C78" i="3"/>
  <c r="B78" i="3"/>
  <c r="P77" i="3"/>
  <c r="O77" i="3"/>
  <c r="N77" i="3"/>
  <c r="M77" i="3"/>
  <c r="C77" i="3"/>
  <c r="B77" i="3"/>
  <c r="P76" i="3"/>
  <c r="O76" i="3"/>
  <c r="N76" i="3"/>
  <c r="M76" i="3"/>
  <c r="C76" i="3"/>
  <c r="B76" i="3"/>
  <c r="P75" i="3"/>
  <c r="O75" i="3"/>
  <c r="N75" i="3"/>
  <c r="M75" i="3"/>
  <c r="C75" i="3"/>
  <c r="B75" i="3"/>
  <c r="P74" i="3"/>
  <c r="O74" i="3"/>
  <c r="N74" i="3"/>
  <c r="M74" i="3"/>
  <c r="C74" i="3"/>
  <c r="B74" i="3"/>
  <c r="P73" i="3"/>
  <c r="O73" i="3"/>
  <c r="N73" i="3"/>
  <c r="M73" i="3"/>
  <c r="C73" i="3"/>
  <c r="B73" i="3"/>
  <c r="P72" i="3"/>
  <c r="O72" i="3"/>
  <c r="N72" i="3"/>
  <c r="M72" i="3"/>
  <c r="C72" i="3"/>
  <c r="B72" i="3"/>
  <c r="P71" i="3"/>
  <c r="O71" i="3"/>
  <c r="N71" i="3"/>
  <c r="M71" i="3"/>
  <c r="C71" i="3"/>
  <c r="B71" i="3"/>
  <c r="P70" i="3"/>
  <c r="O70" i="3"/>
  <c r="N70" i="3"/>
  <c r="M70" i="3"/>
  <c r="C70" i="3"/>
  <c r="B70" i="3"/>
  <c r="P69" i="3"/>
  <c r="O69" i="3"/>
  <c r="N69" i="3"/>
  <c r="M69" i="3"/>
  <c r="C69" i="3"/>
  <c r="B69" i="3"/>
  <c r="P68" i="3"/>
  <c r="O68" i="3"/>
  <c r="N68" i="3"/>
  <c r="M68" i="3"/>
  <c r="C68" i="3"/>
  <c r="B68" i="3"/>
  <c r="P67" i="3"/>
  <c r="O67" i="3"/>
  <c r="N67" i="3"/>
  <c r="M67" i="3"/>
  <c r="C67" i="3"/>
  <c r="B67" i="3"/>
  <c r="P66" i="3"/>
  <c r="O66" i="3"/>
  <c r="N66" i="3"/>
  <c r="M66" i="3"/>
  <c r="C66" i="3"/>
  <c r="B66" i="3"/>
  <c r="P65" i="3"/>
  <c r="O65" i="3"/>
  <c r="N65" i="3"/>
  <c r="M65" i="3"/>
  <c r="C65" i="3"/>
  <c r="B65" i="3"/>
  <c r="P64" i="3"/>
  <c r="O64" i="3"/>
  <c r="N64" i="3"/>
  <c r="M64" i="3"/>
  <c r="C64" i="3"/>
  <c r="B64" i="3"/>
  <c r="P63" i="3"/>
  <c r="O63" i="3"/>
  <c r="N63" i="3"/>
  <c r="M63" i="3"/>
  <c r="C63" i="3"/>
  <c r="B63" i="3"/>
  <c r="P62" i="3"/>
  <c r="O62" i="3"/>
  <c r="N62" i="3"/>
  <c r="M62" i="3"/>
  <c r="C62" i="3"/>
  <c r="B62" i="3"/>
  <c r="P61" i="3"/>
  <c r="O61" i="3"/>
  <c r="N61" i="3"/>
  <c r="M61" i="3"/>
  <c r="C61" i="3"/>
  <c r="B61" i="3"/>
  <c r="P60" i="3"/>
  <c r="O60" i="3"/>
  <c r="N60" i="3"/>
  <c r="M60" i="3"/>
  <c r="C60" i="3"/>
  <c r="B60" i="3"/>
  <c r="P59" i="3"/>
  <c r="O59" i="3"/>
  <c r="N59" i="3"/>
  <c r="M59" i="3"/>
  <c r="C59" i="3"/>
  <c r="B59" i="3"/>
  <c r="P58" i="3"/>
  <c r="O58" i="3"/>
  <c r="N58" i="3"/>
  <c r="M58" i="3"/>
  <c r="C58" i="3"/>
  <c r="B58" i="3"/>
  <c r="P57" i="3"/>
  <c r="O57" i="3"/>
  <c r="N57" i="3"/>
  <c r="M57" i="3"/>
  <c r="C57" i="3"/>
  <c r="B57" i="3"/>
  <c r="P56" i="3"/>
  <c r="O56" i="3"/>
  <c r="N56" i="3"/>
  <c r="M56" i="3"/>
  <c r="C56" i="3"/>
  <c r="B56" i="3"/>
  <c r="P55" i="3"/>
  <c r="O55" i="3"/>
  <c r="N55" i="3"/>
  <c r="M55" i="3"/>
  <c r="C55" i="3"/>
  <c r="B55" i="3"/>
  <c r="P54" i="3"/>
  <c r="O54" i="3"/>
  <c r="N54" i="3"/>
  <c r="M54" i="3"/>
  <c r="C54" i="3"/>
  <c r="B54" i="3"/>
  <c r="P53" i="3"/>
  <c r="O53" i="3"/>
  <c r="N53" i="3"/>
  <c r="M53" i="3"/>
  <c r="C53" i="3"/>
  <c r="B53" i="3"/>
  <c r="P52" i="3"/>
  <c r="O52" i="3"/>
  <c r="N52" i="3"/>
  <c r="M52" i="3"/>
  <c r="C52" i="3"/>
  <c r="B52" i="3"/>
  <c r="P51" i="3"/>
  <c r="O51" i="3"/>
  <c r="N51" i="3"/>
  <c r="M51" i="3"/>
  <c r="C51" i="3"/>
  <c r="B51" i="3"/>
  <c r="P50" i="3"/>
  <c r="O50" i="3"/>
  <c r="N50" i="3"/>
  <c r="M50" i="3"/>
  <c r="C50" i="3"/>
  <c r="B50" i="3"/>
  <c r="P49" i="3"/>
  <c r="O49" i="3"/>
  <c r="N49" i="3"/>
  <c r="M49" i="3"/>
  <c r="C49" i="3"/>
  <c r="B49" i="3"/>
  <c r="P48" i="3"/>
  <c r="O48" i="3"/>
  <c r="N48" i="3"/>
  <c r="M48" i="3"/>
  <c r="C48" i="3"/>
  <c r="B48" i="3"/>
  <c r="P47" i="3"/>
  <c r="O47" i="3"/>
  <c r="N47" i="3"/>
  <c r="M47" i="3"/>
  <c r="C47" i="3"/>
  <c r="B47" i="3"/>
  <c r="P46" i="3"/>
  <c r="O46" i="3"/>
  <c r="N46" i="3"/>
  <c r="M46" i="3"/>
  <c r="C46" i="3"/>
  <c r="B46" i="3"/>
  <c r="P45" i="3"/>
  <c r="O45" i="3"/>
  <c r="N45" i="3"/>
  <c r="M45" i="3"/>
  <c r="C45" i="3"/>
  <c r="B45" i="3"/>
  <c r="P44" i="3"/>
  <c r="O44" i="3"/>
  <c r="N44" i="3"/>
  <c r="M44" i="3"/>
  <c r="C44" i="3"/>
  <c r="B44" i="3"/>
  <c r="P43" i="3"/>
  <c r="O43" i="3"/>
  <c r="N43" i="3"/>
  <c r="M43" i="3"/>
  <c r="C43" i="3"/>
  <c r="B43" i="3"/>
  <c r="P42" i="3"/>
  <c r="O42" i="3"/>
  <c r="N42" i="3"/>
  <c r="M42" i="3"/>
  <c r="C42" i="3"/>
  <c r="B42" i="3"/>
  <c r="P41" i="3"/>
  <c r="O41" i="3"/>
  <c r="N41" i="3"/>
  <c r="M41" i="3"/>
  <c r="C41" i="3"/>
  <c r="B41" i="3"/>
  <c r="P40" i="3"/>
  <c r="O40" i="3"/>
  <c r="N40" i="3"/>
  <c r="M40" i="3"/>
  <c r="C40" i="3"/>
  <c r="B40" i="3"/>
  <c r="P39" i="3"/>
  <c r="O39" i="3"/>
  <c r="N39" i="3"/>
  <c r="M39" i="3"/>
  <c r="C39" i="3"/>
  <c r="B39" i="3"/>
  <c r="P38" i="3"/>
  <c r="O38" i="3"/>
  <c r="N38" i="3"/>
  <c r="M38" i="3"/>
  <c r="C38" i="3"/>
  <c r="B38" i="3"/>
  <c r="P37" i="3"/>
  <c r="O37" i="3"/>
  <c r="N37" i="3"/>
  <c r="M37" i="3"/>
  <c r="C37" i="3"/>
  <c r="B37" i="3"/>
  <c r="P36" i="3"/>
  <c r="O36" i="3"/>
  <c r="N36" i="3"/>
  <c r="M36" i="3"/>
  <c r="C36" i="3"/>
  <c r="B36" i="3"/>
  <c r="P35" i="3"/>
  <c r="O35" i="3"/>
  <c r="N35" i="3"/>
  <c r="M35" i="3"/>
  <c r="C35" i="3"/>
  <c r="B35" i="3"/>
  <c r="P34" i="3"/>
  <c r="O34" i="3"/>
  <c r="N34" i="3"/>
  <c r="M34" i="3"/>
  <c r="C34" i="3"/>
  <c r="B34" i="3"/>
  <c r="P33" i="3"/>
  <c r="O33" i="3"/>
  <c r="N33" i="3"/>
  <c r="M33" i="3"/>
  <c r="C33" i="3"/>
  <c r="B33" i="3"/>
  <c r="P32" i="3"/>
  <c r="O32" i="3"/>
  <c r="N32" i="3"/>
  <c r="M32" i="3"/>
  <c r="C32" i="3"/>
  <c r="B32" i="3"/>
  <c r="P31" i="3"/>
  <c r="O31" i="3"/>
  <c r="N31" i="3"/>
  <c r="M31" i="3"/>
  <c r="C31" i="3"/>
  <c r="B31" i="3"/>
  <c r="P30" i="3"/>
  <c r="O30" i="3"/>
  <c r="N30" i="3"/>
  <c r="M30" i="3"/>
  <c r="C30" i="3"/>
  <c r="B30" i="3"/>
  <c r="P29" i="3"/>
  <c r="O29" i="3"/>
  <c r="N29" i="3"/>
  <c r="M29" i="3"/>
  <c r="C29" i="3"/>
  <c r="B29" i="3"/>
  <c r="P28" i="3"/>
  <c r="O28" i="3"/>
  <c r="N28" i="3"/>
  <c r="M28" i="3"/>
  <c r="C28" i="3"/>
  <c r="B28" i="3"/>
  <c r="P27" i="3"/>
  <c r="O27" i="3"/>
  <c r="N27" i="3"/>
  <c r="M27" i="3"/>
  <c r="C27" i="3"/>
  <c r="B27" i="3"/>
  <c r="P26" i="3"/>
  <c r="O26" i="3"/>
  <c r="N26" i="3"/>
  <c r="M26" i="3"/>
  <c r="C26" i="3"/>
  <c r="B26" i="3"/>
  <c r="P25" i="3"/>
  <c r="O25" i="3"/>
  <c r="N25" i="3"/>
  <c r="M25" i="3"/>
  <c r="C25" i="3"/>
  <c r="B25" i="3"/>
  <c r="P24" i="3"/>
  <c r="O24" i="3"/>
  <c r="N24" i="3"/>
  <c r="M24" i="3"/>
  <c r="C24" i="3"/>
  <c r="B24" i="3"/>
  <c r="P23" i="3"/>
  <c r="O23" i="3"/>
  <c r="N23" i="3"/>
  <c r="M23" i="3"/>
  <c r="C23" i="3"/>
  <c r="B23" i="3"/>
  <c r="P22" i="3"/>
  <c r="O22" i="3"/>
  <c r="N22" i="3"/>
  <c r="M22" i="3"/>
  <c r="C22" i="3"/>
  <c r="B22" i="3"/>
  <c r="P21" i="3"/>
  <c r="O21" i="3"/>
  <c r="N21" i="3"/>
  <c r="M21" i="3"/>
  <c r="C21" i="3"/>
  <c r="B21" i="3"/>
  <c r="P20" i="3"/>
  <c r="O20" i="3"/>
  <c r="N20" i="3"/>
  <c r="M20" i="3"/>
  <c r="C20" i="3"/>
  <c r="B20" i="3"/>
  <c r="P19" i="3"/>
  <c r="O19" i="3"/>
  <c r="N19" i="3"/>
  <c r="M19" i="3"/>
  <c r="C19" i="3"/>
  <c r="B19" i="3"/>
  <c r="P18" i="3"/>
  <c r="O18" i="3"/>
  <c r="N18" i="3"/>
  <c r="M18" i="3"/>
  <c r="C18" i="3"/>
  <c r="B18" i="3"/>
  <c r="P17" i="3"/>
  <c r="O17" i="3"/>
  <c r="N17" i="3"/>
  <c r="M17" i="3"/>
  <c r="C17" i="3"/>
  <c r="B17" i="3"/>
  <c r="P16" i="3"/>
  <c r="O16" i="3"/>
  <c r="N16" i="3"/>
  <c r="M16" i="3"/>
  <c r="C16" i="3"/>
  <c r="B16" i="3"/>
  <c r="P15" i="3"/>
  <c r="O15" i="3"/>
  <c r="N15" i="3"/>
  <c r="M15" i="3"/>
  <c r="C15" i="3"/>
  <c r="B15" i="3"/>
  <c r="P14" i="3"/>
  <c r="O14" i="3"/>
  <c r="N14" i="3"/>
  <c r="M14" i="3"/>
  <c r="C14" i="3"/>
  <c r="B14" i="3"/>
  <c r="P13" i="3"/>
  <c r="O13" i="3"/>
  <c r="N13" i="3"/>
  <c r="M13" i="3"/>
  <c r="C13" i="3"/>
  <c r="B13" i="3"/>
  <c r="P12" i="3"/>
  <c r="O12" i="3"/>
  <c r="N12" i="3"/>
  <c r="M12" i="3"/>
  <c r="C12" i="3"/>
  <c r="B12" i="3"/>
  <c r="P11" i="3"/>
  <c r="O11" i="3"/>
  <c r="N11" i="3"/>
  <c r="M11" i="3"/>
  <c r="C11" i="3"/>
  <c r="B11" i="3"/>
  <c r="P10" i="3"/>
  <c r="O10" i="3"/>
  <c r="N10" i="3"/>
  <c r="M10" i="3"/>
  <c r="C10" i="3"/>
  <c r="B10" i="3"/>
  <c r="P9" i="3"/>
  <c r="O9" i="3"/>
  <c r="N9" i="3"/>
  <c r="M9" i="3"/>
  <c r="C9" i="3"/>
  <c r="B9" i="3"/>
  <c r="P8" i="3"/>
  <c r="O8" i="3"/>
  <c r="N8" i="3"/>
  <c r="M8" i="3"/>
  <c r="C8" i="3"/>
  <c r="B8" i="3"/>
  <c r="P7" i="3"/>
  <c r="O7" i="3"/>
  <c r="N7" i="3"/>
  <c r="M7" i="3"/>
  <c r="C7" i="3"/>
  <c r="B7" i="3"/>
  <c r="P6" i="3"/>
  <c r="O6" i="3"/>
  <c r="N6" i="3"/>
  <c r="M6" i="3"/>
  <c r="C6" i="3"/>
  <c r="B6" i="3"/>
  <c r="P5" i="3"/>
  <c r="O5" i="3"/>
  <c r="N5" i="3"/>
  <c r="M5" i="3"/>
  <c r="C5" i="3"/>
  <c r="B5" i="3"/>
  <c r="P4" i="3"/>
  <c r="O4" i="3"/>
  <c r="N4" i="3"/>
  <c r="M4" i="3"/>
  <c r="C4" i="3"/>
  <c r="B4" i="3"/>
  <c r="P3" i="3"/>
  <c r="O3" i="3"/>
  <c r="N3" i="3"/>
  <c r="M3" i="3"/>
  <c r="C3" i="3"/>
  <c r="B3" i="3"/>
  <c r="P2" i="3"/>
  <c r="O2" i="3"/>
  <c r="N2" i="3"/>
  <c r="M2" i="3"/>
  <c r="C2" i="3"/>
  <c r="B2" i="3"/>
  <c r="P1" i="3"/>
  <c r="O1" i="3"/>
  <c r="N1" i="3"/>
  <c r="M1" i="3"/>
  <c r="C1" i="3"/>
  <c r="B1" i="3"/>
  <c r="U95" i="2"/>
  <c r="S95" i="2"/>
  <c r="V95" i="2" s="1"/>
  <c r="P95" i="2"/>
  <c r="T95" i="2" s="1"/>
  <c r="V94" i="2"/>
  <c r="U94" i="2"/>
  <c r="T94" i="2"/>
  <c r="S94" i="2"/>
  <c r="P94" i="2"/>
  <c r="U93" i="2"/>
  <c r="S93" i="2"/>
  <c r="P93" i="2"/>
  <c r="T93" i="2" s="1"/>
  <c r="V92" i="2"/>
  <c r="U92" i="2"/>
  <c r="S92" i="2"/>
  <c r="P92" i="2"/>
  <c r="T92" i="2" s="1"/>
  <c r="U91" i="2"/>
  <c r="S91" i="2"/>
  <c r="V91" i="2" s="1"/>
  <c r="P91" i="2"/>
  <c r="T91" i="2" s="1"/>
  <c r="U90" i="2"/>
  <c r="T90" i="2"/>
  <c r="S90" i="2"/>
  <c r="V90" i="2" s="1"/>
  <c r="P90" i="2"/>
  <c r="V89" i="2"/>
  <c r="U89" i="2"/>
  <c r="T89" i="2"/>
  <c r="S89" i="2"/>
  <c r="P89" i="2"/>
  <c r="V88" i="2"/>
  <c r="U88" i="2"/>
  <c r="S88" i="2"/>
  <c r="P88" i="2"/>
  <c r="T88" i="2" s="1"/>
  <c r="U87" i="2"/>
  <c r="S87" i="2"/>
  <c r="V87" i="2" s="1"/>
  <c r="P87" i="2"/>
  <c r="T87" i="2" s="1"/>
  <c r="U86" i="2"/>
  <c r="T86" i="2"/>
  <c r="S86" i="2"/>
  <c r="V86" i="2" s="1"/>
  <c r="P86" i="2"/>
  <c r="U85" i="2"/>
  <c r="T85" i="2"/>
  <c r="S85" i="2"/>
  <c r="V85" i="2" s="1"/>
  <c r="P85" i="2"/>
  <c r="V84" i="2"/>
  <c r="U84" i="2"/>
  <c r="S84" i="2"/>
  <c r="P84" i="2"/>
  <c r="T84" i="2" s="1"/>
  <c r="U83" i="2"/>
  <c r="T83" i="2"/>
  <c r="S83" i="2"/>
  <c r="V83" i="2" s="1"/>
  <c r="P83" i="2"/>
  <c r="U82" i="2"/>
  <c r="S82" i="2"/>
  <c r="V82" i="2" s="1"/>
  <c r="P82" i="2"/>
  <c r="T82" i="2" s="1"/>
  <c r="U81" i="2"/>
  <c r="S81" i="2"/>
  <c r="V81" i="2" s="1"/>
  <c r="P81" i="2"/>
  <c r="T81" i="2" s="1"/>
  <c r="U80" i="2"/>
  <c r="S80" i="2"/>
  <c r="V80" i="2" s="1"/>
  <c r="P80" i="2"/>
  <c r="T80" i="2" s="1"/>
  <c r="U79" i="2"/>
  <c r="S79" i="2"/>
  <c r="V79" i="2" s="1"/>
  <c r="P79" i="2"/>
  <c r="T79" i="2" s="1"/>
  <c r="V78" i="2"/>
  <c r="U78" i="2"/>
  <c r="T78" i="2"/>
  <c r="S78" i="2"/>
  <c r="P78" i="2"/>
  <c r="U77" i="2"/>
  <c r="S77" i="2"/>
  <c r="P77" i="2"/>
  <c r="T77" i="2" s="1"/>
  <c r="V76" i="2"/>
  <c r="U76" i="2"/>
  <c r="S76" i="2"/>
  <c r="P76" i="2"/>
  <c r="T76" i="2" s="1"/>
  <c r="U75" i="2"/>
  <c r="S75" i="2"/>
  <c r="V75" i="2" s="1"/>
  <c r="P75" i="2"/>
  <c r="T75" i="2" s="1"/>
  <c r="U74" i="2"/>
  <c r="T74" i="2"/>
  <c r="S74" i="2"/>
  <c r="V74" i="2" s="1"/>
  <c r="P74" i="2"/>
  <c r="V73" i="2"/>
  <c r="U73" i="2"/>
  <c r="T73" i="2"/>
  <c r="S73" i="2"/>
  <c r="P73" i="2"/>
  <c r="V72" i="2"/>
  <c r="U72" i="2"/>
  <c r="S72" i="2"/>
  <c r="P72" i="2"/>
  <c r="T72" i="2" s="1"/>
  <c r="U71" i="2"/>
  <c r="S71" i="2"/>
  <c r="V71" i="2" s="1"/>
  <c r="P71" i="2"/>
  <c r="T71" i="2" s="1"/>
  <c r="U70" i="2"/>
  <c r="T70" i="2"/>
  <c r="S70" i="2"/>
  <c r="V70" i="2" s="1"/>
  <c r="P70" i="2"/>
  <c r="U69" i="2"/>
  <c r="T69" i="2"/>
  <c r="S69" i="2"/>
  <c r="V69" i="2" s="1"/>
  <c r="P69" i="2"/>
  <c r="V68" i="2"/>
  <c r="U68" i="2"/>
  <c r="S68" i="2"/>
  <c r="P68" i="2"/>
  <c r="T68" i="2" s="1"/>
  <c r="U67" i="2"/>
  <c r="T67" i="2"/>
  <c r="S67" i="2"/>
  <c r="V67" i="2" s="1"/>
  <c r="P67" i="2"/>
  <c r="U66" i="2"/>
  <c r="S66" i="2"/>
  <c r="V66" i="2" s="1"/>
  <c r="P66" i="2"/>
  <c r="T66" i="2" s="1"/>
  <c r="U65" i="2"/>
  <c r="S65" i="2"/>
  <c r="V65" i="2" s="1"/>
  <c r="P65" i="2"/>
  <c r="T65" i="2" s="1"/>
  <c r="U64" i="2"/>
  <c r="S64" i="2"/>
  <c r="V64" i="2" s="1"/>
  <c r="P64" i="2"/>
  <c r="T64" i="2" s="1"/>
  <c r="U63" i="2"/>
  <c r="S63" i="2"/>
  <c r="V63" i="2" s="1"/>
  <c r="P63" i="2"/>
  <c r="T63" i="2" s="1"/>
  <c r="V62" i="2"/>
  <c r="U62" i="2"/>
  <c r="T62" i="2"/>
  <c r="S62" i="2"/>
  <c r="P62" i="2"/>
  <c r="U61" i="2"/>
  <c r="S61" i="2"/>
  <c r="P61" i="2"/>
  <c r="T61" i="2" s="1"/>
  <c r="V60" i="2"/>
  <c r="U60" i="2"/>
  <c r="S60" i="2"/>
  <c r="P60" i="2"/>
  <c r="T60" i="2" s="1"/>
  <c r="U59" i="2"/>
  <c r="S59" i="2"/>
  <c r="V59" i="2" s="1"/>
  <c r="P59" i="2"/>
  <c r="T59" i="2" s="1"/>
  <c r="U58" i="2"/>
  <c r="T58" i="2"/>
  <c r="S58" i="2"/>
  <c r="V58" i="2" s="1"/>
  <c r="P58" i="2"/>
  <c r="V57" i="2"/>
  <c r="U57" i="2"/>
  <c r="T57" i="2"/>
  <c r="S57" i="2"/>
  <c r="P57" i="2"/>
  <c r="V56" i="2"/>
  <c r="U56" i="2"/>
  <c r="S56" i="2"/>
  <c r="P56" i="2"/>
  <c r="T56" i="2" s="1"/>
  <c r="U55" i="2"/>
  <c r="S55" i="2"/>
  <c r="V55" i="2" s="1"/>
  <c r="P55" i="2"/>
  <c r="T55" i="2" s="1"/>
  <c r="U54" i="2"/>
  <c r="T54" i="2"/>
  <c r="S54" i="2"/>
  <c r="V54" i="2" s="1"/>
  <c r="P54" i="2"/>
  <c r="U53" i="2"/>
  <c r="T53" i="2"/>
  <c r="S53" i="2"/>
  <c r="V53" i="2" s="1"/>
  <c r="P53" i="2"/>
  <c r="V52" i="2"/>
  <c r="U52" i="2"/>
  <c r="S52" i="2"/>
  <c r="P52" i="2"/>
  <c r="T52" i="2" s="1"/>
  <c r="U51" i="2"/>
  <c r="T51" i="2"/>
  <c r="S51" i="2"/>
  <c r="V51" i="2" s="1"/>
  <c r="P51" i="2"/>
  <c r="U50" i="2"/>
  <c r="S50" i="2"/>
  <c r="V50" i="2" s="1"/>
  <c r="P50" i="2"/>
  <c r="T50" i="2" s="1"/>
  <c r="U49" i="2"/>
  <c r="S49" i="2"/>
  <c r="V49" i="2" s="1"/>
  <c r="P49" i="2"/>
  <c r="T49" i="2" s="1"/>
  <c r="U48" i="2"/>
  <c r="S48" i="2"/>
  <c r="V48" i="2" s="1"/>
  <c r="P48" i="2"/>
  <c r="T48" i="2" s="1"/>
  <c r="U47" i="2"/>
  <c r="S47" i="2"/>
  <c r="V47" i="2" s="1"/>
  <c r="P47" i="2"/>
  <c r="T47" i="2" s="1"/>
  <c r="V46" i="2"/>
  <c r="U46" i="2"/>
  <c r="T46" i="2"/>
  <c r="S46" i="2"/>
  <c r="P46" i="2"/>
  <c r="U45" i="2"/>
  <c r="S45" i="2"/>
  <c r="P45" i="2"/>
  <c r="T45" i="2" s="1"/>
  <c r="V44" i="2"/>
  <c r="U44" i="2"/>
  <c r="S44" i="2"/>
  <c r="P44" i="2"/>
  <c r="T44" i="2" s="1"/>
  <c r="U43" i="2"/>
  <c r="S43" i="2"/>
  <c r="V43" i="2" s="1"/>
  <c r="P43" i="2"/>
  <c r="T43" i="2" s="1"/>
  <c r="U42" i="2"/>
  <c r="T42" i="2"/>
  <c r="S42" i="2"/>
  <c r="V42" i="2" s="1"/>
  <c r="P42" i="2"/>
  <c r="V41" i="2"/>
  <c r="U41" i="2"/>
  <c r="T41" i="2"/>
  <c r="S41" i="2"/>
  <c r="P41" i="2"/>
  <c r="V40" i="2"/>
  <c r="U40" i="2"/>
  <c r="S40" i="2"/>
  <c r="P40" i="2"/>
  <c r="T40" i="2" s="1"/>
  <c r="U39" i="2"/>
  <c r="S39" i="2"/>
  <c r="V39" i="2" s="1"/>
  <c r="P39" i="2"/>
  <c r="T39" i="2" s="1"/>
  <c r="U38" i="2"/>
  <c r="T38" i="2"/>
  <c r="S38" i="2"/>
  <c r="V38" i="2" s="1"/>
  <c r="P38" i="2"/>
  <c r="U37" i="2"/>
  <c r="T37" i="2"/>
  <c r="S37" i="2"/>
  <c r="V37" i="2" s="1"/>
  <c r="P37" i="2"/>
  <c r="V36" i="2"/>
  <c r="U36" i="2"/>
  <c r="S36" i="2"/>
  <c r="P36" i="2"/>
  <c r="T36" i="2" s="1"/>
  <c r="U35" i="2"/>
  <c r="T35" i="2"/>
  <c r="S35" i="2"/>
  <c r="V35" i="2" s="1"/>
  <c r="P35" i="2"/>
  <c r="U34" i="2"/>
  <c r="S34" i="2"/>
  <c r="V34" i="2" s="1"/>
  <c r="P34" i="2"/>
  <c r="T34" i="2" s="1"/>
  <c r="U33" i="2"/>
  <c r="S33" i="2"/>
  <c r="P33" i="2"/>
  <c r="T33" i="2" s="1"/>
  <c r="U32" i="2"/>
  <c r="S32" i="2"/>
  <c r="V32" i="2" s="1"/>
  <c r="P32" i="2"/>
  <c r="T32" i="2" s="1"/>
  <c r="U31" i="2"/>
  <c r="S31" i="2"/>
  <c r="V31" i="2" s="1"/>
  <c r="P31" i="2"/>
  <c r="T31" i="2" s="1"/>
  <c r="V30" i="2"/>
  <c r="U30" i="2"/>
  <c r="T30" i="2"/>
  <c r="S30" i="2"/>
  <c r="P30" i="2"/>
  <c r="U29" i="2"/>
  <c r="S29" i="2"/>
  <c r="P29" i="2"/>
  <c r="T29" i="2" s="1"/>
  <c r="V28" i="2"/>
  <c r="U28" i="2"/>
  <c r="S28" i="2"/>
  <c r="P28" i="2"/>
  <c r="T28" i="2" s="1"/>
  <c r="U27" i="2"/>
  <c r="S27" i="2"/>
  <c r="V27" i="2" s="1"/>
  <c r="P27" i="2"/>
  <c r="T27" i="2" s="1"/>
  <c r="U26" i="2"/>
  <c r="T26" i="2"/>
  <c r="S26" i="2"/>
  <c r="V26" i="2" s="1"/>
  <c r="P26" i="2"/>
  <c r="V25" i="2"/>
  <c r="U25" i="2"/>
  <c r="T25" i="2"/>
  <c r="S25" i="2"/>
  <c r="P25" i="2"/>
  <c r="V24" i="2"/>
  <c r="U24" i="2"/>
  <c r="S24" i="2"/>
  <c r="P24" i="2"/>
  <c r="T24" i="2" s="1"/>
  <c r="U23" i="2"/>
  <c r="S23" i="2"/>
  <c r="V23" i="2" s="1"/>
  <c r="P23" i="2"/>
  <c r="T23" i="2" s="1"/>
  <c r="U22" i="2"/>
  <c r="T22" i="2"/>
  <c r="S22" i="2"/>
  <c r="V22" i="2" s="1"/>
  <c r="P22" i="2"/>
  <c r="U21" i="2"/>
  <c r="T21" i="2"/>
  <c r="S21" i="2"/>
  <c r="V21" i="2" s="1"/>
  <c r="P21" i="2"/>
  <c r="V20" i="2"/>
  <c r="U20" i="2"/>
  <c r="S20" i="2"/>
  <c r="P20" i="2"/>
  <c r="T20" i="2" s="1"/>
  <c r="U19" i="2"/>
  <c r="T19" i="2"/>
  <c r="S19" i="2"/>
  <c r="V19" i="2" s="1"/>
  <c r="P19" i="2"/>
  <c r="U18" i="2"/>
  <c r="S18" i="2"/>
  <c r="V18" i="2" s="1"/>
  <c r="P18" i="2"/>
  <c r="T18" i="2" s="1"/>
  <c r="U17" i="2"/>
  <c r="S17" i="2"/>
  <c r="V17" i="2" s="1"/>
  <c r="P17" i="2"/>
  <c r="T17" i="2" s="1"/>
  <c r="U16" i="2"/>
  <c r="S16" i="2"/>
  <c r="V16" i="2" s="1"/>
  <c r="P16" i="2"/>
  <c r="T16" i="2" s="1"/>
  <c r="U15" i="2"/>
  <c r="S15" i="2"/>
  <c r="V15" i="2" s="1"/>
  <c r="P15" i="2"/>
  <c r="T15" i="2" s="1"/>
  <c r="V14" i="2"/>
  <c r="U14" i="2"/>
  <c r="T14" i="2"/>
  <c r="S14" i="2"/>
  <c r="P14" i="2"/>
  <c r="U13" i="2"/>
  <c r="S13" i="2"/>
  <c r="P13" i="2"/>
  <c r="T13" i="2" s="1"/>
  <c r="V12" i="2"/>
  <c r="U12" i="2"/>
  <c r="S12" i="2"/>
  <c r="P12" i="2"/>
  <c r="T12" i="2" s="1"/>
  <c r="U11" i="2"/>
  <c r="S11" i="2"/>
  <c r="V11" i="2" s="1"/>
  <c r="P11" i="2"/>
  <c r="T11" i="2" s="1"/>
  <c r="U10" i="2"/>
  <c r="T10" i="2"/>
  <c r="S10" i="2"/>
  <c r="V10" i="2" s="1"/>
  <c r="P10" i="2"/>
  <c r="V9" i="2"/>
  <c r="U9" i="2"/>
  <c r="T9" i="2"/>
  <c r="S9" i="2"/>
  <c r="P9" i="2"/>
  <c r="V8" i="2"/>
  <c r="U8" i="2"/>
  <c r="S8" i="2"/>
  <c r="P8" i="2"/>
  <c r="T8" i="2" s="1"/>
  <c r="U7" i="2"/>
  <c r="S7" i="2"/>
  <c r="V7" i="2" s="1"/>
  <c r="P7" i="2"/>
  <c r="T7" i="2" s="1"/>
  <c r="U6" i="2"/>
  <c r="T6" i="2"/>
  <c r="S6" i="2"/>
  <c r="V6" i="2" s="1"/>
  <c r="P6" i="2"/>
  <c r="U5" i="2"/>
  <c r="T5" i="2"/>
  <c r="S5" i="2"/>
  <c r="V5" i="2" s="1"/>
  <c r="P5" i="2"/>
  <c r="V4" i="2"/>
  <c r="U4" i="2"/>
  <c r="S4" i="2"/>
  <c r="P4" i="2"/>
  <c r="T4" i="2" s="1"/>
  <c r="U3" i="2"/>
  <c r="T3" i="2"/>
  <c r="S3" i="2"/>
  <c r="V3" i="2" s="1"/>
  <c r="P3" i="2"/>
  <c r="S2" i="2"/>
  <c r="V33" i="2" s="1"/>
  <c r="P2" i="2"/>
  <c r="B1" i="2"/>
  <c r="M17" i="1"/>
  <c r="L17" i="1"/>
  <c r="J17" i="1"/>
  <c r="I17" i="1"/>
  <c r="F17" i="1"/>
  <c r="E17" i="1"/>
  <c r="O17" i="1" s="1"/>
  <c r="B17" i="1"/>
  <c r="M16" i="1"/>
  <c r="L16" i="1"/>
  <c r="J16" i="1"/>
  <c r="F16" i="1"/>
  <c r="I16" i="1" s="1"/>
  <c r="E16" i="1"/>
  <c r="G16" i="1" s="1"/>
  <c r="B16" i="1"/>
  <c r="M15" i="1"/>
  <c r="L15" i="1"/>
  <c r="J15" i="1"/>
  <c r="F15" i="1"/>
  <c r="I15" i="1" s="1"/>
  <c r="E15" i="1"/>
  <c r="P15" i="1" s="1"/>
  <c r="B15" i="1"/>
  <c r="M14" i="1"/>
  <c r="L14" i="1"/>
  <c r="J14" i="1"/>
  <c r="I14" i="1"/>
  <c r="F14" i="1"/>
  <c r="E14" i="1"/>
  <c r="O14" i="1" s="1"/>
  <c r="B14" i="1"/>
  <c r="M13" i="1"/>
  <c r="L13" i="1"/>
  <c r="J13" i="1"/>
  <c r="F13" i="1"/>
  <c r="I13" i="1" s="1"/>
  <c r="E13" i="1"/>
  <c r="B13" i="1"/>
  <c r="M12" i="1"/>
  <c r="L12" i="1"/>
  <c r="J12" i="1"/>
  <c r="F12" i="1"/>
  <c r="I12" i="1" s="1"/>
  <c r="E12" i="1"/>
  <c r="P12" i="1" s="1"/>
  <c r="B12" i="1"/>
  <c r="M11" i="1"/>
  <c r="L11" i="1"/>
  <c r="J11" i="1"/>
  <c r="I11" i="1"/>
  <c r="F11" i="1"/>
  <c r="E11" i="1"/>
  <c r="G11" i="1" s="1"/>
  <c r="B11" i="1"/>
  <c r="M10" i="1"/>
  <c r="L10" i="1"/>
  <c r="J10" i="1"/>
  <c r="E10" i="1"/>
  <c r="N10" i="1" s="1"/>
  <c r="B10" i="1"/>
  <c r="M9" i="1"/>
  <c r="L9" i="1"/>
  <c r="J9" i="1"/>
  <c r="I9" i="1"/>
  <c r="F9" i="1"/>
  <c r="E9" i="1"/>
  <c r="O9" i="1" s="1"/>
  <c r="B9" i="1"/>
  <c r="M8" i="1"/>
  <c r="L8" i="1"/>
  <c r="J8" i="1"/>
  <c r="F8" i="1"/>
  <c r="I8" i="1" s="1"/>
  <c r="E8" i="1"/>
  <c r="N8" i="1" s="1"/>
  <c r="B8" i="1"/>
  <c r="M7" i="1"/>
  <c r="L7" i="1"/>
  <c r="J7" i="1"/>
  <c r="F7" i="1"/>
  <c r="F19" i="1" s="1"/>
  <c r="F20" i="1" s="1"/>
  <c r="E7" i="1"/>
  <c r="G7" i="1" s="1"/>
  <c r="B7" i="1"/>
  <c r="M6" i="1"/>
  <c r="L6" i="1"/>
  <c r="J6" i="1"/>
  <c r="I6" i="1"/>
  <c r="F6" i="1"/>
  <c r="E6" i="1"/>
  <c r="G6" i="1" s="1"/>
  <c r="B6" i="1"/>
  <c r="M5" i="1"/>
  <c r="L5" i="1"/>
  <c r="J5" i="1"/>
  <c r="I5" i="1"/>
  <c r="F5" i="1"/>
  <c r="E5" i="1"/>
  <c r="P5" i="1" s="1"/>
  <c r="B5" i="1"/>
  <c r="M4" i="1"/>
  <c r="L4" i="1"/>
  <c r="J4" i="1"/>
  <c r="F4" i="1"/>
  <c r="I4" i="1" s="1"/>
  <c r="E4" i="1"/>
  <c r="P4" i="1" s="1"/>
  <c r="B4" i="1"/>
  <c r="G12" i="1" l="1"/>
  <c r="Q14" i="4"/>
  <c r="P14" i="1"/>
  <c r="P16" i="1"/>
  <c r="P7" i="1"/>
  <c r="N17" i="1"/>
  <c r="N16" i="1"/>
  <c r="Q16" i="4"/>
  <c r="Q7" i="4"/>
  <c r="Q12" i="4"/>
  <c r="Q17" i="4"/>
  <c r="Q19" i="4"/>
  <c r="Q5" i="4"/>
  <c r="Q10" i="4"/>
  <c r="O6" i="1"/>
  <c r="G14" i="1"/>
  <c r="G17" i="1"/>
  <c r="K22" i="4"/>
  <c r="Q15" i="4"/>
  <c r="Q6" i="4"/>
  <c r="Q13" i="4"/>
  <c r="G4" i="1"/>
  <c r="J20" i="1"/>
  <c r="O11" i="1"/>
  <c r="Q4" i="4"/>
  <c r="Q22" i="4" s="1"/>
  <c r="Q11" i="4"/>
  <c r="O4" i="1"/>
  <c r="P6" i="1"/>
  <c r="G9" i="1"/>
  <c r="P17" i="1"/>
  <c r="Q18" i="4"/>
  <c r="Q8" i="4"/>
  <c r="Q9" i="4"/>
  <c r="M18" i="1"/>
  <c r="P11" i="1"/>
  <c r="P9" i="1"/>
  <c r="N13" i="1"/>
  <c r="O12" i="1"/>
  <c r="N12" i="1"/>
  <c r="N5" i="1"/>
  <c r="I7" i="1"/>
  <c r="P10" i="1"/>
  <c r="G13" i="1"/>
  <c r="N6" i="1"/>
  <c r="N11" i="1"/>
  <c r="O16" i="1"/>
  <c r="O10" i="1"/>
  <c r="O5" i="1"/>
  <c r="G8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15" i="1"/>
  <c r="G10" i="1"/>
  <c r="O13" i="1"/>
  <c r="O8" i="1"/>
  <c r="V45" i="2"/>
  <c r="V77" i="2"/>
  <c r="V93" i="2"/>
  <c r="G5" i="1"/>
  <c r="P8" i="1"/>
  <c r="P13" i="1"/>
  <c r="V13" i="2"/>
  <c r="N9" i="1"/>
  <c r="N14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V29" i="2"/>
  <c r="V61" i="2"/>
  <c r="N4" i="1"/>
  <c r="N15" i="1"/>
  <c r="O15" i="1"/>
  <c r="J13" i="4" l="1"/>
  <c r="J12" i="4"/>
  <c r="J17" i="4"/>
  <c r="O7" i="1"/>
  <c r="O20" i="1" s="1"/>
  <c r="N7" i="1"/>
  <c r="J19" i="4"/>
  <c r="J18" i="4"/>
  <c r="J14" i="4"/>
  <c r="J9" i="4"/>
  <c r="J8" i="4"/>
  <c r="J7" i="4"/>
  <c r="J15" i="4"/>
  <c r="J11" i="4"/>
  <c r="J6" i="4"/>
  <c r="J5" i="4"/>
  <c r="J16" i="4"/>
  <c r="G19" i="1"/>
  <c r="J10" i="4"/>
  <c r="J4" i="4"/>
  <c r="G21" i="4"/>
  <c r="H5" i="4" s="1"/>
  <c r="P20" i="1"/>
  <c r="H14" i="4" l="1"/>
  <c r="S14" i="4" s="1"/>
  <c r="S5" i="4"/>
  <c r="L5" i="4"/>
  <c r="R5" i="4"/>
  <c r="L14" i="4"/>
  <c r="R14" i="4"/>
  <c r="H18" i="4"/>
  <c r="H11" i="4"/>
  <c r="H17" i="4"/>
  <c r="H10" i="4"/>
  <c r="G20" i="1"/>
  <c r="H19" i="1" s="1"/>
  <c r="D19" i="1"/>
  <c r="H16" i="4"/>
  <c r="H7" i="4"/>
  <c r="H6" i="4"/>
  <c r="H4" i="4"/>
  <c r="H12" i="4"/>
  <c r="G22" i="4"/>
  <c r="H21" i="4"/>
  <c r="H19" i="4"/>
  <c r="H15" i="4"/>
  <c r="H8" i="4"/>
  <c r="H13" i="4"/>
  <c r="H9" i="4"/>
  <c r="S6" i="4" l="1"/>
  <c r="R6" i="4"/>
  <c r="L6" i="4"/>
  <c r="R16" i="4"/>
  <c r="S16" i="4"/>
  <c r="L16" i="4"/>
  <c r="S8" i="4"/>
  <c r="L8" i="4"/>
  <c r="R8" i="4"/>
  <c r="S17" i="4"/>
  <c r="L17" i="4"/>
  <c r="R17" i="4"/>
  <c r="H12" i="1"/>
  <c r="H7" i="1"/>
  <c r="H20" i="1"/>
  <c r="D20" i="1"/>
  <c r="H4" i="1"/>
  <c r="H14" i="1"/>
  <c r="H9" i="1"/>
  <c r="H18" i="1"/>
  <c r="H17" i="1"/>
  <c r="H6" i="1"/>
  <c r="H16" i="1"/>
  <c r="H11" i="1"/>
  <c r="H5" i="1"/>
  <c r="H13" i="1"/>
  <c r="H8" i="1"/>
  <c r="H15" i="1"/>
  <c r="H10" i="1"/>
  <c r="S9" i="4"/>
  <c r="R9" i="4"/>
  <c r="L9" i="4"/>
  <c r="R18" i="4"/>
  <c r="L18" i="4"/>
  <c r="S18" i="4"/>
  <c r="D21" i="4"/>
  <c r="H20" i="4"/>
  <c r="H22" i="4"/>
  <c r="L7" i="4"/>
  <c r="R7" i="4"/>
  <c r="S7" i="4"/>
  <c r="R10" i="4"/>
  <c r="S10" i="4"/>
  <c r="L10" i="4"/>
  <c r="R11" i="4"/>
  <c r="S11" i="4"/>
  <c r="L11" i="4"/>
  <c r="R15" i="4"/>
  <c r="S15" i="4"/>
  <c r="L15" i="4"/>
  <c r="S19" i="4"/>
  <c r="R19" i="4"/>
  <c r="L19" i="4"/>
  <c r="R12" i="4"/>
  <c r="S12" i="4"/>
  <c r="L12" i="4"/>
  <c r="L13" i="4"/>
  <c r="R13" i="4"/>
  <c r="S13" i="4"/>
  <c r="L4" i="4"/>
  <c r="L22" i="4" s="1"/>
  <c r="S4" i="4"/>
  <c r="R4" i="4"/>
  <c r="R22" i="4" s="1"/>
  <c r="AC12" i="1" l="1"/>
  <c r="AB12" i="1"/>
  <c r="AA12" i="1"/>
  <c r="Z12" i="1"/>
  <c r="Y12" i="1"/>
  <c r="Q12" i="1"/>
  <c r="K12" i="1"/>
  <c r="AC17" i="1"/>
  <c r="Y17" i="1"/>
  <c r="AB17" i="1"/>
  <c r="AA17" i="1"/>
  <c r="Z17" i="1"/>
  <c r="K17" i="1"/>
  <c r="Q17" i="1"/>
  <c r="AB10" i="1"/>
  <c r="AC10" i="1"/>
  <c r="AA10" i="1"/>
  <c r="Z10" i="1"/>
  <c r="Y10" i="1"/>
  <c r="K10" i="1"/>
  <c r="Q10" i="1"/>
  <c r="AC15" i="1"/>
  <c r="AB15" i="1"/>
  <c r="AA15" i="1"/>
  <c r="Z15" i="1"/>
  <c r="Y15" i="1"/>
  <c r="K15" i="1"/>
  <c r="Q15" i="1"/>
  <c r="AC13" i="1"/>
  <c r="AA13" i="1"/>
  <c r="Y13" i="1"/>
  <c r="K13" i="1"/>
  <c r="Z13" i="1"/>
  <c r="AB13" i="1"/>
  <c r="Q13" i="1"/>
  <c r="AC7" i="1"/>
  <c r="AB7" i="1"/>
  <c r="Z7" i="1"/>
  <c r="Y7" i="1"/>
  <c r="AA7" i="1"/>
  <c r="Q7" i="1"/>
  <c r="K7" i="1"/>
  <c r="AC8" i="1"/>
  <c r="AA8" i="1"/>
  <c r="Y8" i="1"/>
  <c r="K8" i="1"/>
  <c r="AB8" i="1"/>
  <c r="Z8" i="1"/>
  <c r="Q8" i="1"/>
  <c r="AC16" i="1"/>
  <c r="Z16" i="1"/>
  <c r="AB16" i="1"/>
  <c r="AA16" i="1"/>
  <c r="Y16" i="1"/>
  <c r="Q16" i="1"/>
  <c r="K16" i="1"/>
  <c r="AC6" i="1"/>
  <c r="AB6" i="1"/>
  <c r="Y6" i="1"/>
  <c r="AA6" i="1"/>
  <c r="Z6" i="1"/>
  <c r="Q6" i="1"/>
  <c r="K6" i="1"/>
  <c r="Z9" i="1"/>
  <c r="K9" i="1"/>
  <c r="AC9" i="1"/>
  <c r="Y9" i="1"/>
  <c r="AB9" i="1"/>
  <c r="AA9" i="1"/>
  <c r="Q9" i="1"/>
  <c r="Y14" i="1"/>
  <c r="Z14" i="1"/>
  <c r="K14" i="1"/>
  <c r="AA14" i="1"/>
  <c r="AC14" i="1"/>
  <c r="AB14" i="1"/>
  <c r="Q14" i="1"/>
  <c r="AB5" i="1"/>
  <c r="AC5" i="1"/>
  <c r="AA5" i="1"/>
  <c r="Z5" i="1"/>
  <c r="Y5" i="1"/>
  <c r="Q5" i="1"/>
  <c r="K5" i="1"/>
  <c r="AA11" i="1"/>
  <c r="AC11" i="1"/>
  <c r="AB11" i="1"/>
  <c r="Z11" i="1"/>
  <c r="Y11" i="1"/>
  <c r="Q11" i="1"/>
  <c r="K11" i="1"/>
  <c r="Z4" i="1"/>
  <c r="AC4" i="1"/>
  <c r="AB4" i="1"/>
  <c r="Y4" i="1"/>
  <c r="Y18" i="1" s="1"/>
  <c r="AA4" i="1"/>
  <c r="AA18" i="1" s="1"/>
  <c r="K4" i="1"/>
  <c r="Q4" i="1"/>
  <c r="AC18" i="1" l="1"/>
  <c r="AB18" i="1"/>
  <c r="Z18" i="1"/>
  <c r="Q20" i="1"/>
  <c r="K20" i="1"/>
</calcChain>
</file>

<file path=xl/sharedStrings.xml><?xml version="1.0" encoding="utf-8"?>
<sst xmlns="http://schemas.openxmlformats.org/spreadsheetml/2006/main" count="276" uniqueCount="127">
  <si>
    <t xml:space="preserve"> </t>
  </si>
  <si>
    <t>Rebalance Date:</t>
  </si>
  <si>
    <t>Weighted</t>
  </si>
  <si>
    <t>Ticker</t>
  </si>
  <si>
    <t>Name</t>
  </si>
  <si>
    <t>Shares</t>
  </si>
  <si>
    <t>Initial Price</t>
  </si>
  <si>
    <t>Current Price</t>
  </si>
  <si>
    <t>Portfolio Start Value</t>
  </si>
  <si>
    <t>Current Value</t>
  </si>
  <si>
    <t>Weight</t>
  </si>
  <si>
    <t>Average Unit Cost</t>
  </si>
  <si>
    <t>Daily % Change</t>
  </si>
  <si>
    <t>Daily % Change Including Weights</t>
  </si>
  <si>
    <t>90-Day Return</t>
  </si>
  <si>
    <t>YTD Return</t>
  </si>
  <si>
    <t>Annualized HPR</t>
  </si>
  <si>
    <t>Total % Change</t>
  </si>
  <si>
    <t>% Change For Portfolio</t>
  </si>
  <si>
    <t>% Change Including Weights</t>
  </si>
  <si>
    <t>Main Region</t>
  </si>
  <si>
    <t>Main Sector(s)</t>
  </si>
  <si>
    <t>Asia</t>
  </si>
  <si>
    <t>Africa</t>
  </si>
  <si>
    <t>Lat Am</t>
  </si>
  <si>
    <t>Europe</t>
  </si>
  <si>
    <t>North America</t>
  </si>
  <si>
    <t>EMQQ</t>
  </si>
  <si>
    <t>Asia (74.38%)
Latin America(9.92%) Europe(10.64%) Africa (5.12%)</t>
  </si>
  <si>
    <t>Consumer Discretionary (33.16%)
Technology (28.49%)</t>
  </si>
  <si>
    <t>FINX</t>
  </si>
  <si>
    <t xml:space="preserve">United States (65.74%), Europe (16.47%), Australia (15.08%) </t>
  </si>
  <si>
    <t xml:space="preserve">Financials (51.30%) Software &amp; IT(48.69%)
</t>
  </si>
  <si>
    <t>KURE</t>
  </si>
  <si>
    <t>Asia- China (54.45%) and Hong Kong(44.90%) Europe(0.65%)</t>
  </si>
  <si>
    <t xml:space="preserve"> Pharmaceuticals (50.63%) Health Care Equipment(18.09%) Biotechnology (16.98%) Healthcare Provider (10.43%)</t>
  </si>
  <si>
    <t>EWN</t>
  </si>
  <si>
    <t>Europe Netherlands (97.41%)
United States (2.59%)</t>
  </si>
  <si>
    <t>Technology (41.51%)
Financials (16.31%)</t>
  </si>
  <si>
    <t>ICLN</t>
  </si>
  <si>
    <t>North America (44.66%)
Europe (22.33%)</t>
  </si>
  <si>
    <t>Renewable Energy(49.31%), Electric Utilities(29.08%)</t>
  </si>
  <si>
    <t>ESPO</t>
  </si>
  <si>
    <t>Asia (57.17%) North America (35.89%) Europe (6.93%)</t>
  </si>
  <si>
    <t>Industrials (90%)</t>
  </si>
  <si>
    <t>HEWG</t>
  </si>
  <si>
    <t>Europe (98.38%)</t>
  </si>
  <si>
    <t>Consumer Discretionary (19.79%)
Industrials (16.03%) Financials (14.28%)</t>
  </si>
  <si>
    <t>XLP</t>
  </si>
  <si>
    <t>North America (100%)</t>
  </si>
  <si>
    <t>Consumer non-cyclical (95.61%)</t>
  </si>
  <si>
    <t>VPU</t>
  </si>
  <si>
    <t>Utilities (100%)</t>
  </si>
  <si>
    <t>ROBT</t>
  </si>
  <si>
    <t>North America (63.04%)
Europe (17.51%) Asia(14.80%)</t>
  </si>
  <si>
    <t>Technology (60.07%)
Industrials (21.37%)</t>
  </si>
  <si>
    <t>SRVR</t>
  </si>
  <si>
    <t>North America (80.88%)
Asia (9.28%) Europe(7.36%)</t>
  </si>
  <si>
    <t>Real Estate (100%)</t>
  </si>
  <si>
    <t>ENZL</t>
  </si>
  <si>
    <t>Asia (100%)</t>
  </si>
  <si>
    <t>Healthcare (27.02%)
Utilities (23.33%)</t>
  </si>
  <si>
    <t>FPXE</t>
  </si>
  <si>
    <t>Europe (79.14%) North America(14.53%)</t>
  </si>
  <si>
    <t>Technology (29.85%) Healthcare (17.09%) Financials (13.87%)</t>
  </si>
  <si>
    <t>IYT</t>
  </si>
  <si>
    <t>Transportation (100%)</t>
  </si>
  <si>
    <t>CASH</t>
  </si>
  <si>
    <t>Total</t>
  </si>
  <si>
    <t>ETF Value</t>
  </si>
  <si>
    <t>% Change ETF</t>
  </si>
  <si>
    <t>Total Value</t>
  </si>
  <si>
    <t>FINXX</t>
  </si>
  <si>
    <t>UUP</t>
  </si>
  <si>
    <t>ITA</t>
  </si>
  <si>
    <t>Portfolio</t>
  </si>
  <si>
    <t>BND</t>
  </si>
  <si>
    <t>ACWI</t>
  </si>
  <si>
    <t>70/100</t>
  </si>
  <si>
    <t>Return Port</t>
  </si>
  <si>
    <t>Return 100</t>
  </si>
  <si>
    <t>Return 70/30</t>
  </si>
  <si>
    <t>Share</t>
  </si>
  <si>
    <t>Symbol</t>
  </si>
  <si>
    <t>Initial Price (on 1/7/2019)</t>
  </si>
  <si>
    <t>Total Return</t>
  </si>
  <si>
    <t>Total Change Including weights</t>
  </si>
  <si>
    <t>INXX</t>
  </si>
  <si>
    <t>Cash (Liquidated)</t>
  </si>
  <si>
    <t>BOTZ</t>
  </si>
  <si>
    <t>EWZ</t>
  </si>
  <si>
    <t>ECH</t>
  </si>
  <si>
    <t>IHI</t>
  </si>
  <si>
    <t>HEWJ</t>
  </si>
  <si>
    <t>KIE</t>
  </si>
  <si>
    <t>Activity of Already Held ETFs on 12/27/2019</t>
  </si>
  <si>
    <t>Weighted Buy Price Already Held</t>
  </si>
  <si>
    <t>Activity of Already Held ETFs on 1/6/2019</t>
  </si>
  <si>
    <t>Price When Bought on 12/22/2017</t>
  </si>
  <si>
    <t>Quantity</t>
  </si>
  <si>
    <t>Price</t>
  </si>
  <si>
    <t>Value</t>
  </si>
  <si>
    <t>Current Weighted Buy Price</t>
  </si>
  <si>
    <t>Weighted Buy Price</t>
  </si>
  <si>
    <t>Bought More</t>
  </si>
  <si>
    <t>Reduced Position</t>
  </si>
  <si>
    <t>Completely Sold</t>
  </si>
  <si>
    <t>Activity of ETFs Held on 03/26/2020</t>
  </si>
  <si>
    <t>SOCL</t>
  </si>
  <si>
    <t>Completely sold</t>
  </si>
  <si>
    <t>VNM</t>
  </si>
  <si>
    <t>ARGT</t>
  </si>
  <si>
    <t>EWO</t>
  </si>
  <si>
    <t>Performance A calculates returns based on the initial price of the ETF when bought. For ETFs that have been repurchased, the weighted price calculates in Sheet "WT Price" has been used</t>
  </si>
  <si>
    <t>Performance B calculates returns taking the price on 1/7/2019 as the initial price</t>
  </si>
  <si>
    <t>Total % Change uses Average Unit Cost</t>
  </si>
  <si>
    <t>% Change for Portfolio uses respective initial prices</t>
  </si>
  <si>
    <t>Equity</t>
  </si>
  <si>
    <t>Fixed Income</t>
  </si>
  <si>
    <t>Rankings</t>
  </si>
  <si>
    <t>Range</t>
  </si>
  <si>
    <t>40-45%</t>
  </si>
  <si>
    <t>Latin America</t>
  </si>
  <si>
    <t>16-21%</t>
  </si>
  <si>
    <t>17-21%</t>
  </si>
  <si>
    <t>Cash</t>
  </si>
  <si>
    <t>0-13%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</si>
</sst>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\ h:mm:ss"/>
  </numFmts>
  <fonts count="19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274E13"/>
      <name val="Arial"/>
    </font>
    <font>
      <sz val="10"/>
      <color rgb="FF990000"/>
      <name val="Arial"/>
    </font>
    <font>
      <b/>
      <sz val="10"/>
      <color rgb="FF000000"/>
      <name val="Arial"/>
    </font>
    <font>
      <sz val="12"/>
      <color rgb="FF404040"/>
      <name val="Arial"/>
    </font>
    <font>
      <sz val="11"/>
      <color rgb="FF188038"/>
      <name val="Monospace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7"/>
      <name val="Roboto"/>
    </font>
  </fonts>
  <fills count="11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EDEDE"/>
        <bgColor rgb="FFDEDEDE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0" fontId="8" fillId="0" borderId="7" xfId="0" applyNumberFormat="1" applyFont="1" applyBorder="1" applyAlignment="1">
      <alignment vertical="center"/>
    </xf>
    <xf numFmtId="10" fontId="8" fillId="0" borderId="0" xfId="0" applyNumberFormat="1" applyFont="1" applyAlignment="1">
      <alignment vertical="center"/>
    </xf>
    <xf numFmtId="10" fontId="8" fillId="0" borderId="3" xfId="0" applyNumberFormat="1" applyFont="1" applyBorder="1" applyAlignment="1">
      <alignment vertical="center"/>
    </xf>
    <xf numFmtId="10" fontId="8" fillId="0" borderId="4" xfId="0" applyNumberFormat="1" applyFont="1" applyBorder="1" applyAlignment="1">
      <alignment vertical="center"/>
    </xf>
    <xf numFmtId="10" fontId="8" fillId="0" borderId="5" xfId="0" applyNumberFormat="1" applyFont="1" applyBorder="1" applyAlignment="1">
      <alignment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right" vertical="center"/>
    </xf>
    <xf numFmtId="10" fontId="8" fillId="0" borderId="7" xfId="0" applyNumberFormat="1" applyFont="1" applyBorder="1" applyAlignment="1">
      <alignment vertical="center"/>
    </xf>
    <xf numFmtId="10" fontId="8" fillId="0" borderId="0" xfId="0" applyNumberFormat="1" applyFont="1" applyAlignment="1">
      <alignment vertical="center"/>
    </xf>
    <xf numFmtId="10" fontId="8" fillId="0" borderId="8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0" fontId="8" fillId="0" borderId="7" xfId="0" applyNumberFormat="1" applyFont="1" applyBorder="1" applyAlignment="1">
      <alignment horizontal="right" vertical="center"/>
    </xf>
    <xf numFmtId="10" fontId="8" fillId="0" borderId="8" xfId="0" applyNumberFormat="1" applyFont="1" applyBorder="1" applyAlignment="1">
      <alignment horizontal="right" vertical="center"/>
    </xf>
    <xf numFmtId="0" fontId="7" fillId="5" borderId="7" xfId="0" applyFont="1" applyFill="1" applyBorder="1" applyAlignment="1">
      <alignment horizontal="center"/>
    </xf>
    <xf numFmtId="10" fontId="1" fillId="4" borderId="7" xfId="0" applyNumberFormat="1" applyFont="1" applyFill="1" applyBorder="1" applyAlignment="1">
      <alignment horizontal="right" vertical="center"/>
    </xf>
    <xf numFmtId="10" fontId="1" fillId="4" borderId="0" xfId="0" applyNumberFormat="1" applyFont="1" applyFill="1" applyAlignment="1">
      <alignment horizontal="right" vertical="center"/>
    </xf>
    <xf numFmtId="10" fontId="1" fillId="4" borderId="8" xfId="0" applyNumberFormat="1" applyFont="1" applyFill="1" applyBorder="1" applyAlignment="1">
      <alignment horizontal="right" vertical="center"/>
    </xf>
    <xf numFmtId="10" fontId="8" fillId="4" borderId="7" xfId="0" applyNumberFormat="1" applyFont="1" applyFill="1" applyBorder="1" applyAlignment="1">
      <alignment vertical="center"/>
    </xf>
    <xf numFmtId="10" fontId="8" fillId="4" borderId="0" xfId="0" applyNumberFormat="1" applyFont="1" applyFill="1" applyAlignment="1">
      <alignment vertical="center"/>
    </xf>
    <xf numFmtId="10" fontId="8" fillId="4" borderId="8" xfId="0" applyNumberFormat="1" applyFont="1" applyFill="1" applyBorder="1" applyAlignment="1">
      <alignment vertical="center"/>
    </xf>
    <xf numFmtId="10" fontId="1" fillId="0" borderId="7" xfId="0" applyNumberFormat="1" applyFont="1" applyBorder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10" fontId="1" fillId="0" borderId="8" xfId="0" applyNumberFormat="1" applyFont="1" applyBorder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10" fontId="2" fillId="6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10" fontId="0" fillId="6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center"/>
    </xf>
    <xf numFmtId="0" fontId="9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0" fontId="8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0" fontId="10" fillId="0" borderId="10" xfId="0" applyNumberFormat="1" applyFont="1" applyBorder="1" applyAlignment="1">
      <alignment horizontal="center" vertical="center"/>
    </xf>
    <xf numFmtId="10" fontId="11" fillId="0" borderId="10" xfId="0" applyNumberFormat="1" applyFont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0" fontId="1" fillId="0" borderId="11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8" fillId="0" borderId="10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7" borderId="0" xfId="0" applyNumberFormat="1" applyFont="1" applyFill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0" fontId="1" fillId="4" borderId="14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0" fontId="12" fillId="7" borderId="2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10" fontId="7" fillId="7" borderId="10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0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0" fontId="7" fillId="0" borderId="10" xfId="0" applyNumberFormat="1" applyFont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10" fontId="13" fillId="8" borderId="15" xfId="0" applyNumberFormat="1" applyFont="1" applyFill="1" applyBorder="1" applyAlignment="1">
      <alignment horizontal="center"/>
    </xf>
    <xf numFmtId="9" fontId="13" fillId="8" borderId="15" xfId="0" applyNumberFormat="1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4" fillId="6" borderId="0" xfId="0" applyFont="1" applyFill="1" applyAlignment="1">
      <alignment horizontal="left"/>
    </xf>
    <xf numFmtId="0" fontId="1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5" fontId="15" fillId="0" borderId="0" xfId="0" applyNumberFormat="1" applyFont="1"/>
    <xf numFmtId="0" fontId="15" fillId="0" borderId="0" xfId="0" applyFont="1"/>
    <xf numFmtId="0" fontId="2" fillId="10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0" xfId="0" applyFont="1" applyFill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10" fontId="0" fillId="0" borderId="1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4" fontId="0" fillId="7" borderId="4" xfId="0" applyNumberFormat="1" applyFont="1" applyFill="1" applyBorder="1" applyAlignment="1">
      <alignment horizontal="center"/>
    </xf>
    <xf numFmtId="164" fontId="0" fillId="7" borderId="4" xfId="0" applyNumberFormat="1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0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7" fillId="0" borderId="7" xfId="0" applyFont="1" applyBorder="1" applyAlignme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5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7" xfId="0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8" xfId="0" applyNumberFormat="1" applyFont="1" applyBorder="1" applyAlignment="1">
      <alignment horizontal="left"/>
    </xf>
    <xf numFmtId="0" fontId="15" fillId="0" borderId="7" xfId="0" applyFont="1" applyBorder="1"/>
    <xf numFmtId="164" fontId="15" fillId="0" borderId="0" xfId="0" applyNumberFormat="1" applyFont="1"/>
    <xf numFmtId="164" fontId="15" fillId="0" borderId="8" xfId="0" applyNumberFormat="1" applyFont="1" applyBorder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1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7" fillId="0" borderId="11" xfId="0" applyFont="1" applyBorder="1" applyAlignment="1"/>
    <xf numFmtId="0" fontId="1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right"/>
    </xf>
    <xf numFmtId="164" fontId="17" fillId="0" borderId="10" xfId="0" applyNumberFormat="1" applyFont="1" applyBorder="1" applyAlignment="1">
      <alignment horizontal="right"/>
    </xf>
    <xf numFmtId="164" fontId="15" fillId="0" borderId="12" xfId="0" applyNumberFormat="1" applyFont="1" applyBorder="1" applyAlignment="1">
      <alignment horizontal="left"/>
    </xf>
    <xf numFmtId="0" fontId="17" fillId="0" borderId="0" xfId="0" applyFont="1" applyAlignment="1"/>
    <xf numFmtId="164" fontId="15" fillId="0" borderId="0" xfId="0" applyNumberFormat="1" applyFont="1" applyAlignment="1"/>
    <xf numFmtId="164" fontId="15" fillId="0" borderId="0" xfId="0" applyNumberFormat="1" applyFont="1"/>
    <xf numFmtId="0" fontId="15" fillId="0" borderId="11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9" fontId="15" fillId="0" borderId="0" xfId="0" applyNumberFormat="1" applyFont="1" applyAlignment="1"/>
    <xf numFmtId="10" fontId="15" fillId="0" borderId="0" xfId="0" applyNumberFormat="1" applyFont="1" applyAlignment="1"/>
    <xf numFmtId="10" fontId="18" fillId="0" borderId="0" xfId="0" applyNumberFormat="1" applyFont="1" applyAlignment="1"/>
    <xf numFmtId="0" fontId="18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274E13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274E13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274E1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" sqref="A7"/>
    </sheetView>
  </sheetViews>
  <sheetFormatPr defaultColWidth="14.42578125" defaultRowHeight="15.75" customHeight="1"/>
  <cols>
    <col min="2" max="2" width="57.28515625" customWidth="1"/>
    <col min="3" max="3" width="15" customWidth="1"/>
    <col min="4" max="4" width="19.140625" customWidth="1"/>
    <col min="8" max="8" width="8.42578125" customWidth="1"/>
    <col min="9" max="9" width="11.85546875" customWidth="1"/>
    <col min="10" max="10" width="14.42578125" customWidth="1"/>
    <col min="11" max="11" width="20.5703125" customWidth="1"/>
    <col min="14" max="14" width="10.28515625" customWidth="1"/>
    <col min="18" max="18" width="23.28515625" customWidth="1"/>
    <col min="19" max="19" width="27.28515625" customWidth="1"/>
  </cols>
  <sheetData>
    <row r="1" spans="1:29" ht="2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 t="s">
        <v>0</v>
      </c>
    </row>
    <row r="2" spans="1:29" ht="12.75">
      <c r="A2" s="3"/>
      <c r="B2" s="4" t="s">
        <v>1</v>
      </c>
      <c r="C2" s="5">
        <v>44238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"/>
      <c r="S2" s="2"/>
      <c r="T2" s="2"/>
      <c r="U2" s="2"/>
      <c r="V2" s="2"/>
      <c r="W2" s="2"/>
      <c r="X2" s="2"/>
      <c r="Y2" s="236" t="s">
        <v>2</v>
      </c>
      <c r="Z2" s="237"/>
      <c r="AA2" s="237"/>
      <c r="AB2" s="237"/>
      <c r="AC2" s="237"/>
    </row>
    <row r="3" spans="1:29" ht="38.25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9" t="s">
        <v>8</v>
      </c>
      <c r="G3" s="10" t="s">
        <v>9</v>
      </c>
      <c r="H3" s="11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12" t="s">
        <v>17</v>
      </c>
      <c r="P3" s="9" t="s">
        <v>18</v>
      </c>
      <c r="Q3" s="13" t="s">
        <v>19</v>
      </c>
      <c r="R3" s="14" t="s">
        <v>20</v>
      </c>
      <c r="S3" s="14" t="s">
        <v>21</v>
      </c>
      <c r="T3" s="15" t="s">
        <v>22</v>
      </c>
      <c r="U3" s="16" t="s">
        <v>23</v>
      </c>
      <c r="V3" s="16" t="s">
        <v>24</v>
      </c>
      <c r="W3" s="16" t="s">
        <v>25</v>
      </c>
      <c r="X3" s="17" t="s">
        <v>26</v>
      </c>
      <c r="Y3" s="15" t="s">
        <v>22</v>
      </c>
      <c r="Z3" s="16" t="s">
        <v>23</v>
      </c>
      <c r="AA3" s="16" t="s">
        <v>24</v>
      </c>
      <c r="AB3" s="16" t="s">
        <v>25</v>
      </c>
      <c r="AC3" s="17" t="s">
        <v>26</v>
      </c>
    </row>
    <row r="4" spans="1:29" ht="51">
      <c r="A4" s="18" t="s">
        <v>27</v>
      </c>
      <c r="B4" s="19" t="str">
        <f ca="1">IFERROR(__xludf.DUMMYFUNCTION("GOOGLEFINANCE(A4, ""name"")"),"EMQQ The Emerging Markets Internet &amp; Ecommerce ETF")</f>
        <v>EMQQ The Emerging Markets Internet &amp; Ecommerce ETF</v>
      </c>
      <c r="C4" s="20">
        <v>79</v>
      </c>
      <c r="D4" s="21">
        <v>38.03</v>
      </c>
      <c r="E4" s="22">
        <f ca="1">IFERROR(__xludf.DUMMYFUNCTION("GOOGLEFINANCE(A4)"),42.64)</f>
        <v>42.64</v>
      </c>
      <c r="F4" s="22">
        <f t="shared" ref="F4:F17" si="0">D4*C4</f>
        <v>3004.37</v>
      </c>
      <c r="G4" s="22">
        <f t="shared" ref="G4:G15" ca="1" si="1">C4*E4</f>
        <v>3368.56</v>
      </c>
      <c r="H4" s="23">
        <f t="shared" ref="H4:H20" ca="1" si="2">G4/$G$20</f>
        <v>8.7759826072684233E-2</v>
      </c>
      <c r="I4" s="24">
        <f t="shared" ref="I4:I17" si="3">F4/C4</f>
        <v>38.03</v>
      </c>
      <c r="J4" s="25">
        <f ca="1">IFERROR(__xludf.DUMMYFUNCTION("(googlefinance(A4, ""changepct"")/100)"),0.0455999999999999)</f>
        <v>4.5599999999999898E-2</v>
      </c>
      <c r="K4" s="23">
        <f t="shared" ref="K4:K17" ca="1" si="4">J4*H4</f>
        <v>4.0018480689143921E-3</v>
      </c>
      <c r="L4" s="25">
        <f ca="1">IFERROR(__xludf.DUMMYFUNCTION("(E4-INDEX(GOOGLEFINANCE(A4,""open"",(TODAY()-90)),2,2))/INDEX(GOOGLEFINANCE(A4,""open"",Today()-90),2,2)"),-0.169781931464174)</f>
        <v>-0.169781931464174</v>
      </c>
      <c r="M4" s="26">
        <f ca="1">IFERROR(__xludf.DUMMYFUNCTION("(E4-INDEX(GOOGLEFINANCE(A4,""close"",Date(Year(Today()),1,1)),2,2))/INDEX(GOOGLEFINANCE(A4,""close"",Date(Year(Today()),1,1)),2,2)"),-0.00513299113392437)</f>
        <v>-5.1329911339243698E-3</v>
      </c>
      <c r="N4" s="25">
        <f t="shared" ref="N4:N14" ca="1" si="5">(((E4-I4)/I4)+1)^(1/((TODAY()-U5)/365)) - 1</f>
        <v>9.3738233321083442E-4</v>
      </c>
      <c r="O4" s="23">
        <f t="shared" ref="O4:O17" ca="1" si="6">(E4-I4)/I4</f>
        <v>0.12122008940310279</v>
      </c>
      <c r="P4" s="23">
        <f t="shared" ref="P4:P17" ca="1" si="7">(E4-D4)/D4</f>
        <v>0.12122008940310279</v>
      </c>
      <c r="Q4" s="27">
        <f t="shared" ref="Q4:Q17" ca="1" si="8">P4*H4</f>
        <v>1.0638253962531534E-2</v>
      </c>
      <c r="R4" s="28" t="s">
        <v>28</v>
      </c>
      <c r="S4" s="29" t="s">
        <v>29</v>
      </c>
      <c r="T4" s="30">
        <v>0.74380000000000002</v>
      </c>
      <c r="U4" s="31">
        <v>5.1200000000000002E-2</v>
      </c>
      <c r="V4" s="31">
        <v>9.9199999999999997E-2</v>
      </c>
      <c r="W4" s="31">
        <v>0.10639999999999999</v>
      </c>
      <c r="X4" s="31">
        <v>0</v>
      </c>
      <c r="Y4" s="32">
        <f t="shared" ref="Y4:AC4" ca="1" si="9">T4*$H$4</f>
        <v>6.5275758632862529E-2</v>
      </c>
      <c r="Z4" s="33">
        <f t="shared" ca="1" si="9"/>
        <v>4.4933030949214333E-3</v>
      </c>
      <c r="AA4" s="33">
        <f t="shared" ca="1" si="9"/>
        <v>8.7057747464102751E-3</v>
      </c>
      <c r="AB4" s="33">
        <f t="shared" ca="1" si="9"/>
        <v>9.3376454941336024E-3</v>
      </c>
      <c r="AC4" s="34">
        <f t="shared" ca="1" si="9"/>
        <v>0</v>
      </c>
    </row>
    <row r="5" spans="1:29" ht="38.25">
      <c r="A5" s="18" t="s">
        <v>30</v>
      </c>
      <c r="B5" s="19" t="str">
        <f ca="1">IFERROR(__xludf.DUMMYFUNCTION("GOOGLEFINANCE(A5, ""name"")"),"Global X FinTech ETF")</f>
        <v>Global X FinTech ETF</v>
      </c>
      <c r="C5" s="35">
        <v>61</v>
      </c>
      <c r="D5" s="36">
        <v>21.9602</v>
      </c>
      <c r="E5" s="22">
        <f ca="1">IFERROR(__xludf.DUMMYFUNCTION("GOOGLEFINANCE(A5)"),37.71)</f>
        <v>37.71</v>
      </c>
      <c r="F5" s="22">
        <f t="shared" si="0"/>
        <v>1339.5722000000001</v>
      </c>
      <c r="G5" s="22">
        <f t="shared" ca="1" si="1"/>
        <v>2300.31</v>
      </c>
      <c r="H5" s="23">
        <f t="shared" ca="1" si="2"/>
        <v>5.9929110810927007E-2</v>
      </c>
      <c r="I5" s="24">
        <f t="shared" si="3"/>
        <v>21.9602</v>
      </c>
      <c r="J5" s="25">
        <f ca="1">IFERROR(__xludf.DUMMYFUNCTION("(googlefinance(A5, ""changepct"")/100)"),0.0349)</f>
        <v>3.49E-2</v>
      </c>
      <c r="K5" s="23">
        <f t="shared" ca="1" si="4"/>
        <v>2.0915259673013526E-3</v>
      </c>
      <c r="L5" s="25">
        <f ca="1">IFERROR(__xludf.DUMMYFUNCTION("(E5-INDEX(GOOGLEFINANCE(A5,""open"",(TODAY()-90)),2,2))/INDEX(GOOGLEFINANCE(A5,""open"",Today()-90),2,2)"),-0.225190055475652)</f>
        <v>-0.22519005547565199</v>
      </c>
      <c r="M5" s="26">
        <f ca="1">IFERROR(__xludf.DUMMYFUNCTION("(E5-INDEX(GOOGLEFINANCE(A5,""close"",Date(Year(Today()),1,1)),2,2))/INDEX(GOOGLEFINANCE(A5,""close"",Date(Year(Today()),1,1)),2,2)"),-0.0624067628045747)</f>
        <v>-6.2406762804574703E-2</v>
      </c>
      <c r="N5" s="25">
        <f t="shared" ca="1" si="5"/>
        <v>4.4374556154529454E-3</v>
      </c>
      <c r="O5" s="23">
        <f t="shared" ca="1" si="6"/>
        <v>0.71719747543282852</v>
      </c>
      <c r="P5" s="23">
        <f t="shared" ca="1" si="7"/>
        <v>0.71719747543282852</v>
      </c>
      <c r="Q5" s="27">
        <f t="shared" ca="1" si="8"/>
        <v>4.2981006978531078E-2</v>
      </c>
      <c r="R5" s="28" t="s">
        <v>31</v>
      </c>
      <c r="S5" s="28" t="s">
        <v>32</v>
      </c>
      <c r="T5" s="30">
        <v>1.9199999999999998E-2</v>
      </c>
      <c r="U5" s="37">
        <v>0</v>
      </c>
      <c r="V5" s="37">
        <v>0</v>
      </c>
      <c r="W5" s="37">
        <v>0.16470000000000001</v>
      </c>
      <c r="X5" s="37">
        <v>0.6653</v>
      </c>
      <c r="Y5" s="38">
        <f t="shared" ref="Y5:AC5" ca="1" si="10">T5*$H5</f>
        <v>1.1506389275697984E-3</v>
      </c>
      <c r="Z5" s="39">
        <f t="shared" ca="1" si="10"/>
        <v>0</v>
      </c>
      <c r="AA5" s="39">
        <f t="shared" ca="1" si="10"/>
        <v>0</v>
      </c>
      <c r="AB5" s="39">
        <f t="shared" ca="1" si="10"/>
        <v>9.8703245505596792E-3</v>
      </c>
      <c r="AC5" s="40">
        <f t="shared" ca="1" si="10"/>
        <v>3.9870837422509735E-2</v>
      </c>
    </row>
    <row r="6" spans="1:29" ht="63.75">
      <c r="A6" s="18" t="s">
        <v>33</v>
      </c>
      <c r="B6" s="19" t="str">
        <f ca="1">IFERROR(__xludf.DUMMYFUNCTION("GOOGLEFINANCE(A6, ""name"")"),"KraneShares MSCI All China Health Care Index ETF")</f>
        <v>KraneShares MSCI All China Health Care Index ETF</v>
      </c>
      <c r="C6" s="35">
        <v>46</v>
      </c>
      <c r="D6" s="41">
        <v>44.82</v>
      </c>
      <c r="E6" s="22">
        <f ca="1">IFERROR(__xludf.DUMMYFUNCTION("GOOGLEFINANCE(A6)"),27.33)</f>
        <v>27.33</v>
      </c>
      <c r="F6" s="22">
        <f t="shared" si="0"/>
        <v>2061.7199999999998</v>
      </c>
      <c r="G6" s="22">
        <f t="shared" ca="1" si="1"/>
        <v>1257.1799999999998</v>
      </c>
      <c r="H6" s="23">
        <f t="shared" ca="1" si="2"/>
        <v>3.2752837456378144E-2</v>
      </c>
      <c r="I6" s="24">
        <f t="shared" si="3"/>
        <v>44.819999999999993</v>
      </c>
      <c r="J6" s="25">
        <f ca="1">IFERROR(__xludf.DUMMYFUNCTION("(googlefinance(A6, ""changepct"")/100)"),0.0007)</f>
        <v>6.9999999999999999E-4</v>
      </c>
      <c r="K6" s="23">
        <f t="shared" ca="1" si="4"/>
        <v>2.2926986219464699E-5</v>
      </c>
      <c r="L6" s="25">
        <f ca="1">IFERROR(__xludf.DUMMYFUNCTION("(E6-INDEX(GOOGLEFINANCE(A6,""open"",(TODAY()-90)),2,2))/INDEX(GOOGLEFINANCE(A6,""open"",Today()-90),2,2)"),-0.257336956521739)</f>
        <v>-0.25733695652173899</v>
      </c>
      <c r="M6" s="26">
        <f ca="1">IFERROR(__xludf.DUMMYFUNCTION("(E6-INDEX(GOOGLEFINANCE(A6,""close"",Date(Year(Today()),1,1)),2,2))/INDEX(GOOGLEFINANCE(A6,""close"",Date(Year(Today()),1,1)),2,2)"),-0.0376760563380281)</f>
        <v>-3.7676056338028098E-2</v>
      </c>
      <c r="N6" s="25">
        <f t="shared" ca="1" si="5"/>
        <v>-4.0425629510004724E-3</v>
      </c>
      <c r="O6" s="23">
        <f t="shared" ca="1" si="6"/>
        <v>-0.39022757697456489</v>
      </c>
      <c r="P6" s="23">
        <f t="shared" ca="1" si="7"/>
        <v>-0.39022757697456495</v>
      </c>
      <c r="Q6" s="27">
        <f t="shared" ca="1" si="8"/>
        <v>-1.2781060399644216E-2</v>
      </c>
      <c r="R6" s="28" t="s">
        <v>34</v>
      </c>
      <c r="S6" s="28" t="s">
        <v>35</v>
      </c>
      <c r="T6" s="42">
        <v>0.99350000000000005</v>
      </c>
      <c r="U6" s="37">
        <v>0</v>
      </c>
      <c r="V6" s="37">
        <v>0</v>
      </c>
      <c r="W6" s="37">
        <v>6.4999999999999997E-3</v>
      </c>
      <c r="X6" s="37">
        <v>0</v>
      </c>
      <c r="Y6" s="38">
        <f t="shared" ref="Y6:AC6" ca="1" si="11">T6*$H6</f>
        <v>3.2539944012911687E-2</v>
      </c>
      <c r="Z6" s="39">
        <f t="shared" ca="1" si="11"/>
        <v>0</v>
      </c>
      <c r="AA6" s="39">
        <f t="shared" ca="1" si="11"/>
        <v>0</v>
      </c>
      <c r="AB6" s="39">
        <f t="shared" ca="1" si="11"/>
        <v>2.1289344346645791E-4</v>
      </c>
      <c r="AC6" s="40">
        <f t="shared" ca="1" si="11"/>
        <v>0</v>
      </c>
    </row>
    <row r="7" spans="1:29" ht="38.25">
      <c r="A7" s="18" t="s">
        <v>36</v>
      </c>
      <c r="B7" s="19" t="str">
        <f ca="1">IFERROR(__xludf.DUMMYFUNCTION("GOOGLEFINANCE(A7, ""name"")"),"iShares MSCI Netherlands ETF")</f>
        <v>iShares MSCI Netherlands ETF</v>
      </c>
      <c r="C7" s="35">
        <v>91</v>
      </c>
      <c r="D7" s="41">
        <v>30.24</v>
      </c>
      <c r="E7" s="22">
        <f ca="1">IFERROR(__xludf.DUMMYFUNCTION("GOOGLEFINANCE(A7)"),49.11)</f>
        <v>49.11</v>
      </c>
      <c r="F7" s="22">
        <f t="shared" si="0"/>
        <v>2751.8399999999997</v>
      </c>
      <c r="G7" s="22">
        <f t="shared" ca="1" si="1"/>
        <v>4469.01</v>
      </c>
      <c r="H7" s="23">
        <f t="shared" ca="1" si="2"/>
        <v>0.11642943581740761</v>
      </c>
      <c r="I7" s="24">
        <f t="shared" si="3"/>
        <v>30.239999999999995</v>
      </c>
      <c r="J7" s="25">
        <f ca="1">IFERROR(__xludf.DUMMYFUNCTION("(googlefinance(A7, ""changepct"")/100)"),0.0161)</f>
        <v>1.61E-2</v>
      </c>
      <c r="K7" s="23">
        <f t="shared" ca="1" si="4"/>
        <v>1.8745139166602624E-3</v>
      </c>
      <c r="L7" s="25">
        <f ca="1">IFERROR(__xludf.DUMMYFUNCTION("(E7-INDEX(GOOGLEFINANCE(A7,""open"",(TODAY()-90)),2,2))/INDEX(GOOGLEFINANCE(A7,""open"",Today()-90),2,2)"),-0.00947962888261393)</f>
        <v>-9.4796288826139302E-3</v>
      </c>
      <c r="M7" s="26">
        <f ca="1">IFERROR(__xludf.DUMMYFUNCTION("(E7-INDEX(GOOGLEFINANCE(A7,""close"",Date(Year(Today()),1,1)),2,2))/INDEX(GOOGLEFINANCE(A7,""close"",Date(Year(Today()),1,1)),2,2)"),-0.0281021175539283)</f>
        <v>-2.8102117553928298E-2</v>
      </c>
      <c r="N7" s="25">
        <f t="shared" ca="1" si="5"/>
        <v>3.978626128726237E-3</v>
      </c>
      <c r="O7" s="23">
        <f t="shared" ca="1" si="6"/>
        <v>0.62400793650793673</v>
      </c>
      <c r="P7" s="23">
        <f t="shared" ca="1" si="7"/>
        <v>0.62400793650793662</v>
      </c>
      <c r="Q7" s="27">
        <f t="shared" ca="1" si="8"/>
        <v>7.2652891993203766E-2</v>
      </c>
      <c r="R7" s="28" t="s">
        <v>37</v>
      </c>
      <c r="S7" s="28" t="s">
        <v>38</v>
      </c>
      <c r="T7" s="42">
        <v>0</v>
      </c>
      <c r="U7" s="37">
        <v>0</v>
      </c>
      <c r="V7" s="37">
        <v>0</v>
      </c>
      <c r="W7" s="37">
        <v>0.97409999999999997</v>
      </c>
      <c r="X7" s="43">
        <v>2.5899999999999999E-2</v>
      </c>
      <c r="Y7" s="38">
        <f t="shared" ref="Y7:AC7" ca="1" si="12">T7*$H7</f>
        <v>0</v>
      </c>
      <c r="Z7" s="39">
        <f t="shared" ca="1" si="12"/>
        <v>0</v>
      </c>
      <c r="AA7" s="39">
        <f t="shared" ca="1" si="12"/>
        <v>0</v>
      </c>
      <c r="AB7" s="39">
        <f t="shared" ca="1" si="12"/>
        <v>0.11341391342973675</v>
      </c>
      <c r="AC7" s="40">
        <f t="shared" ca="1" si="12"/>
        <v>3.0155223876708569E-3</v>
      </c>
    </row>
    <row r="8" spans="1:29" ht="25.5">
      <c r="A8" s="44" t="s">
        <v>39</v>
      </c>
      <c r="B8" s="19" t="str">
        <f ca="1">IFERROR(__xludf.DUMMYFUNCTION("GOOGLEFINANCE(A8, ""name"")"),"iShares Global Clean Energy ETF")</f>
        <v>iShares Global Clean Energy ETF</v>
      </c>
      <c r="C8" s="35">
        <v>239</v>
      </c>
      <c r="D8" s="21">
        <v>9.7200000000000006</v>
      </c>
      <c r="E8" s="22">
        <f ca="1">IFERROR(__xludf.DUMMYFUNCTION("GOOGLEFINANCE(A8)"),19.74)</f>
        <v>19.739999999999998</v>
      </c>
      <c r="F8" s="22">
        <f t="shared" si="0"/>
        <v>2323.08</v>
      </c>
      <c r="G8" s="22">
        <f t="shared" ca="1" si="1"/>
        <v>4717.8599999999997</v>
      </c>
      <c r="H8" s="23">
        <f t="shared" ca="1" si="2"/>
        <v>0.12291263122380899</v>
      </c>
      <c r="I8" s="24">
        <f t="shared" si="3"/>
        <v>9.7199999999999989</v>
      </c>
      <c r="J8" s="25">
        <f ca="1">IFERROR(__xludf.DUMMYFUNCTION("(googlefinance(A8, ""changepct"")/100)"),0.0087)</f>
        <v>8.6999999999999994E-3</v>
      </c>
      <c r="K8" s="23">
        <f t="shared" ca="1" si="4"/>
        <v>1.0693398916471382E-3</v>
      </c>
      <c r="L8" s="25">
        <f ca="1">IFERROR(__xludf.DUMMYFUNCTION("(E8-INDEX(GOOGLEFINANCE(A8,""open"",(TODAY()-90)),2,2))/INDEX(GOOGLEFINANCE(A8,""open"",Today()-90),2,2)"),-0.125775022143489)</f>
        <v>-0.12577502214348901</v>
      </c>
      <c r="M8" s="26">
        <f ca="1">IFERROR(__xludf.DUMMYFUNCTION("(E8-INDEX(GOOGLEFINANCE(A8,""close"",Date(Year(Today()),1,1)),2,2))/INDEX(GOOGLEFINANCE(A8,""close"",Date(Year(Today()),1,1)),2,2)"),-0.0749765698219307)</f>
        <v>-7.4976569821930697E-2</v>
      </c>
      <c r="N8" s="25">
        <f t="shared" ca="1" si="5"/>
        <v>5.8183197076322468E-3</v>
      </c>
      <c r="O8" s="23">
        <f t="shared" ca="1" si="6"/>
        <v>1.0308641975308643</v>
      </c>
      <c r="P8" s="23">
        <f t="shared" ca="1" si="7"/>
        <v>1.0308641975308639</v>
      </c>
      <c r="Q8" s="27">
        <f t="shared" ca="1" si="8"/>
        <v>0.12670623095293887</v>
      </c>
      <c r="R8" s="28" t="s">
        <v>40</v>
      </c>
      <c r="S8" s="28" t="s">
        <v>41</v>
      </c>
      <c r="T8" s="42">
        <v>8.8200000000000001E-2</v>
      </c>
      <c r="U8" s="37">
        <v>0</v>
      </c>
      <c r="V8" s="37">
        <v>3.5200000000000002E-2</v>
      </c>
      <c r="W8" s="37">
        <v>0.2233</v>
      </c>
      <c r="X8" s="43">
        <v>0.3906</v>
      </c>
      <c r="Y8" s="38">
        <f t="shared" ref="Y8:AC8" ca="1" si="13">T8*$H8</f>
        <v>1.0840894073939953E-2</v>
      </c>
      <c r="Z8" s="39">
        <f t="shared" ca="1" si="13"/>
        <v>0</v>
      </c>
      <c r="AA8" s="39">
        <f t="shared" ca="1" si="13"/>
        <v>4.326524619078077E-3</v>
      </c>
      <c r="AB8" s="39">
        <f t="shared" ca="1" si="13"/>
        <v>2.7446390552276548E-2</v>
      </c>
      <c r="AC8" s="40">
        <f t="shared" ca="1" si="13"/>
        <v>4.8009673756019791E-2</v>
      </c>
    </row>
    <row r="9" spans="1:29" ht="38.25">
      <c r="A9" s="18" t="s">
        <v>42</v>
      </c>
      <c r="B9" s="19" t="str">
        <f ca="1">IFERROR(__xludf.DUMMYFUNCTION("GOOGLEFINANCE(A9, ""name"")"),"VanEck Video Gaming and eSports ETF")</f>
        <v>VanEck Video Gaming and eSports ETF</v>
      </c>
      <c r="C9" s="35">
        <v>30</v>
      </c>
      <c r="D9" s="21">
        <v>76.92</v>
      </c>
      <c r="E9" s="22">
        <f ca="1">IFERROR(__xludf.DUMMYFUNCTION("GOOGLEFINANCE(A9)"),64.2)</f>
        <v>64.2</v>
      </c>
      <c r="F9" s="22">
        <f t="shared" si="0"/>
        <v>2307.6</v>
      </c>
      <c r="G9" s="22">
        <f t="shared" ca="1" si="1"/>
        <v>1926</v>
      </c>
      <c r="H9" s="23">
        <f t="shared" ca="1" si="2"/>
        <v>5.0177353235801005E-2</v>
      </c>
      <c r="I9" s="24">
        <f t="shared" si="3"/>
        <v>76.92</v>
      </c>
      <c r="J9" s="25">
        <f ca="1">IFERROR(__xludf.DUMMYFUNCTION("(googlefinance(A9, ""changepct"")/100)"),0.0279999999999999)</f>
        <v>2.79999999999999E-2</v>
      </c>
      <c r="K9" s="23">
        <f t="shared" ca="1" si="4"/>
        <v>1.4049658906024232E-3</v>
      </c>
      <c r="L9" s="25">
        <f ca="1">IFERROR(__xludf.DUMMYFUNCTION("(E9-INDEX(GOOGLEFINANCE(A9,""open"",(TODAY()-90)),2,2))/INDEX(GOOGLEFINANCE(A9,""open"",Today()-90),2,2)"),-0.0234256160632794)</f>
        <v>-2.3425616063279399E-2</v>
      </c>
      <c r="M9" s="26">
        <f ca="1">IFERROR(__xludf.DUMMYFUNCTION("(E9-INDEX(GOOGLEFINANCE(A9,""close"",Date(Year(Today()),1,1)),2,2))/INDEX(GOOGLEFINANCE(A9,""close"",Date(Year(Today()),1,1)),2,2)"),-0.0345864661654134)</f>
        <v>-3.4586466165413401E-2</v>
      </c>
      <c r="N9" s="25">
        <f t="shared" ca="1" si="5"/>
        <v>-1.4791371811769816E-3</v>
      </c>
      <c r="O9" s="23">
        <f t="shared" ca="1" si="6"/>
        <v>-0.16536661466458658</v>
      </c>
      <c r="P9" s="23">
        <f t="shared" ca="1" si="7"/>
        <v>-0.16536661466458658</v>
      </c>
      <c r="Q9" s="27">
        <f t="shared" ca="1" si="8"/>
        <v>-8.2976590374335517E-3</v>
      </c>
      <c r="R9" s="28" t="s">
        <v>43</v>
      </c>
      <c r="S9" s="29" t="s">
        <v>44</v>
      </c>
      <c r="T9" s="42">
        <v>0.57169999999999999</v>
      </c>
      <c r="U9" s="37">
        <v>0</v>
      </c>
      <c r="V9" s="37">
        <v>0</v>
      </c>
      <c r="W9" s="37">
        <v>6.93E-2</v>
      </c>
      <c r="X9" s="43">
        <v>0.3589</v>
      </c>
      <c r="Y9" s="38">
        <f t="shared" ref="Y9:AC9" ca="1" si="14">T9*$H9</f>
        <v>2.8686392844907434E-2</v>
      </c>
      <c r="Z9" s="39">
        <f t="shared" ca="1" si="14"/>
        <v>0</v>
      </c>
      <c r="AA9" s="39">
        <f t="shared" ca="1" si="14"/>
        <v>0</v>
      </c>
      <c r="AB9" s="39">
        <f t="shared" ca="1" si="14"/>
        <v>3.4772905792410098E-3</v>
      </c>
      <c r="AC9" s="40">
        <f t="shared" ca="1" si="14"/>
        <v>1.8008652076328981E-2</v>
      </c>
    </row>
    <row r="10" spans="1:29" ht="51">
      <c r="A10" s="18" t="s">
        <v>45</v>
      </c>
      <c r="B10" s="19" t="str">
        <f ca="1">IFERROR(__xludf.DUMMYFUNCTION("GOOGLEFINANCE(A10, ""name"")"),"iShares Currency Hedged Msci Germany ETF")</f>
        <v>iShares Currency Hedged Msci Germany ETF</v>
      </c>
      <c r="C10" s="35">
        <v>40</v>
      </c>
      <c r="D10" s="22">
        <f>'Wt Price'!X8</f>
        <v>26.376875000000002</v>
      </c>
      <c r="E10" s="22">
        <f ca="1">IFERROR(__xludf.DUMMYFUNCTION("GOOGLEFINANCE(A10)"),33.15)</f>
        <v>33.15</v>
      </c>
      <c r="F10" s="22">
        <f t="shared" si="0"/>
        <v>1055.075</v>
      </c>
      <c r="G10" s="22">
        <f t="shared" ca="1" si="1"/>
        <v>1326</v>
      </c>
      <c r="H10" s="23">
        <f t="shared" ca="1" si="2"/>
        <v>3.4545779019040566E-2</v>
      </c>
      <c r="I10" s="24">
        <f t="shared" si="3"/>
        <v>26.376875000000002</v>
      </c>
      <c r="J10" s="25">
        <f ca="1">IFERROR(__xludf.DUMMYFUNCTION("(googlefinance(A10, ""changepct"")/100)"),0.0097)</f>
        <v>9.7000000000000003E-3</v>
      </c>
      <c r="K10" s="23">
        <f t="shared" ca="1" si="4"/>
        <v>3.3509405648469352E-4</v>
      </c>
      <c r="L10" s="25">
        <f ca="1">IFERROR(__xludf.DUMMYFUNCTION("(E10-INDEX(GOOGLEFINANCE(A10,""open"",(TODAY()-90)),2,2))/INDEX(GOOGLEFINANCE(A10,""open"",Today()-90),2,2)"),0.0323886639676113)</f>
        <v>3.2388663967611302E-2</v>
      </c>
      <c r="M10" s="26">
        <f ca="1">IFERROR(__xludf.DUMMYFUNCTION("(E10-INDEX(GOOGLEFINANCE(A10,""close"",Date(Year(Today()),1,1)),2,2))/INDEX(GOOGLEFINANCE(A10,""close"",Date(Year(Today()),1,1)),2,2)"),-0.00240746313572068)</f>
        <v>-2.4074631357206798E-3</v>
      </c>
      <c r="N10" s="25">
        <f t="shared" ca="1" si="5"/>
        <v>1.8733471828540349E-3</v>
      </c>
      <c r="O10" s="23">
        <f t="shared" ca="1" si="6"/>
        <v>0.25678269317347091</v>
      </c>
      <c r="P10" s="23">
        <f t="shared" ca="1" si="7"/>
        <v>0.25678269317347091</v>
      </c>
      <c r="Q10" s="27">
        <f t="shared" ca="1" si="8"/>
        <v>8.8707581742848221E-3</v>
      </c>
      <c r="R10" s="29" t="s">
        <v>46</v>
      </c>
      <c r="S10" s="28" t="s">
        <v>47</v>
      </c>
      <c r="T10" s="45">
        <v>0</v>
      </c>
      <c r="U10" s="46">
        <v>0</v>
      </c>
      <c r="V10" s="46">
        <v>0</v>
      </c>
      <c r="W10" s="46">
        <v>0.99139999999999995</v>
      </c>
      <c r="X10" s="47">
        <v>8.6E-3</v>
      </c>
      <c r="Y10" s="48">
        <f t="shared" ref="Y10:AC10" ca="1" si="15">T10*$H10</f>
        <v>0</v>
      </c>
      <c r="Z10" s="49">
        <f t="shared" ca="1" si="15"/>
        <v>0</v>
      </c>
      <c r="AA10" s="49">
        <f t="shared" ca="1" si="15"/>
        <v>0</v>
      </c>
      <c r="AB10" s="49">
        <f t="shared" ca="1" si="15"/>
        <v>3.4248685319476814E-2</v>
      </c>
      <c r="AC10" s="50">
        <f t="shared" ca="1" si="15"/>
        <v>2.9709369956374884E-4</v>
      </c>
    </row>
    <row r="11" spans="1:29" ht="25.5">
      <c r="A11" s="18" t="s">
        <v>48</v>
      </c>
      <c r="B11" s="19" t="str">
        <f ca="1">IFERROR(__xludf.DUMMYFUNCTION("GOOGLEFINANCE(A11, ""name"")"),"Consumer Staples Select Sector SPDR Fund")</f>
        <v>Consumer Staples Select Sector SPDR Fund</v>
      </c>
      <c r="C11" s="35">
        <v>36</v>
      </c>
      <c r="D11" s="41">
        <v>51.714700000000001</v>
      </c>
      <c r="E11" s="22">
        <f ca="1">IFERROR(__xludf.DUMMYFUNCTION("GOOGLEFINANCE(A11)"),76.72)</f>
        <v>76.72</v>
      </c>
      <c r="F11" s="22">
        <f t="shared" si="0"/>
        <v>1861.7292</v>
      </c>
      <c r="G11" s="22">
        <f t="shared" ca="1" si="1"/>
        <v>2761.92</v>
      </c>
      <c r="H11" s="23">
        <f t="shared" ca="1" si="2"/>
        <v>7.1955262434591646E-2</v>
      </c>
      <c r="I11" s="24">
        <f t="shared" si="3"/>
        <v>51.714700000000001</v>
      </c>
      <c r="J11" s="25">
        <f ca="1">IFERROR(__xludf.DUMMYFUNCTION("(googlefinance(A11, ""changepct"")/100)"),-0.0012)</f>
        <v>-1.1999999999999999E-3</v>
      </c>
      <c r="K11" s="23">
        <f t="shared" ca="1" si="4"/>
        <v>-8.6346314921509975E-5</v>
      </c>
      <c r="L11" s="25">
        <f ca="1">IFERROR(__xludf.DUMMYFUNCTION("(E11-INDEX(GOOGLEFINANCE(A11,""open"",(TODAY()-90)),2,2))/INDEX(GOOGLEFINANCE(A11,""open"",Today()-90),2,2)"),0.0939683445030657)</f>
        <v>9.3968344503065696E-2</v>
      </c>
      <c r="M11" s="26">
        <f ca="1">IFERROR(__xludf.DUMMYFUNCTION("(E11-INDEX(GOOGLEFINANCE(A11,""close"",Date(Year(Today()),1,1)),2,2))/INDEX(GOOGLEFINANCE(A11,""close"",Date(Year(Today()),1,1)),2,2)"),-0.00492866407263288)</f>
        <v>-4.9286640726328799E-3</v>
      </c>
      <c r="N11" s="25">
        <f t="shared" ca="1" si="5"/>
        <v>3.2350564194543185E-3</v>
      </c>
      <c r="O11" s="23">
        <f t="shared" ca="1" si="6"/>
        <v>0.48352402701746311</v>
      </c>
      <c r="P11" s="23">
        <f t="shared" ca="1" si="7"/>
        <v>0.48352402701746311</v>
      </c>
      <c r="Q11" s="27">
        <f t="shared" ca="1" si="8"/>
        <v>3.4792098257472141E-2</v>
      </c>
      <c r="R11" s="28" t="s">
        <v>49</v>
      </c>
      <c r="S11" s="29" t="s">
        <v>50</v>
      </c>
      <c r="T11" s="51">
        <v>0</v>
      </c>
      <c r="U11" s="52">
        <v>0</v>
      </c>
      <c r="V11" s="52">
        <v>0</v>
      </c>
      <c r="W11" s="52">
        <v>0</v>
      </c>
      <c r="X11" s="53">
        <v>1</v>
      </c>
      <c r="Y11" s="38">
        <f t="shared" ref="Y11:AC11" ca="1" si="16">T11*$H11</f>
        <v>0</v>
      </c>
      <c r="Z11" s="39">
        <f t="shared" ca="1" si="16"/>
        <v>0</v>
      </c>
      <c r="AA11" s="39">
        <f t="shared" ca="1" si="16"/>
        <v>0</v>
      </c>
      <c r="AB11" s="39">
        <f t="shared" ca="1" si="16"/>
        <v>0</v>
      </c>
      <c r="AC11" s="40">
        <f t="shared" ca="1" si="16"/>
        <v>7.1955262434591646E-2</v>
      </c>
    </row>
    <row r="12" spans="1:29" ht="12.75">
      <c r="A12" s="18" t="s">
        <v>51</v>
      </c>
      <c r="B12" s="19" t="str">
        <f ca="1">IFERROR(__xludf.DUMMYFUNCTION("GOOGLEFINANCE(A12, ""name"")"),"Vanguard Utilities Index Fund ETF")</f>
        <v>Vanguard Utilities Index Fund ETF</v>
      </c>
      <c r="C12" s="35">
        <v>15</v>
      </c>
      <c r="D12" s="41">
        <v>116.65</v>
      </c>
      <c r="E12" s="22">
        <f ca="1">IFERROR(__xludf.DUMMYFUNCTION("GOOGLEFINANCE(A12)"),151.54)</f>
        <v>151.54</v>
      </c>
      <c r="F12" s="22">
        <f t="shared" si="0"/>
        <v>1749.75</v>
      </c>
      <c r="G12" s="22">
        <f t="shared" ca="1" si="1"/>
        <v>2273.1</v>
      </c>
      <c r="H12" s="23">
        <f t="shared" ca="1" si="2"/>
        <v>5.9220218920196917E-2</v>
      </c>
      <c r="I12" s="24">
        <f t="shared" si="3"/>
        <v>116.65</v>
      </c>
      <c r="J12" s="25">
        <f ca="1">IFERROR(__xludf.DUMMYFUNCTION("(googlefinance(A12, ""changepct"")/100)"),-0.0087)</f>
        <v>-8.6999999999999994E-3</v>
      </c>
      <c r="K12" s="23">
        <f t="shared" ca="1" si="4"/>
        <v>-5.1521590460571311E-4</v>
      </c>
      <c r="L12" s="25">
        <f ca="1">IFERROR(__xludf.DUMMYFUNCTION("(E12-INDEX(GOOGLEFINANCE(A12,""open"",(TODAY()-90)),2,2))/INDEX(GOOGLEFINANCE(A12,""open"",Today()-90),2,2)"),0.0765842568911622)</f>
        <v>7.6584256891162203E-2</v>
      </c>
      <c r="M12" s="26">
        <f ca="1">IFERROR(__xludf.DUMMYFUNCTION("(E12-INDEX(GOOGLEFINANCE(A12,""close"",Date(Year(Today()),1,1)),2,2))/INDEX(GOOGLEFINANCE(A12,""close"",Date(Year(Today()),1,1)),2,2)"),-0.0223856525385458)</f>
        <v>-2.2385652538545801E-2</v>
      </c>
      <c r="N12" s="25">
        <f t="shared" ca="1" si="5"/>
        <v>2.1450775655482701E-3</v>
      </c>
      <c r="O12" s="23">
        <f t="shared" ca="1" si="6"/>
        <v>0.29909987141020133</v>
      </c>
      <c r="P12" s="23">
        <f t="shared" ca="1" si="7"/>
        <v>0.29909987141020133</v>
      </c>
      <c r="Q12" s="27">
        <f t="shared" ca="1" si="8"/>
        <v>1.7712759863914868E-2</v>
      </c>
      <c r="R12" s="28" t="s">
        <v>49</v>
      </c>
      <c r="S12" s="28" t="s">
        <v>52</v>
      </c>
      <c r="T12" s="51">
        <v>0</v>
      </c>
      <c r="U12" s="52">
        <v>0</v>
      </c>
      <c r="V12" s="52">
        <v>0</v>
      </c>
      <c r="W12" s="52">
        <v>0</v>
      </c>
      <c r="X12" s="53">
        <v>1</v>
      </c>
      <c r="Y12" s="38">
        <f t="shared" ref="Y12:AC12" ca="1" si="17">T12*$H12</f>
        <v>0</v>
      </c>
      <c r="Z12" s="39">
        <f t="shared" ca="1" si="17"/>
        <v>0</v>
      </c>
      <c r="AA12" s="39">
        <f t="shared" ca="1" si="17"/>
        <v>0</v>
      </c>
      <c r="AB12" s="39">
        <f t="shared" ca="1" si="17"/>
        <v>0</v>
      </c>
      <c r="AC12" s="40">
        <f t="shared" ca="1" si="17"/>
        <v>5.9220218920196917E-2</v>
      </c>
    </row>
    <row r="13" spans="1:29" ht="38.25">
      <c r="A13" s="54" t="s">
        <v>53</v>
      </c>
      <c r="B13" s="55" t="str">
        <f ca="1">IFERROR(__xludf.DUMMYFUNCTION("GOOGLEFINANCE(A13, ""name"")"),"First Trust Nasdaq Artificial Intel and Robtcs ETF")</f>
        <v>First Trust Nasdaq Artificial Intel and Robtcs ETF</v>
      </c>
      <c r="C13" s="56">
        <v>47</v>
      </c>
      <c r="D13" s="41">
        <v>34.5535</v>
      </c>
      <c r="E13" s="57">
        <f ca="1">IFERROR(__xludf.DUMMYFUNCTION("GOOGLEFINANCE(A13)"),53)</f>
        <v>53</v>
      </c>
      <c r="F13" s="57">
        <f t="shared" si="0"/>
        <v>1624.0145</v>
      </c>
      <c r="G13" s="57">
        <f t="shared" ca="1" si="1"/>
        <v>2491</v>
      </c>
      <c r="H13" s="23">
        <f t="shared" ca="1" si="2"/>
        <v>6.4897085623250417E-2</v>
      </c>
      <c r="I13" s="24">
        <f t="shared" si="3"/>
        <v>34.5535</v>
      </c>
      <c r="J13" s="58">
        <f ca="1">IFERROR(__xludf.DUMMYFUNCTION("(googlefinance(A13, ""changepct"")/100)"),0.0196)</f>
        <v>1.9599999999999999E-2</v>
      </c>
      <c r="K13" s="59">
        <f t="shared" ca="1" si="4"/>
        <v>1.2719828782157081E-3</v>
      </c>
      <c r="L13" s="58">
        <f ca="1">IFERROR(__xludf.DUMMYFUNCTION("(E13-INDEX(GOOGLEFINANCE(A13,""open"",(TODAY()-90)),2,2))/INDEX(GOOGLEFINANCE(A13,""open"",Today()-90),2,2)"),0.000377500943752418)</f>
        <v>3.7750094375241803E-4</v>
      </c>
      <c r="M13" s="60">
        <f ca="1">IFERROR(__xludf.DUMMYFUNCTION("(E13-INDEX(GOOGLEFINANCE(A13,""close"",Date(Year(Today()),1,1)),2,2))/INDEX(GOOGLEFINANCE(A13,""close"",Date(Year(Today()),1,1)),2,2)"),-0.0447007930785868)</f>
        <v>-4.4700793078586799E-2</v>
      </c>
      <c r="N13" s="25">
        <f t="shared" ca="1" si="5"/>
        <v>3.5091786992385021E-3</v>
      </c>
      <c r="O13" s="59">
        <f t="shared" ca="1" si="6"/>
        <v>0.53385329995514208</v>
      </c>
      <c r="P13" s="59">
        <f t="shared" ca="1" si="7"/>
        <v>0.53385329995514208</v>
      </c>
      <c r="Q13" s="61">
        <f t="shared" ca="1" si="8"/>
        <v>3.4645523317443645E-2</v>
      </c>
      <c r="R13" s="62" t="s">
        <v>54</v>
      </c>
      <c r="S13" s="63" t="s">
        <v>55</v>
      </c>
      <c r="T13" s="52">
        <v>0.14799999999999999</v>
      </c>
      <c r="U13" s="52">
        <v>0</v>
      </c>
      <c r="V13" s="52">
        <v>0</v>
      </c>
      <c r="W13" s="52">
        <v>0.17510000000000001</v>
      </c>
      <c r="X13" s="53">
        <v>0.63039999999999996</v>
      </c>
      <c r="Y13" s="38">
        <f t="shared" ref="Y13:AC13" ca="1" si="18">T13*$H13</f>
        <v>9.6047686722410611E-3</v>
      </c>
      <c r="Z13" s="39">
        <f t="shared" ca="1" si="18"/>
        <v>0</v>
      </c>
      <c r="AA13" s="39">
        <f t="shared" ca="1" si="18"/>
        <v>0</v>
      </c>
      <c r="AB13" s="39">
        <f t="shared" ca="1" si="18"/>
        <v>1.1363479692631148E-2</v>
      </c>
      <c r="AC13" s="40">
        <f t="shared" ca="1" si="18"/>
        <v>4.0911122776897062E-2</v>
      </c>
    </row>
    <row r="14" spans="1:29" ht="38.25">
      <c r="A14" s="64" t="s">
        <v>56</v>
      </c>
      <c r="B14" s="65" t="str">
        <f ca="1">IFERROR(__xludf.DUMMYFUNCTION("GOOGLEFINANCE(A14, ""name"")"),"Pacer Benchmark Data &amp; Infrastructure RE SCTR")</f>
        <v>Pacer Benchmark Data &amp; Infrastructure RE SCTR</v>
      </c>
      <c r="C14" s="66">
        <v>78</v>
      </c>
      <c r="D14" s="67">
        <v>32.337499999999999</v>
      </c>
      <c r="E14" s="68">
        <f ca="1">IFERROR(__xludf.DUMMYFUNCTION("GOOGLEFINANCE(A14)"),39.32)</f>
        <v>39.32</v>
      </c>
      <c r="F14" s="68">
        <f t="shared" si="0"/>
        <v>2522.3249999999998</v>
      </c>
      <c r="G14" s="68">
        <f t="shared" ca="1" si="1"/>
        <v>3066.96</v>
      </c>
      <c r="H14" s="69">
        <f t="shared" ca="1" si="2"/>
        <v>7.9902354766392653E-2</v>
      </c>
      <c r="I14" s="24">
        <f t="shared" si="3"/>
        <v>32.337499999999999</v>
      </c>
      <c r="J14" s="70">
        <f ca="1">IFERROR(__xludf.DUMMYFUNCTION("(googlefinance(A14, ""changepct"")/100)"),-0.003)</f>
        <v>-3.0000000000000001E-3</v>
      </c>
      <c r="K14" s="70">
        <f t="shared" ca="1" si="4"/>
        <v>-2.3970706429917796E-4</v>
      </c>
      <c r="L14" s="71">
        <f ca="1">IFERROR(__xludf.DUMMYFUNCTION("(E14-INDEX(GOOGLEFINANCE(A14,""open"",(TODAY()-90)),2,2))/INDEX(GOOGLEFINANCE(A14,""open"",Today()-90),2,2)"),0.0228928199791884)</f>
        <v>2.2892819979188399E-2</v>
      </c>
      <c r="M14" s="70">
        <f ca="1">IFERROR(__xludf.DUMMYFUNCTION("(E14-INDEX(GOOGLEFINANCE(A14,""close"",Date(Year(Today()),1,1)),2,2))/INDEX(GOOGLEFINANCE(A14,""close"",Date(Year(Today()),1,1)),2,2)"),-0.0823803967327888)</f>
        <v>-8.2380396732788796E-2</v>
      </c>
      <c r="N14" s="25">
        <f t="shared" ca="1" si="5"/>
        <v>1.6022423971384647E-3</v>
      </c>
      <c r="O14" s="70">
        <f t="shared" ca="1" si="6"/>
        <v>0.21592578275995367</v>
      </c>
      <c r="P14" s="70">
        <f t="shared" ca="1" si="7"/>
        <v>0.21592578275995367</v>
      </c>
      <c r="Q14" s="72">
        <f t="shared" ca="1" si="8"/>
        <v>1.7252978497296848E-2</v>
      </c>
      <c r="R14" s="73" t="s">
        <v>57</v>
      </c>
      <c r="S14" s="74" t="s">
        <v>58</v>
      </c>
      <c r="T14" s="52">
        <v>9.2799999999999994E-2</v>
      </c>
      <c r="U14" s="52">
        <v>0</v>
      </c>
      <c r="V14" s="52">
        <v>0</v>
      </c>
      <c r="W14" s="52">
        <v>7.3599999999999999E-2</v>
      </c>
      <c r="X14" s="52">
        <v>0.80879999999999996</v>
      </c>
      <c r="Y14" s="38">
        <f t="shared" ref="Y14:AC14" ca="1" si="19">T14*$H14</f>
        <v>7.4149385223212377E-3</v>
      </c>
      <c r="Z14" s="39">
        <f t="shared" ca="1" si="19"/>
        <v>0</v>
      </c>
      <c r="AA14" s="39">
        <f t="shared" ca="1" si="19"/>
        <v>0</v>
      </c>
      <c r="AB14" s="39">
        <f t="shared" ca="1" si="19"/>
        <v>5.880813310806499E-3</v>
      </c>
      <c r="AC14" s="40">
        <f t="shared" ca="1" si="19"/>
        <v>6.4625024535058376E-2</v>
      </c>
    </row>
    <row r="15" spans="1:29" ht="12.75">
      <c r="A15" s="64" t="s">
        <v>59</v>
      </c>
      <c r="B15" s="65" t="str">
        <f ca="1">IFERROR(__xludf.DUMMYFUNCTION("GOOGLEFINANCE(A15, ""name"")"),"Ishares Msci New Zealand Etf")</f>
        <v>Ishares Msci New Zealand Etf</v>
      </c>
      <c r="C15" s="66">
        <v>37</v>
      </c>
      <c r="D15" s="67">
        <v>57.978000000000002</v>
      </c>
      <c r="E15" s="68">
        <f ca="1">IFERROR(__xludf.DUMMYFUNCTION("GOOGLEFINANCE(A15)"),57.66)</f>
        <v>57.66</v>
      </c>
      <c r="F15" s="68">
        <f t="shared" si="0"/>
        <v>2145.1860000000001</v>
      </c>
      <c r="G15" s="68">
        <f t="shared" ca="1" si="1"/>
        <v>2133.42</v>
      </c>
      <c r="H15" s="69">
        <f t="shared" ca="1" si="2"/>
        <v>5.5581188442535089E-2</v>
      </c>
      <c r="I15" s="24">
        <f t="shared" si="3"/>
        <v>57.978000000000002</v>
      </c>
      <c r="J15" s="70">
        <f ca="1">IFERROR(__xludf.DUMMYFUNCTION("(googlefinance(A15, ""changepct"")/100)"),0.0042)</f>
        <v>4.1999999999999997E-3</v>
      </c>
      <c r="K15" s="70">
        <f t="shared" ca="1" si="4"/>
        <v>2.3344099145864735E-4</v>
      </c>
      <c r="L15" s="71">
        <f ca="1">IFERROR(__xludf.DUMMYFUNCTION("(E15-INDEX(GOOGLEFINANCE(A15,""open"",(TODAY()-90)),2,2))/INDEX(GOOGLEFINANCE(A15,""open"",Today()-90),2,2)"),-0.0621340273259596)</f>
        <v>-6.2134027325959601E-2</v>
      </c>
      <c r="M15" s="70">
        <f ca="1">IFERROR(__xludf.DUMMYFUNCTION("(E15-INDEX(GOOGLEFINANCE(A15,""close"",Date(Year(Today()),1,1)),2,2))/INDEX(GOOGLEFINANCE(A15,""close"",Date(Year(Today()),1,1)),2,2)"),-0.00637601240737557)</f>
        <v>-6.3760124073755703E-3</v>
      </c>
      <c r="N15" s="25">
        <f ca="1">(((E15-I15)/I15)+1)^(1/((TODAY()-U18)/365)) - 1</f>
        <v>-4.5036938216447275E-5</v>
      </c>
      <c r="O15" s="70">
        <f t="shared" ca="1" si="6"/>
        <v>-5.4848390768913197E-3</v>
      </c>
      <c r="P15" s="70">
        <f t="shared" ca="1" si="7"/>
        <v>-5.4848390768913197E-3</v>
      </c>
      <c r="Q15" s="72">
        <f t="shared" ca="1" si="8"/>
        <v>-3.0485387430967664E-4</v>
      </c>
      <c r="R15" s="62" t="s">
        <v>60</v>
      </c>
      <c r="S15" s="74" t="s">
        <v>61</v>
      </c>
      <c r="T15" s="52">
        <v>1</v>
      </c>
      <c r="U15" s="52">
        <v>0</v>
      </c>
      <c r="V15" s="52">
        <v>0</v>
      </c>
      <c r="W15" s="52">
        <v>0</v>
      </c>
      <c r="X15" s="52">
        <v>0</v>
      </c>
      <c r="Y15" s="38">
        <f t="shared" ref="Y15:AC15" ca="1" si="20">T15*$H15</f>
        <v>5.5581188442535089E-2</v>
      </c>
      <c r="Z15" s="39">
        <f t="shared" ca="1" si="20"/>
        <v>0</v>
      </c>
      <c r="AA15" s="39">
        <f t="shared" ca="1" si="20"/>
        <v>0</v>
      </c>
      <c r="AB15" s="39">
        <f t="shared" ca="1" si="20"/>
        <v>0</v>
      </c>
      <c r="AC15" s="40">
        <f t="shared" ca="1" si="20"/>
        <v>0</v>
      </c>
    </row>
    <row r="16" spans="1:29" ht="38.25">
      <c r="A16" s="75" t="s">
        <v>62</v>
      </c>
      <c r="B16" s="65" t="str">
        <f ca="1">IFERROR(__xludf.DUMMYFUNCTION("GOOGLEFINANCE(A16, ""name"")"),"First Trust IPOX Europe Equity Opportunities ETF")</f>
        <v>First Trust IPOX Europe Equity Opportunities ETF</v>
      </c>
      <c r="C16" s="66">
        <v>43</v>
      </c>
      <c r="D16" s="67">
        <v>29.91</v>
      </c>
      <c r="E16" s="68">
        <f ca="1">IFERROR(__xludf.DUMMYFUNCTION("GOOGLEFINANCE(A16)"),29.42)</f>
        <v>29.42</v>
      </c>
      <c r="F16" s="68">
        <f t="shared" si="0"/>
        <v>1286.1300000000001</v>
      </c>
      <c r="G16" s="68">
        <f t="shared" ref="G16:G17" ca="1" si="21">E16*C16</f>
        <v>1265.0600000000002</v>
      </c>
      <c r="H16" s="69">
        <f t="shared" ca="1" si="2"/>
        <v>3.2958132131091604E-2</v>
      </c>
      <c r="I16" s="24">
        <f t="shared" si="3"/>
        <v>29.910000000000004</v>
      </c>
      <c r="J16" s="70">
        <f ca="1">IFERROR(__xludf.DUMMYFUNCTION("(googlefinance(A16, ""changepct"")/100)"),0.0197999999999999)</f>
        <v>1.9799999999999901E-2</v>
      </c>
      <c r="K16" s="70">
        <f t="shared" ca="1" si="4"/>
        <v>6.5257101619561051E-4</v>
      </c>
      <c r="L16" s="71">
        <f ca="1">IFERROR(__xludf.DUMMYFUNCTION("(E16-INDEX(GOOGLEFINANCE(A16,""open"",(TODAY()-90)),2,2))/INDEX(GOOGLEFINANCE(A16,""open"",Today()-90),2,2)"),-0.0426293524243409)</f>
        <v>-4.2629352424340898E-2</v>
      </c>
      <c r="M16" s="70">
        <f ca="1">IFERROR(__xludf.DUMMYFUNCTION("(E16-INDEX(GOOGLEFINANCE(A16,""close"",Date(Year(Today()),1,1)),2,2))/INDEX(GOOGLEFINANCE(A16,""close"",Date(Year(Today()),1,1)),2,2)"),-0.0639516385618834)</f>
        <v>-6.3951638561883406E-2</v>
      </c>
      <c r="N16" s="25">
        <f t="shared" ref="N16:N17" ca="1" si="22">(((E16-I16)/I16)+1)^(1/((TODAY()-U20)/365)) - 1</f>
        <v>-1.3525496897470735E-4</v>
      </c>
      <c r="O16" s="70">
        <f t="shared" ca="1" si="6"/>
        <v>-1.6382480775660378E-2</v>
      </c>
      <c r="P16" s="70">
        <f t="shared" ca="1" si="7"/>
        <v>-1.6382480775660263E-2</v>
      </c>
      <c r="Q16" s="70">
        <f t="shared" ca="1" si="8"/>
        <v>-5.3993596603927902E-4</v>
      </c>
      <c r="R16" s="76" t="s">
        <v>63</v>
      </c>
      <c r="S16" s="76" t="s">
        <v>64</v>
      </c>
      <c r="T16" s="51">
        <v>1.77E-2</v>
      </c>
      <c r="U16" s="52">
        <v>0</v>
      </c>
      <c r="V16" s="52">
        <v>0</v>
      </c>
      <c r="W16" s="52">
        <v>0.79139999999999999</v>
      </c>
      <c r="X16" s="53">
        <v>0.14530000000000001</v>
      </c>
      <c r="Y16" s="77">
        <f t="shared" ref="Y16:AC16" ca="1" si="23">T16*$H16</f>
        <v>5.8335893872032139E-4</v>
      </c>
      <c r="Z16" s="77">
        <f t="shared" ca="1" si="23"/>
        <v>0</v>
      </c>
      <c r="AA16" s="77">
        <f t="shared" ca="1" si="23"/>
        <v>0</v>
      </c>
      <c r="AB16" s="77">
        <f t="shared" ca="1" si="23"/>
        <v>2.6083065768545896E-2</v>
      </c>
      <c r="AC16" s="77">
        <f t="shared" ca="1" si="23"/>
        <v>4.7888165986476102E-3</v>
      </c>
    </row>
    <row r="17" spans="1:29" ht="12.75">
      <c r="A17" s="78" t="s">
        <v>65</v>
      </c>
      <c r="B17" s="79" t="str">
        <f ca="1">IFERROR(__xludf.DUMMYFUNCTION("GOOGLEFINANCE(A17, ""name"")"),"iShares US Transportation ETF")</f>
        <v>iShares US Transportation ETF</v>
      </c>
      <c r="C17" s="80">
        <v>9</v>
      </c>
      <c r="D17" s="81">
        <v>226.72</v>
      </c>
      <c r="E17" s="82">
        <f ca="1">IFERROR(__xludf.DUMMYFUNCTION("GOOGLEFINANCE(A17)"),271.64)</f>
        <v>271.64</v>
      </c>
      <c r="F17" s="82">
        <f t="shared" si="0"/>
        <v>2040.48</v>
      </c>
      <c r="G17" s="82">
        <f t="shared" ca="1" si="21"/>
        <v>2444.7599999999998</v>
      </c>
      <c r="H17" s="83">
        <f t="shared" ca="1" si="2"/>
        <v>6.369241230361207E-2</v>
      </c>
      <c r="I17" s="84">
        <f t="shared" si="3"/>
        <v>226.72</v>
      </c>
      <c r="J17" s="85">
        <f ca="1">IFERROR(__xludf.DUMMYFUNCTION("(googlefinance(A17, ""changepct"")/100)"),-0.0013)</f>
        <v>-1.2999999999999999E-3</v>
      </c>
      <c r="K17" s="85">
        <f t="shared" ca="1" si="4"/>
        <v>-8.2800135994695682E-5</v>
      </c>
      <c r="L17" s="86">
        <f ca="1">IFERROR(__xludf.DUMMYFUNCTION("(E17-INDEX(GOOGLEFINANCE(A17,""open"",(TODAY()-90)),2,2))/INDEX(GOOGLEFINANCE(A17,""open"",Today()-90),2,2)"),0.0775944144715962)</f>
        <v>7.7594414471596193E-2</v>
      </c>
      <c r="M17" s="85">
        <f ca="1">IFERROR(__xludf.DUMMYFUNCTION("(E17-INDEX(GOOGLEFINANCE(A17,""close"",Date(Year(Today()),1,1)),2,2))/INDEX(GOOGLEFINANCE(A17,""close"",Date(Year(Today()),1,1)),2,2)"),-0.0148690795677087)</f>
        <v>-1.48690795677087E-2</v>
      </c>
      <c r="N17" s="87">
        <f t="shared" ca="1" si="22"/>
        <v>1.4813214972015931E-3</v>
      </c>
      <c r="O17" s="85">
        <f t="shared" ca="1" si="6"/>
        <v>0.19812985179957651</v>
      </c>
      <c r="P17" s="85">
        <f t="shared" ca="1" si="7"/>
        <v>0.19812985179957651</v>
      </c>
      <c r="Q17" s="85">
        <f t="shared" ca="1" si="8"/>
        <v>1.2619368210472184E-2</v>
      </c>
      <c r="R17" s="88" t="s">
        <v>49</v>
      </c>
      <c r="S17" s="88" t="s">
        <v>66</v>
      </c>
      <c r="T17" s="89">
        <v>0</v>
      </c>
      <c r="U17" s="90">
        <v>0</v>
      </c>
      <c r="V17" s="90">
        <v>0</v>
      </c>
      <c r="W17" s="90">
        <v>0</v>
      </c>
      <c r="X17" s="91">
        <v>1</v>
      </c>
      <c r="Y17" s="92">
        <f t="shared" ref="Y17:AC17" ca="1" si="24">T17*$H17</f>
        <v>0</v>
      </c>
      <c r="Z17" s="92">
        <f t="shared" ca="1" si="24"/>
        <v>0</v>
      </c>
      <c r="AA17" s="92">
        <f t="shared" ca="1" si="24"/>
        <v>0</v>
      </c>
      <c r="AB17" s="92">
        <f t="shared" ca="1" si="24"/>
        <v>0</v>
      </c>
      <c r="AC17" s="92">
        <f t="shared" ca="1" si="24"/>
        <v>6.369241230361207E-2</v>
      </c>
    </row>
    <row r="18" spans="1:29" ht="12.75">
      <c r="A18" s="93" t="s">
        <v>67</v>
      </c>
      <c r="B18" s="94"/>
      <c r="C18" s="95"/>
      <c r="D18" s="96"/>
      <c r="E18" s="97"/>
      <c r="F18" s="98">
        <v>283.62</v>
      </c>
      <c r="G18" s="98">
        <v>2582.71</v>
      </c>
      <c r="H18" s="99">
        <f t="shared" ca="1" si="2"/>
        <v>6.7286371742282247E-2</v>
      </c>
      <c r="I18" s="95"/>
      <c r="J18" s="95"/>
      <c r="K18" s="95"/>
      <c r="L18" s="95"/>
      <c r="M18" s="100">
        <f ca="1">SUM(M4:M17)</f>
        <v>-0.48488066391304224</v>
      </c>
      <c r="N18" s="95"/>
      <c r="O18" s="95"/>
      <c r="P18" s="95"/>
      <c r="Q18" s="101"/>
      <c r="R18" s="2"/>
      <c r="S18" s="2"/>
      <c r="T18" s="2"/>
      <c r="U18" s="2"/>
      <c r="V18" s="2"/>
      <c r="W18" s="2"/>
      <c r="X18" s="102" t="s">
        <v>68</v>
      </c>
      <c r="Y18" s="103">
        <f t="shared" ref="Y18:AC18" ca="1" si="25">SUM(Y4:Y15)</f>
        <v>0.21109452412928878</v>
      </c>
      <c r="Z18" s="103">
        <f t="shared" ca="1" si="25"/>
        <v>4.4933030949214333E-3</v>
      </c>
      <c r="AA18" s="103">
        <f t="shared" ca="1" si="25"/>
        <v>1.3032299365488352E-2</v>
      </c>
      <c r="AB18" s="103">
        <f t="shared" ca="1" si="25"/>
        <v>0.21525143637232852</v>
      </c>
      <c r="AC18" s="103">
        <f t="shared" ca="1" si="25"/>
        <v>0.34591340800883708</v>
      </c>
    </row>
    <row r="19" spans="1:29" ht="12.75">
      <c r="A19" s="104" t="s">
        <v>69</v>
      </c>
      <c r="B19" s="94"/>
      <c r="C19" s="105" t="s">
        <v>70</v>
      </c>
      <c r="D19" s="106">
        <f t="shared" ref="D19:D20" ca="1" si="26">(G19-F19)/F19</f>
        <v>0.27529310601100221</v>
      </c>
      <c r="E19" s="95"/>
      <c r="F19" s="107">
        <f t="shared" ref="F19:G19" si="27">SUM(F4:F17)</f>
        <v>28072.871900000006</v>
      </c>
      <c r="G19" s="107">
        <f t="shared" ca="1" si="27"/>
        <v>35801.139999999992</v>
      </c>
      <c r="H19" s="99">
        <f t="shared" ca="1" si="2"/>
        <v>0.93271362825771775</v>
      </c>
      <c r="I19" s="95"/>
      <c r="J19" s="95"/>
      <c r="K19" s="95"/>
      <c r="L19" s="95"/>
      <c r="M19" s="95"/>
      <c r="N19" s="95"/>
      <c r="O19" s="95"/>
      <c r="P19" s="95"/>
      <c r="Q19" s="101"/>
      <c r="R19" s="2"/>
      <c r="S19" s="2"/>
      <c r="T19" s="2"/>
      <c r="U19" s="2"/>
      <c r="V19" s="2"/>
      <c r="W19" s="2"/>
      <c r="X19" s="2"/>
      <c r="Y19" s="1"/>
      <c r="Z19" s="1"/>
      <c r="AA19" s="2"/>
      <c r="AB19" s="2"/>
      <c r="AC19" s="2"/>
    </row>
    <row r="20" spans="1:29" ht="12.75">
      <c r="A20" s="108" t="s">
        <v>71</v>
      </c>
      <c r="B20" s="3"/>
      <c r="C20" s="109" t="s">
        <v>17</v>
      </c>
      <c r="D20" s="110">
        <f t="shared" ca="1" si="26"/>
        <v>0.35361772307243639</v>
      </c>
      <c r="E20" s="111"/>
      <c r="F20" s="112">
        <f t="shared" ref="F20:G20" si="28">SUM(F18:F19)</f>
        <v>28356.491900000005</v>
      </c>
      <c r="G20" s="112">
        <f t="shared" ca="1" si="28"/>
        <v>38383.849999999991</v>
      </c>
      <c r="H20" s="113">
        <f t="shared" ca="1" si="2"/>
        <v>1</v>
      </c>
      <c r="I20" s="114"/>
      <c r="J20" s="115">
        <f t="shared" ref="J20:K20" ca="1" si="29">SUM(J4:J16)</f>
        <v>0.17439999999999972</v>
      </c>
      <c r="K20" s="115">
        <f t="shared" ca="1" si="29"/>
        <v>1.2116940379873292E-2</v>
      </c>
      <c r="L20" s="116"/>
      <c r="M20" s="116"/>
      <c r="N20" s="116"/>
      <c r="O20" s="115">
        <f t="shared" ref="O20:P20" ca="1" si="30">SUM(O4:O16)</f>
        <v>3.7050138616992609</v>
      </c>
      <c r="P20" s="115">
        <f t="shared" ca="1" si="30"/>
        <v>3.7050138616992601</v>
      </c>
      <c r="Q20" s="117">
        <f ca="1">SUM(Q4:Q17)</f>
        <v>0.35694836093066296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8"/>
      <c r="Z22" s="119"/>
      <c r="AA22" s="2"/>
      <c r="AB22" s="2"/>
      <c r="AC22" s="2"/>
    </row>
    <row r="23" spans="1:29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8"/>
      <c r="Z23" s="2"/>
      <c r="AA23" s="2"/>
      <c r="AB23" s="2"/>
      <c r="AC23" s="2"/>
    </row>
    <row r="24" spans="1:29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8"/>
      <c r="Z24" s="119"/>
      <c r="AA24" s="2"/>
      <c r="AB24" s="2"/>
      <c r="AC24" s="2"/>
    </row>
    <row r="25" spans="1:29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8"/>
      <c r="Z25" s="118"/>
      <c r="AA25" s="2"/>
      <c r="AB25" s="2"/>
      <c r="AC25" s="2"/>
    </row>
    <row r="26" spans="1:29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8"/>
      <c r="Z26" s="119"/>
      <c r="AA26" s="2"/>
      <c r="AB26" s="2"/>
      <c r="AC26" s="2"/>
    </row>
    <row r="27" spans="1:29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AA27" s="2"/>
      <c r="AB27" s="2"/>
      <c r="AC27" s="2"/>
    </row>
    <row r="28" spans="1:29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6:29" ht="12.75"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6:29" ht="12.75"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6:29" ht="12.75"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6:29" ht="12.75"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6:29" ht="12.75"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6:29" ht="12.75"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6:29" ht="12.75"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mergeCells count="1">
    <mergeCell ref="Y2:AC2"/>
  </mergeCells>
  <conditionalFormatting sqref="J4:Q17 R14">
    <cfRule type="cellIs" dxfId="7" priority="1" operator="greaterThanOrEqual">
      <formula>0</formula>
    </cfRule>
  </conditionalFormatting>
  <conditionalFormatting sqref="J4:Q17 R14">
    <cfRule type="cellIs" dxfId="6" priority="2" operator="lessThan">
      <formula>0</formula>
    </cfRule>
  </conditionalFormatting>
  <conditionalFormatting sqref="J20:Q20">
    <cfRule type="cellIs" dxfId="5" priority="3" operator="greaterThanOrEqual">
      <formula>0</formula>
    </cfRule>
  </conditionalFormatting>
  <conditionalFormatting sqref="J20:Q20">
    <cfRule type="cellIs" dxfId="4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defaultColWidth="14.42578125" defaultRowHeight="15.75" customHeight="1"/>
  <sheetData>
    <row r="1" spans="1:24" ht="15.75" customHeight="1">
      <c r="A1" s="120" t="s">
        <v>27</v>
      </c>
      <c r="B1" s="121" t="str">
        <f ca="1">IFERROR(__xludf.DUMMYFUNCTION("GOOGLEFINANCE(""EMQQ"", ""price"", DATE(2019,12,27), TODAY(), ""DAILY"")"),"#REF!")</f>
        <v>#REF!</v>
      </c>
      <c r="D1" s="122" t="s">
        <v>72</v>
      </c>
      <c r="E1" s="122" t="s">
        <v>73</v>
      </c>
      <c r="F1" s="122" t="s">
        <v>36</v>
      </c>
      <c r="G1" s="123" t="s">
        <v>39</v>
      </c>
      <c r="H1" s="123" t="s">
        <v>74</v>
      </c>
      <c r="I1" s="123" t="s">
        <v>45</v>
      </c>
      <c r="J1" s="123" t="s">
        <v>48</v>
      </c>
      <c r="K1" s="123" t="s">
        <v>51</v>
      </c>
      <c r="L1" s="123" t="s">
        <v>53</v>
      </c>
      <c r="M1" s="123" t="s">
        <v>56</v>
      </c>
      <c r="N1" s="123" t="s">
        <v>59</v>
      </c>
      <c r="P1" s="122" t="s">
        <v>75</v>
      </c>
      <c r="Q1" s="122" t="s">
        <v>76</v>
      </c>
      <c r="R1" s="123" t="s">
        <v>77</v>
      </c>
      <c r="S1" s="123" t="s">
        <v>78</v>
      </c>
      <c r="T1" s="123" t="s">
        <v>79</v>
      </c>
      <c r="U1" s="123" t="s">
        <v>80</v>
      </c>
      <c r="V1" s="123" t="s">
        <v>81</v>
      </c>
      <c r="W1" s="123"/>
      <c r="X1" s="123"/>
    </row>
    <row r="2" spans="1:24" ht="15.75" customHeight="1">
      <c r="A2" s="120" t="s">
        <v>30</v>
      </c>
      <c r="D2">
        <v>30.59</v>
      </c>
      <c r="E2">
        <v>26.09</v>
      </c>
      <c r="F2">
        <v>33.83</v>
      </c>
      <c r="G2" s="124">
        <v>11.77</v>
      </c>
      <c r="H2" s="124">
        <v>224.31</v>
      </c>
      <c r="I2" s="124">
        <v>29.25</v>
      </c>
      <c r="J2" s="124">
        <v>63.25</v>
      </c>
      <c r="K2" s="124">
        <v>142.25</v>
      </c>
      <c r="L2" s="124">
        <v>34.47</v>
      </c>
      <c r="M2" s="124">
        <v>32.49</v>
      </c>
      <c r="N2" s="124">
        <v>57.96</v>
      </c>
      <c r="O2" s="125">
        <v>43826.666666666672</v>
      </c>
      <c r="P2">
        <f t="shared" ref="P2:P95" si="0">C2*C$96+D2*D$96+E2*E$96+F2*F$96+G2*G$96+H2*H$96+I2*I$96+J2*J$96+K2*K$96+L2*L$96+M2*M$96+N2*N$96+ 4863.41</f>
        <v>28758.749971123769</v>
      </c>
      <c r="Q2" s="126">
        <v>83.98</v>
      </c>
      <c r="R2">
        <v>79.55</v>
      </c>
      <c r="S2">
        <f t="shared" ref="S2:S95" si="1">0.3*Q2+0.7*R2</f>
        <v>80.878999999999991</v>
      </c>
    </row>
    <row r="3" spans="1:24" ht="15.75" customHeight="1">
      <c r="A3" s="104" t="s">
        <v>73</v>
      </c>
      <c r="D3">
        <v>30.27</v>
      </c>
      <c r="E3">
        <v>26.04</v>
      </c>
      <c r="F3">
        <v>33.72</v>
      </c>
      <c r="G3" s="124">
        <v>11.71</v>
      </c>
      <c r="H3" s="124">
        <v>223.05</v>
      </c>
      <c r="I3" s="124">
        <v>28.84</v>
      </c>
      <c r="J3" s="124">
        <v>62.92</v>
      </c>
      <c r="K3" s="124">
        <v>142.25</v>
      </c>
      <c r="L3" s="124">
        <v>34.26</v>
      </c>
      <c r="M3" s="124">
        <v>32.450000000000003</v>
      </c>
      <c r="N3" s="124">
        <v>57.86</v>
      </c>
      <c r="O3" s="125">
        <v>43829.666666666672</v>
      </c>
      <c r="P3">
        <f t="shared" si="0"/>
        <v>28647.019881717661</v>
      </c>
      <c r="Q3">
        <v>83.95</v>
      </c>
      <c r="R3">
        <v>79.069999999999993</v>
      </c>
      <c r="S3">
        <f t="shared" si="1"/>
        <v>80.533999999999992</v>
      </c>
      <c r="T3">
        <f t="shared" ref="T3:T95" si="2">(P3-$P$2)/$P$2</f>
        <v>-3.8850815671159101E-3</v>
      </c>
      <c r="U3">
        <f t="shared" ref="U3:U95" si="3">(R3-$R$2)/$R$2</f>
        <v>-6.0339409176618985E-3</v>
      </c>
      <c r="V3">
        <f t="shared" ref="V3:V95" si="4">(S3-$S$2)/$S$2</f>
        <v>-4.2656313752642699E-3</v>
      </c>
    </row>
    <row r="4" spans="1:24" ht="15.75" customHeight="1">
      <c r="A4" s="127" t="s">
        <v>36</v>
      </c>
      <c r="D4">
        <v>30.38</v>
      </c>
      <c r="E4">
        <v>25.97</v>
      </c>
      <c r="F4">
        <v>33.86</v>
      </c>
      <c r="G4" s="124">
        <v>11.75</v>
      </c>
      <c r="H4" s="124">
        <v>222.08</v>
      </c>
      <c r="I4" s="124">
        <v>28.99</v>
      </c>
      <c r="J4" s="124">
        <v>62.98</v>
      </c>
      <c r="K4" s="124">
        <v>142.88999999999999</v>
      </c>
      <c r="L4" s="124">
        <v>34.380000000000003</v>
      </c>
      <c r="M4" s="124">
        <v>32.58</v>
      </c>
      <c r="N4" s="124">
        <v>57.75</v>
      </c>
      <c r="O4" s="125">
        <v>43830.666666666672</v>
      </c>
      <c r="P4">
        <f t="shared" si="0"/>
        <v>28695.86834687103</v>
      </c>
      <c r="Q4">
        <v>83.86</v>
      </c>
      <c r="R4">
        <v>79.25</v>
      </c>
      <c r="S4">
        <f t="shared" si="1"/>
        <v>80.632999999999996</v>
      </c>
      <c r="T4">
        <f t="shared" si="2"/>
        <v>-2.1865214696701919E-3</v>
      </c>
      <c r="U4">
        <f t="shared" si="3"/>
        <v>-3.7712130735386195E-3</v>
      </c>
      <c r="V4">
        <f t="shared" si="4"/>
        <v>-3.0415806327970811E-3</v>
      </c>
    </row>
    <row r="5" spans="1:24" ht="15.75" customHeight="1">
      <c r="A5" s="128" t="s">
        <v>39</v>
      </c>
      <c r="D5">
        <v>30.84</v>
      </c>
      <c r="E5">
        <v>26.06</v>
      </c>
      <c r="F5">
        <v>34.21</v>
      </c>
      <c r="G5" s="124">
        <v>11.93</v>
      </c>
      <c r="H5" s="124">
        <v>227.38</v>
      </c>
      <c r="I5" s="124">
        <v>29.59</v>
      </c>
      <c r="J5" s="124">
        <v>62.48</v>
      </c>
      <c r="K5" s="124">
        <v>141.12</v>
      </c>
      <c r="L5" s="124">
        <v>34.79</v>
      </c>
      <c r="M5" s="124">
        <v>32.49</v>
      </c>
      <c r="N5" s="124">
        <v>57.5</v>
      </c>
      <c r="O5" s="125">
        <v>43832.666666666672</v>
      </c>
      <c r="P5">
        <f t="shared" si="0"/>
        <v>28837.425611143106</v>
      </c>
      <c r="Q5">
        <v>83.97</v>
      </c>
      <c r="R5">
        <v>80.069999999999993</v>
      </c>
      <c r="S5">
        <f t="shared" si="1"/>
        <v>81.239999999999995</v>
      </c>
      <c r="T5">
        <f t="shared" si="2"/>
        <v>2.735711395604266E-3</v>
      </c>
      <c r="U5">
        <f t="shared" si="3"/>
        <v>6.5367693274669524E-3</v>
      </c>
      <c r="V5">
        <f t="shared" si="4"/>
        <v>4.4634577578852889E-3</v>
      </c>
    </row>
    <row r="6" spans="1:24" ht="15.75" customHeight="1">
      <c r="A6" s="120" t="s">
        <v>74</v>
      </c>
      <c r="D6">
        <v>30.66</v>
      </c>
      <c r="E6">
        <v>26.09</v>
      </c>
      <c r="F6">
        <v>33.81</v>
      </c>
      <c r="G6" s="124">
        <v>11.87</v>
      </c>
      <c r="H6" s="124">
        <v>229.98</v>
      </c>
      <c r="I6" s="124">
        <v>29.07</v>
      </c>
      <c r="J6" s="124">
        <v>62.38</v>
      </c>
      <c r="K6" s="124">
        <v>141.16</v>
      </c>
      <c r="L6" s="124">
        <v>34.549999999999997</v>
      </c>
      <c r="M6" s="124">
        <v>32.71</v>
      </c>
      <c r="N6" s="124">
        <v>57.37</v>
      </c>
      <c r="O6" s="125">
        <v>43833.666666666672</v>
      </c>
      <c r="P6">
        <f t="shared" si="0"/>
        <v>28760.139931552767</v>
      </c>
      <c r="Q6">
        <v>84.27</v>
      </c>
      <c r="R6">
        <v>79.38</v>
      </c>
      <c r="S6">
        <f t="shared" si="1"/>
        <v>80.846999999999994</v>
      </c>
      <c r="T6">
        <f t="shared" si="2"/>
        <v>4.8331740092799716E-5</v>
      </c>
      <c r="U6">
        <f t="shared" si="3"/>
        <v>-2.137020741671926E-3</v>
      </c>
      <c r="V6">
        <f t="shared" si="4"/>
        <v>-3.9565276524186106E-4</v>
      </c>
    </row>
    <row r="7" spans="1:24" ht="15.75" customHeight="1">
      <c r="A7" s="127" t="s">
        <v>45</v>
      </c>
      <c r="D7">
        <v>30.66</v>
      </c>
      <c r="E7">
        <v>26.03</v>
      </c>
      <c r="F7">
        <v>33.76</v>
      </c>
      <c r="G7" s="124">
        <v>11.84</v>
      </c>
      <c r="H7" s="124">
        <v>230.29</v>
      </c>
      <c r="I7" s="124">
        <v>29.02</v>
      </c>
      <c r="J7" s="124">
        <v>62.51</v>
      </c>
      <c r="K7" s="124">
        <v>141.44</v>
      </c>
      <c r="L7" s="124">
        <v>34.6</v>
      </c>
      <c r="M7" s="124">
        <v>32.58</v>
      </c>
      <c r="N7" s="124">
        <v>57.57</v>
      </c>
      <c r="O7" s="125">
        <v>43836.666666666672</v>
      </c>
      <c r="P7">
        <f t="shared" si="0"/>
        <v>28755.995452833602</v>
      </c>
      <c r="Q7">
        <v>84.17</v>
      </c>
      <c r="R7">
        <v>79.56</v>
      </c>
      <c r="S7">
        <f t="shared" si="1"/>
        <v>80.942999999999998</v>
      </c>
      <c r="T7">
        <f t="shared" si="2"/>
        <v>-9.5780181438084535E-5</v>
      </c>
      <c r="U7">
        <f t="shared" si="3"/>
        <v>1.2570710245135282E-4</v>
      </c>
      <c r="V7">
        <f t="shared" si="4"/>
        <v>7.9130553048389776E-4</v>
      </c>
    </row>
    <row r="8" spans="1:24" ht="15.75" customHeight="1">
      <c r="A8" s="104" t="s">
        <v>48</v>
      </c>
      <c r="D8">
        <v>30.63</v>
      </c>
      <c r="E8">
        <v>26.12</v>
      </c>
      <c r="F8">
        <v>33.700000000000003</v>
      </c>
      <c r="G8" s="124">
        <v>11.81</v>
      </c>
      <c r="H8" s="124">
        <v>231.33</v>
      </c>
      <c r="I8" s="124">
        <v>29.08</v>
      </c>
      <c r="J8" s="124">
        <v>62.03</v>
      </c>
      <c r="K8" s="124">
        <v>141.08000000000001</v>
      </c>
      <c r="L8" s="124">
        <v>34.72</v>
      </c>
      <c r="M8" s="124">
        <v>32.19</v>
      </c>
      <c r="N8" s="124">
        <v>57.51</v>
      </c>
      <c r="O8" s="125">
        <v>43837.666666666672</v>
      </c>
      <c r="P8">
        <f t="shared" si="0"/>
        <v>28709.406403872235</v>
      </c>
      <c r="Q8">
        <v>84.1</v>
      </c>
      <c r="R8">
        <v>79.36</v>
      </c>
      <c r="S8">
        <f t="shared" si="1"/>
        <v>80.781999999999996</v>
      </c>
      <c r="T8">
        <f t="shared" si="2"/>
        <v>-1.7157758004460739E-3</v>
      </c>
      <c r="U8">
        <f t="shared" si="3"/>
        <v>-2.388434946574453E-3</v>
      </c>
      <c r="V8">
        <f t="shared" si="4"/>
        <v>-1.1993224446394516E-3</v>
      </c>
    </row>
    <row r="9" spans="1:24" ht="15.75" customHeight="1">
      <c r="A9" s="104" t="s">
        <v>51</v>
      </c>
      <c r="D9">
        <v>30.85</v>
      </c>
      <c r="E9">
        <v>26.19</v>
      </c>
      <c r="F9">
        <v>33.840000000000003</v>
      </c>
      <c r="G9" s="124">
        <v>11.91</v>
      </c>
      <c r="H9" s="124">
        <v>229.79</v>
      </c>
      <c r="I9" s="124">
        <v>29.45</v>
      </c>
      <c r="J9" s="124">
        <v>62.26</v>
      </c>
      <c r="K9" s="124">
        <v>141.08000000000001</v>
      </c>
      <c r="L9" s="124">
        <v>34.94</v>
      </c>
      <c r="M9" s="124">
        <v>32.42</v>
      </c>
      <c r="N9" s="124">
        <v>57.4</v>
      </c>
      <c r="O9" s="125">
        <v>43838.666666666672</v>
      </c>
      <c r="P9">
        <f t="shared" si="0"/>
        <v>28804.313474251107</v>
      </c>
      <c r="Q9">
        <v>83.97</v>
      </c>
      <c r="R9">
        <v>79.75</v>
      </c>
      <c r="S9">
        <f t="shared" si="1"/>
        <v>81.015999999999991</v>
      </c>
      <c r="T9">
        <f t="shared" si="2"/>
        <v>1.5843353126644025E-3</v>
      </c>
      <c r="U9">
        <f t="shared" si="3"/>
        <v>2.5141420490258056E-3</v>
      </c>
      <c r="V9">
        <f t="shared" si="4"/>
        <v>1.6938884011919097E-3</v>
      </c>
    </row>
    <row r="10" spans="1:24" ht="15.75" customHeight="1">
      <c r="A10" s="129" t="s">
        <v>53</v>
      </c>
      <c r="D10">
        <v>31.06</v>
      </c>
      <c r="E10">
        <v>26.24</v>
      </c>
      <c r="F10">
        <v>33.909999999999997</v>
      </c>
      <c r="G10" s="124">
        <v>11.93</v>
      </c>
      <c r="H10" s="124">
        <v>231.53</v>
      </c>
      <c r="I10" s="124">
        <v>29.7</v>
      </c>
      <c r="J10" s="124">
        <v>62.7</v>
      </c>
      <c r="K10" s="124">
        <v>141.72</v>
      </c>
      <c r="L10" s="124">
        <v>35.25</v>
      </c>
      <c r="M10" s="124">
        <v>32.53</v>
      </c>
      <c r="N10" s="124">
        <v>57.11</v>
      </c>
      <c r="O10" s="125">
        <v>43839.666666666672</v>
      </c>
      <c r="P10">
        <f t="shared" si="0"/>
        <v>28894.589954286468</v>
      </c>
      <c r="Q10">
        <v>84.07</v>
      </c>
      <c r="R10">
        <v>80.2</v>
      </c>
      <c r="S10">
        <f t="shared" si="1"/>
        <v>81.36099999999999</v>
      </c>
      <c r="T10">
        <f t="shared" si="2"/>
        <v>4.7234314182325121E-3</v>
      </c>
      <c r="U10">
        <f t="shared" si="3"/>
        <v>8.1709616593338245E-3</v>
      </c>
      <c r="V10">
        <f t="shared" si="4"/>
        <v>5.9595197764561797E-3</v>
      </c>
    </row>
    <row r="11" spans="1:24" ht="15.75" customHeight="1">
      <c r="A11" s="129" t="s">
        <v>56</v>
      </c>
      <c r="D11">
        <v>31.03</v>
      </c>
      <c r="E11">
        <v>26.22</v>
      </c>
      <c r="F11">
        <v>33.74</v>
      </c>
      <c r="G11" s="124">
        <v>11.95</v>
      </c>
      <c r="H11" s="124">
        <v>228.57</v>
      </c>
      <c r="I11" s="124">
        <v>29.58</v>
      </c>
      <c r="J11" s="124">
        <v>62.66</v>
      </c>
      <c r="K11" s="124">
        <v>142.08000000000001</v>
      </c>
      <c r="L11" s="124">
        <v>35.4</v>
      </c>
      <c r="M11" s="124">
        <v>32.909999999999997</v>
      </c>
      <c r="N11" s="124">
        <v>57.25</v>
      </c>
      <c r="O11" s="125">
        <v>43840.666666666672</v>
      </c>
      <c r="P11">
        <f t="shared" si="0"/>
        <v>28895.410777639696</v>
      </c>
      <c r="Q11">
        <v>84.21</v>
      </c>
      <c r="R11">
        <v>80.02</v>
      </c>
      <c r="S11">
        <f t="shared" si="1"/>
        <v>81.276999999999987</v>
      </c>
      <c r="T11">
        <f t="shared" si="2"/>
        <v>4.7519731091631651E-3</v>
      </c>
      <c r="U11">
        <f t="shared" si="3"/>
        <v>5.9082338152105455E-3</v>
      </c>
      <c r="V11">
        <f t="shared" si="4"/>
        <v>4.9209312676961412E-3</v>
      </c>
    </row>
    <row r="12" spans="1:24" ht="15.75" customHeight="1">
      <c r="A12" s="129" t="s">
        <v>59</v>
      </c>
      <c r="D12">
        <v>31.43</v>
      </c>
      <c r="E12">
        <v>26.22</v>
      </c>
      <c r="F12">
        <v>33.909999999999997</v>
      </c>
      <c r="G12" s="124">
        <v>12.13</v>
      </c>
      <c r="H12" s="124">
        <v>230.43</v>
      </c>
      <c r="I12" s="124">
        <v>29.6</v>
      </c>
      <c r="J12" s="124">
        <v>63.07</v>
      </c>
      <c r="K12" s="124">
        <v>143.07</v>
      </c>
      <c r="L12" s="124">
        <v>35.89</v>
      </c>
      <c r="M12" s="124">
        <v>33.06</v>
      </c>
      <c r="N12" s="124">
        <v>57.15</v>
      </c>
      <c r="O12" s="125">
        <v>43843.666666666672</v>
      </c>
      <c r="P12">
        <f t="shared" si="0"/>
        <v>29050.760236984406</v>
      </c>
      <c r="Q12">
        <v>84.16</v>
      </c>
      <c r="R12">
        <v>80.62</v>
      </c>
      <c r="S12">
        <f t="shared" si="1"/>
        <v>81.681999999999988</v>
      </c>
      <c r="T12">
        <f t="shared" si="2"/>
        <v>1.0153788539273807E-2</v>
      </c>
      <c r="U12">
        <f t="shared" si="3"/>
        <v>1.3450659962287963E-2</v>
      </c>
      <c r="V12">
        <f t="shared" si="4"/>
        <v>9.9284115777890109E-3</v>
      </c>
    </row>
    <row r="13" spans="1:24" ht="15.75" customHeight="1">
      <c r="D13">
        <v>31.4</v>
      </c>
      <c r="E13">
        <v>26.23</v>
      </c>
      <c r="F13">
        <v>34</v>
      </c>
      <c r="G13" s="124">
        <v>12.23</v>
      </c>
      <c r="H13" s="124">
        <v>230.36</v>
      </c>
      <c r="I13" s="124">
        <v>29.64</v>
      </c>
      <c r="J13" s="124">
        <v>63.09</v>
      </c>
      <c r="K13" s="124">
        <v>143.46</v>
      </c>
      <c r="L13" s="124">
        <v>35.9</v>
      </c>
      <c r="M13" s="124">
        <v>32.86</v>
      </c>
      <c r="N13" s="124">
        <v>57.37</v>
      </c>
      <c r="O13" s="125">
        <v>43844.666666666672</v>
      </c>
      <c r="P13">
        <f t="shared" si="0"/>
        <v>29085.779407983751</v>
      </c>
      <c r="Q13">
        <v>84.28</v>
      </c>
      <c r="R13">
        <v>80.55</v>
      </c>
      <c r="S13">
        <f t="shared" si="1"/>
        <v>81.668999999999983</v>
      </c>
      <c r="T13">
        <f t="shared" si="2"/>
        <v>1.1371476061662899E-2</v>
      </c>
      <c r="U13">
        <f t="shared" si="3"/>
        <v>1.257071024512885E-2</v>
      </c>
      <c r="V13">
        <f t="shared" si="4"/>
        <v>9.7676776419094221E-3</v>
      </c>
    </row>
    <row r="14" spans="1:24" ht="15.75" customHeight="1">
      <c r="D14">
        <v>31.58</v>
      </c>
      <c r="E14">
        <v>26.19</v>
      </c>
      <c r="F14">
        <v>33.92</v>
      </c>
      <c r="G14" s="124">
        <v>12.25</v>
      </c>
      <c r="H14" s="124">
        <v>230.89</v>
      </c>
      <c r="I14" s="124">
        <v>29.5</v>
      </c>
      <c r="J14" s="124">
        <v>63.54</v>
      </c>
      <c r="K14" s="124">
        <v>145.44999999999999</v>
      </c>
      <c r="L14" s="124">
        <v>35.92</v>
      </c>
      <c r="M14" s="124">
        <v>33.17</v>
      </c>
      <c r="N14" s="124">
        <v>57.66</v>
      </c>
      <c r="O14" s="125">
        <v>43845.666666666672</v>
      </c>
      <c r="P14">
        <f t="shared" si="0"/>
        <v>29171.011564290424</v>
      </c>
      <c r="Q14">
        <v>84.41</v>
      </c>
      <c r="R14">
        <v>80.5</v>
      </c>
      <c r="S14">
        <f t="shared" si="1"/>
        <v>81.672999999999988</v>
      </c>
      <c r="T14">
        <f t="shared" si="2"/>
        <v>1.4335170811686905E-2</v>
      </c>
      <c r="U14">
        <f t="shared" si="3"/>
        <v>1.1942174732872443E-2</v>
      </c>
      <c r="V14">
        <f t="shared" si="4"/>
        <v>9.8171342375647196E-3</v>
      </c>
    </row>
    <row r="15" spans="1:24" ht="15.75" customHeight="1">
      <c r="D15">
        <v>31.89</v>
      </c>
      <c r="E15">
        <v>26.23</v>
      </c>
      <c r="F15">
        <v>34.07</v>
      </c>
      <c r="G15" s="124">
        <v>12.35</v>
      </c>
      <c r="H15" s="124">
        <v>233.52</v>
      </c>
      <c r="I15" s="124">
        <v>29.63</v>
      </c>
      <c r="J15" s="124">
        <v>63.71</v>
      </c>
      <c r="K15" s="124">
        <v>146.37</v>
      </c>
      <c r="L15" s="124">
        <v>36.31</v>
      </c>
      <c r="M15" s="124">
        <v>33.42</v>
      </c>
      <c r="N15" s="124">
        <v>58.35</v>
      </c>
      <c r="O15" s="125">
        <v>43846.666666666672</v>
      </c>
      <c r="P15">
        <f t="shared" si="0"/>
        <v>29347.206244436715</v>
      </c>
      <c r="Q15">
        <v>84.36</v>
      </c>
      <c r="R15">
        <v>81.09</v>
      </c>
      <c r="S15">
        <f t="shared" si="1"/>
        <v>82.070999999999998</v>
      </c>
      <c r="T15">
        <f t="shared" si="2"/>
        <v>2.0461816800236662E-2</v>
      </c>
      <c r="U15">
        <f t="shared" si="3"/>
        <v>1.9358893777498509E-2</v>
      </c>
      <c r="V15">
        <f t="shared" si="4"/>
        <v>1.4738065505261038E-2</v>
      </c>
    </row>
    <row r="16" spans="1:24" ht="15.75" customHeight="1">
      <c r="D16">
        <v>31.9</v>
      </c>
      <c r="E16">
        <v>26.32</v>
      </c>
      <c r="F16">
        <v>34.14</v>
      </c>
      <c r="G16" s="124">
        <v>12.49</v>
      </c>
      <c r="H16" s="124">
        <v>232.21</v>
      </c>
      <c r="I16" s="124">
        <v>29.78</v>
      </c>
      <c r="J16" s="124">
        <v>63.82</v>
      </c>
      <c r="K16" s="124">
        <v>147.35</v>
      </c>
      <c r="L16" s="124">
        <v>36.36</v>
      </c>
      <c r="M16" s="124">
        <v>33.31</v>
      </c>
      <c r="N16" s="124">
        <v>58.45</v>
      </c>
      <c r="O16" s="125">
        <v>43847.666666666672</v>
      </c>
      <c r="P16">
        <f t="shared" si="0"/>
        <v>29408.544672451048</v>
      </c>
      <c r="Q16">
        <v>84.35</v>
      </c>
      <c r="R16">
        <v>81.31</v>
      </c>
      <c r="S16">
        <f t="shared" si="1"/>
        <v>82.221999999999994</v>
      </c>
      <c r="T16">
        <f t="shared" si="2"/>
        <v>2.2594678210274364E-2</v>
      </c>
      <c r="U16">
        <f t="shared" si="3"/>
        <v>2.2124450031426841E-2</v>
      </c>
      <c r="V16">
        <f t="shared" si="4"/>
        <v>1.6605051991246227E-2</v>
      </c>
    </row>
    <row r="17" spans="4:22" ht="15.75" customHeight="1">
      <c r="D17">
        <v>31.95</v>
      </c>
      <c r="E17">
        <v>26.3</v>
      </c>
      <c r="F17">
        <v>33.83</v>
      </c>
      <c r="G17" s="124">
        <v>12.43</v>
      </c>
      <c r="H17" s="124">
        <v>230.39</v>
      </c>
      <c r="I17" s="124">
        <v>29.79</v>
      </c>
      <c r="J17" s="124">
        <v>64.040000000000006</v>
      </c>
      <c r="K17" s="124">
        <v>148.49</v>
      </c>
      <c r="L17" s="124">
        <v>36.200000000000003</v>
      </c>
      <c r="M17" s="124">
        <v>33.64</v>
      </c>
      <c r="N17" s="124">
        <v>58.28</v>
      </c>
      <c r="O17" s="125">
        <v>43851.666666666672</v>
      </c>
      <c r="P17">
        <f t="shared" si="0"/>
        <v>29388.820124795242</v>
      </c>
      <c r="Q17">
        <v>84.56</v>
      </c>
      <c r="R17">
        <v>80.87</v>
      </c>
      <c r="S17">
        <f t="shared" si="1"/>
        <v>81.977000000000004</v>
      </c>
      <c r="T17">
        <f t="shared" si="2"/>
        <v>2.1908815727530482E-2</v>
      </c>
      <c r="U17">
        <f t="shared" si="3"/>
        <v>1.6593337523570176E-2</v>
      </c>
      <c r="V17">
        <f t="shared" si="4"/>
        <v>1.3575835507363016E-2</v>
      </c>
    </row>
    <row r="18" spans="4:22" ht="15.75" customHeight="1">
      <c r="D18">
        <v>32.270000000000003</v>
      </c>
      <c r="E18">
        <v>26.28</v>
      </c>
      <c r="F18">
        <v>33.83</v>
      </c>
      <c r="G18" s="124">
        <v>12.39</v>
      </c>
      <c r="H18" s="124">
        <v>228.9</v>
      </c>
      <c r="I18" s="124">
        <v>29.71</v>
      </c>
      <c r="J18" s="124">
        <v>64.09</v>
      </c>
      <c r="K18" s="124">
        <v>148.93</v>
      </c>
      <c r="L18" s="124">
        <v>36.229999999999997</v>
      </c>
      <c r="M18" s="124">
        <v>33.72</v>
      </c>
      <c r="N18" s="124">
        <v>58.77</v>
      </c>
      <c r="O18" s="125">
        <v>43852.666666666672</v>
      </c>
      <c r="P18">
        <f t="shared" si="0"/>
        <v>29419.895855235456</v>
      </c>
      <c r="Q18">
        <v>84.63</v>
      </c>
      <c r="R18">
        <v>80.930000000000007</v>
      </c>
      <c r="S18">
        <f t="shared" si="1"/>
        <v>82.04</v>
      </c>
      <c r="T18">
        <f t="shared" si="2"/>
        <v>2.2989381832504336E-2</v>
      </c>
      <c r="U18">
        <f t="shared" si="3"/>
        <v>1.7347580138277936E-2</v>
      </c>
      <c r="V18">
        <f t="shared" si="4"/>
        <v>1.4354776888933045E-2</v>
      </c>
    </row>
    <row r="19" spans="4:22" ht="15.75" customHeight="1">
      <c r="D19">
        <v>32.35</v>
      </c>
      <c r="E19">
        <v>26.35</v>
      </c>
      <c r="F19">
        <v>33.64</v>
      </c>
      <c r="G19" s="124">
        <v>12.42</v>
      </c>
      <c r="H19" s="124">
        <v>231.24</v>
      </c>
      <c r="I19" s="124">
        <v>29.68</v>
      </c>
      <c r="J19" s="124">
        <v>64.03</v>
      </c>
      <c r="K19" s="124">
        <v>150.22</v>
      </c>
      <c r="L19" s="124">
        <v>36.409999999999997</v>
      </c>
      <c r="M19" s="124">
        <v>33.72</v>
      </c>
      <c r="N19" s="124">
        <v>58.89</v>
      </c>
      <c r="O19" s="125">
        <v>43853.666666666672</v>
      </c>
      <c r="P19">
        <f t="shared" si="0"/>
        <v>29465.640778296984</v>
      </c>
      <c r="Q19">
        <v>84.78</v>
      </c>
      <c r="R19">
        <v>80.94</v>
      </c>
      <c r="S19">
        <f t="shared" si="1"/>
        <v>82.091999999999999</v>
      </c>
      <c r="T19">
        <f t="shared" si="2"/>
        <v>2.4580025483826429E-2</v>
      </c>
      <c r="U19">
        <f t="shared" si="3"/>
        <v>1.7473287240729107E-2</v>
      </c>
      <c r="V19">
        <f t="shared" si="4"/>
        <v>1.4997712632451046E-2</v>
      </c>
    </row>
    <row r="20" spans="4:22" ht="15.75" customHeight="1">
      <c r="D20">
        <v>32.44</v>
      </c>
      <c r="E20">
        <v>26.39</v>
      </c>
      <c r="F20">
        <v>33.700000000000003</v>
      </c>
      <c r="G20" s="124">
        <v>12.43</v>
      </c>
      <c r="H20" s="124">
        <v>231.78</v>
      </c>
      <c r="I20" s="124">
        <v>29.77</v>
      </c>
      <c r="J20" s="124">
        <v>63.59</v>
      </c>
      <c r="K20" s="124">
        <v>150.56</v>
      </c>
      <c r="L20" s="124">
        <v>36.24</v>
      </c>
      <c r="M20" s="124">
        <v>33.61</v>
      </c>
      <c r="N20" s="124">
        <v>58.65</v>
      </c>
      <c r="O20" s="125">
        <v>43854.666666666672</v>
      </c>
      <c r="P20">
        <f t="shared" si="0"/>
        <v>29452.598727093289</v>
      </c>
      <c r="Q20">
        <v>84.91</v>
      </c>
      <c r="R20">
        <v>80.27</v>
      </c>
      <c r="S20">
        <f t="shared" si="1"/>
        <v>81.661999999999992</v>
      </c>
      <c r="T20">
        <f t="shared" si="2"/>
        <v>2.4126526941059802E-2</v>
      </c>
      <c r="U20">
        <f t="shared" si="3"/>
        <v>9.0509113764927571E-3</v>
      </c>
      <c r="V20">
        <f t="shared" si="4"/>
        <v>9.6811285995128688E-3</v>
      </c>
    </row>
    <row r="21" spans="4:22" ht="15.75" customHeight="1">
      <c r="D21">
        <v>31.62</v>
      </c>
      <c r="E21">
        <v>26.43</v>
      </c>
      <c r="F21">
        <v>32.840000000000003</v>
      </c>
      <c r="G21" s="124">
        <v>12.14</v>
      </c>
      <c r="H21" s="124">
        <v>230.05</v>
      </c>
      <c r="I21" s="124">
        <v>29.1</v>
      </c>
      <c r="J21" s="124">
        <v>63.39</v>
      </c>
      <c r="K21" s="124">
        <v>150.07</v>
      </c>
      <c r="L21" s="124">
        <v>35.35</v>
      </c>
      <c r="M21" s="124">
        <v>33.6</v>
      </c>
      <c r="N21" s="124">
        <v>57.86</v>
      </c>
      <c r="O21" s="125">
        <v>43857.666666666672</v>
      </c>
      <c r="P21">
        <f t="shared" si="0"/>
        <v>29108.66198322807</v>
      </c>
      <c r="Q21">
        <v>85.19</v>
      </c>
      <c r="R21">
        <v>78.78</v>
      </c>
      <c r="S21">
        <f t="shared" si="1"/>
        <v>80.703000000000003</v>
      </c>
      <c r="T21">
        <f t="shared" si="2"/>
        <v>1.216714956163404E-2</v>
      </c>
      <c r="U21">
        <f t="shared" si="3"/>
        <v>-9.6794468887491641E-3</v>
      </c>
      <c r="V21">
        <f t="shared" si="4"/>
        <v>-2.1760902088303236E-3</v>
      </c>
    </row>
    <row r="22" spans="4:22" ht="15.75" customHeight="1">
      <c r="D22">
        <v>32.33</v>
      </c>
      <c r="E22">
        <v>26.43</v>
      </c>
      <c r="F22">
        <v>33.17</v>
      </c>
      <c r="G22" s="124">
        <v>12.38</v>
      </c>
      <c r="H22" s="124">
        <v>232</v>
      </c>
      <c r="I22" s="124">
        <v>29.35</v>
      </c>
      <c r="J22" s="124">
        <v>63.47</v>
      </c>
      <c r="K22" s="124">
        <v>150.69999999999999</v>
      </c>
      <c r="L22" s="124">
        <v>35.79</v>
      </c>
      <c r="M22" s="124">
        <v>33.869999999999997</v>
      </c>
      <c r="N22" s="124">
        <v>57.41</v>
      </c>
      <c r="O22" s="125">
        <v>43858.666666666672</v>
      </c>
      <c r="P22">
        <f t="shared" si="0"/>
        <v>29298.863540772432</v>
      </c>
      <c r="Q22">
        <v>85.04</v>
      </c>
      <c r="R22">
        <v>79.52</v>
      </c>
      <c r="S22">
        <f t="shared" si="1"/>
        <v>81.175999999999988</v>
      </c>
      <c r="T22">
        <f t="shared" si="2"/>
        <v>1.8780843054408955E-2</v>
      </c>
      <c r="U22">
        <f t="shared" si="3"/>
        <v>-3.7712130735387982E-4</v>
      </c>
      <c r="V22">
        <f t="shared" si="4"/>
        <v>3.6721522274013908E-3</v>
      </c>
    </row>
    <row r="23" spans="4:22" ht="15.75" customHeight="1">
      <c r="D23">
        <v>32.549999999999997</v>
      </c>
      <c r="E23">
        <v>26.47</v>
      </c>
      <c r="F23">
        <v>33.25</v>
      </c>
      <c r="G23" s="124">
        <v>12.44</v>
      </c>
      <c r="H23" s="124">
        <v>232.11</v>
      </c>
      <c r="I23" s="124">
        <v>29.32</v>
      </c>
      <c r="J23" s="124">
        <v>63.15</v>
      </c>
      <c r="K23" s="124">
        <v>151.04</v>
      </c>
      <c r="L23" s="124">
        <v>35.61</v>
      </c>
      <c r="M23" s="124">
        <v>33.53</v>
      </c>
      <c r="N23" s="124">
        <v>57.3</v>
      </c>
      <c r="O23" s="125">
        <v>43859.666666666672</v>
      </c>
      <c r="P23">
        <f t="shared" si="0"/>
        <v>29288.752402928887</v>
      </c>
      <c r="Q23">
        <v>85.28</v>
      </c>
      <c r="R23">
        <v>79.510000000000005</v>
      </c>
      <c r="S23">
        <f t="shared" si="1"/>
        <v>81.241</v>
      </c>
      <c r="T23">
        <f t="shared" si="2"/>
        <v>1.8429258307029541E-2</v>
      </c>
      <c r="U23">
        <f t="shared" si="3"/>
        <v>-5.0282840980505402E-4</v>
      </c>
      <c r="V23">
        <f t="shared" si="4"/>
        <v>4.4758219067991571E-3</v>
      </c>
    </row>
    <row r="24" spans="4:22" ht="15.75" customHeight="1">
      <c r="D24">
        <v>32.54</v>
      </c>
      <c r="E24">
        <v>26.39</v>
      </c>
      <c r="F24">
        <v>33.33</v>
      </c>
      <c r="G24" s="124">
        <v>12.31</v>
      </c>
      <c r="H24" s="124">
        <v>232.25</v>
      </c>
      <c r="I24" s="124">
        <v>29.17</v>
      </c>
      <c r="J24" s="124">
        <v>63.9</v>
      </c>
      <c r="K24" s="124">
        <v>152.35</v>
      </c>
      <c r="L24" s="124">
        <v>35.44</v>
      </c>
      <c r="M24" s="124">
        <v>33.619999999999997</v>
      </c>
      <c r="N24" s="124">
        <v>56.85</v>
      </c>
      <c r="O24" s="125">
        <v>43860.666666666672</v>
      </c>
      <c r="P24">
        <f t="shared" si="0"/>
        <v>29276.966704754497</v>
      </c>
      <c r="Q24">
        <v>85.3</v>
      </c>
      <c r="R24">
        <v>79.510000000000005</v>
      </c>
      <c r="S24">
        <f t="shared" si="1"/>
        <v>81.247</v>
      </c>
      <c r="T24">
        <f t="shared" si="2"/>
        <v>1.8019445704387779E-2</v>
      </c>
      <c r="U24">
        <f t="shared" si="3"/>
        <v>-5.0282840980505402E-4</v>
      </c>
      <c r="V24">
        <f t="shared" si="4"/>
        <v>4.5500068002820174E-3</v>
      </c>
    </row>
    <row r="25" spans="4:22" ht="15.75" customHeight="1">
      <c r="D25">
        <v>31.85</v>
      </c>
      <c r="E25">
        <v>26.28</v>
      </c>
      <c r="F25">
        <v>32.69</v>
      </c>
      <c r="G25" s="124">
        <v>12.12</v>
      </c>
      <c r="H25" s="124">
        <v>227.7</v>
      </c>
      <c r="I25" s="124">
        <v>28.52</v>
      </c>
      <c r="J25" s="124">
        <v>63.18</v>
      </c>
      <c r="K25" s="124">
        <v>151.6</v>
      </c>
      <c r="L25" s="124">
        <v>34.89</v>
      </c>
      <c r="M25" s="124">
        <v>33.119999999999997</v>
      </c>
      <c r="N25" s="124">
        <v>56.16</v>
      </c>
      <c r="O25" s="125">
        <v>43861.666666666672</v>
      </c>
      <c r="P25">
        <f t="shared" si="0"/>
        <v>28916.509828435217</v>
      </c>
      <c r="Q25">
        <v>85.52</v>
      </c>
      <c r="R25">
        <v>78.11</v>
      </c>
      <c r="S25">
        <f t="shared" si="1"/>
        <v>80.332999999999998</v>
      </c>
      <c r="T25">
        <f t="shared" si="2"/>
        <v>5.4856298507359536E-3</v>
      </c>
      <c r="U25">
        <f t="shared" si="3"/>
        <v>-1.8101822752985514E-2</v>
      </c>
      <c r="V25">
        <f t="shared" si="4"/>
        <v>-6.7508253069399017E-3</v>
      </c>
    </row>
    <row r="26" spans="4:22" ht="15.75" customHeight="1">
      <c r="D26">
        <v>32.43</v>
      </c>
      <c r="E26">
        <v>26.41</v>
      </c>
      <c r="F26">
        <v>32.99</v>
      </c>
      <c r="G26" s="124">
        <v>12.28</v>
      </c>
      <c r="H26" s="124">
        <v>227.31</v>
      </c>
      <c r="I26" s="124">
        <v>28.67</v>
      </c>
      <c r="J26" s="124">
        <v>63.18</v>
      </c>
      <c r="K26" s="124">
        <v>152.21</v>
      </c>
      <c r="L26" s="124">
        <v>35.14</v>
      </c>
      <c r="M26" s="124">
        <v>33.479999999999997</v>
      </c>
      <c r="N26" s="124">
        <v>55.89</v>
      </c>
      <c r="O26" s="125">
        <v>43864.666666666672</v>
      </c>
      <c r="P26">
        <f t="shared" si="0"/>
        <v>29062.975607756212</v>
      </c>
      <c r="Q26">
        <v>85.26</v>
      </c>
      <c r="R26">
        <v>78.64</v>
      </c>
      <c r="S26">
        <f t="shared" si="1"/>
        <v>80.625999999999991</v>
      </c>
      <c r="T26">
        <f t="shared" si="2"/>
        <v>1.0578541728618666E-2</v>
      </c>
      <c r="U26">
        <f t="shared" si="3"/>
        <v>-1.1439346323067211E-2</v>
      </c>
      <c r="V26">
        <f t="shared" si="4"/>
        <v>-3.1281296751938096E-3</v>
      </c>
    </row>
    <row r="27" spans="4:22" ht="15.75" customHeight="1">
      <c r="D27">
        <v>33.090000000000003</v>
      </c>
      <c r="E27">
        <v>26.45</v>
      </c>
      <c r="F27">
        <v>33.64</v>
      </c>
      <c r="G27" s="124">
        <v>12.7</v>
      </c>
      <c r="H27" s="124">
        <v>231.11</v>
      </c>
      <c r="I27" s="124">
        <v>29.23</v>
      </c>
      <c r="J27" s="124">
        <v>63.56</v>
      </c>
      <c r="K27" s="124">
        <v>150.80000000000001</v>
      </c>
      <c r="L27" s="124">
        <v>36.049999999999997</v>
      </c>
      <c r="M27" s="124">
        <v>33.880000000000003</v>
      </c>
      <c r="N27" s="124">
        <v>56.14</v>
      </c>
      <c r="O27" s="125">
        <v>43865.666666666672</v>
      </c>
      <c r="P27">
        <f t="shared" si="0"/>
        <v>29402.928305965062</v>
      </c>
      <c r="Q27">
        <v>85</v>
      </c>
      <c r="R27">
        <v>79.989999999999995</v>
      </c>
      <c r="S27">
        <f t="shared" si="1"/>
        <v>81.492999999999995</v>
      </c>
      <c r="T27">
        <f t="shared" si="2"/>
        <v>2.2399385769134732E-2</v>
      </c>
      <c r="U27">
        <f t="shared" si="3"/>
        <v>5.5311125078566659E-3</v>
      </c>
      <c r="V27">
        <f t="shared" si="4"/>
        <v>7.5915874330790981E-3</v>
      </c>
    </row>
    <row r="28" spans="4:22" ht="15.75" customHeight="1">
      <c r="D28">
        <v>32.93</v>
      </c>
      <c r="E28">
        <v>26.55</v>
      </c>
      <c r="F28">
        <v>34.07</v>
      </c>
      <c r="G28" s="124">
        <v>12.86</v>
      </c>
      <c r="H28" s="124">
        <v>234.89</v>
      </c>
      <c r="I28" s="124">
        <v>29.68</v>
      </c>
      <c r="J28" s="124">
        <v>64.069999999999993</v>
      </c>
      <c r="K28" s="124">
        <v>151.5</v>
      </c>
      <c r="L28" s="124">
        <v>36.22</v>
      </c>
      <c r="M28" s="124">
        <v>33.799999999999997</v>
      </c>
      <c r="N28" s="124">
        <v>56.54</v>
      </c>
      <c r="O28" s="125">
        <v>43866.666666666672</v>
      </c>
      <c r="P28">
        <f t="shared" si="0"/>
        <v>29584.560522735814</v>
      </c>
      <c r="Q28">
        <v>84.86</v>
      </c>
      <c r="R28">
        <v>80.75</v>
      </c>
      <c r="S28">
        <f t="shared" si="1"/>
        <v>81.983000000000004</v>
      </c>
      <c r="T28">
        <f t="shared" si="2"/>
        <v>2.8715105922240327E-2</v>
      </c>
      <c r="U28">
        <f t="shared" si="3"/>
        <v>1.5084852294154657E-2</v>
      </c>
      <c r="V28">
        <f t="shared" si="4"/>
        <v>1.3650020400845874E-2</v>
      </c>
    </row>
    <row r="29" spans="4:22" ht="15.75" customHeight="1">
      <c r="D29">
        <v>32.86</v>
      </c>
      <c r="E29">
        <v>26.6</v>
      </c>
      <c r="F29">
        <v>34.229999999999997</v>
      </c>
      <c r="G29" s="124">
        <v>12.9</v>
      </c>
      <c r="H29" s="124">
        <v>237.63</v>
      </c>
      <c r="I29" s="124">
        <v>29.83</v>
      </c>
      <c r="J29" s="124">
        <v>64.180000000000007</v>
      </c>
      <c r="K29" s="124">
        <v>151.6</v>
      </c>
      <c r="L29" s="124">
        <v>36.43</v>
      </c>
      <c r="M29" s="124">
        <v>33.85</v>
      </c>
      <c r="N29" s="124">
        <v>56.55</v>
      </c>
      <c r="O29" s="125">
        <v>43867.666666666672</v>
      </c>
      <c r="P29">
        <f t="shared" si="0"/>
        <v>29657.624700006407</v>
      </c>
      <c r="Q29">
        <v>84.94</v>
      </c>
      <c r="R29">
        <v>80.91</v>
      </c>
      <c r="S29">
        <f t="shared" si="1"/>
        <v>82.119</v>
      </c>
      <c r="T29">
        <f t="shared" si="2"/>
        <v>3.1255695389583504E-2</v>
      </c>
      <c r="U29">
        <f t="shared" si="3"/>
        <v>1.7096165933375228E-2</v>
      </c>
      <c r="V29">
        <f t="shared" si="4"/>
        <v>1.5331544653123917E-2</v>
      </c>
    </row>
    <row r="30" spans="4:22" ht="15.75" customHeight="1">
      <c r="D30">
        <v>32.65</v>
      </c>
      <c r="E30">
        <v>26.66</v>
      </c>
      <c r="F30">
        <v>33.92</v>
      </c>
      <c r="G30" s="124">
        <v>12.76</v>
      </c>
      <c r="H30" s="124">
        <v>237.35</v>
      </c>
      <c r="I30" s="124">
        <v>29.6</v>
      </c>
      <c r="J30" s="124">
        <v>64.260000000000005</v>
      </c>
      <c r="K30" s="124">
        <v>151.08000000000001</v>
      </c>
      <c r="L30" s="124">
        <v>35.869999999999997</v>
      </c>
      <c r="M30" s="124">
        <v>33.950000000000003</v>
      </c>
      <c r="N30" s="124">
        <v>56.43</v>
      </c>
      <c r="O30" s="125">
        <v>43868.666666666672</v>
      </c>
      <c r="P30">
        <f t="shared" si="0"/>
        <v>29541.325201466305</v>
      </c>
      <c r="Q30">
        <v>85.2</v>
      </c>
      <c r="R30">
        <v>80.38</v>
      </c>
      <c r="S30">
        <f t="shared" si="1"/>
        <v>81.825999999999993</v>
      </c>
      <c r="T30">
        <f t="shared" si="2"/>
        <v>2.7211726209529559E-2</v>
      </c>
      <c r="U30">
        <f t="shared" si="3"/>
        <v>1.0433689503456925E-2</v>
      </c>
      <c r="V30">
        <f t="shared" si="4"/>
        <v>1.1708849021377648E-2</v>
      </c>
    </row>
    <row r="31" spans="4:22" ht="15.75" customHeight="1">
      <c r="D31">
        <v>32.89</v>
      </c>
      <c r="E31">
        <v>26.7</v>
      </c>
      <c r="F31">
        <v>34.06</v>
      </c>
      <c r="G31" s="124">
        <v>12.8</v>
      </c>
      <c r="H31" s="124">
        <v>238.85</v>
      </c>
      <c r="I31" s="124">
        <v>29.72</v>
      </c>
      <c r="J31" s="124">
        <v>64.53</v>
      </c>
      <c r="K31" s="124">
        <v>151.58000000000001</v>
      </c>
      <c r="L31" s="124">
        <v>35.97</v>
      </c>
      <c r="M31" s="124">
        <v>34.31</v>
      </c>
      <c r="N31" s="124">
        <v>56.07</v>
      </c>
      <c r="O31" s="125">
        <v>43871.666666666672</v>
      </c>
      <c r="P31">
        <f t="shared" si="0"/>
        <v>29630.593523500069</v>
      </c>
      <c r="Q31">
        <v>85.33</v>
      </c>
      <c r="R31">
        <v>80.78</v>
      </c>
      <c r="S31">
        <f t="shared" si="1"/>
        <v>82.144999999999996</v>
      </c>
      <c r="T31">
        <f t="shared" si="2"/>
        <v>3.0315766618914424E-2</v>
      </c>
      <c r="U31">
        <f t="shared" si="3"/>
        <v>1.5461973601508536E-2</v>
      </c>
      <c r="V31">
        <f t="shared" si="4"/>
        <v>1.5653012524882919E-2</v>
      </c>
    </row>
    <row r="32" spans="4:22" ht="15.75" customHeight="1">
      <c r="D32">
        <v>32.979999999999997</v>
      </c>
      <c r="E32">
        <v>26.67</v>
      </c>
      <c r="F32">
        <v>34.380000000000003</v>
      </c>
      <c r="G32" s="124">
        <v>13.13</v>
      </c>
      <c r="H32" s="124">
        <v>238.86</v>
      </c>
      <c r="I32" s="124">
        <v>29.96</v>
      </c>
      <c r="J32" s="124">
        <v>64.290000000000006</v>
      </c>
      <c r="K32" s="124">
        <v>152.1</v>
      </c>
      <c r="L32" s="124">
        <v>36.380000000000003</v>
      </c>
      <c r="M32" s="124">
        <v>35.08</v>
      </c>
      <c r="N32" s="124">
        <v>56.75</v>
      </c>
      <c r="O32" s="125">
        <v>43872.666666666672</v>
      </c>
      <c r="P32">
        <f t="shared" si="0"/>
        <v>29863.253456686489</v>
      </c>
      <c r="Q32">
        <v>85.19</v>
      </c>
      <c r="R32">
        <v>81.19</v>
      </c>
      <c r="S32">
        <f t="shared" si="1"/>
        <v>82.389999999999986</v>
      </c>
      <c r="T32">
        <f t="shared" si="2"/>
        <v>3.8405823850888351E-2</v>
      </c>
      <c r="U32">
        <f t="shared" si="3"/>
        <v>2.0615964802011322E-2</v>
      </c>
      <c r="V32">
        <f t="shared" si="4"/>
        <v>1.8682229008766132E-2</v>
      </c>
    </row>
    <row r="33" spans="4:22" ht="15.75" customHeight="1">
      <c r="D33">
        <v>33.119999999999997</v>
      </c>
      <c r="E33">
        <v>26.74</v>
      </c>
      <c r="F33">
        <v>34.659999999999997</v>
      </c>
      <c r="G33" s="124">
        <v>13.42</v>
      </c>
      <c r="H33" s="124">
        <v>239.8</v>
      </c>
      <c r="I33" s="124">
        <v>30.28</v>
      </c>
      <c r="J33" s="124">
        <v>64.260000000000005</v>
      </c>
      <c r="K33" s="124">
        <v>152.31</v>
      </c>
      <c r="L33" s="124">
        <v>36.71</v>
      </c>
      <c r="M33" s="124">
        <v>35.67</v>
      </c>
      <c r="N33" s="124">
        <v>57.78</v>
      </c>
      <c r="O33" s="125">
        <v>43873.666666666672</v>
      </c>
      <c r="P33">
        <f t="shared" si="0"/>
        <v>30106.587474523985</v>
      </c>
      <c r="Q33">
        <v>85.09</v>
      </c>
      <c r="R33">
        <v>81.73</v>
      </c>
      <c r="S33">
        <f t="shared" si="1"/>
        <v>82.738</v>
      </c>
      <c r="T33">
        <f t="shared" si="2"/>
        <v>4.6867040631236062E-2</v>
      </c>
      <c r="U33">
        <f t="shared" si="3"/>
        <v>2.7404148334380981E-2</v>
      </c>
      <c r="V33">
        <f t="shared" si="4"/>
        <v>2.2984952830772006E-2</v>
      </c>
    </row>
    <row r="34" spans="4:22" ht="15.75" customHeight="1">
      <c r="D34">
        <v>33.409999999999997</v>
      </c>
      <c r="E34">
        <v>26.77</v>
      </c>
      <c r="F34">
        <v>34.58</v>
      </c>
      <c r="G34" s="124">
        <v>13.35</v>
      </c>
      <c r="H34" s="124">
        <v>238.54</v>
      </c>
      <c r="I34" s="124">
        <v>30.12</v>
      </c>
      <c r="J34" s="124">
        <v>64.64</v>
      </c>
      <c r="K34" s="124">
        <v>153.97999999999999</v>
      </c>
      <c r="L34" s="124">
        <v>36.69</v>
      </c>
      <c r="M34" s="124">
        <v>35.96</v>
      </c>
      <c r="N34" s="124">
        <v>57.42</v>
      </c>
      <c r="O34" s="125">
        <v>43874.666666666672</v>
      </c>
      <c r="P34">
        <f t="shared" si="0"/>
        <v>30123.746991538072</v>
      </c>
      <c r="Q34">
        <v>85.17</v>
      </c>
      <c r="R34">
        <v>81.36</v>
      </c>
      <c r="S34">
        <f t="shared" si="1"/>
        <v>82.503</v>
      </c>
      <c r="T34">
        <f t="shared" si="2"/>
        <v>4.7463711801968997E-2</v>
      </c>
      <c r="U34">
        <f t="shared" si="3"/>
        <v>2.2752985543683248E-2</v>
      </c>
      <c r="V34">
        <f t="shared" si="4"/>
        <v>2.0079377836026775E-2</v>
      </c>
    </row>
    <row r="35" spans="4:22" ht="15.75" customHeight="1">
      <c r="D35">
        <v>33.79</v>
      </c>
      <c r="E35">
        <v>26.76</v>
      </c>
      <c r="F35">
        <v>34.56</v>
      </c>
      <c r="G35" s="124">
        <v>13.34</v>
      </c>
      <c r="H35" s="124">
        <v>238.09</v>
      </c>
      <c r="I35" s="124">
        <v>30.17</v>
      </c>
      <c r="J35" s="124">
        <v>64.790000000000006</v>
      </c>
      <c r="K35" s="124">
        <v>155.03</v>
      </c>
      <c r="L35" s="124">
        <v>36.65</v>
      </c>
      <c r="M35" s="124">
        <v>36.31</v>
      </c>
      <c r="N35" s="124">
        <v>57.19</v>
      </c>
      <c r="O35" s="125">
        <v>43875.666666666672</v>
      </c>
      <c r="P35">
        <f t="shared" si="0"/>
        <v>30175.668533364151</v>
      </c>
      <c r="Q35">
        <v>85.26</v>
      </c>
      <c r="R35">
        <v>81.44</v>
      </c>
      <c r="S35">
        <f t="shared" si="1"/>
        <v>82.585999999999999</v>
      </c>
      <c r="T35">
        <f t="shared" si="2"/>
        <v>4.9269129001194026E-2</v>
      </c>
      <c r="U35">
        <f t="shared" si="3"/>
        <v>2.3758642363293534E-2</v>
      </c>
      <c r="V35">
        <f t="shared" si="4"/>
        <v>2.1105602195872947E-2</v>
      </c>
    </row>
    <row r="36" spans="4:22" ht="15.75" customHeight="1">
      <c r="D36">
        <v>33.869999999999997</v>
      </c>
      <c r="E36">
        <v>26.86</v>
      </c>
      <c r="F36">
        <v>34.19</v>
      </c>
      <c r="G36" s="124">
        <v>13.39</v>
      </c>
      <c r="H36" s="124">
        <v>236.33</v>
      </c>
      <c r="I36" s="124">
        <v>30.03</v>
      </c>
      <c r="J36" s="124">
        <v>64.56</v>
      </c>
      <c r="K36" s="124">
        <v>156.1</v>
      </c>
      <c r="L36" s="124">
        <v>36.32</v>
      </c>
      <c r="M36" s="124">
        <v>36.32</v>
      </c>
      <c r="N36" s="124">
        <v>57.14</v>
      </c>
      <c r="O36" s="125">
        <v>43879.666666666672</v>
      </c>
      <c r="P36">
        <f t="shared" si="0"/>
        <v>30131.253649598948</v>
      </c>
      <c r="Q36">
        <v>85.39</v>
      </c>
      <c r="R36">
        <v>81.12</v>
      </c>
      <c r="S36">
        <f t="shared" si="1"/>
        <v>82.400999999999996</v>
      </c>
      <c r="T36">
        <f t="shared" si="2"/>
        <v>4.7724733510785051E-2</v>
      </c>
      <c r="U36">
        <f t="shared" si="3"/>
        <v>1.9736015084852388E-2</v>
      </c>
      <c r="V36">
        <f t="shared" si="4"/>
        <v>1.8818234646818158E-2</v>
      </c>
    </row>
    <row r="37" spans="4:22" ht="15.75" customHeight="1">
      <c r="D37">
        <v>34.39</v>
      </c>
      <c r="E37">
        <v>26.91</v>
      </c>
      <c r="F37">
        <v>34.36</v>
      </c>
      <c r="G37" s="124">
        <v>14.14</v>
      </c>
      <c r="H37" s="124">
        <v>235.98</v>
      </c>
      <c r="I37" s="124">
        <v>30.23</v>
      </c>
      <c r="J37" s="124">
        <v>64.489999999999995</v>
      </c>
      <c r="K37" s="124">
        <v>154.63999999999999</v>
      </c>
      <c r="L37" s="124">
        <v>36.54</v>
      </c>
      <c r="M37" s="124">
        <v>36.380000000000003</v>
      </c>
      <c r="N37" s="124">
        <v>57.5</v>
      </c>
      <c r="O37" s="125">
        <v>43880.666666666672</v>
      </c>
      <c r="P37">
        <f t="shared" si="0"/>
        <v>30370.668823641219</v>
      </c>
      <c r="Q37">
        <v>85.38</v>
      </c>
      <c r="R37">
        <v>81.459999999999994</v>
      </c>
      <c r="S37">
        <f t="shared" si="1"/>
        <v>82.635999999999996</v>
      </c>
      <c r="T37">
        <f t="shared" si="2"/>
        <v>5.6049684153030091E-2</v>
      </c>
      <c r="U37">
        <f t="shared" si="3"/>
        <v>2.4010056568196061E-2</v>
      </c>
      <c r="V37">
        <f t="shared" si="4"/>
        <v>2.1723809641563386E-2</v>
      </c>
    </row>
    <row r="38" spans="4:22" ht="15.75" customHeight="1">
      <c r="D38">
        <v>34.01</v>
      </c>
      <c r="E38">
        <v>26.99</v>
      </c>
      <c r="F38">
        <v>34.24</v>
      </c>
      <c r="G38" s="124">
        <v>14.24</v>
      </c>
      <c r="H38" s="124">
        <v>234.47</v>
      </c>
      <c r="I38" s="124">
        <v>30.16</v>
      </c>
      <c r="J38" s="124">
        <v>64.540000000000006</v>
      </c>
      <c r="K38" s="124">
        <v>155.05000000000001</v>
      </c>
      <c r="L38" s="124">
        <v>36.409999999999997</v>
      </c>
      <c r="M38" s="124">
        <v>36.729999999999997</v>
      </c>
      <c r="N38" s="124">
        <v>57.46</v>
      </c>
      <c r="O38" s="125">
        <v>43881.666666666672</v>
      </c>
      <c r="P38">
        <f t="shared" si="0"/>
        <v>30373.994152024276</v>
      </c>
      <c r="Q38">
        <v>85.59</v>
      </c>
      <c r="R38">
        <v>80.989999999999995</v>
      </c>
      <c r="S38">
        <f t="shared" si="1"/>
        <v>82.36999999999999</v>
      </c>
      <c r="T38">
        <f t="shared" si="2"/>
        <v>5.6165312557824983E-2</v>
      </c>
      <c r="U38">
        <f t="shared" si="3"/>
        <v>1.8101822752985514E-2</v>
      </c>
      <c r="V38">
        <f t="shared" si="4"/>
        <v>1.843494603048999E-2</v>
      </c>
    </row>
    <row r="39" spans="4:22" ht="15.75" customHeight="1">
      <c r="D39">
        <v>33.61</v>
      </c>
      <c r="E39">
        <v>26.83</v>
      </c>
      <c r="F39">
        <v>33.93</v>
      </c>
      <c r="G39" s="124">
        <v>14.11</v>
      </c>
      <c r="H39" s="124">
        <v>233.85</v>
      </c>
      <c r="I39" s="124">
        <v>29.77</v>
      </c>
      <c r="J39" s="124">
        <v>64.650000000000006</v>
      </c>
      <c r="K39" s="124">
        <v>154.81</v>
      </c>
      <c r="L39" s="124">
        <v>35.75</v>
      </c>
      <c r="M39" s="124">
        <v>36.82</v>
      </c>
      <c r="N39" s="124">
        <v>57.49</v>
      </c>
      <c r="O39" s="125">
        <v>43882.666666666672</v>
      </c>
      <c r="P39">
        <f t="shared" si="0"/>
        <v>30231.421128224512</v>
      </c>
      <c r="Q39">
        <v>85.8</v>
      </c>
      <c r="R39">
        <v>80.36</v>
      </c>
      <c r="S39">
        <f t="shared" si="1"/>
        <v>81.99199999999999</v>
      </c>
      <c r="T39">
        <f t="shared" si="2"/>
        <v>5.1207759675904921E-2</v>
      </c>
      <c r="U39">
        <f t="shared" si="3"/>
        <v>1.0182275298554398E-2</v>
      </c>
      <c r="V39">
        <f t="shared" si="4"/>
        <v>1.3761297741069989E-2</v>
      </c>
    </row>
    <row r="40" spans="4:22" ht="15.75" customHeight="1">
      <c r="D40">
        <v>32.26</v>
      </c>
      <c r="E40">
        <v>26.84</v>
      </c>
      <c r="F40">
        <v>32.46</v>
      </c>
      <c r="G40" s="124">
        <v>13.61</v>
      </c>
      <c r="H40" s="124">
        <v>226.76</v>
      </c>
      <c r="I40" s="124">
        <v>28.54</v>
      </c>
      <c r="J40" s="124">
        <v>63.16</v>
      </c>
      <c r="K40" s="124">
        <v>152.86000000000001</v>
      </c>
      <c r="L40" s="124">
        <v>34.4</v>
      </c>
      <c r="M40" s="124">
        <v>36.25</v>
      </c>
      <c r="N40" s="124">
        <v>56.1</v>
      </c>
      <c r="O40" s="125">
        <v>43885.666666666672</v>
      </c>
      <c r="P40">
        <f t="shared" si="0"/>
        <v>29510.784394876369</v>
      </c>
      <c r="Q40">
        <v>86.07</v>
      </c>
      <c r="R40">
        <v>77.599999999999994</v>
      </c>
      <c r="S40">
        <f t="shared" si="1"/>
        <v>80.140999999999991</v>
      </c>
      <c r="T40">
        <f t="shared" si="2"/>
        <v>2.6149760490553557E-2</v>
      </c>
      <c r="U40">
        <f t="shared" si="3"/>
        <v>-2.4512884978001293E-2</v>
      </c>
      <c r="V40">
        <f t="shared" si="4"/>
        <v>-9.124741898391419E-3</v>
      </c>
    </row>
    <row r="41" spans="4:22" ht="15.75" customHeight="1">
      <c r="D41">
        <v>31.28</v>
      </c>
      <c r="E41">
        <v>26.76</v>
      </c>
      <c r="F41">
        <v>31.78</v>
      </c>
      <c r="G41" s="124">
        <v>13.24</v>
      </c>
      <c r="H41" s="124">
        <v>215.5</v>
      </c>
      <c r="I41" s="124">
        <v>27.84</v>
      </c>
      <c r="J41" s="124">
        <v>62.02</v>
      </c>
      <c r="K41" s="124">
        <v>149.62</v>
      </c>
      <c r="L41" s="124">
        <v>33.58</v>
      </c>
      <c r="M41" s="124">
        <v>35.82</v>
      </c>
      <c r="N41" s="124">
        <v>55.21</v>
      </c>
      <c r="O41" s="125">
        <v>43886.666666666672</v>
      </c>
      <c r="P41">
        <f t="shared" si="0"/>
        <v>28963.589523031904</v>
      </c>
      <c r="Q41">
        <v>86.14</v>
      </c>
      <c r="R41">
        <v>75.61</v>
      </c>
      <c r="S41">
        <f t="shared" si="1"/>
        <v>78.769000000000005</v>
      </c>
      <c r="T41">
        <f t="shared" si="2"/>
        <v>7.1226862125026774E-3</v>
      </c>
      <c r="U41">
        <f t="shared" si="3"/>
        <v>-4.9528598365807641E-2</v>
      </c>
      <c r="V41">
        <f t="shared" si="4"/>
        <v>-2.6088354208137904E-2</v>
      </c>
    </row>
    <row r="42" spans="4:22" ht="15.75" customHeight="1">
      <c r="D42">
        <v>31.15</v>
      </c>
      <c r="E42">
        <v>26.78</v>
      </c>
      <c r="F42">
        <v>31.73</v>
      </c>
      <c r="G42" s="124">
        <v>13.06</v>
      </c>
      <c r="H42" s="124">
        <v>213.98</v>
      </c>
      <c r="I42" s="124">
        <v>27.72</v>
      </c>
      <c r="J42" s="124">
        <v>61.67</v>
      </c>
      <c r="K42" s="124">
        <v>148.02000000000001</v>
      </c>
      <c r="L42" s="124">
        <v>33.64</v>
      </c>
      <c r="M42" s="124">
        <v>35.479999999999997</v>
      </c>
      <c r="N42" s="124">
        <v>55.01</v>
      </c>
      <c r="O42" s="125">
        <v>43887.666666666672</v>
      </c>
      <c r="P42">
        <f t="shared" si="0"/>
        <v>28821.949035198093</v>
      </c>
      <c r="Q42">
        <v>86.09</v>
      </c>
      <c r="R42">
        <v>75.680000000000007</v>
      </c>
      <c r="S42">
        <f t="shared" si="1"/>
        <v>78.802999999999997</v>
      </c>
      <c r="T42">
        <f t="shared" si="2"/>
        <v>2.1975594953807624E-3</v>
      </c>
      <c r="U42">
        <f t="shared" si="3"/>
        <v>-4.8648648648648526E-2</v>
      </c>
      <c r="V42">
        <f t="shared" si="4"/>
        <v>-2.5667973145068482E-2</v>
      </c>
    </row>
    <row r="43" spans="4:22" ht="15.75" customHeight="1">
      <c r="D43">
        <v>30.21</v>
      </c>
      <c r="E43">
        <v>26.62</v>
      </c>
      <c r="F43">
        <v>30.7</v>
      </c>
      <c r="G43" s="124">
        <v>12.56</v>
      </c>
      <c r="H43" s="124">
        <v>205.63</v>
      </c>
      <c r="I43" s="124">
        <v>26.75</v>
      </c>
      <c r="J43" s="124">
        <v>59.16</v>
      </c>
      <c r="K43" s="124">
        <v>141.26</v>
      </c>
      <c r="L43" s="124">
        <v>32.19</v>
      </c>
      <c r="M43" s="124">
        <v>33.619999999999997</v>
      </c>
      <c r="N43" s="124">
        <v>54.13</v>
      </c>
      <c r="O43" s="125">
        <v>43888.666666666672</v>
      </c>
      <c r="P43">
        <f t="shared" si="0"/>
        <v>27978.61130356506</v>
      </c>
      <c r="Q43">
        <v>86.19</v>
      </c>
      <c r="R43">
        <v>73.03</v>
      </c>
      <c r="S43">
        <f t="shared" si="1"/>
        <v>76.977999999999994</v>
      </c>
      <c r="T43">
        <f t="shared" si="2"/>
        <v>-2.712700198520571E-2</v>
      </c>
      <c r="U43">
        <f t="shared" si="3"/>
        <v>-8.1961030798240048E-2</v>
      </c>
      <c r="V43">
        <f t="shared" si="4"/>
        <v>-4.8232544912770889E-2</v>
      </c>
    </row>
    <row r="44" spans="4:22" ht="15.75" customHeight="1">
      <c r="D44">
        <v>30.1</v>
      </c>
      <c r="E44">
        <v>26.53</v>
      </c>
      <c r="F44">
        <v>30.44</v>
      </c>
      <c r="G44" s="124">
        <v>12.56</v>
      </c>
      <c r="H44" s="124">
        <v>200.89</v>
      </c>
      <c r="I44" s="124">
        <v>26.33</v>
      </c>
      <c r="J44" s="124">
        <v>57.99</v>
      </c>
      <c r="K44" s="124">
        <v>136.46</v>
      </c>
      <c r="L44" s="124">
        <v>31.9</v>
      </c>
      <c r="M44" s="124">
        <v>32.61</v>
      </c>
      <c r="N44" s="124">
        <v>52.87</v>
      </c>
      <c r="O44" s="125">
        <v>43889.666666666672</v>
      </c>
      <c r="P44">
        <f t="shared" si="0"/>
        <v>27614.578587481294</v>
      </c>
      <c r="Q44">
        <v>86.76</v>
      </c>
      <c r="R44">
        <v>72.260000000000005</v>
      </c>
      <c r="S44">
        <f t="shared" si="1"/>
        <v>76.61</v>
      </c>
      <c r="T44">
        <f t="shared" si="2"/>
        <v>-3.9785157031905785E-2</v>
      </c>
      <c r="U44">
        <f t="shared" si="3"/>
        <v>-9.1640477686989213E-2</v>
      </c>
      <c r="V44">
        <f t="shared" si="4"/>
        <v>-5.2782551713052732E-2</v>
      </c>
    </row>
    <row r="45" spans="4:22" ht="12.75">
      <c r="D45">
        <v>31.08</v>
      </c>
      <c r="E45">
        <v>26.39</v>
      </c>
      <c r="F45">
        <v>31.22</v>
      </c>
      <c r="G45" s="124">
        <v>12.69</v>
      </c>
      <c r="H45" s="124">
        <v>207.17</v>
      </c>
      <c r="I45" s="124">
        <v>26.56</v>
      </c>
      <c r="J45" s="124">
        <v>61.09</v>
      </c>
      <c r="K45" s="124">
        <v>144.1</v>
      </c>
      <c r="L45" s="124">
        <v>32.799999999999997</v>
      </c>
      <c r="M45" s="124">
        <v>34.53</v>
      </c>
      <c r="N45" s="124">
        <v>52.81</v>
      </c>
      <c r="O45" s="125">
        <v>43892.666666666672</v>
      </c>
      <c r="P45">
        <f t="shared" si="0"/>
        <v>28240.365302760209</v>
      </c>
      <c r="Q45">
        <v>86.53</v>
      </c>
      <c r="R45">
        <v>74.650000000000006</v>
      </c>
      <c r="S45">
        <f t="shared" si="1"/>
        <v>78.213999999999999</v>
      </c>
      <c r="T45">
        <f t="shared" si="2"/>
        <v>-1.8025285135274047E-2</v>
      </c>
      <c r="U45">
        <f t="shared" si="3"/>
        <v>-6.159648020113126E-2</v>
      </c>
      <c r="V45">
        <f t="shared" si="4"/>
        <v>-3.2950456855302269E-2</v>
      </c>
    </row>
    <row r="46" spans="4:22" ht="12.75">
      <c r="D46">
        <v>30.56</v>
      </c>
      <c r="E46">
        <v>26.28</v>
      </c>
      <c r="F46">
        <v>30.93</v>
      </c>
      <c r="G46" s="124">
        <v>12.79</v>
      </c>
      <c r="H46" s="124">
        <v>203.8</v>
      </c>
      <c r="I46" s="124">
        <v>26.16</v>
      </c>
      <c r="J46" s="124">
        <v>60.26</v>
      </c>
      <c r="K46" s="124">
        <v>142.63</v>
      </c>
      <c r="L46" s="124">
        <v>32.24</v>
      </c>
      <c r="M46" s="124">
        <v>34.6</v>
      </c>
      <c r="N46" s="124">
        <v>53.22</v>
      </c>
      <c r="O46" s="125">
        <v>43893.666666666672</v>
      </c>
      <c r="P46">
        <f t="shared" si="0"/>
        <v>28094.357819992776</v>
      </c>
      <c r="Q46">
        <v>87.05</v>
      </c>
      <c r="R46">
        <v>72.87</v>
      </c>
      <c r="S46">
        <f t="shared" si="1"/>
        <v>77.123999999999995</v>
      </c>
      <c r="T46">
        <f t="shared" si="2"/>
        <v>-2.3102261113508025E-2</v>
      </c>
      <c r="U46">
        <f t="shared" si="3"/>
        <v>-8.3972344437460628E-2</v>
      </c>
      <c r="V46">
        <f t="shared" si="4"/>
        <v>-4.6427379171354692E-2</v>
      </c>
    </row>
    <row r="47" spans="4:22" ht="12.75">
      <c r="D47">
        <v>31.43</v>
      </c>
      <c r="E47">
        <v>26.37</v>
      </c>
      <c r="F47">
        <v>32.11</v>
      </c>
      <c r="G47" s="124">
        <v>13.28</v>
      </c>
      <c r="H47" s="124">
        <v>211.18</v>
      </c>
      <c r="I47" s="124">
        <v>27.09</v>
      </c>
      <c r="J47" s="124">
        <v>63.22</v>
      </c>
      <c r="K47" s="124">
        <v>150.38</v>
      </c>
      <c r="L47" s="124">
        <v>33.06</v>
      </c>
      <c r="M47" s="124">
        <v>35.86</v>
      </c>
      <c r="N47" s="124">
        <v>55.1</v>
      </c>
      <c r="O47" s="125">
        <v>43894.666666666672</v>
      </c>
      <c r="P47">
        <f t="shared" si="0"/>
        <v>28937.408504211784</v>
      </c>
      <c r="Q47">
        <v>87.03</v>
      </c>
      <c r="R47">
        <v>75.86</v>
      </c>
      <c r="S47">
        <f t="shared" si="1"/>
        <v>79.210999999999999</v>
      </c>
      <c r="T47">
        <f t="shared" si="2"/>
        <v>6.2123191469519229E-3</v>
      </c>
      <c r="U47">
        <f t="shared" si="3"/>
        <v>-4.638592080452543E-2</v>
      </c>
      <c r="V47">
        <f t="shared" si="4"/>
        <v>-2.0623400388234181E-2</v>
      </c>
    </row>
    <row r="48" spans="4:22" ht="12.75">
      <c r="D48">
        <v>30.24</v>
      </c>
      <c r="E48">
        <v>26.17</v>
      </c>
      <c r="F48">
        <v>31.07</v>
      </c>
      <c r="G48" s="124">
        <v>13.14</v>
      </c>
      <c r="H48" s="124">
        <v>197.67</v>
      </c>
      <c r="I48" s="124">
        <v>26.01</v>
      </c>
      <c r="J48" s="124">
        <v>62.03</v>
      </c>
      <c r="K48" s="124">
        <v>148.11000000000001</v>
      </c>
      <c r="L48" s="124">
        <v>32.18</v>
      </c>
      <c r="M48" s="124">
        <v>34.86</v>
      </c>
      <c r="N48" s="124">
        <v>55.02</v>
      </c>
      <c r="O48" s="125">
        <v>43895.666666666672</v>
      </c>
      <c r="P48">
        <f t="shared" si="0"/>
        <v>28356.015903651572</v>
      </c>
      <c r="Q48">
        <v>87.36</v>
      </c>
      <c r="R48">
        <v>73.540000000000006</v>
      </c>
      <c r="S48">
        <f t="shared" si="1"/>
        <v>77.686000000000007</v>
      </c>
      <c r="T48">
        <f t="shared" si="2"/>
        <v>-1.400387944109447E-2</v>
      </c>
      <c r="U48">
        <f t="shared" si="3"/>
        <v>-7.5549968573224269E-2</v>
      </c>
      <c r="V48">
        <f t="shared" si="4"/>
        <v>-3.9478727481793596E-2</v>
      </c>
    </row>
    <row r="49" spans="4:22" ht="12.75">
      <c r="D49">
        <v>29.62</v>
      </c>
      <c r="E49">
        <v>26.02</v>
      </c>
      <c r="F49">
        <v>30.68</v>
      </c>
      <c r="G49" s="124">
        <v>12.74</v>
      </c>
      <c r="H49" s="124">
        <v>195.04</v>
      </c>
      <c r="I49" s="124">
        <v>25.51</v>
      </c>
      <c r="J49" s="124">
        <v>61.54</v>
      </c>
      <c r="K49" s="124">
        <v>146.88999999999999</v>
      </c>
      <c r="L49" s="124">
        <v>31.35</v>
      </c>
      <c r="M49" s="124">
        <v>34.22</v>
      </c>
      <c r="N49" s="124">
        <v>54.84</v>
      </c>
      <c r="O49" s="125">
        <v>43896.666666666672</v>
      </c>
      <c r="P49">
        <f t="shared" si="0"/>
        <v>27999.671074980761</v>
      </c>
      <c r="Q49">
        <v>87.96</v>
      </c>
      <c r="R49">
        <v>72.23</v>
      </c>
      <c r="S49">
        <f t="shared" si="1"/>
        <v>76.948999999999998</v>
      </c>
      <c r="T49">
        <f t="shared" si="2"/>
        <v>-2.6394711067246935E-2</v>
      </c>
      <c r="U49">
        <f t="shared" si="3"/>
        <v>-9.20175989943431E-2</v>
      </c>
      <c r="V49">
        <f t="shared" si="4"/>
        <v>-4.8591105231271317E-2</v>
      </c>
    </row>
    <row r="50" spans="4:22" ht="12.75">
      <c r="D50">
        <v>26.84</v>
      </c>
      <c r="E50">
        <v>25.74</v>
      </c>
      <c r="F50">
        <v>28.33</v>
      </c>
      <c r="G50" s="124">
        <v>11.3</v>
      </c>
      <c r="H50" s="124">
        <v>176.34</v>
      </c>
      <c r="I50" s="124">
        <v>22.92</v>
      </c>
      <c r="J50" s="124">
        <v>58.86</v>
      </c>
      <c r="K50" s="124">
        <v>138.72</v>
      </c>
      <c r="L50" s="124">
        <v>27.74</v>
      </c>
      <c r="M50" s="124">
        <v>31.75</v>
      </c>
      <c r="N50" s="124">
        <v>50.68</v>
      </c>
      <c r="O50" s="125">
        <v>43899.666666666672</v>
      </c>
      <c r="P50">
        <f t="shared" si="0"/>
        <v>26186.058897288774</v>
      </c>
      <c r="Q50">
        <v>87.77</v>
      </c>
      <c r="R50">
        <v>66.790000000000006</v>
      </c>
      <c r="S50">
        <f t="shared" si="1"/>
        <v>73.084000000000003</v>
      </c>
      <c r="T50">
        <f t="shared" si="2"/>
        <v>-8.9457680755185634E-2</v>
      </c>
      <c r="U50">
        <f t="shared" si="3"/>
        <v>-0.16040226272784402</v>
      </c>
      <c r="V50">
        <f t="shared" si="4"/>
        <v>-9.6378540783145047E-2</v>
      </c>
    </row>
    <row r="51" spans="4:22" ht="12.75">
      <c r="D51">
        <v>28.47</v>
      </c>
      <c r="E51">
        <v>26.12</v>
      </c>
      <c r="F51">
        <v>29.25</v>
      </c>
      <c r="G51" s="124">
        <v>11.56</v>
      </c>
      <c r="H51" s="124">
        <v>183.31</v>
      </c>
      <c r="I51" s="124">
        <v>24.05</v>
      </c>
      <c r="J51" s="124">
        <v>60.55</v>
      </c>
      <c r="K51" s="124">
        <v>139.44999999999999</v>
      </c>
      <c r="L51" s="124">
        <v>29.74</v>
      </c>
      <c r="M51" s="124">
        <v>33.56</v>
      </c>
      <c r="N51" s="124">
        <v>52.77</v>
      </c>
      <c r="O51" s="125">
        <v>43900.666666666672</v>
      </c>
      <c r="P51">
        <f t="shared" si="0"/>
        <v>26974.378542199855</v>
      </c>
      <c r="Q51">
        <v>86.59</v>
      </c>
      <c r="R51">
        <v>69.86</v>
      </c>
      <c r="S51">
        <f t="shared" si="1"/>
        <v>74.878999999999991</v>
      </c>
      <c r="T51">
        <f t="shared" si="2"/>
        <v>-6.2046209613268136E-2</v>
      </c>
      <c r="U51">
        <f t="shared" si="3"/>
        <v>-0.12181018227529854</v>
      </c>
      <c r="V51">
        <f t="shared" si="4"/>
        <v>-7.4184893482857117E-2</v>
      </c>
    </row>
    <row r="52" spans="4:22" ht="12.75">
      <c r="D52">
        <v>26.85</v>
      </c>
      <c r="E52">
        <v>26.16</v>
      </c>
      <c r="F52">
        <v>27.57</v>
      </c>
      <c r="G52" s="124">
        <v>10.85</v>
      </c>
      <c r="H52" s="124">
        <v>166.68</v>
      </c>
      <c r="I52" s="124">
        <v>22.73</v>
      </c>
      <c r="J52" s="124">
        <v>57.58</v>
      </c>
      <c r="K52" s="124">
        <v>132.22999999999999</v>
      </c>
      <c r="L52" s="124">
        <v>28.39</v>
      </c>
      <c r="M52" s="124">
        <v>32.26</v>
      </c>
      <c r="N52" s="124">
        <v>51.01</v>
      </c>
      <c r="O52" s="125">
        <v>43901.666666666672</v>
      </c>
      <c r="P52">
        <f t="shared" si="0"/>
        <v>25885.042146951342</v>
      </c>
      <c r="Q52">
        <v>84.95</v>
      </c>
      <c r="R52">
        <v>66.25</v>
      </c>
      <c r="S52">
        <f t="shared" si="1"/>
        <v>71.86</v>
      </c>
      <c r="T52">
        <f t="shared" si="2"/>
        <v>-9.9924643006315428E-2</v>
      </c>
      <c r="U52">
        <f t="shared" si="3"/>
        <v>-0.16719044626021368</v>
      </c>
      <c r="V52">
        <f t="shared" si="4"/>
        <v>-0.11151225905364795</v>
      </c>
    </row>
    <row r="53" spans="4:22" ht="12.75">
      <c r="D53">
        <v>23.96</v>
      </c>
      <c r="E53">
        <v>26.44</v>
      </c>
      <c r="F53">
        <v>24.86</v>
      </c>
      <c r="G53" s="124">
        <v>9.4600000000000009</v>
      </c>
      <c r="H53" s="124">
        <v>148.16</v>
      </c>
      <c r="I53" s="124">
        <v>20.010000000000002</v>
      </c>
      <c r="J53" s="124">
        <v>52.17</v>
      </c>
      <c r="K53" s="124">
        <v>118.47</v>
      </c>
      <c r="L53" s="124">
        <v>25.25</v>
      </c>
      <c r="M53" s="124">
        <v>29.27</v>
      </c>
      <c r="N53" s="124">
        <v>45.38</v>
      </c>
      <c r="O53" s="125">
        <v>43902.666666666672</v>
      </c>
      <c r="P53">
        <f t="shared" si="0"/>
        <v>23793.341193027431</v>
      </c>
      <c r="Q53">
        <v>80.33</v>
      </c>
      <c r="R53">
        <v>59.74</v>
      </c>
      <c r="S53">
        <f t="shared" si="1"/>
        <v>65.917000000000002</v>
      </c>
      <c r="T53">
        <f t="shared" si="2"/>
        <v>-0.17265732283503391</v>
      </c>
      <c r="U53">
        <f t="shared" si="3"/>
        <v>-0.24902576995600245</v>
      </c>
      <c r="V53">
        <f t="shared" si="4"/>
        <v>-0.18499239604841788</v>
      </c>
    </row>
    <row r="54" spans="4:22" ht="12.75">
      <c r="D54">
        <v>26.09</v>
      </c>
      <c r="E54">
        <v>27.44</v>
      </c>
      <c r="F54">
        <v>25.81</v>
      </c>
      <c r="G54" s="124">
        <v>9.9600000000000009</v>
      </c>
      <c r="H54" s="124">
        <v>157.38</v>
      </c>
      <c r="I54" s="124">
        <v>21.18</v>
      </c>
      <c r="J54" s="124">
        <v>56.61</v>
      </c>
      <c r="K54" s="124">
        <v>125.16</v>
      </c>
      <c r="L54" s="124">
        <v>26.99</v>
      </c>
      <c r="M54" s="124">
        <v>32.31</v>
      </c>
      <c r="N54" s="124">
        <v>49.16</v>
      </c>
      <c r="O54" s="125">
        <v>43903.666666666672</v>
      </c>
      <c r="P54">
        <f t="shared" si="0"/>
        <v>25072.882834644701</v>
      </c>
      <c r="Q54">
        <v>83.72</v>
      </c>
      <c r="R54">
        <v>64.02</v>
      </c>
      <c r="S54">
        <f t="shared" si="1"/>
        <v>69.929999999999993</v>
      </c>
      <c r="T54">
        <f t="shared" si="2"/>
        <v>-0.12816506768131411</v>
      </c>
      <c r="U54">
        <f t="shared" si="3"/>
        <v>-0.19522313010685105</v>
      </c>
      <c r="V54">
        <f t="shared" si="4"/>
        <v>-0.13537506645730041</v>
      </c>
    </row>
    <row r="55" spans="4:22" ht="12.75">
      <c r="D55">
        <v>22.74</v>
      </c>
      <c r="E55">
        <v>26.56</v>
      </c>
      <c r="F55">
        <v>23.13</v>
      </c>
      <c r="G55" s="124">
        <v>8.7799999999999994</v>
      </c>
      <c r="H55" s="124">
        <v>134.18</v>
      </c>
      <c r="I55" s="124">
        <v>18.36</v>
      </c>
      <c r="J55" s="124">
        <v>52.77</v>
      </c>
      <c r="K55" s="124">
        <v>111.11</v>
      </c>
      <c r="L55" s="124">
        <v>23.79</v>
      </c>
      <c r="M55" s="124">
        <v>29.06</v>
      </c>
      <c r="N55" s="124">
        <v>41.72</v>
      </c>
      <c r="O55" s="125">
        <v>43906.666666666672</v>
      </c>
      <c r="P55">
        <f t="shared" si="0"/>
        <v>22845.350158427093</v>
      </c>
      <c r="Q55">
        <v>84.6</v>
      </c>
      <c r="R55">
        <v>56.84</v>
      </c>
      <c r="S55">
        <f t="shared" si="1"/>
        <v>65.167999999999992</v>
      </c>
      <c r="T55">
        <f t="shared" si="2"/>
        <v>-0.20562089168111383</v>
      </c>
      <c r="U55">
        <f t="shared" si="3"/>
        <v>-0.2854808296668761</v>
      </c>
      <c r="V55">
        <f t="shared" si="4"/>
        <v>-0.19425314358486134</v>
      </c>
    </row>
    <row r="56" spans="4:22" ht="12.75">
      <c r="D56">
        <v>23.25</v>
      </c>
      <c r="E56">
        <v>27.03</v>
      </c>
      <c r="F56">
        <v>24.04</v>
      </c>
      <c r="G56" s="124">
        <v>9.4700000000000006</v>
      </c>
      <c r="H56" s="124">
        <v>137.05000000000001</v>
      </c>
      <c r="I56" s="124">
        <v>19.64</v>
      </c>
      <c r="J56" s="124">
        <v>57.22</v>
      </c>
      <c r="K56" s="124">
        <v>125.56</v>
      </c>
      <c r="L56" s="124">
        <v>24.93</v>
      </c>
      <c r="M56" s="124">
        <v>30.21</v>
      </c>
      <c r="N56" s="124">
        <v>43.41</v>
      </c>
      <c r="O56" s="125">
        <v>43907.666666666672</v>
      </c>
      <c r="P56">
        <f t="shared" si="0"/>
        <v>23849.062645129019</v>
      </c>
      <c r="Q56">
        <v>82.85</v>
      </c>
      <c r="R56">
        <v>60.39</v>
      </c>
      <c r="S56">
        <f t="shared" si="1"/>
        <v>67.127999999999986</v>
      </c>
      <c r="T56">
        <f t="shared" si="2"/>
        <v>-0.1707197750571389</v>
      </c>
      <c r="U56">
        <f t="shared" si="3"/>
        <v>-0.24085480829666872</v>
      </c>
      <c r="V56">
        <f t="shared" si="4"/>
        <v>-0.17001941171379475</v>
      </c>
    </row>
    <row r="57" spans="4:22" ht="12.75">
      <c r="D57">
        <v>20.89</v>
      </c>
      <c r="E57">
        <v>27.44</v>
      </c>
      <c r="F57">
        <v>22.43</v>
      </c>
      <c r="G57" s="124">
        <v>8.5</v>
      </c>
      <c r="H57" s="124">
        <v>123.41</v>
      </c>
      <c r="I57" s="124">
        <v>18.45</v>
      </c>
      <c r="J57" s="124">
        <v>55.75</v>
      </c>
      <c r="K57" s="124">
        <v>119.66</v>
      </c>
      <c r="L57" s="124">
        <v>23.08</v>
      </c>
      <c r="M57" s="124">
        <v>28.65</v>
      </c>
      <c r="N57" s="124">
        <v>40.799999999999997</v>
      </c>
      <c r="O57" s="125">
        <v>43908.666666666672</v>
      </c>
      <c r="P57">
        <f t="shared" si="0"/>
        <v>22705.227156659043</v>
      </c>
      <c r="Q57">
        <v>80.849999999999994</v>
      </c>
      <c r="R57">
        <v>56.76</v>
      </c>
      <c r="S57">
        <f t="shared" si="1"/>
        <v>63.986999999999995</v>
      </c>
      <c r="T57">
        <f t="shared" si="2"/>
        <v>-0.21049325233339342</v>
      </c>
      <c r="U57">
        <f t="shared" si="3"/>
        <v>-0.2864864864864865</v>
      </c>
      <c r="V57">
        <f t="shared" si="4"/>
        <v>-0.20885520345207034</v>
      </c>
    </row>
    <row r="58" spans="4:22" ht="12.75">
      <c r="D58">
        <v>21.25</v>
      </c>
      <c r="E58">
        <v>28.09</v>
      </c>
      <c r="F58">
        <v>23.12</v>
      </c>
      <c r="G58" s="124">
        <v>8.6999999999999993</v>
      </c>
      <c r="H58" s="124">
        <v>125.55</v>
      </c>
      <c r="I58" s="124">
        <v>19.14</v>
      </c>
      <c r="J58" s="124">
        <v>53.89</v>
      </c>
      <c r="K58" s="124">
        <v>114</v>
      </c>
      <c r="L58" s="124">
        <v>23.81</v>
      </c>
      <c r="M58" s="124">
        <v>28.01</v>
      </c>
      <c r="N58" s="124">
        <v>41.29</v>
      </c>
      <c r="O58" s="125">
        <v>43909.666666666672</v>
      </c>
      <c r="P58">
        <f t="shared" si="0"/>
        <v>22787.699763131543</v>
      </c>
      <c r="Q58">
        <v>80.8</v>
      </c>
      <c r="R58">
        <v>57.12</v>
      </c>
      <c r="S58">
        <f t="shared" si="1"/>
        <v>64.22399999999999</v>
      </c>
      <c r="T58">
        <f t="shared" si="2"/>
        <v>-0.2076255127217862</v>
      </c>
      <c r="U58">
        <f t="shared" si="3"/>
        <v>-0.28196103079824009</v>
      </c>
      <c r="V58">
        <f t="shared" si="4"/>
        <v>-0.20592490015949755</v>
      </c>
    </row>
    <row r="59" spans="4:22" ht="12.75">
      <c r="D59">
        <v>20.54</v>
      </c>
      <c r="E59">
        <v>28.01</v>
      </c>
      <c r="F59">
        <v>22.58</v>
      </c>
      <c r="G59" s="124">
        <v>8.69</v>
      </c>
      <c r="H59" s="124">
        <v>120.75</v>
      </c>
      <c r="I59" s="124">
        <v>19.27</v>
      </c>
      <c r="J59" s="124">
        <v>50.4</v>
      </c>
      <c r="K59" s="124">
        <v>104.19</v>
      </c>
      <c r="L59" s="124">
        <v>23.49</v>
      </c>
      <c r="M59" s="124">
        <v>26.36</v>
      </c>
      <c r="N59" s="124">
        <v>39.299999999999997</v>
      </c>
      <c r="O59" s="125">
        <v>43910.666666666672</v>
      </c>
      <c r="P59">
        <f t="shared" si="0"/>
        <v>22152.080163311013</v>
      </c>
      <c r="Q59">
        <v>82.17</v>
      </c>
      <c r="R59">
        <v>55.31</v>
      </c>
      <c r="S59">
        <f t="shared" si="1"/>
        <v>63.367999999999995</v>
      </c>
      <c r="T59">
        <f t="shared" si="2"/>
        <v>-0.22972729393476468</v>
      </c>
      <c r="U59">
        <f t="shared" si="3"/>
        <v>-0.30471401634192324</v>
      </c>
      <c r="V59">
        <f t="shared" si="4"/>
        <v>-0.21650861162971843</v>
      </c>
    </row>
    <row r="60" spans="4:22" ht="12.75">
      <c r="D60">
        <v>20.3</v>
      </c>
      <c r="E60">
        <v>27.97</v>
      </c>
      <c r="F60">
        <v>23.11</v>
      </c>
      <c r="G60" s="124">
        <v>8.33</v>
      </c>
      <c r="H60" s="124">
        <v>117.51</v>
      </c>
      <c r="I60" s="124">
        <v>19.510000000000002</v>
      </c>
      <c r="J60" s="124">
        <v>48.63</v>
      </c>
      <c r="K60" s="124">
        <v>98.62</v>
      </c>
      <c r="L60" s="124">
        <v>23.45</v>
      </c>
      <c r="M60" s="124">
        <v>24.56</v>
      </c>
      <c r="N60" s="124">
        <v>37.19</v>
      </c>
      <c r="O60" s="125">
        <v>43913.666666666672</v>
      </c>
      <c r="P60">
        <f t="shared" si="0"/>
        <v>21705.875738407423</v>
      </c>
      <c r="Q60">
        <v>83.99</v>
      </c>
      <c r="R60">
        <v>54.33</v>
      </c>
      <c r="S60">
        <f t="shared" si="1"/>
        <v>63.227999999999994</v>
      </c>
      <c r="T60">
        <f t="shared" si="2"/>
        <v>-0.24524272577208783</v>
      </c>
      <c r="U60">
        <f t="shared" si="3"/>
        <v>-0.3170333123821496</v>
      </c>
      <c r="V60">
        <f t="shared" si="4"/>
        <v>-0.21823959247765179</v>
      </c>
    </row>
    <row r="61" spans="4:22" ht="12.75">
      <c r="D61">
        <v>22.56</v>
      </c>
      <c r="E61">
        <v>27.65</v>
      </c>
      <c r="F61">
        <v>24.82</v>
      </c>
      <c r="G61" s="124">
        <v>9.2799999999999994</v>
      </c>
      <c r="H61" s="124">
        <v>131.96</v>
      </c>
      <c r="I61" s="124">
        <v>21.37</v>
      </c>
      <c r="J61" s="124">
        <v>51.11</v>
      </c>
      <c r="K61" s="124">
        <v>109.58</v>
      </c>
      <c r="L61" s="124">
        <v>25.71</v>
      </c>
      <c r="M61" s="124">
        <v>26.7</v>
      </c>
      <c r="N61" s="124">
        <v>43.04</v>
      </c>
      <c r="O61" s="125">
        <v>43914.666666666672</v>
      </c>
      <c r="P61">
        <f t="shared" si="0"/>
        <v>23234.857856259165</v>
      </c>
      <c r="Q61">
        <v>84.08</v>
      </c>
      <c r="R61">
        <v>58.75</v>
      </c>
      <c r="S61">
        <f t="shared" si="1"/>
        <v>66.349000000000004</v>
      </c>
      <c r="T61">
        <f t="shared" si="2"/>
        <v>-0.19207691990823877</v>
      </c>
      <c r="U61">
        <f t="shared" si="3"/>
        <v>-0.26147077309868005</v>
      </c>
      <c r="V61">
        <f t="shared" si="4"/>
        <v>-0.17965108371765215</v>
      </c>
    </row>
    <row r="62" spans="4:22" ht="12.75">
      <c r="D62">
        <v>23.61</v>
      </c>
      <c r="E62">
        <v>27.39</v>
      </c>
      <c r="F62">
        <v>25.35</v>
      </c>
      <c r="G62" s="124">
        <v>9.74</v>
      </c>
      <c r="H62" s="124">
        <v>144.57</v>
      </c>
      <c r="I62" s="124">
        <v>21.61</v>
      </c>
      <c r="J62" s="124">
        <v>50.97</v>
      </c>
      <c r="K62" s="124">
        <v>112.46</v>
      </c>
      <c r="L62" s="124">
        <v>26.14</v>
      </c>
      <c r="M62" s="124">
        <v>27.81</v>
      </c>
      <c r="N62" s="124">
        <v>42.48</v>
      </c>
      <c r="O62" s="125">
        <v>43915.666666666672</v>
      </c>
      <c r="P62">
        <f t="shared" si="0"/>
        <v>23666.386071088597</v>
      </c>
      <c r="Q62">
        <v>85.21</v>
      </c>
      <c r="R62">
        <v>60.36</v>
      </c>
      <c r="S62">
        <f t="shared" si="1"/>
        <v>67.814999999999998</v>
      </c>
      <c r="T62">
        <f t="shared" si="2"/>
        <v>-0.1770718096283162</v>
      </c>
      <c r="U62">
        <f t="shared" si="3"/>
        <v>-0.24123192960402259</v>
      </c>
      <c r="V62">
        <f t="shared" si="4"/>
        <v>-0.16152524141000749</v>
      </c>
    </row>
    <row r="63" spans="4:22" ht="12.75">
      <c r="D63">
        <v>25.26</v>
      </c>
      <c r="E63">
        <v>26.95</v>
      </c>
      <c r="F63">
        <v>26.65</v>
      </c>
      <c r="G63" s="124">
        <v>10.1</v>
      </c>
      <c r="H63" s="124">
        <v>159.06</v>
      </c>
      <c r="I63" s="124">
        <v>22.09</v>
      </c>
      <c r="J63" s="124">
        <v>53.76</v>
      </c>
      <c r="K63" s="124">
        <v>121.6</v>
      </c>
      <c r="L63" s="124">
        <v>27.53</v>
      </c>
      <c r="M63" s="124">
        <v>30.01</v>
      </c>
      <c r="N63" s="124">
        <v>46.34</v>
      </c>
      <c r="O63" s="125">
        <v>43916.666666666672</v>
      </c>
      <c r="P63">
        <f t="shared" si="0"/>
        <v>24741.415059353927</v>
      </c>
      <c r="Q63">
        <v>85.6</v>
      </c>
      <c r="R63">
        <v>63.54</v>
      </c>
      <c r="S63">
        <f t="shared" si="1"/>
        <v>70.157999999999987</v>
      </c>
      <c r="T63">
        <f t="shared" si="2"/>
        <v>-0.1396908737620233</v>
      </c>
      <c r="U63">
        <f t="shared" si="3"/>
        <v>-0.20125707102451287</v>
      </c>
      <c r="V63">
        <f t="shared" si="4"/>
        <v>-0.1325560405049519</v>
      </c>
    </row>
    <row r="64" spans="4:22" ht="12.75">
      <c r="D64">
        <v>24.05</v>
      </c>
      <c r="E64">
        <v>26.73</v>
      </c>
      <c r="F64">
        <v>25.64</v>
      </c>
      <c r="G64" s="124">
        <v>9.49</v>
      </c>
      <c r="H64" s="124">
        <v>149.03</v>
      </c>
      <c r="I64" s="124">
        <v>21.02</v>
      </c>
      <c r="J64" s="124">
        <v>53.51</v>
      </c>
      <c r="K64" s="124">
        <v>122.38</v>
      </c>
      <c r="L64" s="124">
        <v>26.76</v>
      </c>
      <c r="M64" s="124">
        <v>29.6</v>
      </c>
      <c r="N64" s="124">
        <v>43.28</v>
      </c>
      <c r="O64" s="125">
        <v>43917.666666666672</v>
      </c>
      <c r="P64">
        <f t="shared" si="0"/>
        <v>24065.779521747449</v>
      </c>
      <c r="Q64">
        <v>86.06</v>
      </c>
      <c r="R64">
        <v>61.68</v>
      </c>
      <c r="S64">
        <f t="shared" si="1"/>
        <v>68.994</v>
      </c>
      <c r="T64">
        <f t="shared" si="2"/>
        <v>-0.16318409020171118</v>
      </c>
      <c r="U64">
        <f t="shared" si="3"/>
        <v>-0.22463859208045253</v>
      </c>
      <c r="V64">
        <f t="shared" si="4"/>
        <v>-0.14694790984062603</v>
      </c>
    </row>
    <row r="65" spans="4:22" ht="12.75">
      <c r="D65">
        <v>24.69</v>
      </c>
      <c r="E65">
        <v>26.85</v>
      </c>
      <c r="F65">
        <v>26.38</v>
      </c>
      <c r="G65" s="124">
        <v>9.57</v>
      </c>
      <c r="H65" s="124">
        <v>147.57</v>
      </c>
      <c r="I65" s="124">
        <v>21.6</v>
      </c>
      <c r="J65" s="124">
        <v>55.6</v>
      </c>
      <c r="K65" s="124">
        <v>126.92</v>
      </c>
      <c r="L65" s="124">
        <v>27.33</v>
      </c>
      <c r="M65" s="124">
        <v>31.14</v>
      </c>
      <c r="N65" s="124">
        <v>45.26</v>
      </c>
      <c r="O65" s="125">
        <v>43920.666666666672</v>
      </c>
      <c r="P65">
        <f t="shared" si="0"/>
        <v>24603.130826264925</v>
      </c>
      <c r="Q65">
        <v>86.15</v>
      </c>
      <c r="R65">
        <v>63.04</v>
      </c>
      <c r="S65">
        <f t="shared" si="1"/>
        <v>69.972999999999999</v>
      </c>
      <c r="T65">
        <f t="shared" si="2"/>
        <v>-0.14449929670209721</v>
      </c>
      <c r="U65">
        <f t="shared" si="3"/>
        <v>-0.2075424261470773</v>
      </c>
      <c r="V65">
        <f t="shared" si="4"/>
        <v>-0.13484340805400652</v>
      </c>
    </row>
    <row r="66" spans="4:22" ht="12.75">
      <c r="D66">
        <v>24.16</v>
      </c>
      <c r="E66">
        <v>26.83</v>
      </c>
      <c r="F66">
        <v>25.99</v>
      </c>
      <c r="G66" s="124">
        <v>9.5500000000000007</v>
      </c>
      <c r="H66" s="124">
        <v>143.85</v>
      </c>
      <c r="I66" s="124">
        <v>21.62</v>
      </c>
      <c r="J66" s="124">
        <v>54.47</v>
      </c>
      <c r="K66" s="124">
        <v>121.93</v>
      </c>
      <c r="L66" s="124">
        <v>27.19</v>
      </c>
      <c r="M66" s="124">
        <v>30.64</v>
      </c>
      <c r="N66" s="124">
        <v>44.57</v>
      </c>
      <c r="O66" s="125">
        <v>43921.666666666672</v>
      </c>
      <c r="P66">
        <f t="shared" si="0"/>
        <v>24309.0379127001</v>
      </c>
      <c r="Q66">
        <v>85.35</v>
      </c>
      <c r="R66">
        <v>62.57</v>
      </c>
      <c r="S66">
        <f t="shared" si="1"/>
        <v>69.403999999999996</v>
      </c>
      <c r="T66">
        <f t="shared" si="2"/>
        <v>-0.1547255031213651</v>
      </c>
      <c r="U66">
        <f t="shared" si="3"/>
        <v>-0.21345065996228785</v>
      </c>
      <c r="V66">
        <f t="shared" si="4"/>
        <v>-0.14187860878596417</v>
      </c>
    </row>
    <row r="67" spans="4:22" ht="12.75">
      <c r="D67">
        <v>22.86</v>
      </c>
      <c r="E67">
        <v>27</v>
      </c>
      <c r="F67">
        <v>24.86</v>
      </c>
      <c r="G67" s="124">
        <v>9.19</v>
      </c>
      <c r="H67" s="124">
        <v>136.47</v>
      </c>
      <c r="I67" s="124">
        <v>20.68</v>
      </c>
      <c r="J67" s="124">
        <v>53.55</v>
      </c>
      <c r="K67" s="124">
        <v>114.64</v>
      </c>
      <c r="L67" s="124">
        <v>25.74</v>
      </c>
      <c r="M67" s="124">
        <v>29.36</v>
      </c>
      <c r="N67" s="124">
        <v>44.46</v>
      </c>
      <c r="O67" s="125">
        <v>43922.666666666672</v>
      </c>
      <c r="P67">
        <f t="shared" si="0"/>
        <v>23624.215897604601</v>
      </c>
      <c r="Q67">
        <v>85.6</v>
      </c>
      <c r="R67">
        <v>59.7</v>
      </c>
      <c r="S67">
        <f t="shared" si="1"/>
        <v>67.47</v>
      </c>
      <c r="T67">
        <f t="shared" si="2"/>
        <v>-0.17853815199459908</v>
      </c>
      <c r="U67">
        <f t="shared" si="3"/>
        <v>-0.2495285983658076</v>
      </c>
      <c r="V67">
        <f t="shared" si="4"/>
        <v>-0.16579087278527174</v>
      </c>
    </row>
    <row r="68" spans="4:22" ht="12.75">
      <c r="D68">
        <v>23.11</v>
      </c>
      <c r="E68">
        <v>27.14</v>
      </c>
      <c r="F68">
        <v>25.28</v>
      </c>
      <c r="G68" s="124">
        <v>9.27</v>
      </c>
      <c r="H68" s="124">
        <v>135.84</v>
      </c>
      <c r="I68" s="124">
        <v>21.25</v>
      </c>
      <c r="J68" s="124">
        <v>54.92</v>
      </c>
      <c r="K68" s="124">
        <v>118.15</v>
      </c>
      <c r="L68" s="124">
        <v>25.93</v>
      </c>
      <c r="M68" s="124">
        <v>30.16</v>
      </c>
      <c r="N68" s="124">
        <v>45.13</v>
      </c>
      <c r="O68" s="125">
        <v>43923.666666666672</v>
      </c>
      <c r="P68">
        <f t="shared" si="0"/>
        <v>23938.987881424157</v>
      </c>
      <c r="Q68">
        <v>86</v>
      </c>
      <c r="R68">
        <v>60.9</v>
      </c>
      <c r="S68">
        <f t="shared" si="1"/>
        <v>68.429999999999993</v>
      </c>
      <c r="T68">
        <f t="shared" si="2"/>
        <v>-0.16759289240801717</v>
      </c>
      <c r="U68">
        <f t="shared" si="3"/>
        <v>-0.23444374607165303</v>
      </c>
      <c r="V68">
        <f t="shared" si="4"/>
        <v>-0.15392128982801467</v>
      </c>
    </row>
    <row r="69" spans="4:22" ht="12.75">
      <c r="D69">
        <v>22.36</v>
      </c>
      <c r="E69">
        <v>27.29</v>
      </c>
      <c r="F69">
        <v>24.81</v>
      </c>
      <c r="G69" s="124">
        <v>9.1999999999999993</v>
      </c>
      <c r="H69" s="124">
        <v>135.9</v>
      </c>
      <c r="I69" s="124">
        <v>21.08</v>
      </c>
      <c r="J69" s="124">
        <v>55.35</v>
      </c>
      <c r="K69" s="124">
        <v>113.96</v>
      </c>
      <c r="L69" s="124">
        <v>25.24</v>
      </c>
      <c r="M69" s="124">
        <v>30.02</v>
      </c>
      <c r="N69" s="124">
        <v>44.38</v>
      </c>
      <c r="O69" s="125">
        <v>43924.666666666672</v>
      </c>
      <c r="P69">
        <f t="shared" si="0"/>
        <v>23706.611960680741</v>
      </c>
      <c r="Q69">
        <v>85.96</v>
      </c>
      <c r="R69">
        <v>59.99</v>
      </c>
      <c r="S69">
        <f t="shared" si="1"/>
        <v>67.781000000000006</v>
      </c>
      <c r="T69">
        <f t="shared" si="2"/>
        <v>-0.17567307395195564</v>
      </c>
      <c r="U69">
        <f t="shared" si="3"/>
        <v>-0.24588309239472025</v>
      </c>
      <c r="V69">
        <f t="shared" si="4"/>
        <v>-0.16194562247307689</v>
      </c>
    </row>
    <row r="70" spans="4:22" ht="12.75">
      <c r="D70">
        <v>24.49</v>
      </c>
      <c r="E70">
        <v>27.3</v>
      </c>
      <c r="F70">
        <v>26.42</v>
      </c>
      <c r="G70" s="124">
        <v>9.82</v>
      </c>
      <c r="H70" s="124">
        <v>146.86000000000001</v>
      </c>
      <c r="I70" s="124">
        <v>22.53</v>
      </c>
      <c r="J70" s="124">
        <v>57.41</v>
      </c>
      <c r="K70" s="124">
        <v>122.75</v>
      </c>
      <c r="L70" s="124">
        <v>27.3</v>
      </c>
      <c r="M70" s="124">
        <v>31.32</v>
      </c>
      <c r="N70" s="124">
        <v>44.81</v>
      </c>
      <c r="O70" s="125">
        <v>43927.666666666672</v>
      </c>
      <c r="P70">
        <f t="shared" si="0"/>
        <v>24724.55674333491</v>
      </c>
      <c r="Q70">
        <v>86.23</v>
      </c>
      <c r="R70">
        <v>63.69</v>
      </c>
      <c r="S70">
        <f t="shared" si="1"/>
        <v>70.451999999999998</v>
      </c>
      <c r="T70">
        <f t="shared" si="2"/>
        <v>-0.14027707156394253</v>
      </c>
      <c r="U70">
        <f t="shared" si="3"/>
        <v>-0.19937146448774357</v>
      </c>
      <c r="V70">
        <f t="shared" si="4"/>
        <v>-0.12892098072429176</v>
      </c>
    </row>
    <row r="71" spans="4:22" ht="12.75">
      <c r="D71">
        <v>24.58</v>
      </c>
      <c r="E71">
        <v>27.05</v>
      </c>
      <c r="F71">
        <v>26.57</v>
      </c>
      <c r="G71" s="124">
        <v>10.01</v>
      </c>
      <c r="H71" s="124">
        <v>144.91999999999999</v>
      </c>
      <c r="I71" s="124">
        <v>22.44</v>
      </c>
      <c r="J71" s="124">
        <v>56.75</v>
      </c>
      <c r="K71" s="124">
        <v>121.4</v>
      </c>
      <c r="L71" s="124">
        <v>27.48</v>
      </c>
      <c r="M71" s="124">
        <v>30.5</v>
      </c>
      <c r="N71" s="124">
        <v>45.01</v>
      </c>
      <c r="O71" s="125">
        <v>43928.666666666672</v>
      </c>
      <c r="P71">
        <f t="shared" si="0"/>
        <v>24665.975400756855</v>
      </c>
      <c r="Q71">
        <v>86.31</v>
      </c>
      <c r="R71">
        <v>63.76</v>
      </c>
      <c r="S71">
        <f t="shared" si="1"/>
        <v>70.525000000000006</v>
      </c>
      <c r="T71">
        <f t="shared" si="2"/>
        <v>-0.14231406352767095</v>
      </c>
      <c r="U71">
        <f t="shared" si="3"/>
        <v>-0.19849151477058452</v>
      </c>
      <c r="V71">
        <f t="shared" si="4"/>
        <v>-0.12801839785358357</v>
      </c>
    </row>
    <row r="72" spans="4:22" ht="12.75">
      <c r="D72">
        <v>25.54</v>
      </c>
      <c r="E72">
        <v>27.15</v>
      </c>
      <c r="F72">
        <v>27.09</v>
      </c>
      <c r="G72" s="124">
        <v>10.3</v>
      </c>
      <c r="H72" s="124">
        <v>150.94999999999999</v>
      </c>
      <c r="I72" s="124">
        <v>22.78</v>
      </c>
      <c r="J72" s="124">
        <v>57.59</v>
      </c>
      <c r="K72" s="124">
        <v>127.67</v>
      </c>
      <c r="L72" s="124">
        <v>28.14</v>
      </c>
      <c r="M72" s="124">
        <v>32.29</v>
      </c>
      <c r="N72" s="124">
        <v>46.22</v>
      </c>
      <c r="O72" s="125">
        <v>43929.666666666672</v>
      </c>
      <c r="P72">
        <f t="shared" si="0"/>
        <v>25258.809071014915</v>
      </c>
      <c r="Q72">
        <v>86.53</v>
      </c>
      <c r="R72">
        <v>65.3</v>
      </c>
      <c r="S72">
        <f t="shared" si="1"/>
        <v>71.668999999999997</v>
      </c>
      <c r="T72">
        <f t="shared" si="2"/>
        <v>-0.1217000357673088</v>
      </c>
      <c r="U72">
        <f t="shared" si="3"/>
        <v>-0.17913262099308611</v>
      </c>
      <c r="V72">
        <f t="shared" si="4"/>
        <v>-0.1138738114961856</v>
      </c>
    </row>
    <row r="73" spans="4:22" ht="12.75">
      <c r="D73">
        <v>26.14</v>
      </c>
      <c r="E73">
        <v>26.95</v>
      </c>
      <c r="F73">
        <v>27.56</v>
      </c>
      <c r="G73" s="124">
        <v>10.51</v>
      </c>
      <c r="H73" s="124">
        <v>155.49</v>
      </c>
      <c r="I73" s="124">
        <v>23.42</v>
      </c>
      <c r="J73" s="124">
        <v>58.13</v>
      </c>
      <c r="K73" s="124">
        <v>133.80000000000001</v>
      </c>
      <c r="L73" s="124">
        <v>28.48</v>
      </c>
      <c r="M73" s="124">
        <v>33.32</v>
      </c>
      <c r="N73" s="124">
        <v>46.49</v>
      </c>
      <c r="O73" s="125">
        <v>43930.666666666672</v>
      </c>
      <c r="P73">
        <f t="shared" si="0"/>
        <v>25670.565648490494</v>
      </c>
      <c r="Q73">
        <v>87.48</v>
      </c>
      <c r="R73">
        <v>66.25</v>
      </c>
      <c r="S73">
        <f t="shared" si="1"/>
        <v>72.619</v>
      </c>
      <c r="T73">
        <f t="shared" si="2"/>
        <v>-0.10738242537433215</v>
      </c>
      <c r="U73">
        <f t="shared" si="3"/>
        <v>-0.16719044626021368</v>
      </c>
      <c r="V73">
        <f t="shared" si="4"/>
        <v>-0.10212787002806652</v>
      </c>
    </row>
    <row r="74" spans="4:22" ht="12.75">
      <c r="D74">
        <v>25.73</v>
      </c>
      <c r="E74">
        <v>26.91</v>
      </c>
      <c r="F74">
        <v>27.19</v>
      </c>
      <c r="G74" s="124">
        <v>10.43</v>
      </c>
      <c r="H74" s="124">
        <v>150.63</v>
      </c>
      <c r="I74" s="124">
        <v>23.12</v>
      </c>
      <c r="J74" s="124">
        <v>57.7</v>
      </c>
      <c r="K74" s="124">
        <v>129.56</v>
      </c>
      <c r="L74" s="124">
        <v>28.41</v>
      </c>
      <c r="M74" s="124">
        <v>32.049999999999997</v>
      </c>
      <c r="N74" s="124">
        <v>46.59</v>
      </c>
      <c r="O74" s="125">
        <v>43934.666666666672</v>
      </c>
      <c r="P74">
        <f t="shared" si="0"/>
        <v>25361.715519482063</v>
      </c>
      <c r="Q74">
        <v>87.2</v>
      </c>
      <c r="R74">
        <v>65.72</v>
      </c>
      <c r="S74">
        <f t="shared" si="1"/>
        <v>72.164000000000001</v>
      </c>
      <c r="T74">
        <f t="shared" si="2"/>
        <v>-0.11812177007180832</v>
      </c>
      <c r="U74">
        <f t="shared" si="3"/>
        <v>-0.17385292269013197</v>
      </c>
      <c r="V74">
        <f t="shared" si="4"/>
        <v>-0.10775355778384983</v>
      </c>
    </row>
    <row r="75" spans="4:22" ht="12.75">
      <c r="D75">
        <v>26.73</v>
      </c>
      <c r="E75">
        <v>26.76</v>
      </c>
      <c r="F75">
        <v>27.75</v>
      </c>
      <c r="G75" s="124">
        <v>10.6</v>
      </c>
      <c r="H75" s="124">
        <v>153.15</v>
      </c>
      <c r="I75" s="124">
        <v>23.59</v>
      </c>
      <c r="J75" s="124">
        <v>60.15</v>
      </c>
      <c r="K75" s="124">
        <v>133.16</v>
      </c>
      <c r="L75" s="124">
        <v>29.38</v>
      </c>
      <c r="M75" s="124">
        <v>33.39</v>
      </c>
      <c r="N75" s="124">
        <v>47.65</v>
      </c>
      <c r="O75" s="125">
        <v>43935.666666666672</v>
      </c>
      <c r="P75">
        <f t="shared" si="0"/>
        <v>25892.831577788245</v>
      </c>
      <c r="Q75">
        <v>87.2</v>
      </c>
      <c r="R75">
        <v>67.41</v>
      </c>
      <c r="S75">
        <f t="shared" si="1"/>
        <v>73.346999999999994</v>
      </c>
      <c r="T75">
        <f t="shared" si="2"/>
        <v>-9.9653788715196215E-2</v>
      </c>
      <c r="U75">
        <f t="shared" si="3"/>
        <v>-0.15260842237586425</v>
      </c>
      <c r="V75">
        <f t="shared" si="4"/>
        <v>-9.3126769618813263E-2</v>
      </c>
    </row>
    <row r="76" spans="4:22" ht="12.75">
      <c r="D76">
        <v>25.73</v>
      </c>
      <c r="E76">
        <v>26.96</v>
      </c>
      <c r="F76">
        <v>26.89</v>
      </c>
      <c r="G76" s="124">
        <v>10.26</v>
      </c>
      <c r="H76" s="124">
        <v>149.96</v>
      </c>
      <c r="I76" s="124">
        <v>22.48</v>
      </c>
      <c r="J76" s="124">
        <v>59.2</v>
      </c>
      <c r="K76" s="124">
        <v>128.4</v>
      </c>
      <c r="L76" s="124">
        <v>28.55</v>
      </c>
      <c r="M76" s="124">
        <v>32.520000000000003</v>
      </c>
      <c r="N76" s="124">
        <v>46.68</v>
      </c>
      <c r="O76" s="125">
        <v>43936.666666666672</v>
      </c>
      <c r="P76">
        <f t="shared" si="0"/>
        <v>25332.940103083016</v>
      </c>
      <c r="Q76">
        <v>87.63</v>
      </c>
      <c r="R76">
        <v>65.73</v>
      </c>
      <c r="S76">
        <f t="shared" si="1"/>
        <v>72.3</v>
      </c>
      <c r="T76">
        <f t="shared" si="2"/>
        <v>-0.11912234959727239</v>
      </c>
      <c r="U76">
        <f t="shared" si="3"/>
        <v>-0.17372721558768062</v>
      </c>
      <c r="V76">
        <f t="shared" si="4"/>
        <v>-0.10607203353157178</v>
      </c>
    </row>
    <row r="77" spans="4:22" ht="12.75">
      <c r="D77">
        <v>25.92</v>
      </c>
      <c r="E77">
        <v>27.08</v>
      </c>
      <c r="F77">
        <v>27.17</v>
      </c>
      <c r="G77" s="124">
        <v>10.24</v>
      </c>
      <c r="H77" s="124">
        <v>147.66999999999999</v>
      </c>
      <c r="I77" s="124">
        <v>22.7</v>
      </c>
      <c r="J77" s="124">
        <v>59.59</v>
      </c>
      <c r="K77" s="124">
        <v>128.47999999999999</v>
      </c>
      <c r="L77" s="124">
        <v>28.98</v>
      </c>
      <c r="M77" s="124">
        <v>33.19</v>
      </c>
      <c r="N77" s="124">
        <v>48.03</v>
      </c>
      <c r="O77" s="125">
        <v>43937.666666666672</v>
      </c>
      <c r="P77">
        <f t="shared" si="0"/>
        <v>25517.615089715197</v>
      </c>
      <c r="Q77">
        <v>87.68</v>
      </c>
      <c r="R77">
        <v>66.010000000000005</v>
      </c>
      <c r="S77">
        <f t="shared" si="1"/>
        <v>72.510999999999996</v>
      </c>
      <c r="T77">
        <f t="shared" si="2"/>
        <v>-0.1127008261716155</v>
      </c>
      <c r="U77">
        <f t="shared" si="3"/>
        <v>-0.17020741671904452</v>
      </c>
      <c r="V77">
        <f t="shared" si="4"/>
        <v>-0.10346319811075799</v>
      </c>
    </row>
    <row r="78" spans="4:22" ht="12.75">
      <c r="D78">
        <v>26.93</v>
      </c>
      <c r="E78">
        <v>27.01</v>
      </c>
      <c r="F78">
        <v>27.75</v>
      </c>
      <c r="G78" s="124">
        <v>10.52</v>
      </c>
      <c r="H78" s="124">
        <v>157.57</v>
      </c>
      <c r="I78" s="124">
        <v>23.58</v>
      </c>
      <c r="J78" s="124">
        <v>60.5</v>
      </c>
      <c r="K78" s="124">
        <v>132.80000000000001</v>
      </c>
      <c r="L78" s="124">
        <v>29.71</v>
      </c>
      <c r="M78" s="124">
        <v>33.81</v>
      </c>
      <c r="N78" s="124">
        <v>49.19</v>
      </c>
      <c r="O78" s="125">
        <v>43938.666666666672</v>
      </c>
      <c r="P78">
        <f t="shared" si="0"/>
        <v>26060.997683584774</v>
      </c>
      <c r="Q78">
        <v>87.56</v>
      </c>
      <c r="R78">
        <v>67.81</v>
      </c>
      <c r="S78">
        <f t="shared" si="1"/>
        <v>73.734999999999999</v>
      </c>
      <c r="T78">
        <f t="shared" si="2"/>
        <v>-9.3806312522198204E-2</v>
      </c>
      <c r="U78">
        <f t="shared" si="3"/>
        <v>-0.14758013827781263</v>
      </c>
      <c r="V78">
        <f t="shared" si="4"/>
        <v>-8.8329479840255104E-2</v>
      </c>
    </row>
    <row r="79" spans="4:22" ht="12.75">
      <c r="D79">
        <v>26.56</v>
      </c>
      <c r="E79">
        <v>27.1</v>
      </c>
      <c r="F79">
        <v>27.63</v>
      </c>
      <c r="G79" s="124">
        <v>10.38</v>
      </c>
      <c r="H79" s="124">
        <v>152.68</v>
      </c>
      <c r="I79" s="124">
        <v>23.22</v>
      </c>
      <c r="J79" s="124">
        <v>59.31</v>
      </c>
      <c r="K79" s="124">
        <v>127.44</v>
      </c>
      <c r="L79" s="124">
        <v>29.51</v>
      </c>
      <c r="M79" s="124">
        <v>33.04</v>
      </c>
      <c r="N79" s="124">
        <v>48.78</v>
      </c>
      <c r="O79" s="125">
        <v>43941.666666666672</v>
      </c>
      <c r="P79">
        <f t="shared" si="0"/>
        <v>25727.825999386761</v>
      </c>
      <c r="Q79">
        <v>87.42</v>
      </c>
      <c r="R79">
        <v>66.819999999999993</v>
      </c>
      <c r="S79">
        <f t="shared" si="1"/>
        <v>73</v>
      </c>
      <c r="T79">
        <f t="shared" si="2"/>
        <v>-0.10539136696762944</v>
      </c>
      <c r="U79">
        <f t="shared" si="3"/>
        <v>-0.16002514142049032</v>
      </c>
      <c r="V79">
        <f t="shared" si="4"/>
        <v>-9.7417129291905089E-2</v>
      </c>
    </row>
    <row r="80" spans="4:22" ht="12.75">
      <c r="D80">
        <v>25.81</v>
      </c>
      <c r="E80">
        <v>27.14</v>
      </c>
      <c r="F80">
        <v>27.07</v>
      </c>
      <c r="G80" s="124">
        <v>10.02</v>
      </c>
      <c r="H80" s="124">
        <v>147.46</v>
      </c>
      <c r="I80" s="124">
        <v>22.74</v>
      </c>
      <c r="J80" s="124">
        <v>58.05</v>
      </c>
      <c r="K80" s="124">
        <v>125.74</v>
      </c>
      <c r="L80" s="124">
        <v>28.78</v>
      </c>
      <c r="M80" s="124">
        <v>32.82</v>
      </c>
      <c r="N80" s="124">
        <v>47.05</v>
      </c>
      <c r="O80" s="125">
        <v>43942.666666666672</v>
      </c>
      <c r="P80">
        <f t="shared" si="0"/>
        <v>25273.852692262957</v>
      </c>
      <c r="Q80">
        <v>87.53</v>
      </c>
      <c r="R80">
        <v>64.77</v>
      </c>
      <c r="S80">
        <f t="shared" si="1"/>
        <v>71.597999999999985</v>
      </c>
      <c r="T80">
        <f t="shared" si="2"/>
        <v>-0.12117693857903925</v>
      </c>
      <c r="U80">
        <f t="shared" si="3"/>
        <v>-0.18579509742300443</v>
      </c>
      <c r="V80">
        <f t="shared" si="4"/>
        <v>-0.11475166606906623</v>
      </c>
    </row>
    <row r="81" spans="2:22" ht="12.75">
      <c r="D81">
        <v>26.67</v>
      </c>
      <c r="E81">
        <v>27.22</v>
      </c>
      <c r="F81">
        <v>27.66</v>
      </c>
      <c r="G81" s="124">
        <v>10.27</v>
      </c>
      <c r="H81" s="124">
        <v>149.03</v>
      </c>
      <c r="I81" s="124">
        <v>23.07</v>
      </c>
      <c r="J81" s="124">
        <v>58.61</v>
      </c>
      <c r="K81" s="124">
        <v>129.13999999999999</v>
      </c>
      <c r="L81" s="124">
        <v>29.3</v>
      </c>
      <c r="M81" s="124">
        <v>33.65</v>
      </c>
      <c r="N81" s="124">
        <v>47.91</v>
      </c>
      <c r="O81" s="125">
        <v>43943.666666666672</v>
      </c>
      <c r="P81">
        <f t="shared" si="0"/>
        <v>25673.140046446631</v>
      </c>
      <c r="Q81">
        <v>87.46</v>
      </c>
      <c r="R81">
        <v>66.290000000000006</v>
      </c>
      <c r="S81">
        <f t="shared" si="1"/>
        <v>72.640999999999991</v>
      </c>
      <c r="T81">
        <f t="shared" si="2"/>
        <v>-0.10729290834182126</v>
      </c>
      <c r="U81">
        <f t="shared" si="3"/>
        <v>-0.16668761785040845</v>
      </c>
      <c r="V81">
        <f t="shared" si="4"/>
        <v>-0.10185585875196282</v>
      </c>
    </row>
    <row r="82" spans="2:22" ht="12.75">
      <c r="D82">
        <v>26.68</v>
      </c>
      <c r="E82">
        <v>27.23</v>
      </c>
      <c r="F82">
        <v>27.31</v>
      </c>
      <c r="G82" s="124">
        <v>10.31</v>
      </c>
      <c r="H82" s="124">
        <v>149.54</v>
      </c>
      <c r="I82" s="124">
        <v>22.95</v>
      </c>
      <c r="J82" s="124">
        <v>58.09</v>
      </c>
      <c r="K82" s="124">
        <v>127.18</v>
      </c>
      <c r="L82" s="124">
        <v>29.37</v>
      </c>
      <c r="M82" s="124">
        <v>33.659999999999997</v>
      </c>
      <c r="N82" s="124">
        <v>48.06</v>
      </c>
      <c r="O82" s="125">
        <v>43944.666666666672</v>
      </c>
      <c r="P82">
        <f t="shared" si="0"/>
        <v>25610.102632442562</v>
      </c>
      <c r="Q82">
        <v>87.6</v>
      </c>
      <c r="R82">
        <v>66.22</v>
      </c>
      <c r="S82">
        <f t="shared" si="1"/>
        <v>72.634</v>
      </c>
      <c r="T82">
        <f t="shared" si="2"/>
        <v>-0.10948484693676591</v>
      </c>
      <c r="U82">
        <f t="shared" si="3"/>
        <v>-0.16756756756756755</v>
      </c>
      <c r="V82">
        <f t="shared" si="4"/>
        <v>-0.10194240779435937</v>
      </c>
    </row>
    <row r="83" spans="2:22" ht="12.75">
      <c r="D83">
        <v>27.12</v>
      </c>
      <c r="E83">
        <v>27.17</v>
      </c>
      <c r="F83">
        <v>27.8</v>
      </c>
      <c r="G83" s="124">
        <v>10.19</v>
      </c>
      <c r="H83" s="124">
        <v>148.66</v>
      </c>
      <c r="I83" s="124">
        <v>23.17</v>
      </c>
      <c r="J83" s="124">
        <v>58.71</v>
      </c>
      <c r="K83" s="124">
        <v>127.9</v>
      </c>
      <c r="L83" s="124">
        <v>29.74</v>
      </c>
      <c r="M83" s="124">
        <v>33.520000000000003</v>
      </c>
      <c r="N83" s="124">
        <v>48.58</v>
      </c>
      <c r="O83" s="125">
        <v>43945.666666666672</v>
      </c>
      <c r="P83">
        <f t="shared" si="0"/>
        <v>25722.875502644787</v>
      </c>
      <c r="Q83">
        <v>87.57</v>
      </c>
      <c r="R83">
        <v>66.900000000000006</v>
      </c>
      <c r="S83">
        <f t="shared" si="1"/>
        <v>73.100999999999999</v>
      </c>
      <c r="T83">
        <f t="shared" si="2"/>
        <v>-0.10556350576875762</v>
      </c>
      <c r="U83">
        <f t="shared" si="3"/>
        <v>-0.15901948460087983</v>
      </c>
      <c r="V83">
        <f t="shared" si="4"/>
        <v>-9.6168350251610343E-2</v>
      </c>
    </row>
    <row r="84" spans="2:22" ht="12.75">
      <c r="D84">
        <v>27.82</v>
      </c>
      <c r="E84">
        <v>27.1</v>
      </c>
      <c r="F84">
        <v>28.03</v>
      </c>
      <c r="G84" s="124">
        <v>10.41</v>
      </c>
      <c r="H84" s="124">
        <v>151.06</v>
      </c>
      <c r="I84" s="124">
        <v>23.59</v>
      </c>
      <c r="J84" s="124">
        <v>58.88</v>
      </c>
      <c r="K84" s="124">
        <v>129.43</v>
      </c>
      <c r="L84" s="124">
        <v>30.57</v>
      </c>
      <c r="M84" s="124">
        <v>34.369999999999997</v>
      </c>
      <c r="N84" s="124">
        <v>49.29</v>
      </c>
      <c r="O84" s="125">
        <v>43948.666666666672</v>
      </c>
      <c r="P84">
        <f t="shared" si="0"/>
        <v>26043.467849743363</v>
      </c>
      <c r="Q84">
        <v>87.26</v>
      </c>
      <c r="R84">
        <v>67.989999999999995</v>
      </c>
      <c r="S84">
        <f t="shared" si="1"/>
        <v>73.771000000000001</v>
      </c>
      <c r="T84">
        <f t="shared" si="2"/>
        <v>-9.4415860359256906E-2</v>
      </c>
      <c r="U84">
        <f t="shared" si="3"/>
        <v>-0.14531741043368954</v>
      </c>
      <c r="V84">
        <f t="shared" si="4"/>
        <v>-8.7884370479357932E-2</v>
      </c>
    </row>
    <row r="85" spans="2:22" ht="12.75">
      <c r="D85">
        <v>27.4</v>
      </c>
      <c r="E85">
        <v>27.07</v>
      </c>
      <c r="F85">
        <v>28.01</v>
      </c>
      <c r="G85" s="124">
        <v>10.62</v>
      </c>
      <c r="H85" s="124">
        <v>153.94</v>
      </c>
      <c r="I85" s="124">
        <v>23.63</v>
      </c>
      <c r="J85" s="124">
        <v>59.21</v>
      </c>
      <c r="K85" s="124">
        <v>130.01</v>
      </c>
      <c r="L85" s="124">
        <v>30.77</v>
      </c>
      <c r="M85" s="124">
        <v>33.85</v>
      </c>
      <c r="N85" s="124">
        <v>49.92</v>
      </c>
      <c r="O85" s="125">
        <v>43949.666666666672</v>
      </c>
      <c r="P85">
        <f t="shared" si="0"/>
        <v>26110.867907286964</v>
      </c>
      <c r="Q85">
        <v>87.52</v>
      </c>
      <c r="R85">
        <v>68</v>
      </c>
      <c r="S85">
        <f t="shared" si="1"/>
        <v>73.855999999999995</v>
      </c>
      <c r="T85">
        <f t="shared" si="2"/>
        <v>-9.2072223809988404E-2</v>
      </c>
      <c r="U85">
        <f t="shared" si="3"/>
        <v>-0.14519170333123818</v>
      </c>
      <c r="V85">
        <f t="shared" si="4"/>
        <v>-8.6833417821684203E-2</v>
      </c>
    </row>
    <row r="86" spans="2:22" ht="12.75">
      <c r="D86">
        <v>28.29</v>
      </c>
      <c r="E86">
        <v>26.96</v>
      </c>
      <c r="F86">
        <v>28.88</v>
      </c>
      <c r="G86" s="124">
        <v>11.06</v>
      </c>
      <c r="H86" s="124">
        <v>159.25</v>
      </c>
      <c r="I86" s="124">
        <v>24.51</v>
      </c>
      <c r="J86" s="124">
        <v>58.96</v>
      </c>
      <c r="K86" s="124">
        <v>129.28</v>
      </c>
      <c r="L86" s="124">
        <v>31.84</v>
      </c>
      <c r="M86" s="124">
        <v>33.4</v>
      </c>
      <c r="N86" s="124">
        <v>50.53</v>
      </c>
      <c r="O86" s="125">
        <v>43950.666666666672</v>
      </c>
      <c r="P86">
        <f t="shared" si="0"/>
        <v>26463.450276552463</v>
      </c>
      <c r="Q86">
        <v>87.58</v>
      </c>
      <c r="R86">
        <v>69.8</v>
      </c>
      <c r="S86">
        <f t="shared" si="1"/>
        <v>75.133999999999986</v>
      </c>
      <c r="T86">
        <f t="shared" si="2"/>
        <v>-7.9812220519875923E-2</v>
      </c>
      <c r="U86">
        <f t="shared" si="3"/>
        <v>-0.1225644248900063</v>
      </c>
      <c r="V86">
        <f t="shared" si="4"/>
        <v>-7.103203550983575E-2</v>
      </c>
    </row>
    <row r="87" spans="2:22" ht="12.75">
      <c r="D87">
        <v>28.07</v>
      </c>
      <c r="E87">
        <v>26.79</v>
      </c>
      <c r="F87">
        <v>28.46</v>
      </c>
      <c r="G87" s="124">
        <v>10.76</v>
      </c>
      <c r="H87" s="124">
        <v>155.76</v>
      </c>
      <c r="I87" s="124">
        <v>23.95</v>
      </c>
      <c r="J87" s="124">
        <v>58.26</v>
      </c>
      <c r="K87" s="124">
        <v>125.87</v>
      </c>
      <c r="L87" s="124">
        <v>31.35</v>
      </c>
      <c r="M87" s="124">
        <v>33.340000000000003</v>
      </c>
      <c r="N87" s="124">
        <v>48.66</v>
      </c>
      <c r="O87" s="125">
        <v>43951.666666666672</v>
      </c>
      <c r="P87">
        <f t="shared" si="0"/>
        <v>26075.51061203171</v>
      </c>
      <c r="Q87">
        <v>87.51</v>
      </c>
      <c r="R87">
        <v>68.72</v>
      </c>
      <c r="S87">
        <f t="shared" si="1"/>
        <v>74.356999999999999</v>
      </c>
      <c r="T87">
        <f t="shared" si="2"/>
        <v>-9.3301668597774903E-2</v>
      </c>
      <c r="U87">
        <f t="shared" si="3"/>
        <v>-0.13614079195474543</v>
      </c>
      <c r="V87">
        <f t="shared" si="4"/>
        <v>-8.0638979215865575E-2</v>
      </c>
    </row>
    <row r="88" spans="2:22" ht="12.75">
      <c r="D88">
        <v>27.3</v>
      </c>
      <c r="E88">
        <v>26.82</v>
      </c>
      <c r="F88">
        <v>27.8</v>
      </c>
      <c r="G88" s="124">
        <v>10.39</v>
      </c>
      <c r="H88" s="124">
        <v>150.41</v>
      </c>
      <c r="I88" s="124">
        <v>23.4</v>
      </c>
      <c r="J88" s="124">
        <v>57.62</v>
      </c>
      <c r="K88" s="124">
        <v>122.93</v>
      </c>
      <c r="L88" s="124">
        <v>30.31</v>
      </c>
      <c r="M88" s="124">
        <v>32.619999999999997</v>
      </c>
      <c r="N88" s="124">
        <v>47.83</v>
      </c>
      <c r="O88" s="125">
        <v>43952.666666666672</v>
      </c>
      <c r="P88">
        <f t="shared" si="0"/>
        <v>25598.743486480827</v>
      </c>
      <c r="Q88">
        <v>87.3</v>
      </c>
      <c r="R88">
        <v>66.91</v>
      </c>
      <c r="S88">
        <f t="shared" si="1"/>
        <v>73.026999999999987</v>
      </c>
      <c r="T88">
        <f t="shared" si="2"/>
        <v>-0.10987982745480442</v>
      </c>
      <c r="U88">
        <f t="shared" si="3"/>
        <v>-0.15889377749842867</v>
      </c>
      <c r="V88">
        <f t="shared" si="4"/>
        <v>-9.7083297271232397E-2</v>
      </c>
    </row>
    <row r="89" spans="2:22" ht="12.75">
      <c r="D89">
        <v>27.87</v>
      </c>
      <c r="E89">
        <v>26.97</v>
      </c>
      <c r="F89">
        <v>27.82</v>
      </c>
      <c r="G89" s="124">
        <v>10.45</v>
      </c>
      <c r="H89" s="124">
        <v>147.44</v>
      </c>
      <c r="I89" s="124">
        <v>23.4</v>
      </c>
      <c r="J89" s="124">
        <v>57.59</v>
      </c>
      <c r="K89" s="124">
        <v>123.56</v>
      </c>
      <c r="L89" s="124">
        <v>30.41</v>
      </c>
      <c r="M89" s="124">
        <v>32.880000000000003</v>
      </c>
      <c r="N89" s="124">
        <v>48.65</v>
      </c>
      <c r="O89" s="125">
        <v>43955.666666666672</v>
      </c>
      <c r="P89">
        <f t="shared" si="0"/>
        <v>25704.300531503446</v>
      </c>
      <c r="Q89">
        <v>87.39</v>
      </c>
      <c r="R89">
        <v>67.13</v>
      </c>
      <c r="S89">
        <f t="shared" si="1"/>
        <v>73.207999999999998</v>
      </c>
      <c r="T89">
        <f t="shared" si="2"/>
        <v>-0.10620939514712043</v>
      </c>
      <c r="U89">
        <f t="shared" si="3"/>
        <v>-0.15612822124450035</v>
      </c>
      <c r="V89">
        <f t="shared" si="4"/>
        <v>-9.4845386317832722E-2</v>
      </c>
    </row>
    <row r="90" spans="2:22" ht="12.75">
      <c r="D90">
        <v>28.42</v>
      </c>
      <c r="E90">
        <v>26.99</v>
      </c>
      <c r="F90">
        <v>27.82</v>
      </c>
      <c r="G90" s="124">
        <v>10.55</v>
      </c>
      <c r="H90" s="124">
        <v>147.44999999999999</v>
      </c>
      <c r="I90" s="124">
        <v>23.56</v>
      </c>
      <c r="J90" s="124">
        <v>57.64</v>
      </c>
      <c r="K90" s="124">
        <v>124.82</v>
      </c>
      <c r="L90" s="124">
        <v>31.65</v>
      </c>
      <c r="M90" s="124">
        <v>33.24</v>
      </c>
      <c r="N90" s="124">
        <v>48.84</v>
      </c>
      <c r="O90" s="125">
        <v>43956.666666666672</v>
      </c>
      <c r="P90">
        <f t="shared" si="0"/>
        <v>25885.100881031471</v>
      </c>
      <c r="Q90">
        <v>87.31</v>
      </c>
      <c r="R90">
        <v>67.599999999999994</v>
      </c>
      <c r="S90">
        <f t="shared" si="1"/>
        <v>73.512999999999991</v>
      </c>
      <c r="T90">
        <f t="shared" si="2"/>
        <v>-9.9922600703357636E-2</v>
      </c>
      <c r="U90">
        <f t="shared" si="3"/>
        <v>-0.1502199874292898</v>
      </c>
      <c r="V90">
        <f t="shared" si="4"/>
        <v>-9.1074320899120917E-2</v>
      </c>
    </row>
    <row r="91" spans="2:22" ht="12.75">
      <c r="D91">
        <v>28.69</v>
      </c>
      <c r="E91">
        <v>27.12</v>
      </c>
      <c r="F91">
        <v>27.73</v>
      </c>
      <c r="G91" s="124">
        <v>10.66</v>
      </c>
      <c r="H91" s="124">
        <v>144.43</v>
      </c>
      <c r="I91" s="124">
        <v>23.39</v>
      </c>
      <c r="J91" s="124">
        <v>57.01</v>
      </c>
      <c r="K91" s="124">
        <v>120.38</v>
      </c>
      <c r="L91" s="124">
        <v>31.08</v>
      </c>
      <c r="M91" s="124">
        <v>33.049999999999997</v>
      </c>
      <c r="N91" s="124">
        <v>48.17</v>
      </c>
      <c r="O91" s="125">
        <v>43957.666666666672</v>
      </c>
      <c r="P91">
        <f t="shared" si="0"/>
        <v>25727.212036216257</v>
      </c>
      <c r="Q91">
        <v>86.92</v>
      </c>
      <c r="R91">
        <v>67.239999999999995</v>
      </c>
      <c r="S91">
        <f t="shared" si="1"/>
        <v>73.143999999999991</v>
      </c>
      <c r="T91">
        <f t="shared" si="2"/>
        <v>-0.10541271571092047</v>
      </c>
      <c r="U91">
        <f t="shared" si="3"/>
        <v>-0.15474544311753619</v>
      </c>
      <c r="V91">
        <f t="shared" si="4"/>
        <v>-9.5636691848316621E-2</v>
      </c>
    </row>
    <row r="92" spans="2:22" ht="12.75">
      <c r="D92">
        <v>29.48</v>
      </c>
      <c r="E92">
        <v>27.04</v>
      </c>
      <c r="F92">
        <v>28.33</v>
      </c>
      <c r="G92" s="124">
        <v>10.78</v>
      </c>
      <c r="H92" s="124">
        <v>146.05000000000001</v>
      </c>
      <c r="I92" s="124">
        <v>23.78</v>
      </c>
      <c r="J92" s="124">
        <v>56.85</v>
      </c>
      <c r="K92" s="124">
        <v>121.13</v>
      </c>
      <c r="L92" s="124">
        <v>31.79</v>
      </c>
      <c r="M92" s="124">
        <v>33.200000000000003</v>
      </c>
      <c r="N92" s="124">
        <v>49.55</v>
      </c>
      <c r="O92" s="125">
        <v>43958.666666666672</v>
      </c>
      <c r="P92">
        <f t="shared" si="0"/>
        <v>26006.400598781081</v>
      </c>
      <c r="Q92">
        <v>87.2</v>
      </c>
      <c r="R92">
        <v>68.13</v>
      </c>
      <c r="S92">
        <f t="shared" si="1"/>
        <v>73.850999999999999</v>
      </c>
      <c r="T92">
        <f t="shared" si="2"/>
        <v>-9.570476377124458E-2</v>
      </c>
      <c r="U92">
        <f t="shared" si="3"/>
        <v>-0.1435575109993715</v>
      </c>
      <c r="V92">
        <f t="shared" si="4"/>
        <v>-8.6895238566253197E-2</v>
      </c>
    </row>
    <row r="93" spans="2:22" ht="12.75">
      <c r="D93">
        <v>29.79</v>
      </c>
      <c r="E93">
        <v>27.03</v>
      </c>
      <c r="F93">
        <v>28.87</v>
      </c>
      <c r="G93" s="124">
        <v>11.13</v>
      </c>
      <c r="H93" s="124">
        <v>151.76</v>
      </c>
      <c r="I93" s="124">
        <v>24.21</v>
      </c>
      <c r="J93" s="124">
        <v>58.12</v>
      </c>
      <c r="K93" s="124">
        <v>123.79</v>
      </c>
      <c r="L93" s="124">
        <v>32.299999999999997</v>
      </c>
      <c r="M93" s="124">
        <v>33.68</v>
      </c>
      <c r="N93" s="124">
        <v>50.31</v>
      </c>
      <c r="O93" s="125">
        <v>43959.666666666672</v>
      </c>
      <c r="P93">
        <f t="shared" si="0"/>
        <v>26409.658161561765</v>
      </c>
      <c r="Q93">
        <v>86.95</v>
      </c>
      <c r="R93">
        <v>69.260000000000005</v>
      </c>
      <c r="S93">
        <f t="shared" si="1"/>
        <v>74.567000000000007</v>
      </c>
      <c r="T93">
        <f t="shared" si="2"/>
        <v>-8.1682681337703886E-2</v>
      </c>
      <c r="U93">
        <f t="shared" si="3"/>
        <v>-0.12935260842237578</v>
      </c>
      <c r="V93">
        <f t="shared" si="4"/>
        <v>-7.8042507943965486E-2</v>
      </c>
    </row>
    <row r="94" spans="2:22" ht="12.75">
      <c r="D94">
        <v>29.81</v>
      </c>
      <c r="E94">
        <v>27.13</v>
      </c>
      <c r="F94">
        <v>28.8</v>
      </c>
      <c r="G94" s="124">
        <v>11.18</v>
      </c>
      <c r="H94" s="124">
        <v>149.57</v>
      </c>
      <c r="I94" s="124">
        <v>24.1</v>
      </c>
      <c r="J94" s="124">
        <v>58.04</v>
      </c>
      <c r="K94" s="124">
        <v>123.03</v>
      </c>
      <c r="L94" s="124">
        <v>32.520000000000003</v>
      </c>
      <c r="M94" s="124">
        <v>33.51</v>
      </c>
      <c r="N94" s="124">
        <v>49.69</v>
      </c>
      <c r="O94" s="125">
        <v>43962.666666666672</v>
      </c>
      <c r="P94">
        <f t="shared" si="0"/>
        <v>26349.873218118606</v>
      </c>
      <c r="Q94">
        <v>86.68</v>
      </c>
      <c r="R94">
        <v>69.33</v>
      </c>
      <c r="S94">
        <f t="shared" si="1"/>
        <v>74.534999999999997</v>
      </c>
      <c r="T94">
        <f t="shared" si="2"/>
        <v>-8.3761524941935228E-2</v>
      </c>
      <c r="U94">
        <f t="shared" si="3"/>
        <v>-0.12847265870521685</v>
      </c>
      <c r="V94">
        <f t="shared" si="4"/>
        <v>-7.8438160709207519E-2</v>
      </c>
    </row>
    <row r="95" spans="2:22" ht="12.75">
      <c r="D95">
        <v>29.03</v>
      </c>
      <c r="E95">
        <v>27.08</v>
      </c>
      <c r="F95">
        <v>28.37</v>
      </c>
      <c r="G95" s="124">
        <v>11.09</v>
      </c>
      <c r="H95" s="124">
        <v>146.06</v>
      </c>
      <c r="I95" s="124">
        <v>23.68</v>
      </c>
      <c r="J95" s="124">
        <v>57.55</v>
      </c>
      <c r="K95" s="124">
        <v>121.7</v>
      </c>
      <c r="L95" s="124">
        <v>31.73</v>
      </c>
      <c r="M95" s="124">
        <v>32.659999999999997</v>
      </c>
      <c r="N95" s="124">
        <v>49.71</v>
      </c>
      <c r="O95" s="125">
        <v>43963.666666666672</v>
      </c>
      <c r="P95">
        <f t="shared" si="0"/>
        <v>26049.687140977112</v>
      </c>
      <c r="Q95">
        <v>86.96</v>
      </c>
      <c r="R95">
        <v>68.16</v>
      </c>
      <c r="S95">
        <f t="shared" si="1"/>
        <v>73.8</v>
      </c>
      <c r="T95">
        <f t="shared" si="2"/>
        <v>-9.4199603003148127E-2</v>
      </c>
      <c r="U95">
        <f t="shared" si="3"/>
        <v>-0.1431803896920176</v>
      </c>
      <c r="V95">
        <f t="shared" si="4"/>
        <v>-8.7525810160857503E-2</v>
      </c>
    </row>
    <row r="96" spans="2:22" ht="12.75">
      <c r="B96" s="122" t="s">
        <v>82</v>
      </c>
      <c r="C96" s="130">
        <v>73.269503451938405</v>
      </c>
      <c r="D96" s="131">
        <v>59.112794070254587</v>
      </c>
      <c r="E96" s="131">
        <v>51.758581235697939</v>
      </c>
      <c r="F96" s="131">
        <v>91.403571428571425</v>
      </c>
      <c r="G96" s="131">
        <v>230.59719295564599</v>
      </c>
      <c r="H96" s="131">
        <v>7.8669991687448055</v>
      </c>
      <c r="I96" s="131">
        <v>65.802770270270258</v>
      </c>
      <c r="J96" s="131">
        <v>36.46601411018591</v>
      </c>
      <c r="K96" s="131">
        <v>15.1593172213475</v>
      </c>
      <c r="L96" s="132">
        <v>45.864227182820009</v>
      </c>
      <c r="M96" s="133">
        <v>73.980628988149505</v>
      </c>
      <c r="N96" s="134">
        <v>48.197895196506558</v>
      </c>
      <c r="O96" s="125">
        <v>43964.666666666664</v>
      </c>
    </row>
    <row r="97" spans="7:14" ht="12.75">
      <c r="G97" s="135"/>
      <c r="H97" s="135"/>
      <c r="I97" s="135"/>
      <c r="J97" s="135"/>
      <c r="K97" s="135"/>
      <c r="L97" s="135"/>
      <c r="M97" s="135"/>
      <c r="N97" s="135"/>
    </row>
    <row r="98" spans="7:14" ht="12.75">
      <c r="G98" s="135"/>
      <c r="H98" s="135"/>
      <c r="I98" s="135"/>
      <c r="J98" s="135"/>
      <c r="K98" s="135"/>
      <c r="L98" s="135"/>
      <c r="M98" s="135"/>
      <c r="N98" s="135"/>
    </row>
    <row r="99" spans="7:14" ht="12.75">
      <c r="G99" s="135"/>
      <c r="H99" s="135"/>
      <c r="I99" s="135"/>
      <c r="J99" s="135"/>
      <c r="K99" s="135"/>
      <c r="L99" s="135"/>
      <c r="M99" s="135"/>
      <c r="N99" s="135"/>
    </row>
    <row r="100" spans="7:14" ht="12.75">
      <c r="G100" s="135"/>
      <c r="H100" s="135"/>
      <c r="I100" s="135"/>
      <c r="J100" s="135"/>
      <c r="K100" s="135"/>
      <c r="L100" s="135"/>
      <c r="M100" s="135"/>
      <c r="N100" s="135"/>
    </row>
    <row r="101" spans="7:14" ht="12.75">
      <c r="G101" s="135"/>
      <c r="H101" s="135"/>
      <c r="I101" s="135"/>
      <c r="J101" s="135"/>
      <c r="K101" s="135"/>
      <c r="L101" s="135"/>
      <c r="M101" s="135"/>
      <c r="N101" s="135"/>
    </row>
    <row r="102" spans="7:14" ht="12.75">
      <c r="G102" s="135"/>
      <c r="H102" s="135"/>
      <c r="I102" s="135"/>
      <c r="J102" s="135"/>
      <c r="K102" s="135"/>
      <c r="L102" s="135"/>
      <c r="M102" s="135"/>
      <c r="N102" s="135"/>
    </row>
    <row r="103" spans="7:14" ht="12.75">
      <c r="G103" s="135"/>
      <c r="H103" s="135"/>
      <c r="I103" s="135"/>
      <c r="J103" s="135"/>
      <c r="K103" s="135"/>
      <c r="L103" s="135"/>
      <c r="M103" s="135"/>
      <c r="N103" s="135"/>
    </row>
    <row r="104" spans="7:14" ht="12.75">
      <c r="G104" s="135"/>
      <c r="H104" s="135"/>
      <c r="I104" s="135"/>
      <c r="J104" s="135"/>
      <c r="K104" s="135"/>
      <c r="L104" s="135"/>
      <c r="M104" s="135"/>
      <c r="N104" s="135"/>
    </row>
    <row r="105" spans="7:14" ht="12.75">
      <c r="G105" s="135"/>
      <c r="H105" s="135"/>
      <c r="I105" s="135"/>
      <c r="J105" s="135"/>
      <c r="K105" s="135"/>
      <c r="L105" s="135"/>
      <c r="M105" s="135"/>
      <c r="N105" s="135"/>
    </row>
    <row r="106" spans="7:14" ht="12.75">
      <c r="G106" s="135"/>
      <c r="H106" s="135"/>
      <c r="I106" s="135"/>
      <c r="J106" s="135"/>
      <c r="K106" s="135"/>
      <c r="L106" s="135"/>
      <c r="M106" s="135"/>
      <c r="N106" s="135"/>
    </row>
    <row r="107" spans="7:14" ht="12.75">
      <c r="G107" s="135"/>
      <c r="H107" s="135"/>
      <c r="I107" s="135"/>
      <c r="J107" s="135"/>
      <c r="K107" s="135"/>
      <c r="L107" s="135"/>
      <c r="M107" s="135"/>
      <c r="N107" s="135"/>
    </row>
    <row r="108" spans="7:14" ht="12.75">
      <c r="G108" s="135"/>
      <c r="H108" s="135"/>
      <c r="I108" s="135"/>
      <c r="J108" s="135"/>
      <c r="K108" s="135"/>
      <c r="L108" s="135"/>
      <c r="M108" s="135"/>
      <c r="N108" s="135"/>
    </row>
    <row r="109" spans="7:14" ht="12.75">
      <c r="G109" s="135"/>
      <c r="H109" s="135"/>
      <c r="I109" s="135"/>
      <c r="J109" s="135"/>
      <c r="K109" s="135"/>
      <c r="L109" s="135"/>
      <c r="M109" s="135"/>
      <c r="N109" s="135"/>
    </row>
    <row r="110" spans="7:14" ht="12.75">
      <c r="G110" s="135"/>
      <c r="H110" s="135"/>
      <c r="I110" s="135"/>
      <c r="J110" s="135"/>
      <c r="K110" s="135"/>
      <c r="L110" s="135"/>
      <c r="M110" s="135"/>
      <c r="N110" s="135"/>
    </row>
    <row r="111" spans="7:14" ht="12.75">
      <c r="G111" s="135"/>
      <c r="H111" s="135"/>
      <c r="I111" s="135"/>
      <c r="J111" s="135"/>
      <c r="K111" s="135"/>
      <c r="L111" s="135"/>
      <c r="M111" s="135"/>
      <c r="N111" s="135"/>
    </row>
    <row r="112" spans="7:14" ht="12.75">
      <c r="G112" s="135"/>
      <c r="H112" s="135"/>
      <c r="I112" s="135"/>
      <c r="J112" s="135"/>
      <c r="K112" s="135"/>
      <c r="L112" s="135"/>
      <c r="M112" s="135"/>
      <c r="N112" s="135"/>
    </row>
    <row r="113" spans="7:14" ht="12.75">
      <c r="G113" s="135"/>
      <c r="H113" s="135"/>
      <c r="I113" s="135"/>
      <c r="J113" s="135"/>
      <c r="K113" s="135"/>
      <c r="L113" s="135"/>
      <c r="M113" s="135"/>
      <c r="N113" s="135"/>
    </row>
    <row r="114" spans="7:14" ht="12.75">
      <c r="G114" s="135"/>
      <c r="H114" s="135"/>
      <c r="I114" s="135"/>
      <c r="J114" s="135"/>
      <c r="K114" s="135"/>
      <c r="L114" s="135"/>
      <c r="M114" s="135"/>
      <c r="N114" s="135"/>
    </row>
    <row r="115" spans="7:14" ht="12.75">
      <c r="G115" s="135"/>
      <c r="H115" s="135"/>
      <c r="I115" s="135"/>
      <c r="J115" s="135"/>
      <c r="K115" s="135"/>
      <c r="L115" s="135"/>
      <c r="M115" s="135"/>
      <c r="N115" s="135"/>
    </row>
    <row r="116" spans="7:14" ht="12.75">
      <c r="G116" s="135"/>
      <c r="H116" s="135"/>
      <c r="I116" s="135"/>
      <c r="J116" s="135"/>
      <c r="K116" s="135"/>
      <c r="L116" s="135"/>
      <c r="M116" s="135"/>
      <c r="N116" s="135"/>
    </row>
    <row r="117" spans="7:14" ht="12.75">
      <c r="G117" s="135"/>
      <c r="H117" s="135"/>
      <c r="I117" s="135"/>
      <c r="J117" s="135"/>
      <c r="K117" s="135"/>
      <c r="L117" s="135"/>
      <c r="M117" s="135"/>
      <c r="N117" s="135"/>
    </row>
    <row r="118" spans="7:14" ht="12.75">
      <c r="G118" s="135"/>
      <c r="H118" s="135"/>
      <c r="I118" s="135"/>
      <c r="J118" s="135"/>
      <c r="K118" s="135"/>
      <c r="L118" s="135"/>
      <c r="M118" s="135"/>
      <c r="N118" s="135"/>
    </row>
    <row r="119" spans="7:14" ht="12.75">
      <c r="G119" s="135"/>
      <c r="H119" s="135"/>
      <c r="I119" s="135"/>
      <c r="J119" s="135"/>
      <c r="K119" s="135"/>
      <c r="L119" s="135"/>
      <c r="M119" s="135"/>
      <c r="N119" s="135"/>
    </row>
    <row r="120" spans="7:14" ht="12.75">
      <c r="G120" s="135"/>
      <c r="H120" s="135"/>
      <c r="I120" s="135"/>
      <c r="J120" s="135"/>
      <c r="K120" s="135"/>
      <c r="L120" s="135"/>
      <c r="M120" s="135"/>
      <c r="N120" s="135"/>
    </row>
    <row r="121" spans="7:14" ht="12.75">
      <c r="G121" s="135"/>
      <c r="H121" s="135"/>
      <c r="I121" s="135"/>
      <c r="J121" s="135"/>
      <c r="K121" s="135"/>
      <c r="L121" s="135"/>
      <c r="M121" s="135"/>
      <c r="N121" s="135"/>
    </row>
    <row r="122" spans="7:14" ht="12.75">
      <c r="G122" s="135"/>
      <c r="H122" s="135"/>
      <c r="I122" s="135"/>
      <c r="J122" s="135"/>
      <c r="K122" s="135"/>
      <c r="L122" s="135"/>
      <c r="M122" s="135"/>
      <c r="N122" s="135"/>
    </row>
    <row r="123" spans="7:14" ht="12.75">
      <c r="G123" s="135"/>
      <c r="H123" s="135"/>
      <c r="I123" s="135"/>
      <c r="J123" s="135"/>
      <c r="K123" s="135"/>
      <c r="L123" s="135"/>
      <c r="M123" s="135"/>
      <c r="N123" s="135"/>
    </row>
    <row r="124" spans="7:14" ht="12.75">
      <c r="G124" s="135"/>
      <c r="H124" s="135"/>
      <c r="I124" s="135"/>
      <c r="J124" s="135"/>
      <c r="K124" s="135"/>
      <c r="L124" s="135"/>
      <c r="M124" s="135"/>
      <c r="N124" s="135"/>
    </row>
    <row r="125" spans="7:14" ht="12.75">
      <c r="G125" s="135"/>
      <c r="H125" s="135"/>
      <c r="I125" s="135"/>
      <c r="J125" s="135"/>
      <c r="K125" s="135"/>
      <c r="L125" s="135"/>
      <c r="M125" s="135"/>
      <c r="N125" s="135"/>
    </row>
    <row r="126" spans="7:14" ht="12.75">
      <c r="G126" s="135"/>
      <c r="H126" s="135"/>
      <c r="I126" s="135"/>
      <c r="J126" s="135"/>
      <c r="K126" s="135"/>
      <c r="L126" s="135"/>
      <c r="M126" s="135"/>
      <c r="N126" s="135"/>
    </row>
    <row r="127" spans="7:14" ht="12.75">
      <c r="G127" s="135"/>
      <c r="H127" s="135"/>
      <c r="I127" s="135"/>
      <c r="J127" s="135"/>
      <c r="K127" s="135"/>
      <c r="L127" s="135"/>
      <c r="M127" s="135"/>
      <c r="N127" s="135"/>
    </row>
    <row r="128" spans="7:14" ht="12.75">
      <c r="G128" s="135"/>
      <c r="H128" s="135"/>
      <c r="I128" s="135"/>
      <c r="J128" s="135"/>
      <c r="K128" s="135"/>
      <c r="L128" s="135"/>
      <c r="M128" s="135"/>
      <c r="N128" s="135"/>
    </row>
    <row r="129" spans="7:14" ht="12.75">
      <c r="G129" s="135"/>
      <c r="H129" s="135"/>
      <c r="I129" s="135"/>
      <c r="J129" s="135"/>
      <c r="K129" s="135"/>
      <c r="L129" s="135"/>
      <c r="M129" s="135"/>
      <c r="N129" s="135"/>
    </row>
    <row r="130" spans="7:14" ht="12.75">
      <c r="G130" s="135"/>
      <c r="H130" s="135"/>
      <c r="I130" s="135"/>
      <c r="J130" s="135"/>
      <c r="K130" s="135"/>
      <c r="L130" s="135"/>
      <c r="M130" s="135"/>
      <c r="N130" s="135"/>
    </row>
    <row r="131" spans="7:14" ht="12.75">
      <c r="G131" s="135"/>
      <c r="H131" s="135"/>
      <c r="I131" s="135"/>
      <c r="J131" s="135"/>
      <c r="K131" s="135"/>
      <c r="L131" s="135"/>
      <c r="M131" s="135"/>
      <c r="N131" s="135"/>
    </row>
    <row r="132" spans="7:14" ht="12.75">
      <c r="G132" s="135"/>
      <c r="H132" s="135"/>
      <c r="I132" s="135"/>
      <c r="J132" s="135"/>
      <c r="K132" s="135"/>
      <c r="L132" s="135"/>
      <c r="M132" s="135"/>
      <c r="N132" s="135"/>
    </row>
    <row r="133" spans="7:14" ht="12.75">
      <c r="G133" s="135"/>
      <c r="H133" s="135"/>
      <c r="I133" s="135"/>
      <c r="J133" s="135"/>
      <c r="K133" s="135"/>
      <c r="L133" s="135"/>
      <c r="M133" s="135"/>
      <c r="N133" s="135"/>
    </row>
    <row r="134" spans="7:14" ht="12.75">
      <c r="G134" s="135"/>
      <c r="H134" s="135"/>
      <c r="I134" s="135"/>
      <c r="J134" s="135"/>
      <c r="K134" s="135"/>
      <c r="L134" s="135"/>
      <c r="M134" s="135"/>
      <c r="N134" s="135"/>
    </row>
    <row r="135" spans="7:14" ht="12.75">
      <c r="G135" s="135"/>
      <c r="H135" s="135"/>
      <c r="I135" s="135"/>
      <c r="J135" s="135"/>
      <c r="K135" s="135"/>
      <c r="L135" s="135"/>
      <c r="M135" s="135"/>
      <c r="N135" s="135"/>
    </row>
    <row r="136" spans="7:14" ht="12.75">
      <c r="G136" s="135"/>
      <c r="H136" s="135"/>
      <c r="I136" s="135"/>
      <c r="J136" s="135"/>
      <c r="K136" s="135"/>
      <c r="L136" s="135"/>
      <c r="M136" s="135"/>
      <c r="N136" s="135"/>
    </row>
    <row r="137" spans="7:14" ht="12.75">
      <c r="G137" s="135"/>
      <c r="H137" s="135"/>
      <c r="I137" s="135"/>
      <c r="J137" s="135"/>
      <c r="K137" s="135"/>
      <c r="L137" s="135"/>
      <c r="M137" s="135"/>
      <c r="N137" s="135"/>
    </row>
    <row r="138" spans="7:14" ht="12.75">
      <c r="G138" s="135"/>
      <c r="H138" s="135"/>
      <c r="I138" s="135"/>
      <c r="J138" s="135"/>
      <c r="K138" s="135"/>
      <c r="L138" s="135"/>
      <c r="M138" s="135"/>
      <c r="N138" s="135"/>
    </row>
    <row r="139" spans="7:14" ht="12.75">
      <c r="G139" s="135"/>
      <c r="H139" s="135"/>
      <c r="I139" s="135"/>
      <c r="J139" s="135"/>
      <c r="K139" s="135"/>
      <c r="L139" s="135"/>
      <c r="M139" s="135"/>
      <c r="N139" s="135"/>
    </row>
    <row r="140" spans="7:14" ht="12.75">
      <c r="G140" s="135"/>
      <c r="H140" s="135"/>
      <c r="I140" s="135"/>
      <c r="J140" s="135"/>
      <c r="K140" s="135"/>
      <c r="L140" s="135"/>
      <c r="M140" s="135"/>
      <c r="N140" s="135"/>
    </row>
    <row r="141" spans="7:14" ht="12.75">
      <c r="G141" s="135"/>
      <c r="H141" s="135"/>
      <c r="I141" s="135"/>
      <c r="J141" s="135"/>
      <c r="K141" s="135"/>
      <c r="L141" s="135"/>
      <c r="M141" s="135"/>
      <c r="N141" s="135"/>
    </row>
    <row r="142" spans="7:14" ht="12.75">
      <c r="G142" s="135"/>
      <c r="H142" s="135"/>
      <c r="I142" s="135"/>
      <c r="J142" s="135"/>
      <c r="K142" s="135"/>
      <c r="L142" s="135"/>
      <c r="M142" s="135"/>
      <c r="N142" s="135"/>
    </row>
    <row r="143" spans="7:14" ht="12.75">
      <c r="G143" s="135"/>
      <c r="H143" s="135"/>
      <c r="I143" s="135"/>
      <c r="J143" s="135"/>
      <c r="K143" s="135"/>
      <c r="L143" s="135"/>
      <c r="M143" s="135"/>
      <c r="N143" s="135"/>
    </row>
    <row r="144" spans="7:14" ht="12.75">
      <c r="G144" s="135"/>
      <c r="H144" s="135"/>
      <c r="I144" s="135"/>
      <c r="J144" s="135"/>
      <c r="K144" s="135"/>
      <c r="L144" s="135"/>
      <c r="M144" s="135"/>
      <c r="N144" s="135"/>
    </row>
    <row r="145" spans="7:14" ht="12.75">
      <c r="G145" s="135"/>
      <c r="H145" s="135"/>
      <c r="I145" s="135"/>
      <c r="J145" s="135"/>
      <c r="K145" s="135"/>
      <c r="L145" s="135"/>
      <c r="M145" s="135"/>
      <c r="N145" s="135"/>
    </row>
    <row r="146" spans="7:14" ht="12.75">
      <c r="G146" s="135"/>
      <c r="H146" s="135"/>
      <c r="I146" s="135"/>
      <c r="J146" s="135"/>
      <c r="K146" s="135"/>
      <c r="L146" s="135"/>
      <c r="M146" s="135"/>
      <c r="N146" s="135"/>
    </row>
    <row r="147" spans="7:14" ht="12.75">
      <c r="G147" s="135"/>
      <c r="H147" s="135"/>
      <c r="I147" s="135"/>
      <c r="J147" s="135"/>
      <c r="K147" s="135"/>
      <c r="L147" s="135"/>
      <c r="M147" s="135"/>
      <c r="N147" s="135"/>
    </row>
    <row r="148" spans="7:14" ht="12.75">
      <c r="G148" s="135"/>
      <c r="H148" s="135"/>
      <c r="I148" s="135"/>
      <c r="J148" s="135"/>
      <c r="K148" s="135"/>
      <c r="L148" s="135"/>
      <c r="M148" s="135"/>
      <c r="N148" s="135"/>
    </row>
    <row r="149" spans="7:14" ht="12.75">
      <c r="G149" s="135"/>
      <c r="H149" s="135"/>
      <c r="I149" s="135"/>
      <c r="J149" s="135"/>
      <c r="K149" s="135"/>
      <c r="L149" s="135"/>
      <c r="M149" s="135"/>
      <c r="N149" s="135"/>
    </row>
    <row r="150" spans="7:14" ht="12.75">
      <c r="G150" s="135"/>
      <c r="H150" s="135"/>
      <c r="I150" s="135"/>
      <c r="J150" s="135"/>
      <c r="K150" s="135"/>
      <c r="L150" s="135"/>
      <c r="M150" s="135"/>
      <c r="N150" s="135"/>
    </row>
    <row r="151" spans="7:14" ht="12.75">
      <c r="G151" s="135"/>
      <c r="H151" s="135"/>
      <c r="I151" s="135"/>
      <c r="J151" s="135"/>
      <c r="K151" s="135"/>
      <c r="L151" s="135"/>
      <c r="M151" s="135"/>
      <c r="N151" s="135"/>
    </row>
    <row r="152" spans="7:14" ht="12.75">
      <c r="G152" s="135"/>
      <c r="H152" s="135"/>
      <c r="I152" s="135"/>
      <c r="J152" s="135"/>
      <c r="K152" s="135"/>
      <c r="L152" s="135"/>
      <c r="M152" s="135"/>
      <c r="N152" s="135"/>
    </row>
    <row r="153" spans="7:14" ht="12.75">
      <c r="G153" s="135"/>
      <c r="H153" s="135"/>
      <c r="I153" s="135"/>
      <c r="J153" s="135"/>
      <c r="K153" s="135"/>
      <c r="L153" s="135"/>
      <c r="M153" s="135"/>
      <c r="N153" s="135"/>
    </row>
    <row r="154" spans="7:14" ht="12.75">
      <c r="G154" s="135"/>
      <c r="H154" s="135"/>
      <c r="I154" s="135"/>
      <c r="J154" s="135"/>
      <c r="K154" s="135"/>
      <c r="L154" s="135"/>
      <c r="M154" s="135"/>
      <c r="N154" s="135"/>
    </row>
    <row r="155" spans="7:14" ht="12.75">
      <c r="G155" s="135"/>
      <c r="H155" s="135"/>
      <c r="I155" s="135"/>
      <c r="J155" s="135"/>
      <c r="K155" s="135"/>
      <c r="L155" s="135"/>
      <c r="M155" s="135"/>
      <c r="N155" s="135"/>
    </row>
    <row r="156" spans="7:14" ht="12.75">
      <c r="G156" s="135"/>
      <c r="H156" s="135"/>
      <c r="I156" s="135"/>
      <c r="J156" s="135"/>
      <c r="K156" s="135"/>
      <c r="L156" s="135"/>
      <c r="M156" s="135"/>
      <c r="N156" s="135"/>
    </row>
    <row r="157" spans="7:14" ht="12.75">
      <c r="G157" s="135"/>
      <c r="H157" s="135"/>
      <c r="I157" s="135"/>
      <c r="J157" s="135"/>
      <c r="K157" s="135"/>
      <c r="L157" s="135"/>
      <c r="M157" s="135"/>
      <c r="N157" s="135"/>
    </row>
    <row r="158" spans="7:14" ht="12.75">
      <c r="G158" s="135"/>
      <c r="H158" s="135"/>
      <c r="I158" s="135"/>
      <c r="J158" s="135"/>
      <c r="K158" s="135"/>
      <c r="L158" s="135"/>
      <c r="M158" s="135"/>
      <c r="N158" s="135"/>
    </row>
    <row r="159" spans="7:14" ht="12.75">
      <c r="G159" s="135"/>
      <c r="H159" s="135"/>
      <c r="I159" s="135"/>
      <c r="J159" s="135"/>
      <c r="K159" s="135"/>
      <c r="L159" s="135"/>
      <c r="M159" s="135"/>
      <c r="N159" s="135"/>
    </row>
    <row r="160" spans="7:14" ht="12.75">
      <c r="G160" s="135"/>
      <c r="H160" s="135"/>
      <c r="I160" s="135"/>
      <c r="J160" s="135"/>
      <c r="K160" s="135"/>
      <c r="L160" s="135"/>
      <c r="M160" s="135"/>
      <c r="N160" s="135"/>
    </row>
    <row r="161" spans="7:14" ht="12.75">
      <c r="G161" s="135"/>
      <c r="H161" s="135"/>
      <c r="I161" s="135"/>
      <c r="J161" s="135"/>
      <c r="K161" s="135"/>
      <c r="L161" s="135"/>
      <c r="M161" s="135"/>
      <c r="N161" s="135"/>
    </row>
    <row r="162" spans="7:14" ht="12.75">
      <c r="G162" s="135"/>
      <c r="H162" s="135"/>
      <c r="I162" s="135"/>
      <c r="J162" s="135"/>
      <c r="K162" s="135"/>
      <c r="L162" s="135"/>
      <c r="M162" s="135"/>
      <c r="N162" s="135"/>
    </row>
    <row r="163" spans="7:14" ht="12.75">
      <c r="G163" s="135"/>
      <c r="H163" s="135"/>
      <c r="I163" s="135"/>
      <c r="J163" s="135"/>
      <c r="K163" s="135"/>
      <c r="L163" s="135"/>
      <c r="M163" s="135"/>
      <c r="N163" s="135"/>
    </row>
    <row r="164" spans="7:14" ht="12.75">
      <c r="G164" s="135"/>
      <c r="H164" s="135"/>
      <c r="I164" s="135"/>
      <c r="J164" s="135"/>
      <c r="K164" s="135"/>
      <c r="L164" s="135"/>
      <c r="M164" s="135"/>
      <c r="N164" s="135"/>
    </row>
    <row r="165" spans="7:14" ht="12.75">
      <c r="G165" s="135"/>
      <c r="H165" s="135"/>
      <c r="I165" s="135"/>
      <c r="J165" s="135"/>
      <c r="K165" s="135"/>
      <c r="L165" s="135"/>
      <c r="M165" s="135"/>
      <c r="N165" s="135"/>
    </row>
    <row r="166" spans="7:14" ht="12.75">
      <c r="G166" s="135"/>
      <c r="H166" s="135"/>
      <c r="I166" s="135"/>
      <c r="J166" s="135"/>
      <c r="K166" s="135"/>
      <c r="L166" s="135"/>
      <c r="M166" s="135"/>
      <c r="N166" s="135"/>
    </row>
    <row r="167" spans="7:14" ht="12.75">
      <c r="G167" s="135"/>
      <c r="H167" s="135"/>
      <c r="I167" s="135"/>
      <c r="J167" s="135"/>
      <c r="K167" s="135"/>
      <c r="L167" s="135"/>
      <c r="M167" s="135"/>
      <c r="N167" s="135"/>
    </row>
    <row r="168" spans="7:14" ht="12.75">
      <c r="G168" s="135"/>
      <c r="H168" s="135"/>
      <c r="I168" s="135"/>
      <c r="J168" s="135"/>
      <c r="K168" s="135"/>
      <c r="L168" s="135"/>
      <c r="M168" s="135"/>
      <c r="N168" s="135"/>
    </row>
    <row r="169" spans="7:14" ht="12.75">
      <c r="G169" s="135"/>
      <c r="H169" s="135"/>
      <c r="I169" s="135"/>
      <c r="J169" s="135"/>
      <c r="K169" s="135"/>
      <c r="L169" s="135"/>
      <c r="M169" s="135"/>
      <c r="N169" s="135"/>
    </row>
    <row r="170" spans="7:14" ht="12.75">
      <c r="G170" s="135"/>
      <c r="H170" s="135"/>
      <c r="I170" s="135"/>
      <c r="J170" s="135"/>
      <c r="K170" s="135"/>
      <c r="L170" s="135"/>
      <c r="M170" s="135"/>
      <c r="N170" s="135"/>
    </row>
    <row r="171" spans="7:14" ht="12.75">
      <c r="G171" s="135"/>
      <c r="H171" s="135"/>
      <c r="I171" s="135"/>
      <c r="J171" s="135"/>
      <c r="K171" s="135"/>
      <c r="L171" s="135"/>
      <c r="M171" s="135"/>
      <c r="N171" s="135"/>
    </row>
    <row r="172" spans="7:14" ht="12.75">
      <c r="G172" s="135"/>
      <c r="H172" s="135"/>
      <c r="I172" s="135"/>
      <c r="J172" s="135"/>
      <c r="K172" s="135"/>
      <c r="L172" s="135"/>
      <c r="M172" s="135"/>
      <c r="N172" s="135"/>
    </row>
    <row r="173" spans="7:14" ht="12.75">
      <c r="G173" s="135"/>
      <c r="H173" s="135"/>
      <c r="I173" s="135"/>
      <c r="J173" s="135"/>
      <c r="K173" s="135"/>
      <c r="L173" s="135"/>
      <c r="M173" s="135"/>
      <c r="N173" s="135"/>
    </row>
    <row r="174" spans="7:14" ht="12.75">
      <c r="G174" s="135"/>
      <c r="H174" s="135"/>
      <c r="I174" s="135"/>
      <c r="J174" s="135"/>
      <c r="K174" s="135"/>
      <c r="L174" s="135"/>
      <c r="M174" s="135"/>
      <c r="N174" s="135"/>
    </row>
    <row r="175" spans="7:14" ht="12.75">
      <c r="G175" s="135"/>
      <c r="H175" s="135"/>
      <c r="I175" s="135"/>
      <c r="J175" s="135"/>
      <c r="K175" s="135"/>
      <c r="L175" s="135"/>
      <c r="M175" s="135"/>
      <c r="N175" s="135"/>
    </row>
    <row r="176" spans="7:14" ht="12.75">
      <c r="G176" s="135"/>
      <c r="H176" s="135"/>
      <c r="I176" s="135"/>
      <c r="J176" s="135"/>
      <c r="K176" s="135"/>
      <c r="L176" s="135"/>
      <c r="M176" s="135"/>
      <c r="N176" s="135"/>
    </row>
    <row r="177" spans="7:14" ht="12.75">
      <c r="G177" s="135"/>
      <c r="H177" s="135"/>
      <c r="I177" s="135"/>
      <c r="J177" s="135"/>
      <c r="K177" s="135"/>
      <c r="L177" s="135"/>
      <c r="M177" s="135"/>
      <c r="N177" s="135"/>
    </row>
    <row r="178" spans="7:14" ht="12.75">
      <c r="G178" s="135"/>
      <c r="H178" s="135"/>
      <c r="I178" s="135"/>
      <c r="J178" s="135"/>
      <c r="K178" s="135"/>
      <c r="L178" s="135"/>
      <c r="M178" s="135"/>
      <c r="N178" s="135"/>
    </row>
    <row r="179" spans="7:14" ht="12.75">
      <c r="G179" s="135"/>
      <c r="H179" s="135"/>
      <c r="I179" s="135"/>
      <c r="J179" s="135"/>
      <c r="K179" s="135"/>
      <c r="L179" s="135"/>
      <c r="M179" s="135"/>
      <c r="N179" s="135"/>
    </row>
    <row r="180" spans="7:14" ht="12.75">
      <c r="G180" s="135"/>
      <c r="H180" s="135"/>
      <c r="I180" s="135"/>
      <c r="J180" s="135"/>
      <c r="K180" s="135"/>
      <c r="L180" s="135"/>
      <c r="M180" s="135"/>
      <c r="N180" s="135"/>
    </row>
    <row r="181" spans="7:14" ht="12.75">
      <c r="G181" s="135"/>
      <c r="H181" s="135"/>
      <c r="I181" s="135"/>
      <c r="J181" s="135"/>
      <c r="K181" s="135"/>
      <c r="L181" s="135"/>
      <c r="M181" s="135"/>
      <c r="N181" s="135"/>
    </row>
    <row r="182" spans="7:14" ht="12.75">
      <c r="G182" s="135"/>
      <c r="H182" s="135"/>
      <c r="I182" s="135"/>
      <c r="J182" s="135"/>
      <c r="K182" s="135"/>
      <c r="L182" s="135"/>
      <c r="M182" s="135"/>
      <c r="N182" s="135"/>
    </row>
    <row r="183" spans="7:14" ht="12.75">
      <c r="G183" s="135"/>
      <c r="H183" s="135"/>
      <c r="I183" s="135"/>
      <c r="J183" s="135"/>
      <c r="K183" s="135"/>
      <c r="L183" s="135"/>
      <c r="M183" s="135"/>
      <c r="N183" s="135"/>
    </row>
    <row r="184" spans="7:14" ht="12.75">
      <c r="G184" s="135"/>
      <c r="H184" s="135"/>
      <c r="I184" s="135"/>
      <c r="J184" s="135"/>
      <c r="K184" s="135"/>
      <c r="L184" s="135"/>
      <c r="M184" s="135"/>
      <c r="N184" s="135"/>
    </row>
    <row r="185" spans="7:14" ht="12.75">
      <c r="G185" s="135"/>
      <c r="H185" s="135"/>
      <c r="I185" s="135"/>
      <c r="J185" s="135"/>
      <c r="K185" s="135"/>
      <c r="L185" s="135"/>
      <c r="M185" s="135"/>
      <c r="N185" s="135"/>
    </row>
    <row r="186" spans="7:14" ht="12.75">
      <c r="G186" s="135"/>
      <c r="H186" s="135"/>
      <c r="I186" s="135"/>
      <c r="J186" s="135"/>
      <c r="K186" s="135"/>
      <c r="L186" s="135"/>
      <c r="M186" s="135"/>
      <c r="N186" s="135"/>
    </row>
    <row r="187" spans="7:14" ht="12.75">
      <c r="G187" s="135"/>
      <c r="H187" s="135"/>
      <c r="I187" s="135"/>
      <c r="J187" s="135"/>
      <c r="K187" s="135"/>
      <c r="L187" s="135"/>
      <c r="M187" s="135"/>
      <c r="N187" s="135"/>
    </row>
    <row r="188" spans="7:14" ht="12.75">
      <c r="G188" s="135"/>
      <c r="H188" s="135"/>
      <c r="I188" s="135"/>
      <c r="J188" s="135"/>
      <c r="K188" s="135"/>
      <c r="L188" s="135"/>
      <c r="M188" s="135"/>
      <c r="N188" s="135"/>
    </row>
    <row r="189" spans="7:14" ht="12.75">
      <c r="G189" s="135"/>
      <c r="H189" s="135"/>
      <c r="I189" s="135"/>
      <c r="J189" s="135"/>
      <c r="K189" s="135"/>
      <c r="L189" s="135"/>
      <c r="M189" s="135"/>
      <c r="N189" s="135"/>
    </row>
    <row r="190" spans="7:14" ht="12.75">
      <c r="G190" s="135"/>
      <c r="H190" s="135"/>
      <c r="I190" s="135"/>
      <c r="J190" s="135"/>
      <c r="K190" s="135"/>
      <c r="L190" s="135"/>
      <c r="M190" s="135"/>
      <c r="N190" s="135"/>
    </row>
    <row r="191" spans="7:14" ht="12.75">
      <c r="G191" s="135"/>
      <c r="H191" s="135"/>
      <c r="I191" s="135"/>
      <c r="J191" s="135"/>
      <c r="K191" s="135"/>
      <c r="L191" s="135"/>
      <c r="M191" s="135"/>
      <c r="N191" s="135"/>
    </row>
    <row r="192" spans="7:14" ht="12.75">
      <c r="G192" s="135"/>
      <c r="H192" s="135"/>
      <c r="I192" s="135"/>
      <c r="J192" s="135"/>
      <c r="K192" s="135"/>
      <c r="L192" s="135"/>
      <c r="M192" s="135"/>
      <c r="N192" s="135"/>
    </row>
    <row r="193" spans="7:14" ht="12.75">
      <c r="G193" s="135"/>
      <c r="H193" s="135"/>
      <c r="I193" s="135"/>
      <c r="J193" s="135"/>
      <c r="K193" s="135"/>
      <c r="L193" s="135"/>
      <c r="M193" s="135"/>
      <c r="N193" s="135"/>
    </row>
    <row r="194" spans="7:14" ht="12.75">
      <c r="G194" s="135"/>
      <c r="H194" s="135"/>
      <c r="I194" s="135"/>
      <c r="J194" s="135"/>
      <c r="K194" s="135"/>
      <c r="L194" s="135"/>
      <c r="M194" s="135"/>
      <c r="N194" s="135"/>
    </row>
    <row r="195" spans="7:14" ht="12.75">
      <c r="G195" s="135"/>
      <c r="H195" s="135"/>
      <c r="I195" s="135"/>
      <c r="J195" s="135"/>
      <c r="K195" s="135"/>
      <c r="L195" s="135"/>
      <c r="M195" s="135"/>
      <c r="N195" s="135"/>
    </row>
    <row r="196" spans="7:14" ht="12.75">
      <c r="G196" s="135"/>
      <c r="H196" s="135"/>
      <c r="I196" s="135"/>
      <c r="J196" s="135"/>
      <c r="K196" s="135"/>
      <c r="L196" s="135"/>
      <c r="M196" s="135"/>
      <c r="N196" s="135"/>
    </row>
    <row r="197" spans="7:14" ht="12.75">
      <c r="G197" s="135"/>
      <c r="H197" s="135"/>
      <c r="I197" s="135"/>
      <c r="J197" s="135"/>
      <c r="K197" s="135"/>
      <c r="L197" s="135"/>
      <c r="M197" s="135"/>
      <c r="N197" s="135"/>
    </row>
    <row r="198" spans="7:14" ht="12.75">
      <c r="G198" s="135"/>
      <c r="H198" s="135"/>
      <c r="I198" s="135"/>
      <c r="J198" s="135"/>
      <c r="K198" s="135"/>
      <c r="L198" s="135"/>
      <c r="M198" s="135"/>
      <c r="N198" s="135"/>
    </row>
    <row r="199" spans="7:14" ht="12.75">
      <c r="G199" s="135"/>
      <c r="H199" s="135"/>
      <c r="I199" s="135"/>
      <c r="J199" s="135"/>
      <c r="K199" s="135"/>
      <c r="L199" s="135"/>
      <c r="M199" s="135"/>
      <c r="N199" s="135"/>
    </row>
    <row r="200" spans="7:14" ht="12.75">
      <c r="G200" s="135"/>
      <c r="H200" s="135"/>
      <c r="I200" s="135"/>
      <c r="J200" s="135"/>
      <c r="K200" s="135"/>
      <c r="L200" s="135"/>
      <c r="M200" s="135"/>
      <c r="N200" s="135"/>
    </row>
    <row r="201" spans="7:14" ht="12.75">
      <c r="G201" s="135"/>
      <c r="H201" s="135"/>
      <c r="I201" s="135"/>
      <c r="J201" s="135"/>
      <c r="K201" s="135"/>
      <c r="L201" s="135"/>
      <c r="M201" s="135"/>
      <c r="N201" s="135"/>
    </row>
    <row r="202" spans="7:14" ht="12.75">
      <c r="G202" s="135"/>
      <c r="H202" s="135"/>
      <c r="I202" s="135"/>
      <c r="J202" s="135"/>
      <c r="K202" s="135"/>
      <c r="L202" s="135"/>
      <c r="M202" s="135"/>
      <c r="N202" s="135"/>
    </row>
    <row r="203" spans="7:14" ht="12.75">
      <c r="G203" s="135"/>
      <c r="H203" s="135"/>
      <c r="I203" s="135"/>
      <c r="J203" s="135"/>
      <c r="K203" s="135"/>
      <c r="L203" s="135"/>
      <c r="M203" s="135"/>
      <c r="N203" s="135"/>
    </row>
    <row r="204" spans="7:14" ht="12.75">
      <c r="G204" s="135"/>
      <c r="H204" s="135"/>
      <c r="I204" s="135"/>
      <c r="J204" s="135"/>
      <c r="K204" s="135"/>
      <c r="L204" s="135"/>
      <c r="M204" s="135"/>
      <c r="N204" s="135"/>
    </row>
    <row r="205" spans="7:14" ht="12.75">
      <c r="G205" s="135"/>
      <c r="H205" s="135"/>
      <c r="I205" s="135"/>
      <c r="J205" s="135"/>
      <c r="K205" s="135"/>
      <c r="L205" s="135"/>
      <c r="M205" s="135"/>
      <c r="N205" s="135"/>
    </row>
    <row r="206" spans="7:14" ht="12.75">
      <c r="G206" s="135"/>
      <c r="H206" s="135"/>
      <c r="I206" s="135"/>
      <c r="J206" s="135"/>
      <c r="K206" s="135"/>
      <c r="L206" s="135"/>
      <c r="M206" s="135"/>
      <c r="N206" s="135"/>
    </row>
    <row r="207" spans="7:14" ht="12.75">
      <c r="G207" s="135"/>
      <c r="H207" s="135"/>
      <c r="I207" s="135"/>
      <c r="J207" s="135"/>
      <c r="K207" s="135"/>
      <c r="L207" s="135"/>
      <c r="M207" s="135"/>
      <c r="N207" s="135"/>
    </row>
    <row r="208" spans="7:14" ht="12.75">
      <c r="G208" s="135"/>
      <c r="H208" s="135"/>
      <c r="I208" s="135"/>
      <c r="J208" s="135"/>
      <c r="K208" s="135"/>
      <c r="L208" s="135"/>
      <c r="M208" s="135"/>
      <c r="N208" s="135"/>
    </row>
    <row r="209" spans="7:14" ht="12.75">
      <c r="G209" s="135"/>
      <c r="H209" s="135"/>
      <c r="I209" s="135"/>
      <c r="J209" s="135"/>
      <c r="K209" s="135"/>
      <c r="L209" s="135"/>
      <c r="M209" s="135"/>
      <c r="N209" s="135"/>
    </row>
    <row r="210" spans="7:14" ht="12.75">
      <c r="G210" s="135"/>
      <c r="H210" s="135"/>
      <c r="I210" s="135"/>
      <c r="J210" s="135"/>
      <c r="K210" s="135"/>
      <c r="L210" s="135"/>
      <c r="M210" s="135"/>
      <c r="N210" s="135"/>
    </row>
    <row r="211" spans="7:14" ht="12.75">
      <c r="G211" s="135"/>
      <c r="H211" s="135"/>
      <c r="I211" s="135"/>
      <c r="J211" s="135"/>
      <c r="K211" s="135"/>
      <c r="L211" s="135"/>
      <c r="M211" s="135"/>
      <c r="N211" s="135"/>
    </row>
    <row r="212" spans="7:14" ht="12.75">
      <c r="G212" s="135"/>
      <c r="H212" s="135"/>
      <c r="I212" s="135"/>
      <c r="J212" s="135"/>
      <c r="K212" s="135"/>
      <c r="L212" s="135"/>
      <c r="M212" s="135"/>
      <c r="N212" s="135"/>
    </row>
    <row r="213" spans="7:14" ht="12.75">
      <c r="G213" s="135"/>
      <c r="H213" s="135"/>
      <c r="I213" s="135"/>
      <c r="J213" s="135"/>
      <c r="K213" s="135"/>
      <c r="L213" s="135"/>
      <c r="M213" s="135"/>
      <c r="N213" s="135"/>
    </row>
    <row r="214" spans="7:14" ht="12.75">
      <c r="G214" s="135"/>
      <c r="H214" s="135"/>
      <c r="I214" s="135"/>
      <c r="J214" s="135"/>
      <c r="K214" s="135"/>
      <c r="L214" s="135"/>
      <c r="M214" s="135"/>
      <c r="N214" s="135"/>
    </row>
    <row r="215" spans="7:14" ht="12.75">
      <c r="G215" s="135"/>
      <c r="H215" s="135"/>
      <c r="I215" s="135"/>
      <c r="J215" s="135"/>
      <c r="K215" s="135"/>
      <c r="L215" s="135"/>
      <c r="M215" s="135"/>
      <c r="N215" s="135"/>
    </row>
    <row r="216" spans="7:14" ht="12.75">
      <c r="G216" s="135"/>
      <c r="H216" s="135"/>
      <c r="I216" s="135"/>
      <c r="J216" s="135"/>
      <c r="K216" s="135"/>
      <c r="L216" s="135"/>
      <c r="M216" s="135"/>
      <c r="N216" s="135"/>
    </row>
    <row r="217" spans="7:14" ht="12.75">
      <c r="G217" s="135"/>
      <c r="H217" s="135"/>
      <c r="I217" s="135"/>
      <c r="J217" s="135"/>
      <c r="K217" s="135"/>
      <c r="L217" s="135"/>
      <c r="M217" s="135"/>
      <c r="N217" s="135"/>
    </row>
    <row r="218" spans="7:14" ht="12.75">
      <c r="G218" s="135"/>
      <c r="H218" s="135"/>
      <c r="I218" s="135"/>
      <c r="J218" s="135"/>
      <c r="K218" s="135"/>
      <c r="L218" s="135"/>
      <c r="M218" s="135"/>
      <c r="N218" s="135"/>
    </row>
    <row r="219" spans="7:14" ht="12.75">
      <c r="G219" s="135"/>
      <c r="H219" s="135"/>
      <c r="I219" s="135"/>
      <c r="J219" s="135"/>
      <c r="K219" s="135"/>
      <c r="L219" s="135"/>
      <c r="M219" s="135"/>
      <c r="N219" s="135"/>
    </row>
    <row r="220" spans="7:14" ht="12.75">
      <c r="G220" s="135"/>
      <c r="H220" s="135"/>
      <c r="I220" s="135"/>
      <c r="J220" s="135"/>
      <c r="K220" s="135"/>
      <c r="L220" s="135"/>
      <c r="M220" s="135"/>
      <c r="N220" s="135"/>
    </row>
    <row r="221" spans="7:14" ht="12.75">
      <c r="G221" s="135"/>
      <c r="H221" s="135"/>
      <c r="I221" s="135"/>
      <c r="J221" s="135"/>
      <c r="K221" s="135"/>
      <c r="L221" s="135"/>
      <c r="M221" s="135"/>
      <c r="N221" s="135"/>
    </row>
    <row r="222" spans="7:14" ht="12.75">
      <c r="G222" s="135"/>
      <c r="H222" s="135"/>
      <c r="I222" s="135"/>
      <c r="J222" s="135"/>
      <c r="K222" s="135"/>
      <c r="L222" s="135"/>
      <c r="M222" s="135"/>
      <c r="N222" s="135"/>
    </row>
    <row r="223" spans="7:14" ht="12.75">
      <c r="G223" s="135"/>
      <c r="H223" s="135"/>
      <c r="I223" s="135"/>
      <c r="J223" s="135"/>
      <c r="K223" s="135"/>
      <c r="L223" s="135"/>
      <c r="M223" s="135"/>
      <c r="N223" s="135"/>
    </row>
    <row r="224" spans="7:14" ht="12.75">
      <c r="G224" s="135"/>
      <c r="H224" s="135"/>
      <c r="I224" s="135"/>
      <c r="J224" s="135"/>
      <c r="K224" s="135"/>
      <c r="L224" s="135"/>
      <c r="M224" s="135"/>
      <c r="N224" s="135"/>
    </row>
    <row r="225" spans="7:14" ht="12.75">
      <c r="G225" s="135"/>
      <c r="H225" s="135"/>
      <c r="I225" s="135"/>
      <c r="J225" s="135"/>
      <c r="K225" s="135"/>
      <c r="L225" s="135"/>
      <c r="M225" s="135"/>
      <c r="N225" s="135"/>
    </row>
    <row r="226" spans="7:14" ht="12.75">
      <c r="G226" s="135"/>
      <c r="H226" s="135"/>
      <c r="I226" s="135"/>
      <c r="J226" s="135"/>
      <c r="K226" s="135"/>
      <c r="L226" s="135"/>
      <c r="M226" s="135"/>
      <c r="N226" s="135"/>
    </row>
    <row r="227" spans="7:14" ht="12.75">
      <c r="G227" s="135"/>
      <c r="H227" s="135"/>
      <c r="I227" s="135"/>
      <c r="J227" s="135"/>
      <c r="K227" s="135"/>
      <c r="L227" s="135"/>
      <c r="M227" s="135"/>
      <c r="N227" s="135"/>
    </row>
    <row r="228" spans="7:14" ht="12.75">
      <c r="G228" s="135"/>
      <c r="H228" s="135"/>
      <c r="I228" s="135"/>
      <c r="J228" s="135"/>
      <c r="K228" s="135"/>
      <c r="L228" s="135"/>
      <c r="M228" s="135"/>
      <c r="N228" s="135"/>
    </row>
    <row r="229" spans="7:14" ht="12.75">
      <c r="G229" s="135"/>
      <c r="H229" s="135"/>
      <c r="I229" s="135"/>
      <c r="J229" s="135"/>
      <c r="K229" s="135"/>
      <c r="L229" s="135"/>
      <c r="M229" s="135"/>
      <c r="N229" s="135"/>
    </row>
    <row r="230" spans="7:14" ht="12.75">
      <c r="G230" s="135"/>
      <c r="H230" s="135"/>
      <c r="I230" s="135"/>
      <c r="J230" s="135"/>
      <c r="K230" s="135"/>
      <c r="L230" s="135"/>
      <c r="M230" s="135"/>
      <c r="N230" s="135"/>
    </row>
    <row r="231" spans="7:14" ht="12.75">
      <c r="G231" s="135"/>
      <c r="H231" s="135"/>
      <c r="I231" s="135"/>
      <c r="J231" s="135"/>
      <c r="K231" s="135"/>
      <c r="L231" s="135"/>
      <c r="M231" s="135"/>
      <c r="N231" s="135"/>
    </row>
    <row r="232" spans="7:14" ht="12.75">
      <c r="G232" s="135"/>
      <c r="H232" s="135"/>
      <c r="I232" s="135"/>
      <c r="J232" s="135"/>
      <c r="K232" s="135"/>
      <c r="L232" s="135"/>
      <c r="M232" s="135"/>
      <c r="N232" s="135"/>
    </row>
    <row r="233" spans="7:14" ht="12.75">
      <c r="G233" s="135"/>
      <c r="H233" s="135"/>
      <c r="I233" s="135"/>
      <c r="J233" s="135"/>
      <c r="K233" s="135"/>
      <c r="L233" s="135"/>
      <c r="M233" s="135"/>
      <c r="N233" s="135"/>
    </row>
    <row r="234" spans="7:14" ht="12.75">
      <c r="G234" s="135"/>
      <c r="H234" s="135"/>
      <c r="I234" s="135"/>
      <c r="J234" s="135"/>
      <c r="K234" s="135"/>
      <c r="L234" s="135"/>
      <c r="M234" s="135"/>
      <c r="N234" s="135"/>
    </row>
    <row r="235" spans="7:14" ht="12.75">
      <c r="G235" s="135"/>
      <c r="H235" s="135"/>
      <c r="I235" s="135"/>
      <c r="J235" s="135"/>
      <c r="K235" s="135"/>
      <c r="L235" s="135"/>
      <c r="M235" s="135"/>
      <c r="N235" s="135"/>
    </row>
    <row r="236" spans="7:14" ht="12.75">
      <c r="G236" s="135"/>
      <c r="H236" s="135"/>
      <c r="I236" s="135"/>
      <c r="J236" s="135"/>
      <c r="K236" s="135"/>
      <c r="L236" s="135"/>
      <c r="M236" s="135"/>
      <c r="N236" s="135"/>
    </row>
    <row r="237" spans="7:14" ht="12.75">
      <c r="G237" s="135"/>
      <c r="H237" s="135"/>
      <c r="I237" s="135"/>
      <c r="J237" s="135"/>
      <c r="K237" s="135"/>
      <c r="L237" s="135"/>
      <c r="M237" s="135"/>
      <c r="N237" s="135"/>
    </row>
    <row r="238" spans="7:14" ht="12.75">
      <c r="G238" s="135"/>
      <c r="H238" s="135"/>
      <c r="I238" s="135"/>
      <c r="J238" s="135"/>
      <c r="K238" s="135"/>
      <c r="L238" s="135"/>
      <c r="M238" s="135"/>
      <c r="N238" s="135"/>
    </row>
    <row r="239" spans="7:14" ht="12.75">
      <c r="G239" s="135"/>
      <c r="H239" s="135"/>
      <c r="I239" s="135"/>
      <c r="J239" s="135"/>
      <c r="K239" s="135"/>
      <c r="L239" s="135"/>
      <c r="M239" s="135"/>
      <c r="N239" s="135"/>
    </row>
    <row r="240" spans="7:14" ht="12.75">
      <c r="G240" s="135"/>
      <c r="H240" s="135"/>
      <c r="I240" s="135"/>
      <c r="J240" s="135"/>
      <c r="K240" s="135"/>
      <c r="L240" s="135"/>
      <c r="M240" s="135"/>
      <c r="N240" s="135"/>
    </row>
    <row r="241" spans="7:14" ht="12.75">
      <c r="G241" s="135"/>
      <c r="H241" s="135"/>
      <c r="I241" s="135"/>
      <c r="J241" s="135"/>
      <c r="K241" s="135"/>
      <c r="L241" s="135"/>
      <c r="M241" s="135"/>
      <c r="N241" s="135"/>
    </row>
    <row r="242" spans="7:14" ht="12.75">
      <c r="G242" s="135"/>
      <c r="H242" s="135"/>
      <c r="I242" s="135"/>
      <c r="J242" s="135"/>
      <c r="K242" s="135"/>
      <c r="L242" s="135"/>
      <c r="M242" s="135"/>
      <c r="N242" s="135"/>
    </row>
    <row r="243" spans="7:14" ht="12.75">
      <c r="G243" s="135"/>
      <c r="H243" s="135"/>
      <c r="I243" s="135"/>
      <c r="J243" s="135"/>
      <c r="K243" s="135"/>
      <c r="L243" s="135"/>
      <c r="M243" s="135"/>
      <c r="N243" s="135"/>
    </row>
    <row r="244" spans="7:14" ht="12.75">
      <c r="G244" s="135"/>
      <c r="H244" s="135"/>
      <c r="I244" s="135"/>
      <c r="J244" s="135"/>
      <c r="K244" s="135"/>
      <c r="L244" s="135"/>
      <c r="M244" s="135"/>
      <c r="N244" s="135"/>
    </row>
    <row r="245" spans="7:14" ht="12.75">
      <c r="G245" s="135"/>
      <c r="H245" s="135"/>
      <c r="I245" s="135"/>
      <c r="J245" s="135"/>
      <c r="K245" s="135"/>
      <c r="L245" s="135"/>
      <c r="M245" s="135"/>
      <c r="N245" s="135"/>
    </row>
    <row r="246" spans="7:14" ht="12.75">
      <c r="G246" s="135"/>
      <c r="H246" s="135"/>
      <c r="I246" s="135"/>
      <c r="J246" s="135"/>
      <c r="K246" s="135"/>
      <c r="L246" s="135"/>
      <c r="M246" s="135"/>
      <c r="N246" s="135"/>
    </row>
    <row r="247" spans="7:14" ht="12.75">
      <c r="G247" s="135"/>
      <c r="H247" s="135"/>
      <c r="I247" s="135"/>
      <c r="J247" s="135"/>
      <c r="K247" s="135"/>
      <c r="L247" s="135"/>
      <c r="M247" s="135"/>
      <c r="N247" s="135"/>
    </row>
    <row r="248" spans="7:14" ht="12.75">
      <c r="G248" s="135"/>
      <c r="H248" s="135"/>
      <c r="I248" s="135"/>
      <c r="J248" s="135"/>
      <c r="K248" s="135"/>
      <c r="L248" s="135"/>
      <c r="M248" s="135"/>
      <c r="N248" s="135"/>
    </row>
    <row r="249" spans="7:14" ht="12.75">
      <c r="G249" s="135"/>
      <c r="H249" s="135"/>
      <c r="I249" s="135"/>
      <c r="J249" s="135"/>
      <c r="K249" s="135"/>
      <c r="L249" s="135"/>
      <c r="M249" s="135"/>
      <c r="N249" s="135"/>
    </row>
    <row r="250" spans="7:14" ht="12.75">
      <c r="G250" s="135"/>
      <c r="H250" s="135"/>
      <c r="I250" s="135"/>
      <c r="J250" s="135"/>
      <c r="K250" s="135"/>
      <c r="L250" s="135"/>
      <c r="M250" s="135"/>
      <c r="N250" s="135"/>
    </row>
    <row r="251" spans="7:14" ht="12.75">
      <c r="G251" s="135"/>
      <c r="H251" s="135"/>
      <c r="I251" s="135"/>
      <c r="J251" s="135"/>
      <c r="K251" s="135"/>
      <c r="L251" s="135"/>
      <c r="M251" s="135"/>
      <c r="N251" s="135"/>
    </row>
    <row r="252" spans="7:14" ht="12.75">
      <c r="G252" s="135"/>
      <c r="H252" s="135"/>
      <c r="I252" s="135"/>
      <c r="J252" s="135"/>
      <c r="K252" s="135"/>
      <c r="L252" s="135"/>
      <c r="M252" s="135"/>
      <c r="N252" s="135"/>
    </row>
    <row r="253" spans="7:14" ht="12.75">
      <c r="G253" s="135"/>
      <c r="H253" s="135"/>
      <c r="I253" s="135"/>
      <c r="J253" s="135"/>
      <c r="K253" s="135"/>
      <c r="L253" s="135"/>
      <c r="M253" s="135"/>
      <c r="N253" s="135"/>
    </row>
    <row r="254" spans="7:14" ht="12.75">
      <c r="G254" s="135"/>
      <c r="H254" s="135"/>
      <c r="I254" s="135"/>
      <c r="J254" s="135"/>
      <c r="K254" s="135"/>
      <c r="L254" s="135"/>
      <c r="M254" s="135"/>
      <c r="N254" s="135"/>
    </row>
    <row r="255" spans="7:14" ht="12.75">
      <c r="G255" s="135"/>
      <c r="H255" s="135"/>
      <c r="I255" s="135"/>
      <c r="J255" s="135"/>
      <c r="K255" s="135"/>
      <c r="L255" s="135"/>
      <c r="M255" s="135"/>
      <c r="N255" s="135"/>
    </row>
    <row r="256" spans="7:14" ht="12.75">
      <c r="G256" s="135"/>
      <c r="H256" s="135"/>
      <c r="I256" s="135"/>
      <c r="J256" s="135"/>
      <c r="K256" s="135"/>
      <c r="L256" s="135"/>
      <c r="M256" s="135"/>
      <c r="N256" s="135"/>
    </row>
    <row r="257" spans="7:14" ht="12.75">
      <c r="G257" s="135"/>
      <c r="H257" s="135"/>
      <c r="I257" s="135"/>
      <c r="J257" s="135"/>
      <c r="K257" s="135"/>
      <c r="L257" s="135"/>
      <c r="M257" s="135"/>
      <c r="N257" s="135"/>
    </row>
    <row r="258" spans="7:14" ht="12.75">
      <c r="G258" s="135"/>
      <c r="H258" s="135"/>
      <c r="I258" s="135"/>
      <c r="J258" s="135"/>
      <c r="K258" s="135"/>
      <c r="L258" s="135"/>
      <c r="M258" s="135"/>
      <c r="N258" s="135"/>
    </row>
    <row r="259" spans="7:14" ht="12.75">
      <c r="G259" s="135"/>
      <c r="H259" s="135"/>
      <c r="I259" s="135"/>
      <c r="J259" s="135"/>
      <c r="K259" s="135"/>
      <c r="L259" s="135"/>
      <c r="M259" s="135"/>
      <c r="N259" s="135"/>
    </row>
    <row r="260" spans="7:14" ht="12.75">
      <c r="G260" s="135"/>
      <c r="H260" s="135"/>
      <c r="I260" s="135"/>
      <c r="J260" s="135"/>
      <c r="K260" s="135"/>
      <c r="L260" s="135"/>
      <c r="M260" s="135"/>
      <c r="N260" s="135"/>
    </row>
    <row r="261" spans="7:14" ht="12.75">
      <c r="G261" s="135"/>
      <c r="H261" s="135"/>
      <c r="I261" s="135"/>
      <c r="J261" s="135"/>
      <c r="K261" s="135"/>
      <c r="L261" s="135"/>
      <c r="M261" s="135"/>
      <c r="N261" s="135"/>
    </row>
    <row r="262" spans="7:14" ht="12.75">
      <c r="G262" s="135"/>
      <c r="H262" s="135"/>
      <c r="I262" s="135"/>
      <c r="J262" s="135"/>
      <c r="K262" s="135"/>
      <c r="L262" s="135"/>
      <c r="M262" s="135"/>
      <c r="N262" s="135"/>
    </row>
    <row r="263" spans="7:14" ht="12.75">
      <c r="G263" s="135"/>
      <c r="H263" s="135"/>
      <c r="I263" s="135"/>
      <c r="J263" s="135"/>
      <c r="K263" s="135"/>
      <c r="L263" s="135"/>
      <c r="M263" s="135"/>
      <c r="N263" s="135"/>
    </row>
    <row r="264" spans="7:14" ht="12.75">
      <c r="G264" s="135"/>
      <c r="H264" s="135"/>
      <c r="I264" s="135"/>
      <c r="J264" s="135"/>
      <c r="K264" s="135"/>
      <c r="L264" s="135"/>
      <c r="M264" s="135"/>
      <c r="N264" s="135"/>
    </row>
    <row r="265" spans="7:14" ht="12.75">
      <c r="G265" s="135"/>
      <c r="H265" s="135"/>
      <c r="I265" s="135"/>
      <c r="J265" s="135"/>
      <c r="K265" s="135"/>
      <c r="L265" s="135"/>
      <c r="M265" s="135"/>
      <c r="N265" s="135"/>
    </row>
    <row r="266" spans="7:14" ht="12.75">
      <c r="G266" s="135"/>
      <c r="H266" s="135"/>
      <c r="I266" s="135"/>
      <c r="J266" s="135"/>
      <c r="K266" s="135"/>
      <c r="L266" s="135"/>
      <c r="M266" s="135"/>
      <c r="N266" s="135"/>
    </row>
    <row r="267" spans="7:14" ht="12.75">
      <c r="G267" s="135"/>
      <c r="H267" s="135"/>
      <c r="I267" s="135"/>
      <c r="J267" s="135"/>
      <c r="K267" s="135"/>
      <c r="L267" s="135"/>
      <c r="M267" s="135"/>
      <c r="N267" s="135"/>
    </row>
    <row r="268" spans="7:14" ht="12.75">
      <c r="G268" s="135"/>
      <c r="H268" s="135"/>
      <c r="I268" s="135"/>
      <c r="J268" s="135"/>
      <c r="K268" s="135"/>
      <c r="L268" s="135"/>
      <c r="M268" s="135"/>
      <c r="N268" s="135"/>
    </row>
    <row r="269" spans="7:14" ht="12.75">
      <c r="G269" s="135"/>
      <c r="H269" s="135"/>
      <c r="I269" s="135"/>
      <c r="J269" s="135"/>
      <c r="K269" s="135"/>
      <c r="L269" s="135"/>
      <c r="M269" s="135"/>
      <c r="N269" s="135"/>
    </row>
    <row r="270" spans="7:14" ht="12.75">
      <c r="G270" s="135"/>
      <c r="H270" s="135"/>
      <c r="I270" s="135"/>
      <c r="J270" s="135"/>
      <c r="K270" s="135"/>
      <c r="L270" s="135"/>
      <c r="M270" s="135"/>
      <c r="N270" s="135"/>
    </row>
    <row r="271" spans="7:14" ht="12.75">
      <c r="G271" s="135"/>
      <c r="H271" s="135"/>
      <c r="I271" s="135"/>
      <c r="J271" s="135"/>
      <c r="K271" s="135"/>
      <c r="L271" s="135"/>
      <c r="M271" s="135"/>
      <c r="N271" s="135"/>
    </row>
    <row r="272" spans="7:14" ht="12.75">
      <c r="G272" s="135"/>
      <c r="H272" s="135"/>
      <c r="I272" s="135"/>
      <c r="J272" s="135"/>
      <c r="K272" s="135"/>
      <c r="L272" s="135"/>
      <c r="M272" s="135"/>
      <c r="N272" s="135"/>
    </row>
    <row r="273" spans="7:14" ht="12.75">
      <c r="G273" s="135"/>
      <c r="H273" s="135"/>
      <c r="I273" s="135"/>
      <c r="J273" s="135"/>
      <c r="K273" s="135"/>
      <c r="L273" s="135"/>
      <c r="M273" s="135"/>
      <c r="N273" s="135"/>
    </row>
    <row r="274" spans="7:14" ht="12.75">
      <c r="G274" s="135"/>
      <c r="H274" s="135"/>
      <c r="I274" s="135"/>
      <c r="J274" s="135"/>
      <c r="K274" s="135"/>
      <c r="L274" s="135"/>
      <c r="M274" s="135"/>
      <c r="N274" s="135"/>
    </row>
    <row r="275" spans="7:14" ht="12.75">
      <c r="G275" s="135"/>
      <c r="H275" s="135"/>
      <c r="I275" s="135"/>
      <c r="J275" s="135"/>
      <c r="K275" s="135"/>
      <c r="L275" s="135"/>
      <c r="M275" s="135"/>
      <c r="N275" s="135"/>
    </row>
    <row r="276" spans="7:14" ht="12.75">
      <c r="G276" s="135"/>
      <c r="H276" s="135"/>
      <c r="I276" s="135"/>
      <c r="J276" s="135"/>
      <c r="K276" s="135"/>
      <c r="L276" s="135"/>
      <c r="M276" s="135"/>
      <c r="N276" s="135"/>
    </row>
    <row r="277" spans="7:14" ht="12.75">
      <c r="G277" s="135"/>
      <c r="H277" s="135"/>
      <c r="I277" s="135"/>
      <c r="J277" s="135"/>
      <c r="K277" s="135"/>
      <c r="L277" s="135"/>
      <c r="M277" s="135"/>
      <c r="N277" s="135"/>
    </row>
    <row r="278" spans="7:14" ht="12.75">
      <c r="G278" s="135"/>
      <c r="H278" s="135"/>
      <c r="I278" s="135"/>
      <c r="J278" s="135"/>
      <c r="K278" s="135"/>
      <c r="L278" s="135"/>
      <c r="M278" s="135"/>
      <c r="N278" s="135"/>
    </row>
    <row r="279" spans="7:14" ht="12.75">
      <c r="G279" s="135"/>
      <c r="H279" s="135"/>
      <c r="I279" s="135"/>
      <c r="J279" s="135"/>
      <c r="K279" s="135"/>
      <c r="L279" s="135"/>
      <c r="M279" s="135"/>
      <c r="N279" s="135"/>
    </row>
    <row r="280" spans="7:14" ht="12.75">
      <c r="G280" s="135"/>
      <c r="H280" s="135"/>
      <c r="I280" s="135"/>
      <c r="J280" s="135"/>
      <c r="K280" s="135"/>
      <c r="L280" s="135"/>
      <c r="M280" s="135"/>
      <c r="N280" s="135"/>
    </row>
    <row r="281" spans="7:14" ht="12.75">
      <c r="G281" s="135"/>
      <c r="H281" s="135"/>
      <c r="I281" s="135"/>
      <c r="J281" s="135"/>
      <c r="K281" s="135"/>
      <c r="L281" s="135"/>
      <c r="M281" s="135"/>
      <c r="N281" s="135"/>
    </row>
    <row r="282" spans="7:14" ht="12.75">
      <c r="G282" s="135"/>
      <c r="H282" s="135"/>
      <c r="I282" s="135"/>
      <c r="J282" s="135"/>
      <c r="K282" s="135"/>
      <c r="L282" s="135"/>
      <c r="M282" s="135"/>
      <c r="N282" s="135"/>
    </row>
    <row r="283" spans="7:14" ht="12.75">
      <c r="G283" s="135"/>
      <c r="H283" s="135"/>
      <c r="I283" s="135"/>
      <c r="J283" s="135"/>
      <c r="K283" s="135"/>
      <c r="L283" s="135"/>
      <c r="M283" s="135"/>
      <c r="N283" s="135"/>
    </row>
    <row r="284" spans="7:14" ht="12.75">
      <c r="G284" s="135"/>
      <c r="H284" s="135"/>
      <c r="I284" s="135"/>
      <c r="J284" s="135"/>
      <c r="K284" s="135"/>
      <c r="L284" s="135"/>
      <c r="M284" s="135"/>
      <c r="N284" s="135"/>
    </row>
    <row r="285" spans="7:14" ht="12.75">
      <c r="G285" s="135"/>
      <c r="H285" s="135"/>
      <c r="I285" s="135"/>
      <c r="J285" s="135"/>
      <c r="K285" s="135"/>
      <c r="L285" s="135"/>
      <c r="M285" s="135"/>
      <c r="N285" s="135"/>
    </row>
    <row r="286" spans="7:14" ht="12.75">
      <c r="G286" s="135"/>
      <c r="H286" s="135"/>
      <c r="I286" s="135"/>
      <c r="J286" s="135"/>
      <c r="K286" s="135"/>
      <c r="L286" s="135"/>
      <c r="M286" s="135"/>
      <c r="N286" s="135"/>
    </row>
    <row r="287" spans="7:14" ht="12.75">
      <c r="G287" s="135"/>
      <c r="H287" s="135"/>
      <c r="I287" s="135"/>
      <c r="J287" s="135"/>
      <c r="K287" s="135"/>
      <c r="L287" s="135"/>
      <c r="M287" s="135"/>
      <c r="N287" s="135"/>
    </row>
    <row r="288" spans="7:14" ht="12.75">
      <c r="G288" s="135"/>
      <c r="H288" s="135"/>
      <c r="I288" s="135"/>
      <c r="J288" s="135"/>
      <c r="K288" s="135"/>
      <c r="L288" s="135"/>
      <c r="M288" s="135"/>
      <c r="N288" s="135"/>
    </row>
    <row r="289" spans="7:14" ht="12.75">
      <c r="G289" s="135"/>
      <c r="H289" s="135"/>
      <c r="I289" s="135"/>
      <c r="J289" s="135"/>
      <c r="K289" s="135"/>
      <c r="L289" s="135"/>
      <c r="M289" s="135"/>
      <c r="N289" s="135"/>
    </row>
    <row r="290" spans="7:14" ht="12.75">
      <c r="G290" s="135"/>
      <c r="H290" s="135"/>
      <c r="I290" s="135"/>
      <c r="J290" s="135"/>
      <c r="K290" s="135"/>
      <c r="L290" s="135"/>
      <c r="M290" s="135"/>
      <c r="N290" s="135"/>
    </row>
    <row r="291" spans="7:14" ht="12.75">
      <c r="G291" s="135"/>
      <c r="H291" s="135"/>
      <c r="I291" s="135"/>
      <c r="J291" s="135"/>
      <c r="K291" s="135"/>
      <c r="L291" s="135"/>
      <c r="M291" s="135"/>
      <c r="N291" s="135"/>
    </row>
    <row r="292" spans="7:14" ht="12.75">
      <c r="G292" s="135"/>
      <c r="H292" s="135"/>
      <c r="I292" s="135"/>
      <c r="J292" s="135"/>
      <c r="K292" s="135"/>
      <c r="L292" s="135"/>
      <c r="M292" s="135"/>
      <c r="N292" s="135"/>
    </row>
    <row r="293" spans="7:14" ht="12.75">
      <c r="G293" s="135"/>
      <c r="H293" s="135"/>
      <c r="I293" s="135"/>
      <c r="J293" s="135"/>
      <c r="K293" s="135"/>
      <c r="L293" s="135"/>
      <c r="M293" s="135"/>
      <c r="N293" s="135"/>
    </row>
    <row r="294" spans="7:14" ht="12.75">
      <c r="G294" s="135"/>
      <c r="H294" s="135"/>
      <c r="I294" s="135"/>
      <c r="J294" s="135"/>
      <c r="K294" s="135"/>
      <c r="L294" s="135"/>
      <c r="M294" s="135"/>
      <c r="N294" s="135"/>
    </row>
    <row r="295" spans="7:14" ht="12.75">
      <c r="G295" s="135"/>
      <c r="H295" s="135"/>
      <c r="I295" s="135"/>
      <c r="J295" s="135"/>
      <c r="K295" s="135"/>
      <c r="L295" s="135"/>
      <c r="M295" s="135"/>
      <c r="N295" s="135"/>
    </row>
    <row r="296" spans="7:14" ht="12.75">
      <c r="G296" s="135"/>
      <c r="H296" s="135"/>
      <c r="I296" s="135"/>
      <c r="J296" s="135"/>
      <c r="K296" s="135"/>
      <c r="L296" s="135"/>
      <c r="M296" s="135"/>
      <c r="N296" s="135"/>
    </row>
    <row r="297" spans="7:14" ht="12.75">
      <c r="G297" s="135"/>
      <c r="H297" s="135"/>
      <c r="I297" s="135"/>
      <c r="J297" s="135"/>
      <c r="K297" s="135"/>
      <c r="L297" s="135"/>
      <c r="M297" s="135"/>
      <c r="N297" s="135"/>
    </row>
    <row r="298" spans="7:14" ht="12.75">
      <c r="G298" s="135"/>
      <c r="H298" s="135"/>
      <c r="I298" s="135"/>
      <c r="J298" s="135"/>
      <c r="K298" s="135"/>
      <c r="L298" s="135"/>
      <c r="M298" s="135"/>
      <c r="N298" s="135"/>
    </row>
    <row r="299" spans="7:14" ht="12.75">
      <c r="G299" s="135"/>
      <c r="H299" s="135"/>
      <c r="I299" s="135"/>
      <c r="J299" s="135"/>
      <c r="K299" s="135"/>
      <c r="L299" s="135"/>
      <c r="M299" s="135"/>
      <c r="N299" s="135"/>
    </row>
    <row r="300" spans="7:14" ht="12.75">
      <c r="G300" s="135"/>
      <c r="H300" s="135"/>
      <c r="I300" s="135"/>
      <c r="J300" s="135"/>
      <c r="K300" s="135"/>
      <c r="L300" s="135"/>
      <c r="M300" s="135"/>
      <c r="N300" s="135"/>
    </row>
    <row r="301" spans="7:14" ht="12.75">
      <c r="G301" s="135"/>
      <c r="H301" s="135"/>
      <c r="I301" s="135"/>
      <c r="J301" s="135"/>
      <c r="K301" s="135"/>
      <c r="L301" s="135"/>
      <c r="M301" s="135"/>
      <c r="N301" s="135"/>
    </row>
    <row r="302" spans="7:14" ht="12.75">
      <c r="G302" s="135"/>
      <c r="H302" s="135"/>
      <c r="I302" s="135"/>
      <c r="J302" s="135"/>
      <c r="K302" s="135"/>
      <c r="L302" s="135"/>
      <c r="M302" s="135"/>
      <c r="N302" s="135"/>
    </row>
    <row r="303" spans="7:14" ht="12.75">
      <c r="G303" s="135"/>
      <c r="H303" s="135"/>
      <c r="I303" s="135"/>
      <c r="J303" s="135"/>
      <c r="K303" s="135"/>
      <c r="L303" s="135"/>
      <c r="M303" s="135"/>
      <c r="N303" s="135"/>
    </row>
    <row r="304" spans="7:14" ht="12.75">
      <c r="G304" s="135"/>
      <c r="H304" s="135"/>
      <c r="I304" s="135"/>
      <c r="J304" s="135"/>
      <c r="K304" s="135"/>
      <c r="L304" s="135"/>
      <c r="M304" s="135"/>
      <c r="N304" s="135"/>
    </row>
    <row r="305" spans="7:14" ht="12.75">
      <c r="G305" s="135"/>
      <c r="H305" s="135"/>
      <c r="I305" s="135"/>
      <c r="J305" s="135"/>
      <c r="K305" s="135"/>
      <c r="L305" s="135"/>
      <c r="M305" s="135"/>
      <c r="N305" s="135"/>
    </row>
    <row r="306" spans="7:14" ht="12.75">
      <c r="G306" s="135"/>
      <c r="H306" s="135"/>
      <c r="I306" s="135"/>
      <c r="J306" s="135"/>
      <c r="K306" s="135"/>
      <c r="L306" s="135"/>
      <c r="M306" s="135"/>
      <c r="N306" s="135"/>
    </row>
    <row r="307" spans="7:14" ht="12.75">
      <c r="G307" s="135"/>
      <c r="H307" s="135"/>
      <c r="I307" s="135"/>
      <c r="J307" s="135"/>
      <c r="K307" s="135"/>
      <c r="L307" s="135"/>
      <c r="M307" s="135"/>
      <c r="N307" s="135"/>
    </row>
    <row r="308" spans="7:14" ht="12.75">
      <c r="G308" s="135"/>
      <c r="H308" s="135"/>
      <c r="I308" s="135"/>
      <c r="J308" s="135"/>
      <c r="K308" s="135"/>
      <c r="L308" s="135"/>
      <c r="M308" s="135"/>
      <c r="N308" s="135"/>
    </row>
    <row r="309" spans="7:14" ht="12.75">
      <c r="G309" s="135"/>
      <c r="H309" s="135"/>
      <c r="I309" s="135"/>
      <c r="J309" s="135"/>
      <c r="K309" s="135"/>
      <c r="L309" s="135"/>
      <c r="M309" s="135"/>
      <c r="N309" s="135"/>
    </row>
    <row r="310" spans="7:14" ht="12.75">
      <c r="G310" s="135"/>
      <c r="H310" s="135"/>
      <c r="I310" s="135"/>
      <c r="J310" s="135"/>
      <c r="K310" s="135"/>
      <c r="L310" s="135"/>
      <c r="M310" s="135"/>
      <c r="N310" s="135"/>
    </row>
    <row r="311" spans="7:14" ht="12.75">
      <c r="G311" s="135"/>
      <c r="H311" s="135"/>
      <c r="I311" s="135"/>
      <c r="J311" s="135"/>
      <c r="K311" s="135"/>
      <c r="L311" s="135"/>
      <c r="M311" s="135"/>
      <c r="N311" s="135"/>
    </row>
    <row r="312" spans="7:14" ht="12.75">
      <c r="G312" s="135"/>
      <c r="H312" s="135"/>
      <c r="I312" s="135"/>
      <c r="J312" s="135"/>
      <c r="K312" s="135"/>
      <c r="L312" s="135"/>
      <c r="M312" s="135"/>
      <c r="N312" s="135"/>
    </row>
    <row r="313" spans="7:14" ht="12.75">
      <c r="G313" s="135"/>
      <c r="H313" s="135"/>
      <c r="I313" s="135"/>
      <c r="J313" s="135"/>
      <c r="K313" s="135"/>
      <c r="L313" s="135"/>
      <c r="M313" s="135"/>
      <c r="N313" s="135"/>
    </row>
    <row r="314" spans="7:14" ht="12.75">
      <c r="G314" s="135"/>
      <c r="H314" s="135"/>
      <c r="I314" s="135"/>
      <c r="J314" s="135"/>
      <c r="K314" s="135"/>
      <c r="L314" s="135"/>
      <c r="M314" s="135"/>
      <c r="N314" s="135"/>
    </row>
    <row r="315" spans="7:14" ht="12.75">
      <c r="G315" s="135"/>
      <c r="H315" s="135"/>
      <c r="I315" s="135"/>
      <c r="J315" s="135"/>
      <c r="K315" s="135"/>
      <c r="L315" s="135"/>
      <c r="M315" s="135"/>
      <c r="N315" s="135"/>
    </row>
    <row r="316" spans="7:14" ht="12.75">
      <c r="G316" s="135"/>
      <c r="H316" s="135"/>
      <c r="I316" s="135"/>
      <c r="J316" s="135"/>
      <c r="K316" s="135"/>
      <c r="L316" s="135"/>
      <c r="M316" s="135"/>
      <c r="N316" s="135"/>
    </row>
    <row r="317" spans="7:14" ht="12.75">
      <c r="G317" s="135"/>
      <c r="H317" s="135"/>
      <c r="I317" s="135"/>
      <c r="J317" s="135"/>
      <c r="K317" s="135"/>
      <c r="L317" s="135"/>
      <c r="M317" s="135"/>
      <c r="N317" s="135"/>
    </row>
    <row r="318" spans="7:14" ht="12.75">
      <c r="G318" s="135"/>
      <c r="H318" s="135"/>
      <c r="I318" s="135"/>
      <c r="J318" s="135"/>
      <c r="K318" s="135"/>
      <c r="L318" s="135"/>
      <c r="M318" s="135"/>
      <c r="N318" s="135"/>
    </row>
    <row r="319" spans="7:14" ht="12.75">
      <c r="G319" s="135"/>
      <c r="H319" s="135"/>
      <c r="I319" s="135"/>
      <c r="J319" s="135"/>
      <c r="K319" s="135"/>
      <c r="L319" s="135"/>
      <c r="M319" s="135"/>
      <c r="N319" s="135"/>
    </row>
    <row r="320" spans="7:14" ht="12.75">
      <c r="G320" s="135"/>
      <c r="H320" s="135"/>
      <c r="I320" s="135"/>
      <c r="J320" s="135"/>
      <c r="K320" s="135"/>
      <c r="L320" s="135"/>
      <c r="M320" s="135"/>
      <c r="N320" s="135"/>
    </row>
    <row r="321" spans="7:14" ht="12.75">
      <c r="G321" s="135"/>
      <c r="H321" s="135"/>
      <c r="I321" s="135"/>
      <c r="J321" s="135"/>
      <c r="K321" s="135"/>
      <c r="L321" s="135"/>
      <c r="M321" s="135"/>
      <c r="N321" s="135"/>
    </row>
    <row r="322" spans="7:14" ht="12.75">
      <c r="G322" s="135"/>
      <c r="H322" s="135"/>
      <c r="I322" s="135"/>
      <c r="J322" s="135"/>
      <c r="K322" s="135"/>
      <c r="L322" s="135"/>
      <c r="M322" s="135"/>
      <c r="N322" s="135"/>
    </row>
    <row r="323" spans="7:14" ht="12.75">
      <c r="G323" s="135"/>
      <c r="H323" s="135"/>
      <c r="I323" s="135"/>
      <c r="J323" s="135"/>
      <c r="K323" s="135"/>
      <c r="L323" s="135"/>
      <c r="M323" s="135"/>
      <c r="N323" s="135"/>
    </row>
    <row r="324" spans="7:14" ht="12.75">
      <c r="G324" s="135"/>
      <c r="H324" s="135"/>
      <c r="I324" s="135"/>
      <c r="J324" s="135"/>
      <c r="K324" s="135"/>
      <c r="L324" s="135"/>
      <c r="M324" s="135"/>
      <c r="N324" s="135"/>
    </row>
    <row r="325" spans="7:14" ht="12.75">
      <c r="G325" s="135"/>
      <c r="H325" s="135"/>
      <c r="I325" s="135"/>
      <c r="J325" s="135"/>
      <c r="K325" s="135"/>
      <c r="L325" s="135"/>
      <c r="M325" s="135"/>
      <c r="N325" s="135"/>
    </row>
    <row r="326" spans="7:14" ht="12.75">
      <c r="G326" s="135"/>
      <c r="H326" s="135"/>
      <c r="I326" s="135"/>
      <c r="J326" s="135"/>
      <c r="K326" s="135"/>
      <c r="L326" s="135"/>
      <c r="M326" s="135"/>
      <c r="N326" s="135"/>
    </row>
    <row r="327" spans="7:14" ht="12.75">
      <c r="G327" s="135"/>
      <c r="H327" s="135"/>
      <c r="I327" s="135"/>
      <c r="J327" s="135"/>
      <c r="K327" s="135"/>
      <c r="L327" s="135"/>
      <c r="M327" s="135"/>
      <c r="N327" s="135"/>
    </row>
    <row r="328" spans="7:14" ht="12.75">
      <c r="G328" s="135"/>
      <c r="H328" s="135"/>
      <c r="I328" s="135"/>
      <c r="J328" s="135"/>
      <c r="K328" s="135"/>
      <c r="L328" s="135"/>
      <c r="M328" s="135"/>
      <c r="N328" s="135"/>
    </row>
    <row r="329" spans="7:14" ht="12.75">
      <c r="G329" s="135"/>
      <c r="H329" s="135"/>
      <c r="I329" s="135"/>
      <c r="J329" s="135"/>
      <c r="K329" s="135"/>
      <c r="L329" s="135"/>
      <c r="M329" s="135"/>
      <c r="N329" s="135"/>
    </row>
    <row r="330" spans="7:14" ht="12.75">
      <c r="G330" s="135"/>
      <c r="H330" s="135"/>
      <c r="I330" s="135"/>
      <c r="J330" s="135"/>
      <c r="K330" s="135"/>
      <c r="L330" s="135"/>
      <c r="M330" s="135"/>
      <c r="N330" s="135"/>
    </row>
    <row r="331" spans="7:14" ht="12.75">
      <c r="G331" s="135"/>
      <c r="H331" s="135"/>
      <c r="I331" s="135"/>
      <c r="J331" s="135"/>
      <c r="K331" s="135"/>
      <c r="L331" s="135"/>
      <c r="M331" s="135"/>
      <c r="N331" s="135"/>
    </row>
    <row r="332" spans="7:14" ht="12.75">
      <c r="G332" s="135"/>
      <c r="H332" s="135"/>
      <c r="I332" s="135"/>
      <c r="J332" s="135"/>
      <c r="K332" s="135"/>
      <c r="L332" s="135"/>
      <c r="M332" s="135"/>
      <c r="N332" s="135"/>
    </row>
    <row r="333" spans="7:14" ht="12.75">
      <c r="G333" s="135"/>
      <c r="H333" s="135"/>
      <c r="I333" s="135"/>
      <c r="J333" s="135"/>
      <c r="K333" s="135"/>
      <c r="L333" s="135"/>
      <c r="M333" s="135"/>
      <c r="N333" s="135"/>
    </row>
    <row r="334" spans="7:14" ht="12.75">
      <c r="G334" s="135"/>
      <c r="H334" s="135"/>
      <c r="I334" s="135"/>
      <c r="J334" s="135"/>
      <c r="K334" s="135"/>
      <c r="L334" s="135"/>
      <c r="M334" s="135"/>
      <c r="N334" s="135"/>
    </row>
    <row r="335" spans="7:14" ht="12.75">
      <c r="G335" s="135"/>
      <c r="H335" s="135"/>
      <c r="I335" s="135"/>
      <c r="J335" s="135"/>
      <c r="K335" s="135"/>
      <c r="L335" s="135"/>
      <c r="M335" s="135"/>
      <c r="N335" s="135"/>
    </row>
    <row r="336" spans="7:14" ht="12.75">
      <c r="G336" s="135"/>
      <c r="H336" s="135"/>
      <c r="I336" s="135"/>
      <c r="J336" s="135"/>
      <c r="K336" s="135"/>
      <c r="L336" s="135"/>
      <c r="M336" s="135"/>
      <c r="N336" s="135"/>
    </row>
    <row r="337" spans="7:14" ht="12.75">
      <c r="G337" s="135"/>
      <c r="H337" s="135"/>
      <c r="I337" s="135"/>
      <c r="J337" s="135"/>
      <c r="K337" s="135"/>
      <c r="L337" s="135"/>
      <c r="M337" s="135"/>
      <c r="N337" s="135"/>
    </row>
    <row r="338" spans="7:14" ht="12.75">
      <c r="G338" s="135"/>
      <c r="H338" s="135"/>
      <c r="I338" s="135"/>
      <c r="J338" s="135"/>
      <c r="K338" s="135"/>
      <c r="L338" s="135"/>
      <c r="M338" s="135"/>
      <c r="N338" s="135"/>
    </row>
    <row r="339" spans="7:14" ht="12.75">
      <c r="G339" s="135"/>
      <c r="H339" s="135"/>
      <c r="I339" s="135"/>
      <c r="J339" s="135"/>
      <c r="K339" s="135"/>
      <c r="L339" s="135"/>
      <c r="M339" s="135"/>
      <c r="N339" s="135"/>
    </row>
    <row r="340" spans="7:14" ht="12.75">
      <c r="G340" s="135"/>
      <c r="H340" s="135"/>
      <c r="I340" s="135"/>
      <c r="J340" s="135"/>
      <c r="K340" s="135"/>
      <c r="L340" s="135"/>
      <c r="M340" s="135"/>
      <c r="N340" s="135"/>
    </row>
    <row r="341" spans="7:14" ht="12.75">
      <c r="G341" s="135"/>
      <c r="H341" s="135"/>
      <c r="I341" s="135"/>
      <c r="J341" s="135"/>
      <c r="K341" s="135"/>
      <c r="L341" s="135"/>
      <c r="M341" s="135"/>
      <c r="N341" s="135"/>
    </row>
    <row r="342" spans="7:14" ht="12.75">
      <c r="G342" s="135"/>
      <c r="H342" s="135"/>
      <c r="I342" s="135"/>
      <c r="J342" s="135"/>
      <c r="K342" s="135"/>
      <c r="L342" s="135"/>
      <c r="M342" s="135"/>
      <c r="N342" s="135"/>
    </row>
    <row r="343" spans="7:14" ht="12.75">
      <c r="G343" s="135"/>
      <c r="H343" s="135"/>
      <c r="I343" s="135"/>
      <c r="J343" s="135"/>
      <c r="K343" s="135"/>
      <c r="L343" s="135"/>
      <c r="M343" s="135"/>
      <c r="N343" s="135"/>
    </row>
    <row r="344" spans="7:14" ht="12.75">
      <c r="G344" s="135"/>
      <c r="H344" s="135"/>
      <c r="I344" s="135"/>
      <c r="J344" s="135"/>
      <c r="K344" s="135"/>
      <c r="L344" s="135"/>
      <c r="M344" s="135"/>
      <c r="N344" s="135"/>
    </row>
    <row r="345" spans="7:14" ht="12.75">
      <c r="G345" s="135"/>
      <c r="H345" s="135"/>
      <c r="I345" s="135"/>
      <c r="J345" s="135"/>
      <c r="K345" s="135"/>
      <c r="L345" s="135"/>
      <c r="M345" s="135"/>
      <c r="N345" s="135"/>
    </row>
    <row r="346" spans="7:14" ht="12.75">
      <c r="G346" s="135"/>
      <c r="H346" s="135"/>
      <c r="I346" s="135"/>
      <c r="J346" s="135"/>
      <c r="K346" s="135"/>
      <c r="L346" s="135"/>
      <c r="M346" s="135"/>
      <c r="N346" s="135"/>
    </row>
    <row r="347" spans="7:14" ht="12.75">
      <c r="G347" s="135"/>
      <c r="H347" s="135"/>
      <c r="I347" s="135"/>
      <c r="J347" s="135"/>
      <c r="K347" s="135"/>
      <c r="L347" s="135"/>
      <c r="M347" s="135"/>
      <c r="N347" s="135"/>
    </row>
    <row r="348" spans="7:14" ht="12.75">
      <c r="G348" s="135"/>
      <c r="H348" s="135"/>
      <c r="I348" s="135"/>
      <c r="J348" s="135"/>
      <c r="K348" s="135"/>
      <c r="L348" s="135"/>
      <c r="M348" s="135"/>
      <c r="N348" s="135"/>
    </row>
    <row r="349" spans="7:14" ht="12.75">
      <c r="G349" s="135"/>
      <c r="H349" s="135"/>
      <c r="I349" s="135"/>
      <c r="J349" s="135"/>
      <c r="K349" s="135"/>
      <c r="L349" s="135"/>
      <c r="M349" s="135"/>
      <c r="N349" s="135"/>
    </row>
    <row r="350" spans="7:14" ht="12.75">
      <c r="G350" s="135"/>
      <c r="H350" s="135"/>
      <c r="I350" s="135"/>
      <c r="J350" s="135"/>
      <c r="K350" s="135"/>
      <c r="L350" s="135"/>
      <c r="M350" s="135"/>
      <c r="N350" s="135"/>
    </row>
    <row r="351" spans="7:14" ht="12.75">
      <c r="G351" s="135"/>
      <c r="H351" s="135"/>
      <c r="I351" s="135"/>
      <c r="J351" s="135"/>
      <c r="K351" s="135"/>
      <c r="L351" s="135"/>
      <c r="M351" s="135"/>
      <c r="N351" s="135"/>
    </row>
    <row r="352" spans="7:14" ht="12.75">
      <c r="G352" s="135"/>
      <c r="H352" s="135"/>
      <c r="I352" s="135"/>
      <c r="J352" s="135"/>
      <c r="K352" s="135"/>
      <c r="L352" s="135"/>
      <c r="M352" s="135"/>
      <c r="N352" s="135"/>
    </row>
    <row r="353" spans="7:14" ht="12.75">
      <c r="G353" s="135"/>
      <c r="H353" s="135"/>
      <c r="I353" s="135"/>
      <c r="J353" s="135"/>
      <c r="K353" s="135"/>
      <c r="L353" s="135"/>
      <c r="M353" s="135"/>
      <c r="N353" s="135"/>
    </row>
    <row r="354" spans="7:14" ht="12.75">
      <c r="G354" s="135"/>
      <c r="H354" s="135"/>
      <c r="I354" s="135"/>
      <c r="J354" s="135"/>
      <c r="K354" s="135"/>
      <c r="L354" s="135"/>
      <c r="M354" s="135"/>
      <c r="N354" s="135"/>
    </row>
    <row r="355" spans="7:14" ht="12.75">
      <c r="G355" s="135"/>
      <c r="H355" s="135"/>
      <c r="I355" s="135"/>
      <c r="J355" s="135"/>
      <c r="K355" s="135"/>
      <c r="L355" s="135"/>
      <c r="M355" s="135"/>
      <c r="N355" s="135"/>
    </row>
    <row r="356" spans="7:14" ht="12.75">
      <c r="G356" s="135"/>
      <c r="H356" s="135"/>
      <c r="I356" s="135"/>
      <c r="J356" s="135"/>
      <c r="K356" s="135"/>
      <c r="L356" s="135"/>
      <c r="M356" s="135"/>
      <c r="N356" s="135"/>
    </row>
    <row r="357" spans="7:14" ht="12.75">
      <c r="G357" s="135"/>
      <c r="H357" s="135"/>
      <c r="I357" s="135"/>
      <c r="J357" s="135"/>
      <c r="K357" s="135"/>
      <c r="L357" s="135"/>
      <c r="M357" s="135"/>
      <c r="N357" s="135"/>
    </row>
    <row r="358" spans="7:14" ht="12.75">
      <c r="G358" s="135"/>
      <c r="H358" s="135"/>
      <c r="I358" s="135"/>
      <c r="J358" s="135"/>
      <c r="K358" s="135"/>
      <c r="L358" s="135"/>
      <c r="M358" s="135"/>
      <c r="N358" s="135"/>
    </row>
    <row r="359" spans="7:14" ht="12.75">
      <c r="G359" s="135"/>
      <c r="H359" s="135"/>
      <c r="I359" s="135"/>
      <c r="J359" s="135"/>
      <c r="K359" s="135"/>
      <c r="L359" s="135"/>
      <c r="M359" s="135"/>
      <c r="N359" s="135"/>
    </row>
    <row r="360" spans="7:14" ht="12.75">
      <c r="G360" s="135"/>
      <c r="H360" s="135"/>
      <c r="I360" s="135"/>
      <c r="J360" s="135"/>
      <c r="K360" s="135"/>
      <c r="L360" s="135"/>
      <c r="M360" s="135"/>
      <c r="N360" s="135"/>
    </row>
    <row r="361" spans="7:14" ht="12.75">
      <c r="G361" s="135"/>
      <c r="H361" s="135"/>
      <c r="I361" s="135"/>
      <c r="J361" s="135"/>
      <c r="K361" s="135"/>
      <c r="L361" s="135"/>
      <c r="M361" s="135"/>
      <c r="N361" s="135"/>
    </row>
    <row r="362" spans="7:14" ht="12.75">
      <c r="G362" s="135"/>
      <c r="H362" s="135"/>
      <c r="I362" s="135"/>
      <c r="J362" s="135"/>
      <c r="K362" s="135"/>
      <c r="L362" s="135"/>
      <c r="M362" s="135"/>
      <c r="N362" s="135"/>
    </row>
    <row r="363" spans="7:14" ht="12.75">
      <c r="G363" s="135"/>
      <c r="H363" s="135"/>
      <c r="I363" s="135"/>
      <c r="J363" s="135"/>
      <c r="K363" s="135"/>
      <c r="L363" s="135"/>
      <c r="M363" s="135"/>
      <c r="N363" s="135"/>
    </row>
    <row r="364" spans="7:14" ht="12.75">
      <c r="G364" s="135"/>
      <c r="H364" s="135"/>
      <c r="I364" s="135"/>
      <c r="J364" s="135"/>
      <c r="K364" s="135"/>
      <c r="L364" s="135"/>
      <c r="M364" s="135"/>
      <c r="N364" s="135"/>
    </row>
    <row r="365" spans="7:14" ht="12.75">
      <c r="G365" s="135"/>
      <c r="H365" s="135"/>
      <c r="I365" s="135"/>
      <c r="J365" s="135"/>
      <c r="K365" s="135"/>
      <c r="L365" s="135"/>
      <c r="M365" s="135"/>
      <c r="N365" s="135"/>
    </row>
    <row r="366" spans="7:14" ht="12.75">
      <c r="G366" s="135"/>
      <c r="H366" s="135"/>
      <c r="I366" s="135"/>
      <c r="J366" s="135"/>
      <c r="K366" s="135"/>
      <c r="L366" s="135"/>
      <c r="M366" s="135"/>
      <c r="N366" s="135"/>
    </row>
    <row r="367" spans="7:14" ht="12.75">
      <c r="G367" s="135"/>
      <c r="H367" s="135"/>
      <c r="I367" s="135"/>
      <c r="J367" s="135"/>
      <c r="K367" s="135"/>
      <c r="L367" s="135"/>
      <c r="M367" s="135"/>
      <c r="N367" s="135"/>
    </row>
    <row r="368" spans="7:14" ht="12.75">
      <c r="G368" s="135"/>
      <c r="H368" s="135"/>
      <c r="I368" s="135"/>
      <c r="J368" s="135"/>
      <c r="K368" s="135"/>
      <c r="L368" s="135"/>
      <c r="M368" s="135"/>
      <c r="N368" s="135"/>
    </row>
    <row r="369" spans="7:14" ht="12.75">
      <c r="G369" s="135"/>
      <c r="H369" s="135"/>
      <c r="I369" s="135"/>
      <c r="J369" s="135"/>
      <c r="K369" s="135"/>
      <c r="L369" s="135"/>
      <c r="M369" s="135"/>
      <c r="N369" s="135"/>
    </row>
    <row r="370" spans="7:14" ht="12.75">
      <c r="G370" s="135"/>
      <c r="H370" s="135"/>
      <c r="I370" s="135"/>
      <c r="J370" s="135"/>
      <c r="K370" s="135"/>
      <c r="L370" s="135"/>
      <c r="M370" s="135"/>
      <c r="N370" s="135"/>
    </row>
    <row r="371" spans="7:14" ht="12.75">
      <c r="G371" s="135"/>
      <c r="H371" s="135"/>
      <c r="I371" s="135"/>
      <c r="J371" s="135"/>
      <c r="K371" s="135"/>
      <c r="L371" s="135"/>
      <c r="M371" s="135"/>
      <c r="N371" s="135"/>
    </row>
    <row r="372" spans="7:14" ht="12.75">
      <c r="G372" s="135"/>
      <c r="H372" s="135"/>
      <c r="I372" s="135"/>
      <c r="J372" s="135"/>
      <c r="K372" s="135"/>
      <c r="L372" s="135"/>
      <c r="M372" s="135"/>
      <c r="N372" s="135"/>
    </row>
    <row r="373" spans="7:14" ht="12.75">
      <c r="G373" s="135"/>
      <c r="H373" s="135"/>
      <c r="I373" s="135"/>
      <c r="J373" s="135"/>
      <c r="K373" s="135"/>
      <c r="L373" s="135"/>
      <c r="M373" s="135"/>
      <c r="N373" s="135"/>
    </row>
    <row r="374" spans="7:14" ht="12.75">
      <c r="G374" s="135"/>
      <c r="H374" s="135"/>
      <c r="I374" s="135"/>
      <c r="J374" s="135"/>
      <c r="K374" s="135"/>
      <c r="L374" s="135"/>
      <c r="M374" s="135"/>
      <c r="N374" s="135"/>
    </row>
    <row r="375" spans="7:14" ht="12.75">
      <c r="G375" s="135"/>
      <c r="H375" s="135"/>
      <c r="I375" s="135"/>
      <c r="J375" s="135"/>
      <c r="K375" s="135"/>
      <c r="L375" s="135"/>
      <c r="M375" s="135"/>
      <c r="N375" s="135"/>
    </row>
    <row r="376" spans="7:14" ht="12.75">
      <c r="G376" s="135"/>
      <c r="H376" s="135"/>
      <c r="I376" s="135"/>
      <c r="J376" s="135"/>
      <c r="K376" s="135"/>
      <c r="L376" s="135"/>
      <c r="M376" s="135"/>
      <c r="N376" s="135"/>
    </row>
    <row r="377" spans="7:14" ht="12.75">
      <c r="G377" s="135"/>
      <c r="H377" s="135"/>
      <c r="I377" s="135"/>
      <c r="J377" s="135"/>
      <c r="K377" s="135"/>
      <c r="L377" s="135"/>
      <c r="M377" s="135"/>
      <c r="N377" s="135"/>
    </row>
    <row r="378" spans="7:14" ht="12.75">
      <c r="G378" s="135"/>
      <c r="H378" s="135"/>
      <c r="I378" s="135"/>
      <c r="J378" s="135"/>
      <c r="K378" s="135"/>
      <c r="L378" s="135"/>
      <c r="M378" s="135"/>
      <c r="N378" s="135"/>
    </row>
    <row r="379" spans="7:14" ht="12.75">
      <c r="G379" s="135"/>
      <c r="H379" s="135"/>
      <c r="I379" s="135"/>
      <c r="J379" s="135"/>
      <c r="K379" s="135"/>
      <c r="L379" s="135"/>
      <c r="M379" s="135"/>
      <c r="N379" s="135"/>
    </row>
    <row r="380" spans="7:14" ht="12.75">
      <c r="G380" s="135"/>
      <c r="H380" s="135"/>
      <c r="I380" s="135"/>
      <c r="J380" s="135"/>
      <c r="K380" s="135"/>
      <c r="L380" s="135"/>
      <c r="M380" s="135"/>
      <c r="N380" s="135"/>
    </row>
    <row r="381" spans="7:14" ht="12.75">
      <c r="G381" s="135"/>
      <c r="H381" s="135"/>
      <c r="I381" s="135"/>
      <c r="J381" s="135"/>
      <c r="K381" s="135"/>
      <c r="L381" s="135"/>
      <c r="M381" s="135"/>
      <c r="N381" s="135"/>
    </row>
    <row r="382" spans="7:14" ht="12.75">
      <c r="G382" s="135"/>
      <c r="H382" s="135"/>
      <c r="I382" s="135"/>
      <c r="J382" s="135"/>
      <c r="K382" s="135"/>
      <c r="L382" s="135"/>
      <c r="M382" s="135"/>
      <c r="N382" s="135"/>
    </row>
    <row r="383" spans="7:14" ht="12.75">
      <c r="G383" s="135"/>
      <c r="H383" s="135"/>
      <c r="I383" s="135"/>
      <c r="J383" s="135"/>
      <c r="K383" s="135"/>
      <c r="L383" s="135"/>
      <c r="M383" s="135"/>
      <c r="N383" s="135"/>
    </row>
    <row r="384" spans="7:14" ht="12.75">
      <c r="G384" s="135"/>
      <c r="H384" s="135"/>
      <c r="I384" s="135"/>
      <c r="J384" s="135"/>
      <c r="K384" s="135"/>
      <c r="L384" s="135"/>
      <c r="M384" s="135"/>
      <c r="N384" s="135"/>
    </row>
    <row r="385" spans="7:14" ht="12.75">
      <c r="G385" s="135"/>
      <c r="H385" s="135"/>
      <c r="I385" s="135"/>
      <c r="J385" s="135"/>
      <c r="K385" s="135"/>
      <c r="L385" s="135"/>
      <c r="M385" s="135"/>
      <c r="N385" s="135"/>
    </row>
    <row r="386" spans="7:14" ht="12.75">
      <c r="G386" s="135"/>
      <c r="H386" s="135"/>
      <c r="I386" s="135"/>
      <c r="J386" s="135"/>
      <c r="K386" s="135"/>
      <c r="L386" s="135"/>
      <c r="M386" s="135"/>
      <c r="N386" s="135"/>
    </row>
    <row r="387" spans="7:14" ht="12.75">
      <c r="G387" s="135"/>
      <c r="H387" s="135"/>
      <c r="I387" s="135"/>
      <c r="J387" s="135"/>
      <c r="K387" s="135"/>
      <c r="L387" s="135"/>
      <c r="M387" s="135"/>
      <c r="N387" s="135"/>
    </row>
    <row r="388" spans="7:14" ht="12.75">
      <c r="G388" s="135"/>
      <c r="H388" s="135"/>
      <c r="I388" s="135"/>
      <c r="J388" s="135"/>
      <c r="K388" s="135"/>
      <c r="L388" s="135"/>
      <c r="M388" s="135"/>
      <c r="N388" s="135"/>
    </row>
    <row r="389" spans="7:14" ht="12.75">
      <c r="G389" s="135"/>
      <c r="H389" s="135"/>
      <c r="I389" s="135"/>
      <c r="J389" s="135"/>
      <c r="K389" s="135"/>
      <c r="L389" s="135"/>
      <c r="M389" s="135"/>
      <c r="N389" s="135"/>
    </row>
    <row r="390" spans="7:14" ht="12.75">
      <c r="G390" s="135"/>
      <c r="H390" s="135"/>
      <c r="I390" s="135"/>
      <c r="J390" s="135"/>
      <c r="K390" s="135"/>
      <c r="L390" s="135"/>
      <c r="M390" s="135"/>
      <c r="N390" s="135"/>
    </row>
    <row r="391" spans="7:14" ht="12.75">
      <c r="G391" s="135"/>
      <c r="H391" s="135"/>
      <c r="I391" s="135"/>
      <c r="J391" s="135"/>
      <c r="K391" s="135"/>
      <c r="L391" s="135"/>
      <c r="M391" s="135"/>
      <c r="N391" s="135"/>
    </row>
    <row r="392" spans="7:14" ht="12.75">
      <c r="G392" s="135"/>
      <c r="H392" s="135"/>
      <c r="I392" s="135"/>
      <c r="J392" s="135"/>
      <c r="K392" s="135"/>
      <c r="L392" s="135"/>
      <c r="M392" s="135"/>
      <c r="N392" s="135"/>
    </row>
    <row r="393" spans="7:14" ht="12.75">
      <c r="G393" s="135"/>
      <c r="H393" s="135"/>
      <c r="I393" s="135"/>
      <c r="J393" s="135"/>
      <c r="K393" s="135"/>
      <c r="L393" s="135"/>
      <c r="M393" s="135"/>
      <c r="N393" s="135"/>
    </row>
    <row r="394" spans="7:14" ht="12.75">
      <c r="G394" s="135"/>
      <c r="H394" s="135"/>
      <c r="I394" s="135"/>
      <c r="J394" s="135"/>
      <c r="K394" s="135"/>
      <c r="L394" s="135"/>
      <c r="M394" s="135"/>
      <c r="N394" s="135"/>
    </row>
    <row r="395" spans="7:14" ht="12.75">
      <c r="G395" s="135"/>
      <c r="H395" s="135"/>
      <c r="I395" s="135"/>
      <c r="J395" s="135"/>
      <c r="K395" s="135"/>
      <c r="L395" s="135"/>
      <c r="M395" s="135"/>
      <c r="N395" s="135"/>
    </row>
    <row r="396" spans="7:14" ht="12.75">
      <c r="G396" s="135"/>
      <c r="H396" s="135"/>
      <c r="I396" s="135"/>
      <c r="J396" s="135"/>
      <c r="K396" s="135"/>
      <c r="L396" s="135"/>
      <c r="M396" s="135"/>
      <c r="N396" s="135"/>
    </row>
    <row r="397" spans="7:14" ht="12.75">
      <c r="G397" s="135"/>
      <c r="H397" s="135"/>
      <c r="I397" s="135"/>
      <c r="J397" s="135"/>
      <c r="K397" s="135"/>
      <c r="L397" s="135"/>
      <c r="M397" s="135"/>
      <c r="N397" s="135"/>
    </row>
    <row r="398" spans="7:14" ht="12.75">
      <c r="G398" s="135"/>
      <c r="H398" s="135"/>
      <c r="I398" s="135"/>
      <c r="J398" s="135"/>
      <c r="K398" s="135"/>
      <c r="L398" s="135"/>
      <c r="M398" s="135"/>
      <c r="N398" s="135"/>
    </row>
    <row r="399" spans="7:14" ht="12.75">
      <c r="G399" s="135"/>
      <c r="H399" s="135"/>
      <c r="I399" s="135"/>
      <c r="J399" s="135"/>
      <c r="K399" s="135"/>
      <c r="L399" s="135"/>
      <c r="M399" s="135"/>
      <c r="N399" s="135"/>
    </row>
    <row r="400" spans="7:14" ht="12.75">
      <c r="G400" s="135"/>
      <c r="H400" s="135"/>
      <c r="I400" s="135"/>
      <c r="J400" s="135"/>
      <c r="K400" s="135"/>
      <c r="L400" s="135"/>
      <c r="M400" s="135"/>
      <c r="N400" s="135"/>
    </row>
    <row r="401" spans="7:14" ht="12.75">
      <c r="G401" s="135"/>
      <c r="H401" s="135"/>
      <c r="I401" s="135"/>
      <c r="J401" s="135"/>
      <c r="K401" s="135"/>
      <c r="L401" s="135"/>
      <c r="M401" s="135"/>
      <c r="N401" s="135"/>
    </row>
    <row r="402" spans="7:14" ht="12.75">
      <c r="G402" s="135"/>
      <c r="H402" s="135"/>
      <c r="I402" s="135"/>
      <c r="J402" s="135"/>
      <c r="K402" s="135"/>
      <c r="L402" s="135"/>
      <c r="M402" s="135"/>
      <c r="N402" s="135"/>
    </row>
    <row r="403" spans="7:14" ht="12.75">
      <c r="G403" s="135"/>
      <c r="H403" s="135"/>
      <c r="I403" s="135"/>
      <c r="J403" s="135"/>
      <c r="K403" s="135"/>
      <c r="L403" s="135"/>
      <c r="M403" s="135"/>
      <c r="N403" s="135"/>
    </row>
    <row r="404" spans="7:14" ht="12.75">
      <c r="G404" s="135"/>
      <c r="H404" s="135"/>
      <c r="I404" s="135"/>
      <c r="J404" s="135"/>
      <c r="K404" s="135"/>
      <c r="L404" s="135"/>
      <c r="M404" s="135"/>
      <c r="N404" s="135"/>
    </row>
    <row r="405" spans="7:14" ht="12.75">
      <c r="G405" s="135"/>
      <c r="H405" s="135"/>
      <c r="I405" s="135"/>
      <c r="J405" s="135"/>
      <c r="K405" s="135"/>
      <c r="L405" s="135"/>
      <c r="M405" s="135"/>
      <c r="N405" s="135"/>
    </row>
    <row r="406" spans="7:14" ht="12.75">
      <c r="G406" s="135"/>
      <c r="H406" s="135"/>
      <c r="I406" s="135"/>
      <c r="J406" s="135"/>
      <c r="K406" s="135"/>
      <c r="L406" s="135"/>
      <c r="M406" s="135"/>
      <c r="N406" s="135"/>
    </row>
    <row r="407" spans="7:14" ht="12.75">
      <c r="G407" s="135"/>
      <c r="H407" s="135"/>
      <c r="I407" s="135"/>
      <c r="J407" s="135"/>
      <c r="K407" s="135"/>
      <c r="L407" s="135"/>
      <c r="M407" s="135"/>
      <c r="N407" s="135"/>
    </row>
    <row r="408" spans="7:14" ht="12.75">
      <c r="G408" s="135"/>
      <c r="H408" s="135"/>
      <c r="I408" s="135"/>
      <c r="J408" s="135"/>
      <c r="K408" s="135"/>
      <c r="L408" s="135"/>
      <c r="M408" s="135"/>
      <c r="N408" s="135"/>
    </row>
    <row r="409" spans="7:14" ht="12.75">
      <c r="G409" s="135"/>
      <c r="H409" s="135"/>
      <c r="I409" s="135"/>
      <c r="J409" s="135"/>
      <c r="K409" s="135"/>
      <c r="L409" s="135"/>
      <c r="M409" s="135"/>
      <c r="N409" s="135"/>
    </row>
    <row r="410" spans="7:14" ht="12.75">
      <c r="G410" s="135"/>
      <c r="H410" s="135"/>
      <c r="I410" s="135"/>
      <c r="J410" s="135"/>
      <c r="K410" s="135"/>
      <c r="L410" s="135"/>
      <c r="M410" s="135"/>
      <c r="N410" s="135"/>
    </row>
    <row r="411" spans="7:14" ht="12.75">
      <c r="G411" s="135"/>
      <c r="H411" s="135"/>
      <c r="I411" s="135"/>
      <c r="J411" s="135"/>
      <c r="K411" s="135"/>
      <c r="L411" s="135"/>
      <c r="M411" s="135"/>
      <c r="N411" s="135"/>
    </row>
    <row r="412" spans="7:14" ht="12.75">
      <c r="G412" s="135"/>
      <c r="H412" s="135"/>
      <c r="I412" s="135"/>
      <c r="J412" s="135"/>
      <c r="K412" s="135"/>
      <c r="L412" s="135"/>
      <c r="M412" s="135"/>
      <c r="N412" s="135"/>
    </row>
    <row r="413" spans="7:14" ht="12.75">
      <c r="G413" s="135"/>
      <c r="H413" s="135"/>
      <c r="I413" s="135"/>
      <c r="J413" s="135"/>
      <c r="K413" s="135"/>
      <c r="L413" s="135"/>
      <c r="M413" s="135"/>
      <c r="N413" s="135"/>
    </row>
    <row r="414" spans="7:14" ht="12.75">
      <c r="G414" s="135"/>
      <c r="H414" s="135"/>
      <c r="I414" s="135"/>
      <c r="J414" s="135"/>
      <c r="K414" s="135"/>
      <c r="L414" s="135"/>
      <c r="M414" s="135"/>
      <c r="N414" s="135"/>
    </row>
    <row r="415" spans="7:14" ht="12.75">
      <c r="G415" s="135"/>
      <c r="H415" s="135"/>
      <c r="I415" s="135"/>
      <c r="J415" s="135"/>
      <c r="K415" s="135"/>
      <c r="L415" s="135"/>
      <c r="M415" s="135"/>
      <c r="N415" s="135"/>
    </row>
    <row r="416" spans="7:14" ht="12.75">
      <c r="G416" s="135"/>
      <c r="H416" s="135"/>
      <c r="I416" s="135"/>
      <c r="J416" s="135"/>
      <c r="K416" s="135"/>
      <c r="L416" s="135"/>
      <c r="M416" s="135"/>
      <c r="N416" s="135"/>
    </row>
    <row r="417" spans="7:14" ht="12.75">
      <c r="G417" s="135"/>
      <c r="H417" s="135"/>
      <c r="I417" s="135"/>
      <c r="J417" s="135"/>
      <c r="K417" s="135"/>
      <c r="L417" s="135"/>
      <c r="M417" s="135"/>
      <c r="N417" s="135"/>
    </row>
    <row r="418" spans="7:14" ht="12.75">
      <c r="G418" s="135"/>
      <c r="H418" s="135"/>
      <c r="I418" s="135"/>
      <c r="J418" s="135"/>
      <c r="K418" s="135"/>
      <c r="L418" s="135"/>
      <c r="M418" s="135"/>
      <c r="N418" s="135"/>
    </row>
    <row r="419" spans="7:14" ht="12.75">
      <c r="G419" s="135"/>
      <c r="H419" s="135"/>
      <c r="I419" s="135"/>
      <c r="J419" s="135"/>
      <c r="K419" s="135"/>
      <c r="L419" s="135"/>
      <c r="M419" s="135"/>
      <c r="N419" s="135"/>
    </row>
    <row r="420" spans="7:14" ht="12.75">
      <c r="G420" s="135"/>
      <c r="H420" s="135"/>
      <c r="I420" s="135"/>
      <c r="J420" s="135"/>
      <c r="K420" s="135"/>
      <c r="L420" s="135"/>
      <c r="M420" s="135"/>
      <c r="N420" s="135"/>
    </row>
    <row r="421" spans="7:14" ht="12.75">
      <c r="G421" s="135"/>
      <c r="H421" s="135"/>
      <c r="I421" s="135"/>
      <c r="J421" s="135"/>
      <c r="K421" s="135"/>
      <c r="L421" s="135"/>
      <c r="M421" s="135"/>
      <c r="N421" s="135"/>
    </row>
    <row r="422" spans="7:14" ht="12.75">
      <c r="G422" s="135"/>
      <c r="H422" s="135"/>
      <c r="I422" s="135"/>
      <c r="J422" s="135"/>
      <c r="K422" s="135"/>
      <c r="L422" s="135"/>
      <c r="M422" s="135"/>
      <c r="N422" s="135"/>
    </row>
    <row r="423" spans="7:14" ht="12.75">
      <c r="G423" s="135"/>
      <c r="H423" s="135"/>
      <c r="I423" s="135"/>
      <c r="J423" s="135"/>
      <c r="K423" s="135"/>
      <c r="L423" s="135"/>
      <c r="M423" s="135"/>
      <c r="N423" s="135"/>
    </row>
    <row r="424" spans="7:14" ht="12.75">
      <c r="G424" s="135"/>
      <c r="H424" s="135"/>
      <c r="I424" s="135"/>
      <c r="J424" s="135"/>
      <c r="K424" s="135"/>
      <c r="L424" s="135"/>
      <c r="M424" s="135"/>
      <c r="N424" s="135"/>
    </row>
    <row r="425" spans="7:14" ht="12.75">
      <c r="G425" s="135"/>
      <c r="H425" s="135"/>
      <c r="I425" s="135"/>
      <c r="J425" s="135"/>
      <c r="K425" s="135"/>
      <c r="L425" s="135"/>
      <c r="M425" s="135"/>
      <c r="N425" s="135"/>
    </row>
    <row r="426" spans="7:14" ht="12.75">
      <c r="G426" s="135"/>
      <c r="H426" s="135"/>
      <c r="I426" s="135"/>
      <c r="J426" s="135"/>
      <c r="K426" s="135"/>
      <c r="L426" s="135"/>
      <c r="M426" s="135"/>
      <c r="N426" s="135"/>
    </row>
    <row r="427" spans="7:14" ht="12.75">
      <c r="G427" s="135"/>
      <c r="H427" s="135"/>
      <c r="I427" s="135"/>
      <c r="J427" s="135"/>
      <c r="K427" s="135"/>
      <c r="L427" s="135"/>
      <c r="M427" s="135"/>
      <c r="N427" s="135"/>
    </row>
    <row r="428" spans="7:14" ht="12.75">
      <c r="G428" s="135"/>
      <c r="H428" s="135"/>
      <c r="I428" s="135"/>
      <c r="J428" s="135"/>
      <c r="K428" s="135"/>
      <c r="L428" s="135"/>
      <c r="M428" s="135"/>
      <c r="N428" s="135"/>
    </row>
    <row r="429" spans="7:14" ht="12.75">
      <c r="G429" s="135"/>
      <c r="H429" s="135"/>
      <c r="I429" s="135"/>
      <c r="J429" s="135"/>
      <c r="K429" s="135"/>
      <c r="L429" s="135"/>
      <c r="M429" s="135"/>
      <c r="N429" s="135"/>
    </row>
    <row r="430" spans="7:14" ht="12.75">
      <c r="G430" s="135"/>
      <c r="H430" s="135"/>
      <c r="I430" s="135"/>
      <c r="J430" s="135"/>
      <c r="K430" s="135"/>
      <c r="L430" s="135"/>
      <c r="M430" s="135"/>
      <c r="N430" s="135"/>
    </row>
    <row r="431" spans="7:14" ht="12.75">
      <c r="G431" s="135"/>
      <c r="H431" s="135"/>
      <c r="I431" s="135"/>
      <c r="J431" s="135"/>
      <c r="K431" s="135"/>
      <c r="L431" s="135"/>
      <c r="M431" s="135"/>
      <c r="N431" s="135"/>
    </row>
    <row r="432" spans="7:14" ht="12.75">
      <c r="G432" s="135"/>
      <c r="H432" s="135"/>
      <c r="I432" s="135"/>
      <c r="J432" s="135"/>
      <c r="K432" s="135"/>
      <c r="L432" s="135"/>
      <c r="M432" s="135"/>
      <c r="N432" s="135"/>
    </row>
    <row r="433" spans="7:14" ht="12.75">
      <c r="G433" s="135"/>
      <c r="H433" s="135"/>
      <c r="I433" s="135"/>
      <c r="J433" s="135"/>
      <c r="K433" s="135"/>
      <c r="L433" s="135"/>
      <c r="M433" s="135"/>
      <c r="N433" s="135"/>
    </row>
    <row r="434" spans="7:14" ht="12.75">
      <c r="G434" s="135"/>
      <c r="H434" s="135"/>
      <c r="I434" s="135"/>
      <c r="J434" s="135"/>
      <c r="K434" s="135"/>
      <c r="L434" s="135"/>
      <c r="M434" s="135"/>
      <c r="N434" s="135"/>
    </row>
    <row r="435" spans="7:14" ht="12.75">
      <c r="G435" s="135"/>
      <c r="H435" s="135"/>
      <c r="I435" s="135"/>
      <c r="J435" s="135"/>
      <c r="K435" s="135"/>
      <c r="L435" s="135"/>
      <c r="M435" s="135"/>
      <c r="N435" s="135"/>
    </row>
    <row r="436" spans="7:14" ht="12.75">
      <c r="G436" s="135"/>
      <c r="H436" s="135"/>
      <c r="I436" s="135"/>
      <c r="J436" s="135"/>
      <c r="K436" s="135"/>
      <c r="L436" s="135"/>
      <c r="M436" s="135"/>
      <c r="N436" s="135"/>
    </row>
    <row r="437" spans="7:14" ht="12.75">
      <c r="G437" s="135"/>
      <c r="H437" s="135"/>
      <c r="I437" s="135"/>
      <c r="J437" s="135"/>
      <c r="K437" s="135"/>
      <c r="L437" s="135"/>
      <c r="M437" s="135"/>
      <c r="N437" s="135"/>
    </row>
    <row r="438" spans="7:14" ht="12.75">
      <c r="G438" s="135"/>
      <c r="H438" s="135"/>
      <c r="I438" s="135"/>
      <c r="J438" s="135"/>
      <c r="K438" s="135"/>
      <c r="L438" s="135"/>
      <c r="M438" s="135"/>
      <c r="N438" s="135"/>
    </row>
    <row r="439" spans="7:14" ht="12.75">
      <c r="G439" s="135"/>
      <c r="H439" s="135"/>
      <c r="I439" s="135"/>
      <c r="J439" s="135"/>
      <c r="K439" s="135"/>
      <c r="L439" s="135"/>
      <c r="M439" s="135"/>
      <c r="N439" s="135"/>
    </row>
    <row r="440" spans="7:14" ht="12.75">
      <c r="G440" s="135"/>
      <c r="H440" s="135"/>
      <c r="I440" s="135"/>
      <c r="J440" s="135"/>
      <c r="K440" s="135"/>
      <c r="L440" s="135"/>
      <c r="M440" s="135"/>
      <c r="N440" s="135"/>
    </row>
    <row r="441" spans="7:14" ht="12.75">
      <c r="G441" s="135"/>
      <c r="H441" s="135"/>
      <c r="I441" s="135"/>
      <c r="J441" s="135"/>
      <c r="K441" s="135"/>
      <c r="L441" s="135"/>
      <c r="M441" s="135"/>
      <c r="N441" s="135"/>
    </row>
    <row r="442" spans="7:14" ht="12.75">
      <c r="G442" s="135"/>
      <c r="H442" s="135"/>
      <c r="I442" s="135"/>
      <c r="J442" s="135"/>
      <c r="K442" s="135"/>
      <c r="L442" s="135"/>
      <c r="M442" s="135"/>
      <c r="N442" s="135"/>
    </row>
    <row r="443" spans="7:14" ht="12.75">
      <c r="G443" s="135"/>
      <c r="H443" s="135"/>
      <c r="I443" s="135"/>
      <c r="J443" s="135"/>
      <c r="K443" s="135"/>
      <c r="L443" s="135"/>
      <c r="M443" s="135"/>
      <c r="N443" s="135"/>
    </row>
    <row r="444" spans="7:14" ht="12.75">
      <c r="G444" s="135"/>
      <c r="H444" s="135"/>
      <c r="I444" s="135"/>
      <c r="J444" s="135"/>
      <c r="K444" s="135"/>
      <c r="L444" s="135"/>
      <c r="M444" s="135"/>
      <c r="N444" s="135"/>
    </row>
    <row r="445" spans="7:14" ht="12.75">
      <c r="G445" s="135"/>
      <c r="H445" s="135"/>
      <c r="I445" s="135"/>
      <c r="J445" s="135"/>
      <c r="K445" s="135"/>
      <c r="L445" s="135"/>
      <c r="M445" s="135"/>
      <c r="N445" s="135"/>
    </row>
    <row r="446" spans="7:14" ht="12.75">
      <c r="G446" s="135"/>
      <c r="H446" s="135"/>
      <c r="I446" s="135"/>
      <c r="J446" s="135"/>
      <c r="K446" s="135"/>
      <c r="L446" s="135"/>
      <c r="M446" s="135"/>
      <c r="N446" s="135"/>
    </row>
    <row r="447" spans="7:14" ht="12.75">
      <c r="G447" s="135"/>
      <c r="H447" s="135"/>
      <c r="I447" s="135"/>
      <c r="J447" s="135"/>
      <c r="K447" s="135"/>
      <c r="L447" s="135"/>
      <c r="M447" s="135"/>
      <c r="N447" s="135"/>
    </row>
    <row r="448" spans="7:14" ht="12.75">
      <c r="G448" s="135"/>
      <c r="H448" s="135"/>
      <c r="I448" s="135"/>
      <c r="J448" s="135"/>
      <c r="K448" s="135"/>
      <c r="L448" s="135"/>
      <c r="M448" s="135"/>
      <c r="N448" s="135"/>
    </row>
    <row r="449" spans="7:14" ht="12.75">
      <c r="G449" s="135"/>
      <c r="H449" s="135"/>
      <c r="I449" s="135"/>
      <c r="J449" s="135"/>
      <c r="K449" s="135"/>
      <c r="L449" s="135"/>
      <c r="M449" s="135"/>
      <c r="N449" s="135"/>
    </row>
    <row r="450" spans="7:14" ht="12.75">
      <c r="G450" s="135"/>
      <c r="H450" s="135"/>
      <c r="I450" s="135"/>
      <c r="J450" s="135"/>
      <c r="K450" s="135"/>
      <c r="L450" s="135"/>
      <c r="M450" s="135"/>
      <c r="N450" s="135"/>
    </row>
    <row r="451" spans="7:14" ht="12.75">
      <c r="G451" s="135"/>
      <c r="H451" s="135"/>
      <c r="I451" s="135"/>
      <c r="J451" s="135"/>
      <c r="K451" s="135"/>
      <c r="L451" s="135"/>
      <c r="M451" s="135"/>
      <c r="N451" s="135"/>
    </row>
    <row r="452" spans="7:14" ht="12.75">
      <c r="G452" s="135"/>
      <c r="H452" s="135"/>
      <c r="I452" s="135"/>
      <c r="J452" s="135"/>
      <c r="K452" s="135"/>
      <c r="L452" s="135"/>
      <c r="M452" s="135"/>
      <c r="N452" s="135"/>
    </row>
    <row r="453" spans="7:14" ht="12.75">
      <c r="G453" s="135"/>
      <c r="H453" s="135"/>
      <c r="I453" s="135"/>
      <c r="J453" s="135"/>
      <c r="K453" s="135"/>
      <c r="L453" s="135"/>
      <c r="M453" s="135"/>
      <c r="N453" s="135"/>
    </row>
    <row r="454" spans="7:14" ht="12.75">
      <c r="G454" s="135"/>
      <c r="H454" s="135"/>
      <c r="I454" s="135"/>
      <c r="J454" s="135"/>
      <c r="K454" s="135"/>
      <c r="L454" s="135"/>
      <c r="M454" s="135"/>
      <c r="N454" s="135"/>
    </row>
    <row r="455" spans="7:14" ht="12.75">
      <c r="G455" s="135"/>
      <c r="H455" s="135"/>
      <c r="I455" s="135"/>
      <c r="J455" s="135"/>
      <c r="K455" s="135"/>
      <c r="L455" s="135"/>
      <c r="M455" s="135"/>
      <c r="N455" s="135"/>
    </row>
    <row r="456" spans="7:14" ht="12.75">
      <c r="G456" s="135"/>
      <c r="H456" s="135"/>
      <c r="I456" s="135"/>
      <c r="J456" s="135"/>
      <c r="K456" s="135"/>
      <c r="L456" s="135"/>
      <c r="M456" s="135"/>
      <c r="N456" s="135"/>
    </row>
    <row r="457" spans="7:14" ht="12.75">
      <c r="G457" s="135"/>
      <c r="H457" s="135"/>
      <c r="I457" s="135"/>
      <c r="J457" s="135"/>
      <c r="K457" s="135"/>
      <c r="L457" s="135"/>
      <c r="M457" s="135"/>
      <c r="N457" s="135"/>
    </row>
    <row r="458" spans="7:14" ht="12.75">
      <c r="G458" s="135"/>
      <c r="H458" s="135"/>
      <c r="I458" s="135"/>
      <c r="J458" s="135"/>
      <c r="K458" s="135"/>
      <c r="L458" s="135"/>
      <c r="M458" s="135"/>
      <c r="N458" s="135"/>
    </row>
    <row r="459" spans="7:14" ht="12.75">
      <c r="G459" s="135"/>
      <c r="H459" s="135"/>
      <c r="I459" s="135"/>
      <c r="J459" s="135"/>
      <c r="K459" s="135"/>
      <c r="L459" s="135"/>
      <c r="M459" s="135"/>
      <c r="N459" s="135"/>
    </row>
    <row r="460" spans="7:14" ht="12.75">
      <c r="G460" s="135"/>
      <c r="H460" s="135"/>
      <c r="I460" s="135"/>
      <c r="J460" s="135"/>
      <c r="K460" s="135"/>
      <c r="L460" s="135"/>
      <c r="M460" s="135"/>
      <c r="N460" s="135"/>
    </row>
    <row r="461" spans="7:14" ht="12.75">
      <c r="G461" s="135"/>
      <c r="H461" s="135"/>
      <c r="I461" s="135"/>
      <c r="J461" s="135"/>
      <c r="K461" s="135"/>
      <c r="L461" s="135"/>
      <c r="M461" s="135"/>
      <c r="N461" s="135"/>
    </row>
    <row r="462" spans="7:14" ht="12.75">
      <c r="G462" s="135"/>
      <c r="H462" s="135"/>
      <c r="I462" s="135"/>
      <c r="J462" s="135"/>
      <c r="K462" s="135"/>
      <c r="L462" s="135"/>
      <c r="M462" s="135"/>
      <c r="N462" s="135"/>
    </row>
    <row r="463" spans="7:14" ht="12.75">
      <c r="G463" s="135"/>
      <c r="H463" s="135"/>
      <c r="I463" s="135"/>
      <c r="J463" s="135"/>
      <c r="K463" s="135"/>
      <c r="L463" s="135"/>
      <c r="M463" s="135"/>
      <c r="N463" s="135"/>
    </row>
    <row r="464" spans="7:14" ht="12.75">
      <c r="G464" s="135"/>
      <c r="H464" s="135"/>
      <c r="I464" s="135"/>
      <c r="J464" s="135"/>
      <c r="K464" s="135"/>
      <c r="L464" s="135"/>
      <c r="M464" s="135"/>
      <c r="N464" s="135"/>
    </row>
    <row r="465" spans="7:14" ht="12.75">
      <c r="G465" s="135"/>
      <c r="H465" s="135"/>
      <c r="I465" s="135"/>
      <c r="J465" s="135"/>
      <c r="K465" s="135"/>
      <c r="L465" s="135"/>
      <c r="M465" s="135"/>
      <c r="N465" s="135"/>
    </row>
    <row r="466" spans="7:14" ht="12.75">
      <c r="G466" s="135"/>
      <c r="H466" s="135"/>
      <c r="I466" s="135"/>
      <c r="J466" s="135"/>
      <c r="K466" s="135"/>
      <c r="L466" s="135"/>
      <c r="M466" s="135"/>
      <c r="N466" s="135"/>
    </row>
    <row r="467" spans="7:14" ht="12.75">
      <c r="G467" s="135"/>
      <c r="H467" s="135"/>
      <c r="I467" s="135"/>
      <c r="J467" s="135"/>
      <c r="K467" s="135"/>
      <c r="L467" s="135"/>
      <c r="M467" s="135"/>
      <c r="N467" s="135"/>
    </row>
    <row r="468" spans="7:14" ht="12.75">
      <c r="G468" s="135"/>
      <c r="H468" s="135"/>
      <c r="I468" s="135"/>
      <c r="J468" s="135"/>
      <c r="K468" s="135"/>
      <c r="L468" s="135"/>
      <c r="M468" s="135"/>
      <c r="N468" s="135"/>
    </row>
    <row r="469" spans="7:14" ht="12.75">
      <c r="G469" s="135"/>
      <c r="H469" s="135"/>
      <c r="I469" s="135"/>
      <c r="J469" s="135"/>
      <c r="K469" s="135"/>
      <c r="L469" s="135"/>
      <c r="M469" s="135"/>
      <c r="N469" s="135"/>
    </row>
    <row r="470" spans="7:14" ht="12.75">
      <c r="G470" s="135"/>
      <c r="H470" s="135"/>
      <c r="I470" s="135"/>
      <c r="J470" s="135"/>
      <c r="K470" s="135"/>
      <c r="L470" s="135"/>
      <c r="M470" s="135"/>
      <c r="N470" s="135"/>
    </row>
    <row r="471" spans="7:14" ht="12.75">
      <c r="G471" s="135"/>
      <c r="H471" s="135"/>
      <c r="I471" s="135"/>
      <c r="J471" s="135"/>
      <c r="K471" s="135"/>
      <c r="L471" s="135"/>
      <c r="M471" s="135"/>
      <c r="N471" s="135"/>
    </row>
    <row r="472" spans="7:14" ht="12.75">
      <c r="G472" s="135"/>
      <c r="H472" s="135"/>
      <c r="I472" s="135"/>
      <c r="J472" s="135"/>
      <c r="K472" s="135"/>
      <c r="L472" s="135"/>
      <c r="M472" s="135"/>
      <c r="N472" s="135"/>
    </row>
    <row r="473" spans="7:14" ht="12.75">
      <c r="G473" s="135"/>
      <c r="H473" s="135"/>
      <c r="I473" s="135"/>
      <c r="J473" s="135"/>
      <c r="K473" s="135"/>
      <c r="L473" s="135"/>
      <c r="M473" s="135"/>
      <c r="N473" s="135"/>
    </row>
    <row r="474" spans="7:14" ht="12.75">
      <c r="G474" s="135"/>
      <c r="H474" s="135"/>
      <c r="I474" s="135"/>
      <c r="J474" s="135"/>
      <c r="K474" s="135"/>
      <c r="L474" s="135"/>
      <c r="M474" s="135"/>
      <c r="N474" s="135"/>
    </row>
    <row r="475" spans="7:14" ht="12.75">
      <c r="G475" s="135"/>
      <c r="H475" s="135"/>
      <c r="I475" s="135"/>
      <c r="J475" s="135"/>
      <c r="K475" s="135"/>
      <c r="L475" s="135"/>
      <c r="M475" s="135"/>
      <c r="N475" s="135"/>
    </row>
    <row r="476" spans="7:14" ht="12.75">
      <c r="G476" s="135"/>
      <c r="H476" s="135"/>
      <c r="I476" s="135"/>
      <c r="J476" s="135"/>
      <c r="K476" s="135"/>
      <c r="L476" s="135"/>
      <c r="M476" s="135"/>
      <c r="N476" s="135"/>
    </row>
    <row r="477" spans="7:14" ht="12.75">
      <c r="G477" s="135"/>
      <c r="H477" s="135"/>
      <c r="I477" s="135"/>
      <c r="J477" s="135"/>
      <c r="K477" s="135"/>
      <c r="L477" s="135"/>
      <c r="M477" s="135"/>
      <c r="N477" s="135"/>
    </row>
    <row r="478" spans="7:14" ht="12.75">
      <c r="G478" s="135"/>
      <c r="H478" s="135"/>
      <c r="I478" s="135"/>
      <c r="J478" s="135"/>
      <c r="K478" s="135"/>
      <c r="L478" s="135"/>
      <c r="M478" s="135"/>
      <c r="N478" s="135"/>
    </row>
    <row r="479" spans="7:14" ht="12.75">
      <c r="G479" s="135"/>
      <c r="H479" s="135"/>
      <c r="I479" s="135"/>
      <c r="J479" s="135"/>
      <c r="K479" s="135"/>
      <c r="L479" s="135"/>
      <c r="M479" s="135"/>
      <c r="N479" s="135"/>
    </row>
    <row r="480" spans="7:14" ht="12.75">
      <c r="G480" s="135"/>
      <c r="H480" s="135"/>
      <c r="I480" s="135"/>
      <c r="J480" s="135"/>
      <c r="K480" s="135"/>
      <c r="L480" s="135"/>
      <c r="M480" s="135"/>
      <c r="N480" s="135"/>
    </row>
    <row r="481" spans="7:14" ht="12.75">
      <c r="G481" s="135"/>
      <c r="H481" s="135"/>
      <c r="I481" s="135"/>
      <c r="J481" s="135"/>
      <c r="K481" s="135"/>
      <c r="L481" s="135"/>
      <c r="M481" s="135"/>
      <c r="N481" s="135"/>
    </row>
    <row r="482" spans="7:14" ht="12.75">
      <c r="G482" s="135"/>
      <c r="H482" s="135"/>
      <c r="I482" s="135"/>
      <c r="J482" s="135"/>
      <c r="K482" s="135"/>
      <c r="L482" s="135"/>
      <c r="M482" s="135"/>
      <c r="N482" s="135"/>
    </row>
    <row r="483" spans="7:14" ht="12.75">
      <c r="G483" s="135"/>
      <c r="H483" s="135"/>
      <c r="I483" s="135"/>
      <c r="J483" s="135"/>
      <c r="K483" s="135"/>
      <c r="L483" s="135"/>
      <c r="M483" s="135"/>
      <c r="N483" s="135"/>
    </row>
    <row r="484" spans="7:14" ht="12.75">
      <c r="G484" s="135"/>
      <c r="H484" s="135"/>
      <c r="I484" s="135"/>
      <c r="J484" s="135"/>
      <c r="K484" s="135"/>
      <c r="L484" s="135"/>
      <c r="M484" s="135"/>
      <c r="N484" s="135"/>
    </row>
    <row r="485" spans="7:14" ht="12.75">
      <c r="G485" s="135"/>
      <c r="H485" s="135"/>
      <c r="I485" s="135"/>
      <c r="J485" s="135"/>
      <c r="K485" s="135"/>
      <c r="L485" s="135"/>
      <c r="M485" s="135"/>
      <c r="N485" s="135"/>
    </row>
    <row r="486" spans="7:14" ht="12.75">
      <c r="G486" s="135"/>
      <c r="H486" s="135"/>
      <c r="I486" s="135"/>
      <c r="J486" s="135"/>
      <c r="K486" s="135"/>
      <c r="L486" s="135"/>
      <c r="M486" s="135"/>
      <c r="N486" s="135"/>
    </row>
    <row r="487" spans="7:14" ht="12.75">
      <c r="G487" s="135"/>
      <c r="H487" s="135"/>
      <c r="I487" s="135"/>
      <c r="J487" s="135"/>
      <c r="K487" s="135"/>
      <c r="L487" s="135"/>
      <c r="M487" s="135"/>
      <c r="N487" s="135"/>
    </row>
    <row r="488" spans="7:14" ht="12.75">
      <c r="G488" s="135"/>
      <c r="H488" s="135"/>
      <c r="I488" s="135"/>
      <c r="J488" s="135"/>
      <c r="K488" s="135"/>
      <c r="L488" s="135"/>
      <c r="M488" s="135"/>
      <c r="N488" s="135"/>
    </row>
    <row r="489" spans="7:14" ht="12.75">
      <c r="G489" s="135"/>
      <c r="H489" s="135"/>
      <c r="I489" s="135"/>
      <c r="J489" s="135"/>
      <c r="K489" s="135"/>
      <c r="L489" s="135"/>
      <c r="M489" s="135"/>
      <c r="N489" s="135"/>
    </row>
    <row r="490" spans="7:14" ht="12.75">
      <c r="G490" s="135"/>
      <c r="H490" s="135"/>
      <c r="I490" s="135"/>
      <c r="J490" s="135"/>
      <c r="K490" s="135"/>
      <c r="L490" s="135"/>
      <c r="M490" s="135"/>
      <c r="N490" s="135"/>
    </row>
    <row r="491" spans="7:14" ht="12.75">
      <c r="G491" s="135"/>
      <c r="H491" s="135"/>
      <c r="I491" s="135"/>
      <c r="J491" s="135"/>
      <c r="K491" s="135"/>
      <c r="L491" s="135"/>
      <c r="M491" s="135"/>
      <c r="N491" s="135"/>
    </row>
    <row r="492" spans="7:14" ht="12.75">
      <c r="G492" s="135"/>
      <c r="H492" s="135"/>
      <c r="I492" s="135"/>
      <c r="J492" s="135"/>
      <c r="K492" s="135"/>
      <c r="L492" s="135"/>
      <c r="M492" s="135"/>
      <c r="N492" s="135"/>
    </row>
    <row r="493" spans="7:14" ht="12.75">
      <c r="G493" s="135"/>
      <c r="H493" s="135"/>
      <c r="I493" s="135"/>
      <c r="J493" s="135"/>
      <c r="K493" s="135"/>
      <c r="L493" s="135"/>
      <c r="M493" s="135"/>
      <c r="N493" s="135"/>
    </row>
    <row r="494" spans="7:14" ht="12.75">
      <c r="G494" s="135"/>
      <c r="H494" s="135"/>
      <c r="I494" s="135"/>
      <c r="J494" s="135"/>
      <c r="K494" s="135"/>
      <c r="L494" s="135"/>
      <c r="M494" s="135"/>
      <c r="N494" s="135"/>
    </row>
    <row r="495" spans="7:14" ht="12.75">
      <c r="G495" s="135"/>
      <c r="H495" s="135"/>
      <c r="I495" s="135"/>
      <c r="J495" s="135"/>
      <c r="K495" s="135"/>
      <c r="L495" s="135"/>
      <c r="M495" s="135"/>
      <c r="N495" s="135"/>
    </row>
    <row r="496" spans="7:14" ht="12.75">
      <c r="G496" s="135"/>
      <c r="H496" s="135"/>
      <c r="I496" s="135"/>
      <c r="J496" s="135"/>
      <c r="K496" s="135"/>
      <c r="L496" s="135"/>
      <c r="M496" s="135"/>
      <c r="N496" s="135"/>
    </row>
    <row r="497" spans="7:14" ht="12.75">
      <c r="G497" s="135"/>
      <c r="H497" s="135"/>
      <c r="I497" s="135"/>
      <c r="J497" s="135"/>
      <c r="K497" s="135"/>
      <c r="L497" s="135"/>
      <c r="M497" s="135"/>
      <c r="N497" s="135"/>
    </row>
    <row r="498" spans="7:14" ht="12.75">
      <c r="G498" s="135"/>
      <c r="H498" s="135"/>
      <c r="I498" s="135"/>
      <c r="J498" s="135"/>
      <c r="K498" s="135"/>
      <c r="L498" s="135"/>
      <c r="M498" s="135"/>
      <c r="N498" s="135"/>
    </row>
    <row r="499" spans="7:14" ht="12.75">
      <c r="G499" s="135"/>
      <c r="H499" s="135"/>
      <c r="I499" s="135"/>
      <c r="J499" s="135"/>
      <c r="K499" s="135"/>
      <c r="L499" s="135"/>
      <c r="M499" s="135"/>
      <c r="N499" s="135"/>
    </row>
    <row r="500" spans="7:14" ht="12.75">
      <c r="G500" s="135"/>
      <c r="H500" s="135"/>
      <c r="I500" s="135"/>
      <c r="J500" s="135"/>
      <c r="K500" s="135"/>
      <c r="L500" s="135"/>
      <c r="M500" s="135"/>
      <c r="N500" s="135"/>
    </row>
    <row r="501" spans="7:14" ht="12.75">
      <c r="G501" s="135"/>
      <c r="H501" s="135"/>
      <c r="I501" s="135"/>
      <c r="J501" s="135"/>
      <c r="K501" s="135"/>
      <c r="L501" s="135"/>
      <c r="M501" s="135"/>
      <c r="N501" s="135"/>
    </row>
    <row r="502" spans="7:14" ht="12.75">
      <c r="G502" s="135"/>
      <c r="H502" s="135"/>
      <c r="I502" s="135"/>
      <c r="J502" s="135"/>
      <c r="K502" s="135"/>
      <c r="L502" s="135"/>
      <c r="M502" s="135"/>
      <c r="N502" s="135"/>
    </row>
    <row r="503" spans="7:14" ht="12.75">
      <c r="G503" s="135"/>
      <c r="H503" s="135"/>
      <c r="I503" s="135"/>
      <c r="J503" s="135"/>
      <c r="K503" s="135"/>
      <c r="L503" s="135"/>
      <c r="M503" s="135"/>
      <c r="N503" s="135"/>
    </row>
    <row r="504" spans="7:14" ht="12.75">
      <c r="G504" s="135"/>
      <c r="H504" s="135"/>
      <c r="I504" s="135"/>
      <c r="J504" s="135"/>
      <c r="K504" s="135"/>
      <c r="L504" s="135"/>
      <c r="M504" s="135"/>
      <c r="N504" s="135"/>
    </row>
    <row r="505" spans="7:14" ht="12.75">
      <c r="G505" s="135"/>
      <c r="H505" s="135"/>
      <c r="I505" s="135"/>
      <c r="J505" s="135"/>
      <c r="K505" s="135"/>
      <c r="L505" s="135"/>
      <c r="M505" s="135"/>
      <c r="N505" s="135"/>
    </row>
    <row r="506" spans="7:14" ht="12.75">
      <c r="G506" s="135"/>
      <c r="H506" s="135"/>
      <c r="I506" s="135"/>
      <c r="J506" s="135"/>
      <c r="K506" s="135"/>
      <c r="L506" s="135"/>
      <c r="M506" s="135"/>
      <c r="N506" s="135"/>
    </row>
    <row r="507" spans="7:14" ht="12.75">
      <c r="G507" s="135"/>
      <c r="H507" s="135"/>
      <c r="I507" s="135"/>
      <c r="J507" s="135"/>
      <c r="K507" s="135"/>
      <c r="L507" s="135"/>
      <c r="M507" s="135"/>
      <c r="N507" s="135"/>
    </row>
    <row r="508" spans="7:14" ht="12.75">
      <c r="G508" s="135"/>
      <c r="H508" s="135"/>
      <c r="I508" s="135"/>
      <c r="J508" s="135"/>
      <c r="K508" s="135"/>
      <c r="L508" s="135"/>
      <c r="M508" s="135"/>
      <c r="N508" s="135"/>
    </row>
    <row r="509" spans="7:14" ht="12.75">
      <c r="G509" s="135"/>
      <c r="H509" s="135"/>
      <c r="I509" s="135"/>
      <c r="J509" s="135"/>
      <c r="K509" s="135"/>
      <c r="L509" s="135"/>
      <c r="M509" s="135"/>
      <c r="N509" s="135"/>
    </row>
    <row r="510" spans="7:14" ht="12.75">
      <c r="G510" s="135"/>
      <c r="H510" s="135"/>
      <c r="I510" s="135"/>
      <c r="J510" s="135"/>
      <c r="K510" s="135"/>
      <c r="L510" s="135"/>
      <c r="M510" s="135"/>
      <c r="N510" s="135"/>
    </row>
    <row r="511" spans="7:14" ht="12.75">
      <c r="G511" s="135"/>
      <c r="H511" s="135"/>
      <c r="I511" s="135"/>
      <c r="J511" s="135"/>
      <c r="K511" s="135"/>
      <c r="L511" s="135"/>
      <c r="M511" s="135"/>
      <c r="N511" s="135"/>
    </row>
    <row r="512" spans="7:14" ht="12.75">
      <c r="G512" s="135"/>
      <c r="H512" s="135"/>
      <c r="I512" s="135"/>
      <c r="J512" s="135"/>
      <c r="K512" s="135"/>
      <c r="L512" s="135"/>
      <c r="M512" s="135"/>
      <c r="N512" s="135"/>
    </row>
    <row r="513" spans="7:14" ht="12.75">
      <c r="G513" s="135"/>
      <c r="H513" s="135"/>
      <c r="I513" s="135"/>
      <c r="J513" s="135"/>
      <c r="K513" s="135"/>
      <c r="L513" s="135"/>
      <c r="M513" s="135"/>
      <c r="N513" s="135"/>
    </row>
    <row r="514" spans="7:14" ht="12.75">
      <c r="G514" s="135"/>
      <c r="H514" s="135"/>
      <c r="I514" s="135"/>
      <c r="J514" s="135"/>
      <c r="K514" s="135"/>
      <c r="L514" s="135"/>
      <c r="M514" s="135"/>
      <c r="N514" s="135"/>
    </row>
    <row r="515" spans="7:14" ht="12.75">
      <c r="G515" s="135"/>
      <c r="H515" s="135"/>
      <c r="I515" s="135"/>
      <c r="J515" s="135"/>
      <c r="K515" s="135"/>
      <c r="L515" s="135"/>
      <c r="M515" s="135"/>
      <c r="N515" s="135"/>
    </row>
    <row r="516" spans="7:14" ht="12.75">
      <c r="G516" s="135"/>
      <c r="H516" s="135"/>
      <c r="I516" s="135"/>
      <c r="J516" s="135"/>
      <c r="K516" s="135"/>
      <c r="L516" s="135"/>
      <c r="M516" s="135"/>
      <c r="N516" s="135"/>
    </row>
    <row r="517" spans="7:14" ht="12.75">
      <c r="G517" s="135"/>
      <c r="H517" s="135"/>
      <c r="I517" s="135"/>
      <c r="J517" s="135"/>
      <c r="K517" s="135"/>
      <c r="L517" s="135"/>
      <c r="M517" s="135"/>
      <c r="N517" s="135"/>
    </row>
    <row r="518" spans="7:14" ht="12.75">
      <c r="G518" s="135"/>
      <c r="H518" s="135"/>
      <c r="I518" s="135"/>
      <c r="J518" s="135"/>
      <c r="K518" s="135"/>
      <c r="L518" s="135"/>
      <c r="M518" s="135"/>
      <c r="N518" s="135"/>
    </row>
    <row r="519" spans="7:14" ht="12.75">
      <c r="G519" s="135"/>
      <c r="H519" s="135"/>
      <c r="I519" s="135"/>
      <c r="J519" s="135"/>
      <c r="K519" s="135"/>
      <c r="L519" s="135"/>
      <c r="M519" s="135"/>
      <c r="N519" s="135"/>
    </row>
    <row r="520" spans="7:14" ht="12.75">
      <c r="G520" s="135"/>
      <c r="H520" s="135"/>
      <c r="I520" s="135"/>
      <c r="J520" s="135"/>
      <c r="K520" s="135"/>
      <c r="L520" s="135"/>
      <c r="M520" s="135"/>
      <c r="N520" s="135"/>
    </row>
    <row r="521" spans="7:14" ht="12.75">
      <c r="G521" s="135"/>
      <c r="H521" s="135"/>
      <c r="I521" s="135"/>
      <c r="J521" s="135"/>
      <c r="K521" s="135"/>
      <c r="L521" s="135"/>
      <c r="M521" s="135"/>
      <c r="N521" s="135"/>
    </row>
    <row r="522" spans="7:14" ht="12.75">
      <c r="G522" s="135"/>
      <c r="H522" s="135"/>
      <c r="I522" s="135"/>
      <c r="J522" s="135"/>
      <c r="K522" s="135"/>
      <c r="L522" s="135"/>
      <c r="M522" s="135"/>
      <c r="N522" s="135"/>
    </row>
    <row r="523" spans="7:14" ht="12.75">
      <c r="G523" s="135"/>
      <c r="H523" s="135"/>
      <c r="I523" s="135"/>
      <c r="J523" s="135"/>
      <c r="K523" s="135"/>
      <c r="L523" s="135"/>
      <c r="M523" s="135"/>
      <c r="N523" s="135"/>
    </row>
    <row r="524" spans="7:14" ht="12.75">
      <c r="G524" s="135"/>
      <c r="H524" s="135"/>
      <c r="I524" s="135"/>
      <c r="J524" s="135"/>
      <c r="K524" s="135"/>
      <c r="L524" s="135"/>
      <c r="M524" s="135"/>
      <c r="N524" s="135"/>
    </row>
    <row r="525" spans="7:14" ht="12.75">
      <c r="G525" s="135"/>
      <c r="H525" s="135"/>
      <c r="I525" s="135"/>
      <c r="J525" s="135"/>
      <c r="K525" s="135"/>
      <c r="L525" s="135"/>
      <c r="M525" s="135"/>
      <c r="N525" s="135"/>
    </row>
    <row r="526" spans="7:14" ht="12.75">
      <c r="G526" s="135"/>
      <c r="H526" s="135"/>
      <c r="I526" s="135"/>
      <c r="J526" s="135"/>
      <c r="K526" s="135"/>
      <c r="L526" s="135"/>
      <c r="M526" s="135"/>
      <c r="N526" s="135"/>
    </row>
    <row r="527" spans="7:14" ht="12.75">
      <c r="G527" s="135"/>
      <c r="H527" s="135"/>
      <c r="I527" s="135"/>
      <c r="J527" s="135"/>
      <c r="K527" s="135"/>
      <c r="L527" s="135"/>
      <c r="M527" s="135"/>
      <c r="N527" s="135"/>
    </row>
    <row r="528" spans="7:14" ht="12.75">
      <c r="G528" s="135"/>
      <c r="H528" s="135"/>
      <c r="I528" s="135"/>
      <c r="J528" s="135"/>
      <c r="K528" s="135"/>
      <c r="L528" s="135"/>
      <c r="M528" s="135"/>
      <c r="N528" s="135"/>
    </row>
    <row r="529" spans="7:14" ht="12.75">
      <c r="G529" s="135"/>
      <c r="H529" s="135"/>
      <c r="I529" s="135"/>
      <c r="J529" s="135"/>
      <c r="K529" s="135"/>
      <c r="L529" s="135"/>
      <c r="M529" s="135"/>
      <c r="N529" s="135"/>
    </row>
    <row r="530" spans="7:14" ht="12.75">
      <c r="G530" s="135"/>
      <c r="H530" s="135"/>
      <c r="I530" s="135"/>
      <c r="J530" s="135"/>
      <c r="K530" s="135"/>
      <c r="L530" s="135"/>
      <c r="M530" s="135"/>
      <c r="N530" s="135"/>
    </row>
    <row r="531" spans="7:14" ht="12.75">
      <c r="G531" s="135"/>
      <c r="H531" s="135"/>
      <c r="I531" s="135"/>
      <c r="J531" s="135"/>
      <c r="K531" s="135"/>
      <c r="L531" s="135"/>
      <c r="M531" s="135"/>
      <c r="N531" s="135"/>
    </row>
    <row r="532" spans="7:14" ht="12.75">
      <c r="G532" s="135"/>
      <c r="H532" s="135"/>
      <c r="I532" s="135"/>
      <c r="J532" s="135"/>
      <c r="K532" s="135"/>
      <c r="L532" s="135"/>
      <c r="M532" s="135"/>
      <c r="N532" s="135"/>
    </row>
    <row r="533" spans="7:14" ht="12.75">
      <c r="G533" s="135"/>
      <c r="H533" s="135"/>
      <c r="I533" s="135"/>
      <c r="J533" s="135"/>
      <c r="K533" s="135"/>
      <c r="L533" s="135"/>
      <c r="M533" s="135"/>
      <c r="N533" s="135"/>
    </row>
    <row r="534" spans="7:14" ht="12.75">
      <c r="G534" s="135"/>
      <c r="H534" s="135"/>
      <c r="I534" s="135"/>
      <c r="J534" s="135"/>
      <c r="K534" s="135"/>
      <c r="L534" s="135"/>
      <c r="M534" s="135"/>
      <c r="N534" s="135"/>
    </row>
    <row r="535" spans="7:14" ht="12.75">
      <c r="G535" s="135"/>
      <c r="H535" s="135"/>
      <c r="I535" s="135"/>
      <c r="J535" s="135"/>
      <c r="K535" s="135"/>
      <c r="L535" s="135"/>
      <c r="M535" s="135"/>
      <c r="N535" s="135"/>
    </row>
    <row r="536" spans="7:14" ht="12.75">
      <c r="G536" s="135"/>
      <c r="H536" s="135"/>
      <c r="I536" s="135"/>
      <c r="J536" s="135"/>
      <c r="K536" s="135"/>
      <c r="L536" s="135"/>
      <c r="M536" s="135"/>
      <c r="N536" s="135"/>
    </row>
    <row r="537" spans="7:14" ht="12.75">
      <c r="G537" s="135"/>
      <c r="H537" s="135"/>
      <c r="I537" s="135"/>
      <c r="J537" s="135"/>
      <c r="K537" s="135"/>
      <c r="L537" s="135"/>
      <c r="M537" s="135"/>
      <c r="N537" s="135"/>
    </row>
    <row r="538" spans="7:14" ht="12.75">
      <c r="G538" s="135"/>
      <c r="H538" s="135"/>
      <c r="I538" s="135"/>
      <c r="J538" s="135"/>
      <c r="K538" s="135"/>
      <c r="L538" s="135"/>
      <c r="M538" s="135"/>
      <c r="N538" s="135"/>
    </row>
    <row r="539" spans="7:14" ht="12.75">
      <c r="G539" s="135"/>
      <c r="H539" s="135"/>
      <c r="I539" s="135"/>
      <c r="J539" s="135"/>
      <c r="K539" s="135"/>
      <c r="L539" s="135"/>
      <c r="M539" s="135"/>
      <c r="N539" s="135"/>
    </row>
    <row r="540" spans="7:14" ht="12.75">
      <c r="G540" s="135"/>
      <c r="H540" s="135"/>
      <c r="I540" s="135"/>
      <c r="J540" s="135"/>
      <c r="K540" s="135"/>
      <c r="L540" s="135"/>
      <c r="M540" s="135"/>
      <c r="N540" s="135"/>
    </row>
    <row r="541" spans="7:14" ht="12.75">
      <c r="G541" s="135"/>
      <c r="H541" s="135"/>
      <c r="I541" s="135"/>
      <c r="J541" s="135"/>
      <c r="K541" s="135"/>
      <c r="L541" s="135"/>
      <c r="M541" s="135"/>
      <c r="N541" s="135"/>
    </row>
    <row r="542" spans="7:14" ht="12.75">
      <c r="G542" s="135"/>
      <c r="H542" s="135"/>
      <c r="I542" s="135"/>
      <c r="J542" s="135"/>
      <c r="K542" s="135"/>
      <c r="L542" s="135"/>
      <c r="M542" s="135"/>
      <c r="N542" s="135"/>
    </row>
    <row r="543" spans="7:14" ht="12.75">
      <c r="G543" s="135"/>
      <c r="H543" s="135"/>
      <c r="I543" s="135"/>
      <c r="J543" s="135"/>
      <c r="K543" s="135"/>
      <c r="L543" s="135"/>
      <c r="M543" s="135"/>
      <c r="N543" s="135"/>
    </row>
    <row r="544" spans="7:14" ht="12.75">
      <c r="G544" s="135"/>
      <c r="H544" s="135"/>
      <c r="I544" s="135"/>
      <c r="J544" s="135"/>
      <c r="K544" s="135"/>
      <c r="L544" s="135"/>
      <c r="M544" s="135"/>
      <c r="N544" s="135"/>
    </row>
    <row r="545" spans="7:14" ht="12.75">
      <c r="G545" s="135"/>
      <c r="H545" s="135"/>
      <c r="I545" s="135"/>
      <c r="J545" s="135"/>
      <c r="K545" s="135"/>
      <c r="L545" s="135"/>
      <c r="M545" s="135"/>
      <c r="N545" s="135"/>
    </row>
    <row r="546" spans="7:14" ht="12.75">
      <c r="G546" s="135"/>
      <c r="H546" s="135"/>
      <c r="I546" s="135"/>
      <c r="J546" s="135"/>
      <c r="K546" s="135"/>
      <c r="L546" s="135"/>
      <c r="M546" s="135"/>
      <c r="N546" s="135"/>
    </row>
    <row r="547" spans="7:14" ht="12.75">
      <c r="G547" s="135"/>
      <c r="H547" s="135"/>
      <c r="I547" s="135"/>
      <c r="J547" s="135"/>
      <c r="K547" s="135"/>
      <c r="L547" s="135"/>
      <c r="M547" s="135"/>
      <c r="N547" s="135"/>
    </row>
    <row r="548" spans="7:14" ht="12.75">
      <c r="G548" s="135"/>
      <c r="H548" s="135"/>
      <c r="I548" s="135"/>
      <c r="J548" s="135"/>
      <c r="K548" s="135"/>
      <c r="L548" s="135"/>
      <c r="M548" s="135"/>
      <c r="N548" s="135"/>
    </row>
    <row r="549" spans="7:14" ht="12.75">
      <c r="G549" s="135"/>
      <c r="H549" s="135"/>
      <c r="I549" s="135"/>
      <c r="J549" s="135"/>
      <c r="K549" s="135"/>
      <c r="L549" s="135"/>
      <c r="M549" s="135"/>
      <c r="N549" s="135"/>
    </row>
    <row r="550" spans="7:14" ht="12.75">
      <c r="G550" s="135"/>
      <c r="H550" s="135"/>
      <c r="I550" s="135"/>
      <c r="J550" s="135"/>
      <c r="K550" s="135"/>
      <c r="L550" s="135"/>
      <c r="M550" s="135"/>
      <c r="N550" s="135"/>
    </row>
    <row r="551" spans="7:14" ht="12.75">
      <c r="G551" s="135"/>
      <c r="H551" s="135"/>
      <c r="I551" s="135"/>
      <c r="J551" s="135"/>
      <c r="K551" s="135"/>
      <c r="L551" s="135"/>
      <c r="M551" s="135"/>
      <c r="N551" s="135"/>
    </row>
    <row r="552" spans="7:14" ht="12.75">
      <c r="G552" s="135"/>
      <c r="H552" s="135"/>
      <c r="I552" s="135"/>
      <c r="J552" s="135"/>
      <c r="K552" s="135"/>
      <c r="L552" s="135"/>
      <c r="M552" s="135"/>
      <c r="N552" s="135"/>
    </row>
    <row r="553" spans="7:14" ht="12.75">
      <c r="G553" s="135"/>
      <c r="H553" s="135"/>
      <c r="I553" s="135"/>
      <c r="J553" s="135"/>
      <c r="K553" s="135"/>
      <c r="L553" s="135"/>
      <c r="M553" s="135"/>
      <c r="N553" s="135"/>
    </row>
    <row r="554" spans="7:14" ht="12.75">
      <c r="G554" s="135"/>
      <c r="H554" s="135"/>
      <c r="I554" s="135"/>
      <c r="J554" s="135"/>
      <c r="K554" s="135"/>
      <c r="L554" s="135"/>
      <c r="M554" s="135"/>
      <c r="N554" s="135"/>
    </row>
    <row r="555" spans="7:14" ht="12.75">
      <c r="G555" s="135"/>
      <c r="H555" s="135"/>
      <c r="I555" s="135"/>
      <c r="J555" s="135"/>
      <c r="K555" s="135"/>
      <c r="L555" s="135"/>
      <c r="M555" s="135"/>
      <c r="N555" s="135"/>
    </row>
    <row r="556" spans="7:14" ht="12.75">
      <c r="G556" s="135"/>
      <c r="H556" s="135"/>
      <c r="I556" s="135"/>
      <c r="J556" s="135"/>
      <c r="K556" s="135"/>
      <c r="L556" s="135"/>
      <c r="M556" s="135"/>
      <c r="N556" s="135"/>
    </row>
    <row r="557" spans="7:14" ht="12.75">
      <c r="G557" s="135"/>
      <c r="H557" s="135"/>
      <c r="I557" s="135"/>
      <c r="J557" s="135"/>
      <c r="K557" s="135"/>
      <c r="L557" s="135"/>
      <c r="M557" s="135"/>
      <c r="N557" s="135"/>
    </row>
    <row r="558" spans="7:14" ht="12.75">
      <c r="G558" s="135"/>
      <c r="H558" s="135"/>
      <c r="I558" s="135"/>
      <c r="J558" s="135"/>
      <c r="K558" s="135"/>
      <c r="L558" s="135"/>
      <c r="M558" s="135"/>
      <c r="N558" s="135"/>
    </row>
    <row r="559" spans="7:14" ht="12.75">
      <c r="G559" s="135"/>
      <c r="H559" s="135"/>
      <c r="I559" s="135"/>
      <c r="J559" s="135"/>
      <c r="K559" s="135"/>
      <c r="L559" s="135"/>
      <c r="M559" s="135"/>
      <c r="N559" s="135"/>
    </row>
    <row r="560" spans="7:14" ht="12.75">
      <c r="G560" s="135"/>
      <c r="H560" s="135"/>
      <c r="I560" s="135"/>
      <c r="J560" s="135"/>
      <c r="K560" s="135"/>
      <c r="L560" s="135"/>
      <c r="M560" s="135"/>
      <c r="N560" s="135"/>
    </row>
    <row r="561" spans="7:14" ht="12.75">
      <c r="G561" s="135"/>
      <c r="H561" s="135"/>
      <c r="I561" s="135"/>
      <c r="J561" s="135"/>
      <c r="K561" s="135"/>
      <c r="L561" s="135"/>
      <c r="M561" s="135"/>
      <c r="N561" s="135"/>
    </row>
    <row r="562" spans="7:14" ht="12.75">
      <c r="G562" s="135"/>
      <c r="H562" s="135"/>
      <c r="I562" s="135"/>
      <c r="J562" s="135"/>
      <c r="K562" s="135"/>
      <c r="L562" s="135"/>
      <c r="M562" s="135"/>
      <c r="N562" s="135"/>
    </row>
    <row r="563" spans="7:14" ht="12.75">
      <c r="G563" s="135"/>
      <c r="H563" s="135"/>
      <c r="I563" s="135"/>
      <c r="J563" s="135"/>
      <c r="K563" s="135"/>
      <c r="L563" s="135"/>
      <c r="M563" s="135"/>
      <c r="N563" s="135"/>
    </row>
    <row r="564" spans="7:14" ht="12.75">
      <c r="G564" s="135"/>
      <c r="H564" s="135"/>
      <c r="I564" s="135"/>
      <c r="J564" s="135"/>
      <c r="K564" s="135"/>
      <c r="L564" s="135"/>
      <c r="M564" s="135"/>
      <c r="N564" s="135"/>
    </row>
    <row r="565" spans="7:14" ht="12.75">
      <c r="G565" s="135"/>
      <c r="H565" s="135"/>
      <c r="I565" s="135"/>
      <c r="J565" s="135"/>
      <c r="K565" s="135"/>
      <c r="L565" s="135"/>
      <c r="M565" s="135"/>
      <c r="N565" s="135"/>
    </row>
    <row r="566" spans="7:14" ht="12.75">
      <c r="G566" s="135"/>
      <c r="H566" s="135"/>
      <c r="I566" s="135"/>
      <c r="J566" s="135"/>
      <c r="K566" s="135"/>
      <c r="L566" s="135"/>
      <c r="M566" s="135"/>
      <c r="N566" s="135"/>
    </row>
    <row r="567" spans="7:14" ht="12.75">
      <c r="G567" s="135"/>
      <c r="H567" s="135"/>
      <c r="I567" s="135"/>
      <c r="J567" s="135"/>
      <c r="K567" s="135"/>
      <c r="L567" s="135"/>
      <c r="M567" s="135"/>
      <c r="N567" s="135"/>
    </row>
    <row r="568" spans="7:14" ht="12.75">
      <c r="G568" s="135"/>
      <c r="H568" s="135"/>
      <c r="I568" s="135"/>
      <c r="J568" s="135"/>
      <c r="K568" s="135"/>
      <c r="L568" s="135"/>
      <c r="M568" s="135"/>
      <c r="N568" s="135"/>
    </row>
    <row r="569" spans="7:14" ht="12.75">
      <c r="G569" s="135"/>
      <c r="H569" s="135"/>
      <c r="I569" s="135"/>
      <c r="J569" s="135"/>
      <c r="K569" s="135"/>
      <c r="L569" s="135"/>
      <c r="M569" s="135"/>
      <c r="N569" s="135"/>
    </row>
    <row r="570" spans="7:14" ht="12.75">
      <c r="G570" s="135"/>
      <c r="H570" s="135"/>
      <c r="I570" s="135"/>
      <c r="J570" s="135"/>
      <c r="K570" s="135"/>
      <c r="L570" s="135"/>
      <c r="M570" s="135"/>
      <c r="N570" s="135"/>
    </row>
    <row r="571" spans="7:14" ht="12.75">
      <c r="G571" s="135"/>
      <c r="H571" s="135"/>
      <c r="I571" s="135"/>
      <c r="J571" s="135"/>
      <c r="K571" s="135"/>
      <c r="L571" s="135"/>
      <c r="M571" s="135"/>
      <c r="N571" s="135"/>
    </row>
    <row r="572" spans="7:14" ht="12.75">
      <c r="G572" s="135"/>
      <c r="H572" s="135"/>
      <c r="I572" s="135"/>
      <c r="J572" s="135"/>
      <c r="K572" s="135"/>
      <c r="L572" s="135"/>
      <c r="M572" s="135"/>
      <c r="N572" s="135"/>
    </row>
    <row r="573" spans="7:14" ht="12.75">
      <c r="G573" s="135"/>
      <c r="H573" s="135"/>
      <c r="I573" s="135"/>
      <c r="J573" s="135"/>
      <c r="K573" s="135"/>
      <c r="L573" s="135"/>
      <c r="M573" s="135"/>
      <c r="N573" s="135"/>
    </row>
    <row r="574" spans="7:14" ht="12.75">
      <c r="G574" s="135"/>
      <c r="H574" s="135"/>
      <c r="I574" s="135"/>
      <c r="J574" s="135"/>
      <c r="K574" s="135"/>
      <c r="L574" s="135"/>
      <c r="M574" s="135"/>
      <c r="N574" s="135"/>
    </row>
    <row r="575" spans="7:14" ht="12.75">
      <c r="G575" s="135"/>
      <c r="H575" s="135"/>
      <c r="I575" s="135"/>
      <c r="J575" s="135"/>
      <c r="K575" s="135"/>
      <c r="L575" s="135"/>
      <c r="M575" s="135"/>
      <c r="N575" s="135"/>
    </row>
    <row r="576" spans="7:14" ht="12.75">
      <c r="G576" s="135"/>
      <c r="H576" s="135"/>
      <c r="I576" s="135"/>
      <c r="J576" s="135"/>
      <c r="K576" s="135"/>
      <c r="L576" s="135"/>
      <c r="M576" s="135"/>
      <c r="N576" s="135"/>
    </row>
    <row r="577" spans="7:14" ht="12.75">
      <c r="G577" s="135"/>
      <c r="H577" s="135"/>
      <c r="I577" s="135"/>
      <c r="J577" s="135"/>
      <c r="K577" s="135"/>
      <c r="L577" s="135"/>
      <c r="M577" s="135"/>
      <c r="N577" s="135"/>
    </row>
    <row r="578" spans="7:14" ht="12.75">
      <c r="G578" s="135"/>
      <c r="H578" s="135"/>
      <c r="I578" s="135"/>
      <c r="J578" s="135"/>
      <c r="K578" s="135"/>
      <c r="L578" s="135"/>
      <c r="M578" s="135"/>
      <c r="N578" s="135"/>
    </row>
    <row r="579" spans="7:14" ht="12.75">
      <c r="G579" s="135"/>
      <c r="H579" s="135"/>
      <c r="I579" s="135"/>
      <c r="J579" s="135"/>
      <c r="K579" s="135"/>
      <c r="L579" s="135"/>
      <c r="M579" s="135"/>
      <c r="N579" s="135"/>
    </row>
    <row r="580" spans="7:14" ht="12.75">
      <c r="G580" s="135"/>
      <c r="H580" s="135"/>
      <c r="I580" s="135"/>
      <c r="J580" s="135"/>
      <c r="K580" s="135"/>
      <c r="L580" s="135"/>
      <c r="M580" s="135"/>
      <c r="N580" s="135"/>
    </row>
    <row r="581" spans="7:14" ht="12.75">
      <c r="G581" s="135"/>
      <c r="H581" s="135"/>
      <c r="I581" s="135"/>
      <c r="J581" s="135"/>
      <c r="K581" s="135"/>
      <c r="L581" s="135"/>
      <c r="M581" s="135"/>
      <c r="N581" s="135"/>
    </row>
    <row r="582" spans="7:14" ht="12.75">
      <c r="G582" s="135"/>
      <c r="H582" s="135"/>
      <c r="I582" s="135"/>
      <c r="J582" s="135"/>
      <c r="K582" s="135"/>
      <c r="L582" s="135"/>
      <c r="M582" s="135"/>
      <c r="N582" s="135"/>
    </row>
    <row r="583" spans="7:14" ht="12.75">
      <c r="G583" s="135"/>
      <c r="H583" s="135"/>
      <c r="I583" s="135"/>
      <c r="J583" s="135"/>
      <c r="K583" s="135"/>
      <c r="L583" s="135"/>
      <c r="M583" s="135"/>
      <c r="N583" s="135"/>
    </row>
    <row r="584" spans="7:14" ht="12.75">
      <c r="G584" s="135"/>
      <c r="H584" s="135"/>
      <c r="I584" s="135"/>
      <c r="J584" s="135"/>
      <c r="K584" s="135"/>
      <c r="L584" s="135"/>
      <c r="M584" s="135"/>
      <c r="N584" s="135"/>
    </row>
    <row r="585" spans="7:14" ht="12.75">
      <c r="G585" s="135"/>
      <c r="H585" s="135"/>
      <c r="I585" s="135"/>
      <c r="J585" s="135"/>
      <c r="K585" s="135"/>
      <c r="L585" s="135"/>
      <c r="M585" s="135"/>
      <c r="N585" s="135"/>
    </row>
    <row r="586" spans="7:14" ht="12.75">
      <c r="G586" s="135"/>
      <c r="H586" s="135"/>
      <c r="I586" s="135"/>
      <c r="J586" s="135"/>
      <c r="K586" s="135"/>
      <c r="L586" s="135"/>
      <c r="M586" s="135"/>
      <c r="N586" s="135"/>
    </row>
    <row r="587" spans="7:14" ht="12.75">
      <c r="G587" s="135"/>
      <c r="H587" s="135"/>
      <c r="I587" s="135"/>
      <c r="J587" s="135"/>
      <c r="K587" s="135"/>
      <c r="L587" s="135"/>
      <c r="M587" s="135"/>
      <c r="N587" s="135"/>
    </row>
    <row r="588" spans="7:14" ht="12.75">
      <c r="G588" s="135"/>
      <c r="H588" s="135"/>
      <c r="I588" s="135"/>
      <c r="J588" s="135"/>
      <c r="K588" s="135"/>
      <c r="L588" s="135"/>
      <c r="M588" s="135"/>
      <c r="N588" s="135"/>
    </row>
    <row r="589" spans="7:14" ht="12.75">
      <c r="G589" s="135"/>
      <c r="H589" s="135"/>
      <c r="I589" s="135"/>
      <c r="J589" s="135"/>
      <c r="K589" s="135"/>
      <c r="L589" s="135"/>
      <c r="M589" s="135"/>
      <c r="N589" s="135"/>
    </row>
    <row r="590" spans="7:14" ht="12.75">
      <c r="G590" s="135"/>
      <c r="H590" s="135"/>
      <c r="I590" s="135"/>
      <c r="J590" s="135"/>
      <c r="K590" s="135"/>
      <c r="L590" s="135"/>
      <c r="M590" s="135"/>
      <c r="N590" s="135"/>
    </row>
    <row r="591" spans="7:14" ht="12.75">
      <c r="G591" s="135"/>
      <c r="H591" s="135"/>
      <c r="I591" s="135"/>
      <c r="J591" s="135"/>
      <c r="K591" s="135"/>
      <c r="L591" s="135"/>
      <c r="M591" s="135"/>
      <c r="N591" s="135"/>
    </row>
    <row r="592" spans="7:14" ht="12.75">
      <c r="G592" s="135"/>
      <c r="H592" s="135"/>
      <c r="I592" s="135"/>
      <c r="J592" s="135"/>
      <c r="K592" s="135"/>
      <c r="L592" s="135"/>
      <c r="M592" s="135"/>
      <c r="N592" s="135"/>
    </row>
    <row r="593" spans="7:14" ht="12.75">
      <c r="G593" s="135"/>
      <c r="H593" s="135"/>
      <c r="I593" s="135"/>
      <c r="J593" s="135"/>
      <c r="K593" s="135"/>
      <c r="L593" s="135"/>
      <c r="M593" s="135"/>
      <c r="N593" s="135"/>
    </row>
    <row r="594" spans="7:14" ht="12.75">
      <c r="G594" s="135"/>
      <c r="H594" s="135"/>
      <c r="I594" s="135"/>
      <c r="J594" s="135"/>
      <c r="K594" s="135"/>
      <c r="L594" s="135"/>
      <c r="M594" s="135"/>
      <c r="N594" s="135"/>
    </row>
    <row r="595" spans="7:14" ht="12.75">
      <c r="G595" s="135"/>
      <c r="H595" s="135"/>
      <c r="I595" s="135"/>
      <c r="J595" s="135"/>
      <c r="K595" s="135"/>
      <c r="L595" s="135"/>
      <c r="M595" s="135"/>
      <c r="N595" s="135"/>
    </row>
    <row r="596" spans="7:14" ht="12.75">
      <c r="G596" s="135"/>
      <c r="H596" s="135"/>
      <c r="I596" s="135"/>
      <c r="J596" s="135"/>
      <c r="K596" s="135"/>
      <c r="L596" s="135"/>
      <c r="M596" s="135"/>
      <c r="N596" s="135"/>
    </row>
    <row r="597" spans="7:14" ht="12.75">
      <c r="G597" s="135"/>
      <c r="H597" s="135"/>
      <c r="I597" s="135"/>
      <c r="J597" s="135"/>
      <c r="K597" s="135"/>
      <c r="L597" s="135"/>
      <c r="M597" s="135"/>
      <c r="N597" s="135"/>
    </row>
    <row r="598" spans="7:14" ht="12.75">
      <c r="G598" s="135"/>
      <c r="H598" s="135"/>
      <c r="I598" s="135"/>
      <c r="J598" s="135"/>
      <c r="K598" s="135"/>
      <c r="L598" s="135"/>
      <c r="M598" s="135"/>
      <c r="N598" s="135"/>
    </row>
    <row r="599" spans="7:14" ht="12.75">
      <c r="G599" s="135"/>
      <c r="H599" s="135"/>
      <c r="I599" s="135"/>
      <c r="J599" s="135"/>
      <c r="K599" s="135"/>
      <c r="L599" s="135"/>
      <c r="M599" s="135"/>
      <c r="N599" s="135"/>
    </row>
    <row r="600" spans="7:14" ht="12.75">
      <c r="G600" s="135"/>
      <c r="H600" s="135"/>
      <c r="I600" s="135"/>
      <c r="J600" s="135"/>
      <c r="K600" s="135"/>
      <c r="L600" s="135"/>
      <c r="M600" s="135"/>
      <c r="N600" s="135"/>
    </row>
    <row r="601" spans="7:14" ht="12.75">
      <c r="G601" s="135"/>
      <c r="H601" s="135"/>
      <c r="I601" s="135"/>
      <c r="J601" s="135"/>
      <c r="K601" s="135"/>
      <c r="L601" s="135"/>
      <c r="M601" s="135"/>
      <c r="N601" s="135"/>
    </row>
    <row r="602" spans="7:14" ht="12.75">
      <c r="G602" s="135"/>
      <c r="H602" s="135"/>
      <c r="I602" s="135"/>
      <c r="J602" s="135"/>
      <c r="K602" s="135"/>
      <c r="L602" s="135"/>
      <c r="M602" s="135"/>
      <c r="N602" s="135"/>
    </row>
    <row r="603" spans="7:14" ht="12.75">
      <c r="G603" s="135"/>
      <c r="H603" s="135"/>
      <c r="I603" s="135"/>
      <c r="J603" s="135"/>
      <c r="K603" s="135"/>
      <c r="L603" s="135"/>
      <c r="M603" s="135"/>
      <c r="N603" s="135"/>
    </row>
    <row r="604" spans="7:14" ht="12.75">
      <c r="G604" s="135"/>
      <c r="H604" s="135"/>
      <c r="I604" s="135"/>
      <c r="J604" s="135"/>
      <c r="K604" s="135"/>
      <c r="L604" s="135"/>
      <c r="M604" s="135"/>
      <c r="N604" s="135"/>
    </row>
    <row r="605" spans="7:14" ht="12.75">
      <c r="G605" s="135"/>
      <c r="H605" s="135"/>
      <c r="I605" s="135"/>
      <c r="J605" s="135"/>
      <c r="K605" s="135"/>
      <c r="L605" s="135"/>
      <c r="M605" s="135"/>
      <c r="N605" s="135"/>
    </row>
    <row r="606" spans="7:14" ht="12.75">
      <c r="G606" s="135"/>
      <c r="H606" s="135"/>
      <c r="I606" s="135"/>
      <c r="J606" s="135"/>
      <c r="K606" s="135"/>
      <c r="L606" s="135"/>
      <c r="M606" s="135"/>
      <c r="N606" s="135"/>
    </row>
    <row r="607" spans="7:14" ht="12.75">
      <c r="G607" s="135"/>
      <c r="H607" s="135"/>
      <c r="I607" s="135"/>
      <c r="J607" s="135"/>
      <c r="K607" s="135"/>
      <c r="L607" s="135"/>
      <c r="M607" s="135"/>
      <c r="N607" s="135"/>
    </row>
    <row r="608" spans="7:14" ht="12.75">
      <c r="G608" s="135"/>
      <c r="H608" s="135"/>
      <c r="I608" s="135"/>
      <c r="J608" s="135"/>
      <c r="K608" s="135"/>
      <c r="L608" s="135"/>
      <c r="M608" s="135"/>
      <c r="N608" s="135"/>
    </row>
    <row r="609" spans="7:14" ht="12.75">
      <c r="G609" s="135"/>
      <c r="H609" s="135"/>
      <c r="I609" s="135"/>
      <c r="J609" s="135"/>
      <c r="K609" s="135"/>
      <c r="L609" s="135"/>
      <c r="M609" s="135"/>
      <c r="N609" s="135"/>
    </row>
    <row r="610" spans="7:14" ht="12.75">
      <c r="G610" s="135"/>
      <c r="H610" s="135"/>
      <c r="I610" s="135"/>
      <c r="J610" s="135"/>
      <c r="K610" s="135"/>
      <c r="L610" s="135"/>
      <c r="M610" s="135"/>
      <c r="N610" s="135"/>
    </row>
    <row r="611" spans="7:14" ht="12.75">
      <c r="G611" s="135"/>
      <c r="H611" s="135"/>
      <c r="I611" s="135"/>
      <c r="J611" s="135"/>
      <c r="K611" s="135"/>
      <c r="L611" s="135"/>
      <c r="M611" s="135"/>
      <c r="N611" s="135"/>
    </row>
    <row r="612" spans="7:14" ht="12.75">
      <c r="G612" s="135"/>
      <c r="H612" s="135"/>
      <c r="I612" s="135"/>
      <c r="J612" s="135"/>
      <c r="K612" s="135"/>
      <c r="L612" s="135"/>
      <c r="M612" s="135"/>
      <c r="N612" s="135"/>
    </row>
    <row r="613" spans="7:14" ht="12.75">
      <c r="G613" s="135"/>
      <c r="H613" s="135"/>
      <c r="I613" s="135"/>
      <c r="J613" s="135"/>
      <c r="K613" s="135"/>
      <c r="L613" s="135"/>
      <c r="M613" s="135"/>
      <c r="N613" s="135"/>
    </row>
    <row r="614" spans="7:14" ht="12.75">
      <c r="G614" s="135"/>
      <c r="H614" s="135"/>
      <c r="I614" s="135"/>
      <c r="J614" s="135"/>
      <c r="K614" s="135"/>
      <c r="L614" s="135"/>
      <c r="M614" s="135"/>
      <c r="N614" s="135"/>
    </row>
    <row r="615" spans="7:14" ht="12.75">
      <c r="G615" s="135"/>
      <c r="H615" s="135"/>
      <c r="I615" s="135"/>
      <c r="J615" s="135"/>
      <c r="K615" s="135"/>
      <c r="L615" s="135"/>
      <c r="M615" s="135"/>
      <c r="N615" s="135"/>
    </row>
    <row r="616" spans="7:14" ht="12.75">
      <c r="G616" s="135"/>
      <c r="H616" s="135"/>
      <c r="I616" s="135"/>
      <c r="J616" s="135"/>
      <c r="K616" s="135"/>
      <c r="L616" s="135"/>
      <c r="M616" s="135"/>
      <c r="N616" s="135"/>
    </row>
    <row r="617" spans="7:14" ht="12.75">
      <c r="G617" s="135"/>
      <c r="H617" s="135"/>
      <c r="I617" s="135"/>
      <c r="J617" s="135"/>
      <c r="K617" s="135"/>
      <c r="L617" s="135"/>
      <c r="M617" s="135"/>
      <c r="N617" s="135"/>
    </row>
    <row r="618" spans="7:14" ht="12.75">
      <c r="G618" s="135"/>
      <c r="H618" s="135"/>
      <c r="I618" s="135"/>
      <c r="J618" s="135"/>
      <c r="K618" s="135"/>
      <c r="L618" s="135"/>
      <c r="M618" s="135"/>
      <c r="N618" s="135"/>
    </row>
    <row r="619" spans="7:14" ht="12.75">
      <c r="G619" s="135"/>
      <c r="H619" s="135"/>
      <c r="I619" s="135"/>
      <c r="J619" s="135"/>
      <c r="K619" s="135"/>
      <c r="L619" s="135"/>
      <c r="M619" s="135"/>
      <c r="N619" s="135"/>
    </row>
    <row r="620" spans="7:14" ht="12.75">
      <c r="G620" s="135"/>
      <c r="H620" s="135"/>
      <c r="I620" s="135"/>
      <c r="J620" s="135"/>
      <c r="K620" s="135"/>
      <c r="L620" s="135"/>
      <c r="M620" s="135"/>
      <c r="N620" s="135"/>
    </row>
    <row r="621" spans="7:14" ht="12.75">
      <c r="G621" s="135"/>
      <c r="H621" s="135"/>
      <c r="I621" s="135"/>
      <c r="J621" s="135"/>
      <c r="K621" s="135"/>
      <c r="L621" s="135"/>
      <c r="M621" s="135"/>
      <c r="N621" s="135"/>
    </row>
    <row r="622" spans="7:14" ht="12.75">
      <c r="G622" s="135"/>
      <c r="H622" s="135"/>
      <c r="I622" s="135"/>
      <c r="J622" s="135"/>
      <c r="K622" s="135"/>
      <c r="L622" s="135"/>
      <c r="M622" s="135"/>
      <c r="N622" s="135"/>
    </row>
    <row r="623" spans="7:14" ht="12.75">
      <c r="G623" s="135"/>
      <c r="H623" s="135"/>
      <c r="I623" s="135"/>
      <c r="J623" s="135"/>
      <c r="K623" s="135"/>
      <c r="L623" s="135"/>
      <c r="M623" s="135"/>
      <c r="N623" s="135"/>
    </row>
    <row r="624" spans="7:14" ht="12.75">
      <c r="G624" s="135"/>
      <c r="H624" s="135"/>
      <c r="I624" s="135"/>
      <c r="J624" s="135"/>
      <c r="K624" s="135"/>
      <c r="L624" s="135"/>
      <c r="M624" s="135"/>
      <c r="N624" s="135"/>
    </row>
    <row r="625" spans="7:14" ht="12.75">
      <c r="G625" s="135"/>
      <c r="H625" s="135"/>
      <c r="I625" s="135"/>
      <c r="J625" s="135"/>
      <c r="K625" s="135"/>
      <c r="L625" s="135"/>
      <c r="M625" s="135"/>
      <c r="N625" s="135"/>
    </row>
    <row r="626" spans="7:14" ht="12.75">
      <c r="G626" s="135"/>
      <c r="H626" s="135"/>
      <c r="I626" s="135"/>
      <c r="J626" s="135"/>
      <c r="K626" s="135"/>
      <c r="L626" s="135"/>
      <c r="M626" s="135"/>
      <c r="N626" s="135"/>
    </row>
    <row r="627" spans="7:14" ht="12.75">
      <c r="G627" s="135"/>
      <c r="H627" s="135"/>
      <c r="I627" s="135"/>
      <c r="J627" s="135"/>
      <c r="K627" s="135"/>
      <c r="L627" s="135"/>
      <c r="M627" s="135"/>
      <c r="N627" s="135"/>
    </row>
    <row r="628" spans="7:14" ht="12.75">
      <c r="G628" s="135"/>
      <c r="H628" s="135"/>
      <c r="I628" s="135"/>
      <c r="J628" s="135"/>
      <c r="K628" s="135"/>
      <c r="L628" s="135"/>
      <c r="M628" s="135"/>
      <c r="N628" s="135"/>
    </row>
    <row r="629" spans="7:14" ht="12.75">
      <c r="G629" s="135"/>
      <c r="H629" s="135"/>
      <c r="I629" s="135"/>
      <c r="J629" s="135"/>
      <c r="K629" s="135"/>
      <c r="L629" s="135"/>
      <c r="M629" s="135"/>
      <c r="N629" s="135"/>
    </row>
    <row r="630" spans="7:14" ht="12.75">
      <c r="G630" s="135"/>
      <c r="H630" s="135"/>
      <c r="I630" s="135"/>
      <c r="J630" s="135"/>
      <c r="K630" s="135"/>
      <c r="L630" s="135"/>
      <c r="M630" s="135"/>
      <c r="N630" s="135"/>
    </row>
    <row r="631" spans="7:14" ht="12.75">
      <c r="G631" s="135"/>
      <c r="H631" s="135"/>
      <c r="I631" s="135"/>
      <c r="J631" s="135"/>
      <c r="K631" s="135"/>
      <c r="L631" s="135"/>
      <c r="M631" s="135"/>
      <c r="N631" s="135"/>
    </row>
    <row r="632" spans="7:14" ht="12.75">
      <c r="G632" s="135"/>
      <c r="H632" s="135"/>
      <c r="I632" s="135"/>
      <c r="J632" s="135"/>
      <c r="K632" s="135"/>
      <c r="L632" s="135"/>
      <c r="M632" s="135"/>
      <c r="N632" s="135"/>
    </row>
    <row r="633" spans="7:14" ht="12.75">
      <c r="G633" s="135"/>
      <c r="H633" s="135"/>
      <c r="I633" s="135"/>
      <c r="J633" s="135"/>
      <c r="K633" s="135"/>
      <c r="L633" s="135"/>
      <c r="M633" s="135"/>
      <c r="N633" s="135"/>
    </row>
    <row r="634" spans="7:14" ht="12.75">
      <c r="G634" s="135"/>
      <c r="H634" s="135"/>
      <c r="I634" s="135"/>
      <c r="J634" s="135"/>
      <c r="K634" s="135"/>
      <c r="L634" s="135"/>
      <c r="M634" s="135"/>
      <c r="N634" s="135"/>
    </row>
    <row r="635" spans="7:14" ht="12.75">
      <c r="G635" s="135"/>
      <c r="H635" s="135"/>
      <c r="I635" s="135"/>
      <c r="J635" s="135"/>
      <c r="K635" s="135"/>
      <c r="L635" s="135"/>
      <c r="M635" s="135"/>
      <c r="N635" s="135"/>
    </row>
    <row r="636" spans="7:14" ht="12.75">
      <c r="G636" s="135"/>
      <c r="H636" s="135"/>
      <c r="I636" s="135"/>
      <c r="J636" s="135"/>
      <c r="K636" s="135"/>
      <c r="L636" s="135"/>
      <c r="M636" s="135"/>
      <c r="N636" s="135"/>
    </row>
    <row r="637" spans="7:14" ht="12.75">
      <c r="G637" s="135"/>
      <c r="H637" s="135"/>
      <c r="I637" s="135"/>
      <c r="J637" s="135"/>
      <c r="K637" s="135"/>
      <c r="L637" s="135"/>
      <c r="M637" s="135"/>
      <c r="N637" s="135"/>
    </row>
    <row r="638" spans="7:14" ht="12.75">
      <c r="G638" s="135"/>
      <c r="H638" s="135"/>
      <c r="I638" s="135"/>
      <c r="J638" s="135"/>
      <c r="K638" s="135"/>
      <c r="L638" s="135"/>
      <c r="M638" s="135"/>
      <c r="N638" s="135"/>
    </row>
    <row r="639" spans="7:14" ht="12.75">
      <c r="G639" s="135"/>
      <c r="H639" s="135"/>
      <c r="I639" s="135"/>
      <c r="J639" s="135"/>
      <c r="K639" s="135"/>
      <c r="L639" s="135"/>
      <c r="M639" s="135"/>
      <c r="N639" s="135"/>
    </row>
    <row r="640" spans="7:14" ht="12.75">
      <c r="G640" s="135"/>
      <c r="H640" s="135"/>
      <c r="I640" s="135"/>
      <c r="J640" s="135"/>
      <c r="K640" s="135"/>
      <c r="L640" s="135"/>
      <c r="M640" s="135"/>
      <c r="N640" s="135"/>
    </row>
    <row r="641" spans="7:14" ht="12.75">
      <c r="G641" s="135"/>
      <c r="H641" s="135"/>
      <c r="I641" s="135"/>
      <c r="J641" s="135"/>
      <c r="K641" s="135"/>
      <c r="L641" s="135"/>
      <c r="M641" s="135"/>
      <c r="N641" s="135"/>
    </row>
    <row r="642" spans="7:14" ht="12.75">
      <c r="G642" s="135"/>
      <c r="H642" s="135"/>
      <c r="I642" s="135"/>
      <c r="J642" s="135"/>
      <c r="K642" s="135"/>
      <c r="L642" s="135"/>
      <c r="M642" s="135"/>
      <c r="N642" s="135"/>
    </row>
    <row r="643" spans="7:14" ht="12.75">
      <c r="G643" s="135"/>
      <c r="H643" s="135"/>
      <c r="I643" s="135"/>
      <c r="J643" s="135"/>
      <c r="K643" s="135"/>
      <c r="L643" s="135"/>
      <c r="M643" s="135"/>
      <c r="N643" s="135"/>
    </row>
    <row r="644" spans="7:14" ht="12.75">
      <c r="G644" s="135"/>
      <c r="H644" s="135"/>
      <c r="I644" s="135"/>
      <c r="J644" s="135"/>
      <c r="K644" s="135"/>
      <c r="L644" s="135"/>
      <c r="M644" s="135"/>
      <c r="N644" s="135"/>
    </row>
    <row r="645" spans="7:14" ht="12.75">
      <c r="G645" s="135"/>
      <c r="H645" s="135"/>
      <c r="I645" s="135"/>
      <c r="J645" s="135"/>
      <c r="K645" s="135"/>
      <c r="L645" s="135"/>
      <c r="M645" s="135"/>
      <c r="N645" s="135"/>
    </row>
    <row r="646" spans="7:14" ht="12.75">
      <c r="G646" s="135"/>
      <c r="H646" s="135"/>
      <c r="I646" s="135"/>
      <c r="J646" s="135"/>
      <c r="K646" s="135"/>
      <c r="L646" s="135"/>
      <c r="M646" s="135"/>
      <c r="N646" s="135"/>
    </row>
    <row r="647" spans="7:14" ht="12.75">
      <c r="G647" s="135"/>
      <c r="H647" s="135"/>
      <c r="I647" s="135"/>
      <c r="J647" s="135"/>
      <c r="K647" s="135"/>
      <c r="L647" s="135"/>
      <c r="M647" s="135"/>
      <c r="N647" s="135"/>
    </row>
    <row r="648" spans="7:14" ht="12.75">
      <c r="G648" s="135"/>
      <c r="H648" s="135"/>
      <c r="I648" s="135"/>
      <c r="J648" s="135"/>
      <c r="K648" s="135"/>
      <c r="L648" s="135"/>
      <c r="M648" s="135"/>
      <c r="N648" s="135"/>
    </row>
    <row r="649" spans="7:14" ht="12.75">
      <c r="G649" s="135"/>
      <c r="H649" s="135"/>
      <c r="I649" s="135"/>
      <c r="J649" s="135"/>
      <c r="K649" s="135"/>
      <c r="L649" s="135"/>
      <c r="M649" s="135"/>
      <c r="N649" s="135"/>
    </row>
    <row r="650" spans="7:14" ht="12.75">
      <c r="G650" s="135"/>
      <c r="H650" s="135"/>
      <c r="I650" s="135"/>
      <c r="J650" s="135"/>
      <c r="K650" s="135"/>
      <c r="L650" s="135"/>
      <c r="M650" s="135"/>
      <c r="N650" s="135"/>
    </row>
    <row r="651" spans="7:14" ht="12.75">
      <c r="G651" s="135"/>
      <c r="H651" s="135"/>
      <c r="I651" s="135"/>
      <c r="J651" s="135"/>
      <c r="K651" s="135"/>
      <c r="L651" s="135"/>
      <c r="M651" s="135"/>
      <c r="N651" s="135"/>
    </row>
    <row r="652" spans="7:14" ht="12.75">
      <c r="G652" s="135"/>
      <c r="H652" s="135"/>
      <c r="I652" s="135"/>
      <c r="J652" s="135"/>
      <c r="K652" s="135"/>
      <c r="L652" s="135"/>
      <c r="M652" s="135"/>
      <c r="N652" s="135"/>
    </row>
    <row r="653" spans="7:14" ht="12.75">
      <c r="G653" s="135"/>
      <c r="H653" s="135"/>
      <c r="I653" s="135"/>
      <c r="J653" s="135"/>
      <c r="K653" s="135"/>
      <c r="L653" s="135"/>
      <c r="M653" s="135"/>
      <c r="N653" s="135"/>
    </row>
    <row r="654" spans="7:14" ht="12.75">
      <c r="G654" s="135"/>
      <c r="H654" s="135"/>
      <c r="I654" s="135"/>
      <c r="J654" s="135"/>
      <c r="K654" s="135"/>
      <c r="L654" s="135"/>
      <c r="M654" s="135"/>
      <c r="N654" s="135"/>
    </row>
    <row r="655" spans="7:14" ht="12.75">
      <c r="G655" s="135"/>
      <c r="H655" s="135"/>
      <c r="I655" s="135"/>
      <c r="J655" s="135"/>
      <c r="K655" s="135"/>
      <c r="L655" s="135"/>
      <c r="M655" s="135"/>
      <c r="N655" s="135"/>
    </row>
    <row r="656" spans="7:14" ht="12.75">
      <c r="G656" s="135"/>
      <c r="H656" s="135"/>
      <c r="I656" s="135"/>
      <c r="J656" s="135"/>
      <c r="K656" s="135"/>
      <c r="L656" s="135"/>
      <c r="M656" s="135"/>
      <c r="N656" s="135"/>
    </row>
    <row r="657" spans="7:14" ht="12.75">
      <c r="G657" s="135"/>
      <c r="H657" s="135"/>
      <c r="I657" s="135"/>
      <c r="J657" s="135"/>
      <c r="K657" s="135"/>
      <c r="L657" s="135"/>
      <c r="M657" s="135"/>
      <c r="N657" s="135"/>
    </row>
    <row r="658" spans="7:14" ht="12.75">
      <c r="G658" s="135"/>
      <c r="H658" s="135"/>
      <c r="I658" s="135"/>
      <c r="J658" s="135"/>
      <c r="K658" s="135"/>
      <c r="L658" s="135"/>
      <c r="M658" s="135"/>
      <c r="N658" s="135"/>
    </row>
    <row r="659" spans="7:14" ht="12.75">
      <c r="G659" s="135"/>
      <c r="H659" s="135"/>
      <c r="I659" s="135"/>
      <c r="J659" s="135"/>
      <c r="K659" s="135"/>
      <c r="L659" s="135"/>
      <c r="M659" s="135"/>
      <c r="N659" s="135"/>
    </row>
    <row r="660" spans="7:14" ht="12.75">
      <c r="G660" s="135"/>
      <c r="H660" s="135"/>
      <c r="I660" s="135"/>
      <c r="J660" s="135"/>
      <c r="K660" s="135"/>
      <c r="L660" s="135"/>
      <c r="M660" s="135"/>
      <c r="N660" s="135"/>
    </row>
    <row r="661" spans="7:14" ht="12.75">
      <c r="G661" s="135"/>
      <c r="H661" s="135"/>
      <c r="I661" s="135"/>
      <c r="J661" s="135"/>
      <c r="K661" s="135"/>
      <c r="L661" s="135"/>
      <c r="M661" s="135"/>
      <c r="N661" s="135"/>
    </row>
    <row r="662" spans="7:14" ht="12.75">
      <c r="G662" s="135"/>
      <c r="H662" s="135"/>
      <c r="I662" s="135"/>
      <c r="J662" s="135"/>
      <c r="K662" s="135"/>
      <c r="L662" s="135"/>
      <c r="M662" s="135"/>
      <c r="N662" s="135"/>
    </row>
    <row r="663" spans="7:14" ht="12.75">
      <c r="G663" s="135"/>
      <c r="H663" s="135"/>
      <c r="I663" s="135"/>
      <c r="J663" s="135"/>
      <c r="K663" s="135"/>
      <c r="L663" s="135"/>
      <c r="M663" s="135"/>
      <c r="N663" s="135"/>
    </row>
    <row r="664" spans="7:14" ht="12.75">
      <c r="G664" s="135"/>
      <c r="H664" s="135"/>
      <c r="I664" s="135"/>
      <c r="J664" s="135"/>
      <c r="K664" s="135"/>
      <c r="L664" s="135"/>
      <c r="M664" s="135"/>
      <c r="N664" s="135"/>
    </row>
    <row r="665" spans="7:14" ht="12.75">
      <c r="G665" s="135"/>
      <c r="H665" s="135"/>
      <c r="I665" s="135"/>
      <c r="J665" s="135"/>
      <c r="K665" s="135"/>
      <c r="L665" s="135"/>
      <c r="M665" s="135"/>
      <c r="N665" s="135"/>
    </row>
    <row r="666" spans="7:14" ht="12.75">
      <c r="G666" s="135"/>
      <c r="H666" s="135"/>
      <c r="I666" s="135"/>
      <c r="J666" s="135"/>
      <c r="K666" s="135"/>
      <c r="L666" s="135"/>
      <c r="M666" s="135"/>
      <c r="N666" s="135"/>
    </row>
    <row r="667" spans="7:14" ht="12.75">
      <c r="G667" s="135"/>
      <c r="H667" s="135"/>
      <c r="I667" s="135"/>
      <c r="J667" s="135"/>
      <c r="K667" s="135"/>
      <c r="L667" s="135"/>
      <c r="M667" s="135"/>
      <c r="N667" s="135"/>
    </row>
    <row r="668" spans="7:14" ht="12.75">
      <c r="G668" s="135"/>
      <c r="H668" s="135"/>
      <c r="I668" s="135"/>
      <c r="J668" s="135"/>
      <c r="K668" s="135"/>
      <c r="L668" s="135"/>
      <c r="M668" s="135"/>
      <c r="N668" s="135"/>
    </row>
    <row r="669" spans="7:14" ht="12.75">
      <c r="G669" s="135"/>
      <c r="H669" s="135"/>
      <c r="I669" s="135"/>
      <c r="J669" s="135"/>
      <c r="K669" s="135"/>
      <c r="L669" s="135"/>
      <c r="M669" s="135"/>
      <c r="N669" s="135"/>
    </row>
    <row r="670" spans="7:14" ht="12.75">
      <c r="G670" s="135"/>
      <c r="H670" s="135"/>
      <c r="I670" s="135"/>
      <c r="J670" s="135"/>
      <c r="K670" s="135"/>
      <c r="L670" s="135"/>
      <c r="M670" s="135"/>
      <c r="N670" s="135"/>
    </row>
    <row r="671" spans="7:14" ht="12.75">
      <c r="G671" s="135"/>
      <c r="H671" s="135"/>
      <c r="I671" s="135"/>
      <c r="J671" s="135"/>
      <c r="K671" s="135"/>
      <c r="L671" s="135"/>
      <c r="M671" s="135"/>
      <c r="N671" s="135"/>
    </row>
    <row r="672" spans="7:14" ht="12.75">
      <c r="G672" s="135"/>
      <c r="H672" s="135"/>
      <c r="I672" s="135"/>
      <c r="J672" s="135"/>
      <c r="K672" s="135"/>
      <c r="L672" s="135"/>
      <c r="M672" s="135"/>
      <c r="N672" s="135"/>
    </row>
    <row r="673" spans="7:14" ht="12.75">
      <c r="G673" s="135"/>
      <c r="H673" s="135"/>
      <c r="I673" s="135"/>
      <c r="J673" s="135"/>
      <c r="K673" s="135"/>
      <c r="L673" s="135"/>
      <c r="M673" s="135"/>
      <c r="N673" s="135"/>
    </row>
    <row r="674" spans="7:14" ht="12.75">
      <c r="G674" s="135"/>
      <c r="H674" s="135"/>
      <c r="I674" s="135"/>
      <c r="J674" s="135"/>
      <c r="K674" s="135"/>
      <c r="L674" s="135"/>
      <c r="M674" s="135"/>
      <c r="N674" s="135"/>
    </row>
    <row r="675" spans="7:14" ht="12.75">
      <c r="G675" s="135"/>
      <c r="H675" s="135"/>
      <c r="I675" s="135"/>
      <c r="J675" s="135"/>
      <c r="K675" s="135"/>
      <c r="L675" s="135"/>
      <c r="M675" s="135"/>
      <c r="N675" s="135"/>
    </row>
    <row r="676" spans="7:14" ht="12.75">
      <c r="G676" s="135"/>
      <c r="H676" s="135"/>
      <c r="I676" s="135"/>
      <c r="J676" s="135"/>
      <c r="K676" s="135"/>
      <c r="L676" s="135"/>
      <c r="M676" s="135"/>
      <c r="N676" s="135"/>
    </row>
    <row r="677" spans="7:14" ht="12.75">
      <c r="G677" s="135"/>
      <c r="H677" s="135"/>
      <c r="I677" s="135"/>
      <c r="J677" s="135"/>
      <c r="K677" s="135"/>
      <c r="L677" s="135"/>
      <c r="M677" s="135"/>
      <c r="N677" s="135"/>
    </row>
    <row r="678" spans="7:14" ht="12.75">
      <c r="G678" s="135"/>
      <c r="H678" s="135"/>
      <c r="I678" s="135"/>
      <c r="J678" s="135"/>
      <c r="K678" s="135"/>
      <c r="L678" s="135"/>
      <c r="M678" s="135"/>
      <c r="N678" s="135"/>
    </row>
    <row r="679" spans="7:14" ht="12.75">
      <c r="G679" s="135"/>
      <c r="H679" s="135"/>
      <c r="I679" s="135"/>
      <c r="J679" s="135"/>
      <c r="K679" s="135"/>
      <c r="L679" s="135"/>
      <c r="M679" s="135"/>
      <c r="N679" s="135"/>
    </row>
    <row r="680" spans="7:14" ht="12.75">
      <c r="G680" s="135"/>
      <c r="H680" s="135"/>
      <c r="I680" s="135"/>
      <c r="J680" s="135"/>
      <c r="K680" s="135"/>
      <c r="L680" s="135"/>
      <c r="M680" s="135"/>
      <c r="N680" s="135"/>
    </row>
    <row r="681" spans="7:14" ht="12.75">
      <c r="G681" s="135"/>
      <c r="H681" s="135"/>
      <c r="I681" s="135"/>
      <c r="J681" s="135"/>
      <c r="K681" s="135"/>
      <c r="L681" s="135"/>
      <c r="M681" s="135"/>
      <c r="N681" s="135"/>
    </row>
    <row r="682" spans="7:14" ht="12.75">
      <c r="G682" s="135"/>
      <c r="H682" s="135"/>
      <c r="I682" s="135"/>
      <c r="J682" s="135"/>
      <c r="K682" s="135"/>
      <c r="L682" s="135"/>
      <c r="M682" s="135"/>
      <c r="N682" s="135"/>
    </row>
    <row r="683" spans="7:14" ht="12.75">
      <c r="G683" s="135"/>
      <c r="H683" s="135"/>
      <c r="I683" s="135"/>
      <c r="J683" s="135"/>
      <c r="K683" s="135"/>
      <c r="L683" s="135"/>
      <c r="M683" s="135"/>
      <c r="N683" s="135"/>
    </row>
    <row r="684" spans="7:14" ht="12.75">
      <c r="G684" s="135"/>
      <c r="H684" s="135"/>
      <c r="I684" s="135"/>
      <c r="J684" s="135"/>
      <c r="K684" s="135"/>
      <c r="L684" s="135"/>
      <c r="M684" s="135"/>
      <c r="N684" s="135"/>
    </row>
    <row r="685" spans="7:14" ht="12.75">
      <c r="G685" s="135"/>
      <c r="H685" s="135"/>
      <c r="I685" s="135"/>
      <c r="J685" s="135"/>
      <c r="K685" s="135"/>
      <c r="L685" s="135"/>
      <c r="M685" s="135"/>
      <c r="N685" s="135"/>
    </row>
    <row r="686" spans="7:14" ht="12.75">
      <c r="G686" s="135"/>
      <c r="H686" s="135"/>
      <c r="I686" s="135"/>
      <c r="J686" s="135"/>
      <c r="K686" s="135"/>
      <c r="L686" s="135"/>
      <c r="M686" s="135"/>
      <c r="N686" s="135"/>
    </row>
    <row r="687" spans="7:14" ht="12.75">
      <c r="G687" s="135"/>
      <c r="H687" s="135"/>
      <c r="I687" s="135"/>
      <c r="J687" s="135"/>
      <c r="K687" s="135"/>
      <c r="L687" s="135"/>
      <c r="M687" s="135"/>
      <c r="N687" s="135"/>
    </row>
    <row r="688" spans="7:14" ht="12.75">
      <c r="G688" s="135"/>
      <c r="H688" s="135"/>
      <c r="I688" s="135"/>
      <c r="J688" s="135"/>
      <c r="K688" s="135"/>
      <c r="L688" s="135"/>
      <c r="M688" s="135"/>
      <c r="N688" s="135"/>
    </row>
    <row r="689" spans="7:14" ht="12.75">
      <c r="G689" s="135"/>
      <c r="H689" s="135"/>
      <c r="I689" s="135"/>
      <c r="J689" s="135"/>
      <c r="K689" s="135"/>
      <c r="L689" s="135"/>
      <c r="M689" s="135"/>
      <c r="N689" s="135"/>
    </row>
    <row r="690" spans="7:14" ht="12.75">
      <c r="G690" s="135"/>
      <c r="H690" s="135"/>
      <c r="I690" s="135"/>
      <c r="J690" s="135"/>
      <c r="K690" s="135"/>
      <c r="L690" s="135"/>
      <c r="M690" s="135"/>
      <c r="N690" s="135"/>
    </row>
    <row r="691" spans="7:14" ht="12.75">
      <c r="G691" s="135"/>
      <c r="H691" s="135"/>
      <c r="I691" s="135"/>
      <c r="J691" s="135"/>
      <c r="K691" s="135"/>
      <c r="L691" s="135"/>
      <c r="M691" s="135"/>
      <c r="N691" s="135"/>
    </row>
    <row r="692" spans="7:14" ht="12.75">
      <c r="G692" s="135"/>
      <c r="H692" s="135"/>
      <c r="I692" s="135"/>
      <c r="J692" s="135"/>
      <c r="K692" s="135"/>
      <c r="L692" s="135"/>
      <c r="M692" s="135"/>
      <c r="N692" s="135"/>
    </row>
    <row r="693" spans="7:14" ht="12.75">
      <c r="G693" s="135"/>
      <c r="H693" s="135"/>
      <c r="I693" s="135"/>
      <c r="J693" s="135"/>
      <c r="K693" s="135"/>
      <c r="L693" s="135"/>
      <c r="M693" s="135"/>
      <c r="N693" s="135"/>
    </row>
    <row r="694" spans="7:14" ht="12.75">
      <c r="G694" s="135"/>
      <c r="H694" s="135"/>
      <c r="I694" s="135"/>
      <c r="J694" s="135"/>
      <c r="K694" s="135"/>
      <c r="L694" s="135"/>
      <c r="M694" s="135"/>
      <c r="N694" s="135"/>
    </row>
    <row r="695" spans="7:14" ht="12.75">
      <c r="G695" s="135"/>
      <c r="H695" s="135"/>
      <c r="I695" s="135"/>
      <c r="J695" s="135"/>
      <c r="K695" s="135"/>
      <c r="L695" s="135"/>
      <c r="M695" s="135"/>
      <c r="N695" s="135"/>
    </row>
    <row r="696" spans="7:14" ht="12.75">
      <c r="G696" s="135"/>
      <c r="H696" s="135"/>
      <c r="I696" s="135"/>
      <c r="J696" s="135"/>
      <c r="K696" s="135"/>
      <c r="L696" s="135"/>
      <c r="M696" s="135"/>
      <c r="N696" s="135"/>
    </row>
    <row r="697" spans="7:14" ht="12.75">
      <c r="G697" s="135"/>
      <c r="H697" s="135"/>
      <c r="I697" s="135"/>
      <c r="J697" s="135"/>
      <c r="K697" s="135"/>
      <c r="L697" s="135"/>
      <c r="M697" s="135"/>
      <c r="N697" s="135"/>
    </row>
    <row r="698" spans="7:14" ht="12.75">
      <c r="G698" s="135"/>
      <c r="H698" s="135"/>
      <c r="I698" s="135"/>
      <c r="J698" s="135"/>
      <c r="K698" s="135"/>
      <c r="L698" s="135"/>
      <c r="M698" s="135"/>
      <c r="N698" s="135"/>
    </row>
    <row r="699" spans="7:14" ht="12.75">
      <c r="G699" s="135"/>
      <c r="H699" s="135"/>
      <c r="I699" s="135"/>
      <c r="J699" s="135"/>
      <c r="K699" s="135"/>
      <c r="L699" s="135"/>
      <c r="M699" s="135"/>
      <c r="N699" s="135"/>
    </row>
    <row r="700" spans="7:14" ht="12.75">
      <c r="G700" s="135"/>
      <c r="H700" s="135"/>
      <c r="I700" s="135"/>
      <c r="J700" s="135"/>
      <c r="K700" s="135"/>
      <c r="L700" s="135"/>
      <c r="M700" s="135"/>
      <c r="N700" s="135"/>
    </row>
    <row r="701" spans="7:14" ht="12.75">
      <c r="G701" s="135"/>
      <c r="H701" s="135"/>
      <c r="I701" s="135"/>
      <c r="J701" s="135"/>
      <c r="K701" s="135"/>
      <c r="L701" s="135"/>
      <c r="M701" s="135"/>
      <c r="N701" s="135"/>
    </row>
    <row r="702" spans="7:14" ht="12.75">
      <c r="G702" s="135"/>
      <c r="H702" s="135"/>
      <c r="I702" s="135"/>
      <c r="J702" s="135"/>
      <c r="K702" s="135"/>
      <c r="L702" s="135"/>
      <c r="M702" s="135"/>
      <c r="N702" s="135"/>
    </row>
    <row r="703" spans="7:14" ht="12.75">
      <c r="G703" s="135"/>
      <c r="H703" s="135"/>
      <c r="I703" s="135"/>
      <c r="J703" s="135"/>
      <c r="K703" s="135"/>
      <c r="L703" s="135"/>
      <c r="M703" s="135"/>
      <c r="N703" s="135"/>
    </row>
    <row r="704" spans="7:14" ht="12.75">
      <c r="G704" s="135"/>
      <c r="H704" s="135"/>
      <c r="I704" s="135"/>
      <c r="J704" s="135"/>
      <c r="K704" s="135"/>
      <c r="L704" s="135"/>
      <c r="M704" s="135"/>
      <c r="N704" s="135"/>
    </row>
    <row r="705" spans="7:14" ht="12.75">
      <c r="G705" s="135"/>
      <c r="H705" s="135"/>
      <c r="I705" s="135"/>
      <c r="J705" s="135"/>
      <c r="K705" s="135"/>
      <c r="L705" s="135"/>
      <c r="M705" s="135"/>
      <c r="N705" s="135"/>
    </row>
    <row r="706" spans="7:14" ht="12.75">
      <c r="G706" s="135"/>
      <c r="H706" s="135"/>
      <c r="I706" s="135"/>
      <c r="J706" s="135"/>
      <c r="K706" s="135"/>
      <c r="L706" s="135"/>
      <c r="M706" s="135"/>
      <c r="N706" s="135"/>
    </row>
    <row r="707" spans="7:14" ht="12.75">
      <c r="G707" s="135"/>
      <c r="H707" s="135"/>
      <c r="I707" s="135"/>
      <c r="J707" s="135"/>
      <c r="K707" s="135"/>
      <c r="L707" s="135"/>
      <c r="M707" s="135"/>
      <c r="N707" s="135"/>
    </row>
    <row r="708" spans="7:14" ht="12.75">
      <c r="G708" s="135"/>
      <c r="H708" s="135"/>
      <c r="I708" s="135"/>
      <c r="J708" s="135"/>
      <c r="K708" s="135"/>
      <c r="L708" s="135"/>
      <c r="M708" s="135"/>
      <c r="N708" s="135"/>
    </row>
    <row r="709" spans="7:14" ht="12.75">
      <c r="G709" s="135"/>
      <c r="H709" s="135"/>
      <c r="I709" s="135"/>
      <c r="J709" s="135"/>
      <c r="K709" s="135"/>
      <c r="L709" s="135"/>
      <c r="M709" s="135"/>
      <c r="N709" s="135"/>
    </row>
    <row r="710" spans="7:14" ht="12.75">
      <c r="G710" s="135"/>
      <c r="H710" s="135"/>
      <c r="I710" s="135"/>
      <c r="J710" s="135"/>
      <c r="K710" s="135"/>
      <c r="L710" s="135"/>
      <c r="M710" s="135"/>
      <c r="N710" s="135"/>
    </row>
    <row r="711" spans="7:14" ht="12.75">
      <c r="G711" s="135"/>
      <c r="H711" s="135"/>
      <c r="I711" s="135"/>
      <c r="J711" s="135"/>
      <c r="K711" s="135"/>
      <c r="L711" s="135"/>
      <c r="M711" s="135"/>
      <c r="N711" s="135"/>
    </row>
    <row r="712" spans="7:14" ht="12.75">
      <c r="G712" s="135"/>
      <c r="H712" s="135"/>
      <c r="I712" s="135"/>
      <c r="J712" s="135"/>
      <c r="K712" s="135"/>
      <c r="L712" s="135"/>
      <c r="M712" s="135"/>
      <c r="N712" s="135"/>
    </row>
    <row r="713" spans="7:14" ht="12.75">
      <c r="G713" s="135"/>
      <c r="H713" s="135"/>
      <c r="I713" s="135"/>
      <c r="J713" s="135"/>
      <c r="K713" s="135"/>
      <c r="L713" s="135"/>
      <c r="M713" s="135"/>
      <c r="N713" s="135"/>
    </row>
    <row r="714" spans="7:14" ht="12.75">
      <c r="G714" s="135"/>
      <c r="H714" s="135"/>
      <c r="I714" s="135"/>
      <c r="J714" s="135"/>
      <c r="K714" s="135"/>
      <c r="L714" s="135"/>
      <c r="M714" s="135"/>
      <c r="N714" s="135"/>
    </row>
    <row r="715" spans="7:14" ht="12.75">
      <c r="G715" s="135"/>
      <c r="H715" s="135"/>
      <c r="I715" s="135"/>
      <c r="J715" s="135"/>
      <c r="K715" s="135"/>
      <c r="L715" s="135"/>
      <c r="M715" s="135"/>
      <c r="N715" s="135"/>
    </row>
    <row r="716" spans="7:14" ht="12.75">
      <c r="G716" s="135"/>
      <c r="H716" s="135"/>
      <c r="I716" s="135"/>
      <c r="J716" s="135"/>
      <c r="K716" s="135"/>
      <c r="L716" s="135"/>
      <c r="M716" s="135"/>
      <c r="N716" s="135"/>
    </row>
    <row r="717" spans="7:14" ht="12.75">
      <c r="G717" s="135"/>
      <c r="H717" s="135"/>
      <c r="I717" s="135"/>
      <c r="J717" s="135"/>
      <c r="K717" s="135"/>
      <c r="L717" s="135"/>
      <c r="M717" s="135"/>
      <c r="N717" s="135"/>
    </row>
    <row r="718" spans="7:14" ht="12.75">
      <c r="G718" s="135"/>
      <c r="H718" s="135"/>
      <c r="I718" s="135"/>
      <c r="J718" s="135"/>
      <c r="K718" s="135"/>
      <c r="L718" s="135"/>
      <c r="M718" s="135"/>
      <c r="N718" s="135"/>
    </row>
    <row r="719" spans="7:14" ht="12.75">
      <c r="G719" s="135"/>
      <c r="H719" s="135"/>
      <c r="I719" s="135"/>
      <c r="J719" s="135"/>
      <c r="K719" s="135"/>
      <c r="L719" s="135"/>
      <c r="M719" s="135"/>
      <c r="N719" s="135"/>
    </row>
    <row r="720" spans="7:14" ht="12.75">
      <c r="G720" s="135"/>
      <c r="H720" s="135"/>
      <c r="I720" s="135"/>
      <c r="J720" s="135"/>
      <c r="K720" s="135"/>
      <c r="L720" s="135"/>
      <c r="M720" s="135"/>
      <c r="N720" s="135"/>
    </row>
    <row r="721" spans="7:14" ht="12.75">
      <c r="G721" s="135"/>
      <c r="H721" s="135"/>
      <c r="I721" s="135"/>
      <c r="J721" s="135"/>
      <c r="K721" s="135"/>
      <c r="L721" s="135"/>
      <c r="M721" s="135"/>
      <c r="N721" s="135"/>
    </row>
    <row r="722" spans="7:14" ht="12.75">
      <c r="G722" s="135"/>
      <c r="H722" s="135"/>
      <c r="I722" s="135"/>
      <c r="J722" s="135"/>
      <c r="K722" s="135"/>
      <c r="L722" s="135"/>
      <c r="M722" s="135"/>
      <c r="N722" s="135"/>
    </row>
    <row r="723" spans="7:14" ht="12.75">
      <c r="G723" s="135"/>
      <c r="H723" s="135"/>
      <c r="I723" s="135"/>
      <c r="J723" s="135"/>
      <c r="K723" s="135"/>
      <c r="L723" s="135"/>
      <c r="M723" s="135"/>
      <c r="N723" s="135"/>
    </row>
    <row r="724" spans="7:14" ht="12.75">
      <c r="G724" s="135"/>
      <c r="H724" s="135"/>
      <c r="I724" s="135"/>
      <c r="J724" s="135"/>
      <c r="K724" s="135"/>
      <c r="L724" s="135"/>
      <c r="M724" s="135"/>
      <c r="N724" s="135"/>
    </row>
    <row r="725" spans="7:14" ht="12.75">
      <c r="G725" s="135"/>
      <c r="H725" s="135"/>
      <c r="I725" s="135"/>
      <c r="J725" s="135"/>
      <c r="K725" s="135"/>
      <c r="L725" s="135"/>
      <c r="M725" s="135"/>
      <c r="N725" s="135"/>
    </row>
    <row r="726" spans="7:14" ht="12.75">
      <c r="G726" s="135"/>
      <c r="H726" s="135"/>
      <c r="I726" s="135"/>
      <c r="J726" s="135"/>
      <c r="K726" s="135"/>
      <c r="L726" s="135"/>
      <c r="M726" s="135"/>
      <c r="N726" s="135"/>
    </row>
    <row r="727" spans="7:14" ht="12.75">
      <c r="G727" s="135"/>
      <c r="H727" s="135"/>
      <c r="I727" s="135"/>
      <c r="J727" s="135"/>
      <c r="K727" s="135"/>
      <c r="L727" s="135"/>
      <c r="M727" s="135"/>
      <c r="N727" s="135"/>
    </row>
    <row r="728" spans="7:14" ht="12.75">
      <c r="G728" s="135"/>
      <c r="H728" s="135"/>
      <c r="I728" s="135"/>
      <c r="J728" s="135"/>
      <c r="K728" s="135"/>
      <c r="L728" s="135"/>
      <c r="M728" s="135"/>
      <c r="N728" s="135"/>
    </row>
    <row r="729" spans="7:14" ht="12.75">
      <c r="G729" s="135"/>
      <c r="H729" s="135"/>
      <c r="I729" s="135"/>
      <c r="J729" s="135"/>
      <c r="K729" s="135"/>
      <c r="L729" s="135"/>
      <c r="M729" s="135"/>
      <c r="N729" s="135"/>
    </row>
    <row r="730" spans="7:14" ht="12.75">
      <c r="G730" s="135"/>
      <c r="H730" s="135"/>
      <c r="I730" s="135"/>
      <c r="J730" s="135"/>
      <c r="K730" s="135"/>
      <c r="L730" s="135"/>
      <c r="M730" s="135"/>
      <c r="N730" s="135"/>
    </row>
    <row r="731" spans="7:14" ht="12.75">
      <c r="G731" s="135"/>
      <c r="H731" s="135"/>
      <c r="I731" s="135"/>
      <c r="J731" s="135"/>
      <c r="K731" s="135"/>
      <c r="L731" s="135"/>
      <c r="M731" s="135"/>
      <c r="N731" s="135"/>
    </row>
    <row r="732" spans="7:14" ht="12.75">
      <c r="G732" s="135"/>
      <c r="H732" s="135"/>
      <c r="I732" s="135"/>
      <c r="J732" s="135"/>
      <c r="K732" s="135"/>
      <c r="L732" s="135"/>
      <c r="M732" s="135"/>
      <c r="N732" s="135"/>
    </row>
    <row r="733" spans="7:14" ht="12.75">
      <c r="G733" s="135"/>
      <c r="H733" s="135"/>
      <c r="I733" s="135"/>
      <c r="J733" s="135"/>
      <c r="K733" s="135"/>
      <c r="L733" s="135"/>
      <c r="M733" s="135"/>
      <c r="N733" s="135"/>
    </row>
    <row r="734" spans="7:14" ht="12.75">
      <c r="G734" s="135"/>
      <c r="H734" s="135"/>
      <c r="I734" s="135"/>
      <c r="J734" s="135"/>
      <c r="K734" s="135"/>
      <c r="L734" s="135"/>
      <c r="M734" s="135"/>
      <c r="N734" s="135"/>
    </row>
    <row r="735" spans="7:14" ht="12.75">
      <c r="G735" s="135"/>
      <c r="H735" s="135"/>
      <c r="I735" s="135"/>
      <c r="J735" s="135"/>
      <c r="K735" s="135"/>
      <c r="L735" s="135"/>
      <c r="M735" s="135"/>
      <c r="N735" s="135"/>
    </row>
    <row r="736" spans="7:14" ht="12.75">
      <c r="G736" s="135"/>
      <c r="H736" s="135"/>
      <c r="I736" s="135"/>
      <c r="J736" s="135"/>
      <c r="K736" s="135"/>
      <c r="L736" s="135"/>
      <c r="M736" s="135"/>
      <c r="N736" s="135"/>
    </row>
    <row r="737" spans="7:14" ht="12.75">
      <c r="G737" s="135"/>
      <c r="H737" s="135"/>
      <c r="I737" s="135"/>
      <c r="J737" s="135"/>
      <c r="K737" s="135"/>
      <c r="L737" s="135"/>
      <c r="M737" s="135"/>
      <c r="N737" s="135"/>
    </row>
    <row r="738" spans="7:14" ht="12.75">
      <c r="G738" s="135"/>
      <c r="H738" s="135"/>
      <c r="I738" s="135"/>
      <c r="J738" s="135"/>
      <c r="K738" s="135"/>
      <c r="L738" s="135"/>
      <c r="M738" s="135"/>
      <c r="N738" s="135"/>
    </row>
    <row r="739" spans="7:14" ht="12.75">
      <c r="G739" s="135"/>
      <c r="H739" s="135"/>
      <c r="I739" s="135"/>
      <c r="J739" s="135"/>
      <c r="K739" s="135"/>
      <c r="L739" s="135"/>
      <c r="M739" s="135"/>
      <c r="N739" s="135"/>
    </row>
    <row r="740" spans="7:14" ht="12.75">
      <c r="G740" s="135"/>
      <c r="H740" s="135"/>
      <c r="I740" s="135"/>
      <c r="J740" s="135"/>
      <c r="K740" s="135"/>
      <c r="L740" s="135"/>
      <c r="M740" s="135"/>
      <c r="N740" s="135"/>
    </row>
    <row r="741" spans="7:14" ht="12.75">
      <c r="G741" s="135"/>
      <c r="H741" s="135"/>
      <c r="I741" s="135"/>
      <c r="J741" s="135"/>
      <c r="K741" s="135"/>
      <c r="L741" s="135"/>
      <c r="M741" s="135"/>
      <c r="N741" s="135"/>
    </row>
    <row r="742" spans="7:14" ht="12.75">
      <c r="G742" s="135"/>
      <c r="H742" s="135"/>
      <c r="I742" s="135"/>
      <c r="J742" s="135"/>
      <c r="K742" s="135"/>
      <c r="L742" s="135"/>
      <c r="M742" s="135"/>
      <c r="N742" s="135"/>
    </row>
    <row r="743" spans="7:14" ht="12.75">
      <c r="G743" s="135"/>
      <c r="H743" s="135"/>
      <c r="I743" s="135"/>
      <c r="J743" s="135"/>
      <c r="K743" s="135"/>
      <c r="L743" s="135"/>
      <c r="M743" s="135"/>
      <c r="N743" s="135"/>
    </row>
    <row r="744" spans="7:14" ht="12.75">
      <c r="G744" s="135"/>
      <c r="H744" s="135"/>
      <c r="I744" s="135"/>
      <c r="J744" s="135"/>
      <c r="K744" s="135"/>
      <c r="L744" s="135"/>
      <c r="M744" s="135"/>
      <c r="N744" s="135"/>
    </row>
    <row r="745" spans="7:14" ht="12.75">
      <c r="G745" s="135"/>
      <c r="H745" s="135"/>
      <c r="I745" s="135"/>
      <c r="J745" s="135"/>
      <c r="K745" s="135"/>
      <c r="L745" s="135"/>
      <c r="M745" s="135"/>
      <c r="N745" s="135"/>
    </row>
    <row r="746" spans="7:14" ht="12.75">
      <c r="G746" s="135"/>
      <c r="H746" s="135"/>
      <c r="I746" s="135"/>
      <c r="J746" s="135"/>
      <c r="K746" s="135"/>
      <c r="L746" s="135"/>
      <c r="M746" s="135"/>
      <c r="N746" s="135"/>
    </row>
    <row r="747" spans="7:14" ht="12.75">
      <c r="G747" s="135"/>
      <c r="H747" s="135"/>
      <c r="I747" s="135"/>
      <c r="J747" s="135"/>
      <c r="K747" s="135"/>
      <c r="L747" s="135"/>
      <c r="M747" s="135"/>
      <c r="N747" s="135"/>
    </row>
    <row r="748" spans="7:14" ht="12.75">
      <c r="G748" s="135"/>
      <c r="H748" s="135"/>
      <c r="I748" s="135"/>
      <c r="J748" s="135"/>
      <c r="K748" s="135"/>
      <c r="L748" s="135"/>
      <c r="M748" s="135"/>
      <c r="N748" s="135"/>
    </row>
    <row r="749" spans="7:14" ht="12.75">
      <c r="G749" s="135"/>
      <c r="H749" s="135"/>
      <c r="I749" s="135"/>
      <c r="J749" s="135"/>
      <c r="K749" s="135"/>
      <c r="L749" s="135"/>
      <c r="M749" s="135"/>
      <c r="N749" s="135"/>
    </row>
    <row r="750" spans="7:14" ht="12.75">
      <c r="G750" s="135"/>
      <c r="H750" s="135"/>
      <c r="I750" s="135"/>
      <c r="J750" s="135"/>
      <c r="K750" s="135"/>
      <c r="L750" s="135"/>
      <c r="M750" s="135"/>
      <c r="N750" s="135"/>
    </row>
    <row r="751" spans="7:14" ht="12.75">
      <c r="G751" s="135"/>
      <c r="H751" s="135"/>
      <c r="I751" s="135"/>
      <c r="J751" s="135"/>
      <c r="K751" s="135"/>
      <c r="L751" s="135"/>
      <c r="M751" s="135"/>
      <c r="N751" s="135"/>
    </row>
    <row r="752" spans="7:14" ht="12.75">
      <c r="G752" s="135"/>
      <c r="H752" s="135"/>
      <c r="I752" s="135"/>
      <c r="J752" s="135"/>
      <c r="K752" s="135"/>
      <c r="L752" s="135"/>
      <c r="M752" s="135"/>
      <c r="N752" s="135"/>
    </row>
    <row r="753" spans="7:14" ht="12.75">
      <c r="G753" s="135"/>
      <c r="H753" s="135"/>
      <c r="I753" s="135"/>
      <c r="J753" s="135"/>
      <c r="K753" s="135"/>
      <c r="L753" s="135"/>
      <c r="M753" s="135"/>
      <c r="N753" s="135"/>
    </row>
    <row r="754" spans="7:14" ht="12.75">
      <c r="G754" s="135"/>
      <c r="H754" s="135"/>
      <c r="I754" s="135"/>
      <c r="J754" s="135"/>
      <c r="K754" s="135"/>
      <c r="L754" s="135"/>
      <c r="M754" s="135"/>
      <c r="N754" s="135"/>
    </row>
    <row r="755" spans="7:14" ht="12.75">
      <c r="G755" s="135"/>
      <c r="H755" s="135"/>
      <c r="I755" s="135"/>
      <c r="J755" s="135"/>
      <c r="K755" s="135"/>
      <c r="L755" s="135"/>
      <c r="M755" s="135"/>
      <c r="N755" s="135"/>
    </row>
    <row r="756" spans="7:14" ht="12.75">
      <c r="G756" s="135"/>
      <c r="H756" s="135"/>
      <c r="I756" s="135"/>
      <c r="J756" s="135"/>
      <c r="K756" s="135"/>
      <c r="L756" s="135"/>
      <c r="M756" s="135"/>
      <c r="N756" s="135"/>
    </row>
    <row r="757" spans="7:14" ht="12.75">
      <c r="G757" s="135"/>
      <c r="H757" s="135"/>
      <c r="I757" s="135"/>
      <c r="J757" s="135"/>
      <c r="K757" s="135"/>
      <c r="L757" s="135"/>
      <c r="M757" s="135"/>
      <c r="N757" s="135"/>
    </row>
    <row r="758" spans="7:14" ht="12.75">
      <c r="G758" s="135"/>
      <c r="H758" s="135"/>
      <c r="I758" s="135"/>
      <c r="J758" s="135"/>
      <c r="K758" s="135"/>
      <c r="L758" s="135"/>
      <c r="M758" s="135"/>
      <c r="N758" s="135"/>
    </row>
    <row r="759" spans="7:14" ht="12.75">
      <c r="G759" s="135"/>
      <c r="H759" s="135"/>
      <c r="I759" s="135"/>
      <c r="J759" s="135"/>
      <c r="K759" s="135"/>
      <c r="L759" s="135"/>
      <c r="M759" s="135"/>
      <c r="N759" s="135"/>
    </row>
    <row r="760" spans="7:14" ht="12.75">
      <c r="G760" s="135"/>
      <c r="H760" s="135"/>
      <c r="I760" s="135"/>
      <c r="J760" s="135"/>
      <c r="K760" s="135"/>
      <c r="L760" s="135"/>
      <c r="M760" s="135"/>
      <c r="N760" s="135"/>
    </row>
    <row r="761" spans="7:14" ht="12.75">
      <c r="G761" s="135"/>
      <c r="H761" s="135"/>
      <c r="I761" s="135"/>
      <c r="J761" s="135"/>
      <c r="K761" s="135"/>
      <c r="L761" s="135"/>
      <c r="M761" s="135"/>
      <c r="N761" s="135"/>
    </row>
    <row r="762" spans="7:14" ht="12.75">
      <c r="G762" s="135"/>
      <c r="H762" s="135"/>
      <c r="I762" s="135"/>
      <c r="J762" s="135"/>
      <c r="K762" s="135"/>
      <c r="L762" s="135"/>
      <c r="M762" s="135"/>
      <c r="N762" s="135"/>
    </row>
    <row r="763" spans="7:14" ht="12.75">
      <c r="G763" s="135"/>
      <c r="H763" s="135"/>
      <c r="I763" s="135"/>
      <c r="J763" s="135"/>
      <c r="K763" s="135"/>
      <c r="L763" s="135"/>
      <c r="M763" s="135"/>
      <c r="N763" s="135"/>
    </row>
    <row r="764" spans="7:14" ht="12.75">
      <c r="G764" s="135"/>
      <c r="H764" s="135"/>
      <c r="I764" s="135"/>
      <c r="J764" s="135"/>
      <c r="K764" s="135"/>
      <c r="L764" s="135"/>
      <c r="M764" s="135"/>
      <c r="N764" s="135"/>
    </row>
    <row r="765" spans="7:14" ht="12.75">
      <c r="G765" s="135"/>
      <c r="H765" s="135"/>
      <c r="I765" s="135"/>
      <c r="J765" s="135"/>
      <c r="K765" s="135"/>
      <c r="L765" s="135"/>
      <c r="M765" s="135"/>
      <c r="N765" s="135"/>
    </row>
    <row r="766" spans="7:14" ht="12.75">
      <c r="G766" s="135"/>
      <c r="H766" s="135"/>
      <c r="I766" s="135"/>
      <c r="J766" s="135"/>
      <c r="K766" s="135"/>
      <c r="L766" s="135"/>
      <c r="M766" s="135"/>
      <c r="N766" s="135"/>
    </row>
    <row r="767" spans="7:14" ht="12.75">
      <c r="G767" s="135"/>
      <c r="H767" s="135"/>
      <c r="I767" s="135"/>
      <c r="J767" s="135"/>
      <c r="K767" s="135"/>
      <c r="L767" s="135"/>
      <c r="M767" s="135"/>
      <c r="N767" s="135"/>
    </row>
    <row r="768" spans="7:14" ht="12.75">
      <c r="G768" s="135"/>
      <c r="H768" s="135"/>
      <c r="I768" s="135"/>
      <c r="J768" s="135"/>
      <c r="K768" s="135"/>
      <c r="L768" s="135"/>
      <c r="M768" s="135"/>
      <c r="N768" s="135"/>
    </row>
    <row r="769" spans="7:14" ht="12.75">
      <c r="G769" s="135"/>
      <c r="H769" s="135"/>
      <c r="I769" s="135"/>
      <c r="J769" s="135"/>
      <c r="K769" s="135"/>
      <c r="L769" s="135"/>
      <c r="M769" s="135"/>
      <c r="N769" s="135"/>
    </row>
    <row r="770" spans="7:14" ht="12.75">
      <c r="G770" s="135"/>
      <c r="H770" s="135"/>
      <c r="I770" s="135"/>
      <c r="J770" s="135"/>
      <c r="K770" s="135"/>
      <c r="L770" s="135"/>
      <c r="M770" s="135"/>
      <c r="N770" s="135"/>
    </row>
    <row r="771" spans="7:14" ht="12.75">
      <c r="G771" s="135"/>
      <c r="H771" s="135"/>
      <c r="I771" s="135"/>
      <c r="J771" s="135"/>
      <c r="K771" s="135"/>
      <c r="L771" s="135"/>
      <c r="M771" s="135"/>
      <c r="N771" s="135"/>
    </row>
    <row r="772" spans="7:14" ht="12.75">
      <c r="G772" s="135"/>
      <c r="H772" s="135"/>
      <c r="I772" s="135"/>
      <c r="J772" s="135"/>
      <c r="K772" s="135"/>
      <c r="L772" s="135"/>
      <c r="M772" s="135"/>
      <c r="N772" s="135"/>
    </row>
    <row r="773" spans="7:14" ht="12.75">
      <c r="G773" s="135"/>
      <c r="H773" s="135"/>
      <c r="I773" s="135"/>
      <c r="J773" s="135"/>
      <c r="K773" s="135"/>
      <c r="L773" s="135"/>
      <c r="M773" s="135"/>
      <c r="N773" s="135"/>
    </row>
    <row r="774" spans="7:14" ht="12.75">
      <c r="G774" s="135"/>
      <c r="H774" s="135"/>
      <c r="I774" s="135"/>
      <c r="J774" s="135"/>
      <c r="K774" s="135"/>
      <c r="L774" s="135"/>
      <c r="M774" s="135"/>
      <c r="N774" s="135"/>
    </row>
    <row r="775" spans="7:14" ht="12.75">
      <c r="G775" s="135"/>
      <c r="H775" s="135"/>
      <c r="I775" s="135"/>
      <c r="J775" s="135"/>
      <c r="K775" s="135"/>
      <c r="L775" s="135"/>
      <c r="M775" s="135"/>
      <c r="N775" s="135"/>
    </row>
    <row r="776" spans="7:14" ht="12.75">
      <c r="G776" s="135"/>
      <c r="H776" s="135"/>
      <c r="I776" s="135"/>
      <c r="J776" s="135"/>
      <c r="K776" s="135"/>
      <c r="L776" s="135"/>
      <c r="M776" s="135"/>
      <c r="N776" s="135"/>
    </row>
    <row r="777" spans="7:14" ht="12.75">
      <c r="G777" s="135"/>
      <c r="H777" s="135"/>
      <c r="I777" s="135"/>
      <c r="J777" s="135"/>
      <c r="K777" s="135"/>
      <c r="L777" s="135"/>
      <c r="M777" s="135"/>
      <c r="N777" s="135"/>
    </row>
    <row r="778" spans="7:14" ht="12.75">
      <c r="G778" s="135"/>
      <c r="H778" s="135"/>
      <c r="I778" s="135"/>
      <c r="J778" s="135"/>
      <c r="K778" s="135"/>
      <c r="L778" s="135"/>
      <c r="M778" s="135"/>
      <c r="N778" s="135"/>
    </row>
    <row r="779" spans="7:14" ht="12.75">
      <c r="G779" s="135"/>
      <c r="H779" s="135"/>
      <c r="I779" s="135"/>
      <c r="J779" s="135"/>
      <c r="K779" s="135"/>
      <c r="L779" s="135"/>
      <c r="M779" s="135"/>
      <c r="N779" s="135"/>
    </row>
    <row r="780" spans="7:14" ht="12.75">
      <c r="G780" s="135"/>
      <c r="H780" s="135"/>
      <c r="I780" s="135"/>
      <c r="J780" s="135"/>
      <c r="K780" s="135"/>
      <c r="L780" s="135"/>
      <c r="M780" s="135"/>
      <c r="N780" s="135"/>
    </row>
    <row r="781" spans="7:14" ht="12.75">
      <c r="G781" s="135"/>
      <c r="H781" s="135"/>
      <c r="I781" s="135"/>
      <c r="J781" s="135"/>
      <c r="K781" s="135"/>
      <c r="L781" s="135"/>
      <c r="M781" s="135"/>
      <c r="N781" s="135"/>
    </row>
    <row r="782" spans="7:14" ht="12.75">
      <c r="G782" s="135"/>
      <c r="H782" s="135"/>
      <c r="I782" s="135"/>
      <c r="J782" s="135"/>
      <c r="K782" s="135"/>
      <c r="L782" s="135"/>
      <c r="M782" s="135"/>
      <c r="N782" s="135"/>
    </row>
    <row r="783" spans="7:14" ht="12.75">
      <c r="G783" s="135"/>
      <c r="H783" s="135"/>
      <c r="I783" s="135"/>
      <c r="J783" s="135"/>
      <c r="K783" s="135"/>
      <c r="L783" s="135"/>
      <c r="M783" s="135"/>
      <c r="N783" s="135"/>
    </row>
    <row r="784" spans="7:14" ht="12.75">
      <c r="G784" s="135"/>
      <c r="H784" s="135"/>
      <c r="I784" s="135"/>
      <c r="J784" s="135"/>
      <c r="K784" s="135"/>
      <c r="L784" s="135"/>
      <c r="M784" s="135"/>
      <c r="N784" s="135"/>
    </row>
    <row r="785" spans="7:14" ht="12.75">
      <c r="G785" s="135"/>
      <c r="H785" s="135"/>
      <c r="I785" s="135"/>
      <c r="J785" s="135"/>
      <c r="K785" s="135"/>
      <c r="L785" s="135"/>
      <c r="M785" s="135"/>
      <c r="N785" s="135"/>
    </row>
    <row r="786" spans="7:14" ht="12.75">
      <c r="G786" s="135"/>
      <c r="H786" s="135"/>
      <c r="I786" s="135"/>
      <c r="J786" s="135"/>
      <c r="K786" s="135"/>
      <c r="L786" s="135"/>
      <c r="M786" s="135"/>
      <c r="N786" s="135"/>
    </row>
    <row r="787" spans="7:14" ht="12.75">
      <c r="G787" s="135"/>
      <c r="H787" s="135"/>
      <c r="I787" s="135"/>
      <c r="J787" s="135"/>
      <c r="K787" s="135"/>
      <c r="L787" s="135"/>
      <c r="M787" s="135"/>
      <c r="N787" s="135"/>
    </row>
    <row r="788" spans="7:14" ht="12.75">
      <c r="G788" s="135"/>
      <c r="H788" s="135"/>
      <c r="I788" s="135"/>
      <c r="J788" s="135"/>
      <c r="K788" s="135"/>
      <c r="L788" s="135"/>
      <c r="M788" s="135"/>
      <c r="N788" s="135"/>
    </row>
    <row r="789" spans="7:14" ht="12.75">
      <c r="G789" s="135"/>
      <c r="H789" s="135"/>
      <c r="I789" s="135"/>
      <c r="J789" s="135"/>
      <c r="K789" s="135"/>
      <c r="L789" s="135"/>
      <c r="M789" s="135"/>
      <c r="N789" s="135"/>
    </row>
    <row r="790" spans="7:14" ht="12.75">
      <c r="G790" s="135"/>
      <c r="H790" s="135"/>
      <c r="I790" s="135"/>
      <c r="J790" s="135"/>
      <c r="K790" s="135"/>
      <c r="L790" s="135"/>
      <c r="M790" s="135"/>
      <c r="N790" s="135"/>
    </row>
    <row r="791" spans="7:14" ht="12.75">
      <c r="G791" s="135"/>
      <c r="H791" s="135"/>
      <c r="I791" s="135"/>
      <c r="J791" s="135"/>
      <c r="K791" s="135"/>
      <c r="L791" s="135"/>
      <c r="M791" s="135"/>
      <c r="N791" s="135"/>
    </row>
    <row r="792" spans="7:14" ht="12.75">
      <c r="G792" s="135"/>
      <c r="H792" s="135"/>
      <c r="I792" s="135"/>
      <c r="J792" s="135"/>
      <c r="K792" s="135"/>
      <c r="L792" s="135"/>
      <c r="M792" s="135"/>
      <c r="N792" s="135"/>
    </row>
    <row r="793" spans="7:14" ht="12.75">
      <c r="G793" s="135"/>
      <c r="H793" s="135"/>
      <c r="I793" s="135"/>
      <c r="J793" s="135"/>
      <c r="K793" s="135"/>
      <c r="L793" s="135"/>
      <c r="M793" s="135"/>
      <c r="N793" s="135"/>
    </row>
    <row r="794" spans="7:14" ht="12.75">
      <c r="G794" s="135"/>
      <c r="H794" s="135"/>
      <c r="I794" s="135"/>
      <c r="J794" s="135"/>
      <c r="K794" s="135"/>
      <c r="L794" s="135"/>
      <c r="M794" s="135"/>
      <c r="N794" s="135"/>
    </row>
    <row r="795" spans="7:14" ht="12.75">
      <c r="G795" s="135"/>
      <c r="H795" s="135"/>
      <c r="I795" s="135"/>
      <c r="J795" s="135"/>
      <c r="K795" s="135"/>
      <c r="L795" s="135"/>
      <c r="M795" s="135"/>
      <c r="N795" s="135"/>
    </row>
    <row r="796" spans="7:14" ht="12.75">
      <c r="G796" s="135"/>
      <c r="H796" s="135"/>
      <c r="I796" s="135"/>
      <c r="J796" s="135"/>
      <c r="K796" s="135"/>
      <c r="L796" s="135"/>
      <c r="M796" s="135"/>
      <c r="N796" s="135"/>
    </row>
    <row r="797" spans="7:14" ht="12.75">
      <c r="G797" s="135"/>
      <c r="H797" s="135"/>
      <c r="I797" s="135"/>
      <c r="J797" s="135"/>
      <c r="K797" s="135"/>
      <c r="L797" s="135"/>
      <c r="M797" s="135"/>
      <c r="N797" s="135"/>
    </row>
    <row r="798" spans="7:14" ht="12.75">
      <c r="G798" s="135"/>
      <c r="H798" s="135"/>
      <c r="I798" s="135"/>
      <c r="J798" s="135"/>
      <c r="K798" s="135"/>
      <c r="L798" s="135"/>
      <c r="M798" s="135"/>
      <c r="N798" s="135"/>
    </row>
    <row r="799" spans="7:14" ht="12.75">
      <c r="G799" s="135"/>
      <c r="H799" s="135"/>
      <c r="I799" s="135"/>
      <c r="J799" s="135"/>
      <c r="K799" s="135"/>
      <c r="L799" s="135"/>
      <c r="M799" s="135"/>
      <c r="N799" s="135"/>
    </row>
    <row r="800" spans="7:14" ht="12.75">
      <c r="G800" s="135"/>
      <c r="H800" s="135"/>
      <c r="I800" s="135"/>
      <c r="J800" s="135"/>
      <c r="K800" s="135"/>
      <c r="L800" s="135"/>
      <c r="M800" s="135"/>
      <c r="N800" s="135"/>
    </row>
    <row r="801" spans="7:14" ht="12.75">
      <c r="G801" s="135"/>
      <c r="H801" s="135"/>
      <c r="I801" s="135"/>
      <c r="J801" s="135"/>
      <c r="K801" s="135"/>
      <c r="L801" s="135"/>
      <c r="M801" s="135"/>
      <c r="N801" s="135"/>
    </row>
    <row r="802" spans="7:14" ht="12.75">
      <c r="G802" s="135"/>
      <c r="H802" s="135"/>
      <c r="I802" s="135"/>
      <c r="J802" s="135"/>
      <c r="K802" s="135"/>
      <c r="L802" s="135"/>
      <c r="M802" s="135"/>
      <c r="N802" s="135"/>
    </row>
    <row r="803" spans="7:14" ht="12.75">
      <c r="G803" s="135"/>
      <c r="H803" s="135"/>
      <c r="I803" s="135"/>
      <c r="J803" s="135"/>
      <c r="K803" s="135"/>
      <c r="L803" s="135"/>
      <c r="M803" s="135"/>
      <c r="N803" s="135"/>
    </row>
    <row r="804" spans="7:14" ht="12.75">
      <c r="G804" s="135"/>
      <c r="H804" s="135"/>
      <c r="I804" s="135"/>
      <c r="J804" s="135"/>
      <c r="K804" s="135"/>
      <c r="L804" s="135"/>
      <c r="M804" s="135"/>
      <c r="N804" s="135"/>
    </row>
    <row r="805" spans="7:14" ht="12.75">
      <c r="G805" s="135"/>
      <c r="H805" s="135"/>
      <c r="I805" s="135"/>
      <c r="J805" s="135"/>
      <c r="K805" s="135"/>
      <c r="L805" s="135"/>
      <c r="M805" s="135"/>
      <c r="N805" s="135"/>
    </row>
    <row r="806" spans="7:14" ht="12.75">
      <c r="G806" s="135"/>
      <c r="H806" s="135"/>
      <c r="I806" s="135"/>
      <c r="J806" s="135"/>
      <c r="K806" s="135"/>
      <c r="L806" s="135"/>
      <c r="M806" s="135"/>
      <c r="N806" s="135"/>
    </row>
    <row r="807" spans="7:14" ht="12.75">
      <c r="G807" s="135"/>
      <c r="H807" s="135"/>
      <c r="I807" s="135"/>
      <c r="J807" s="135"/>
      <c r="K807" s="135"/>
      <c r="L807" s="135"/>
      <c r="M807" s="135"/>
      <c r="N807" s="135"/>
    </row>
    <row r="808" spans="7:14" ht="12.75">
      <c r="G808" s="135"/>
      <c r="H808" s="135"/>
      <c r="I808" s="135"/>
      <c r="J808" s="135"/>
      <c r="K808" s="135"/>
      <c r="L808" s="135"/>
      <c r="M808" s="135"/>
      <c r="N808" s="135"/>
    </row>
    <row r="809" spans="7:14" ht="12.75">
      <c r="G809" s="135"/>
      <c r="H809" s="135"/>
      <c r="I809" s="135"/>
      <c r="J809" s="135"/>
      <c r="K809" s="135"/>
      <c r="L809" s="135"/>
      <c r="M809" s="135"/>
      <c r="N809" s="135"/>
    </row>
    <row r="810" spans="7:14" ht="12.75">
      <c r="G810" s="135"/>
      <c r="H810" s="135"/>
      <c r="I810" s="135"/>
      <c r="J810" s="135"/>
      <c r="K810" s="135"/>
      <c r="L810" s="135"/>
      <c r="M810" s="135"/>
      <c r="N810" s="135"/>
    </row>
    <row r="811" spans="7:14" ht="12.75">
      <c r="G811" s="135"/>
      <c r="H811" s="135"/>
      <c r="I811" s="135"/>
      <c r="J811" s="135"/>
      <c r="K811" s="135"/>
      <c r="L811" s="135"/>
      <c r="M811" s="135"/>
      <c r="N811" s="135"/>
    </row>
    <row r="812" spans="7:14" ht="12.75">
      <c r="G812" s="135"/>
      <c r="H812" s="135"/>
      <c r="I812" s="135"/>
      <c r="J812" s="135"/>
      <c r="K812" s="135"/>
      <c r="L812" s="135"/>
      <c r="M812" s="135"/>
      <c r="N812" s="135"/>
    </row>
    <row r="813" spans="7:14" ht="12.75">
      <c r="G813" s="135"/>
      <c r="H813" s="135"/>
      <c r="I813" s="135"/>
      <c r="J813" s="135"/>
      <c r="K813" s="135"/>
      <c r="L813" s="135"/>
      <c r="M813" s="135"/>
      <c r="N813" s="135"/>
    </row>
    <row r="814" spans="7:14" ht="12.75">
      <c r="G814" s="135"/>
      <c r="H814" s="135"/>
      <c r="I814" s="135"/>
      <c r="J814" s="135"/>
      <c r="K814" s="135"/>
      <c r="L814" s="135"/>
      <c r="M814" s="135"/>
      <c r="N814" s="135"/>
    </row>
    <row r="815" spans="7:14" ht="12.75">
      <c r="G815" s="135"/>
      <c r="H815" s="135"/>
      <c r="I815" s="135"/>
      <c r="J815" s="135"/>
      <c r="K815" s="135"/>
      <c r="L815" s="135"/>
      <c r="M815" s="135"/>
      <c r="N815" s="135"/>
    </row>
    <row r="816" spans="7:14" ht="12.75">
      <c r="G816" s="135"/>
      <c r="H816" s="135"/>
      <c r="I816" s="135"/>
      <c r="J816" s="135"/>
      <c r="K816" s="135"/>
      <c r="L816" s="135"/>
      <c r="M816" s="135"/>
      <c r="N816" s="135"/>
    </row>
    <row r="817" spans="7:14" ht="12.75">
      <c r="G817" s="135"/>
      <c r="H817" s="135"/>
      <c r="I817" s="135"/>
      <c r="J817" s="135"/>
      <c r="K817" s="135"/>
      <c r="L817" s="135"/>
      <c r="M817" s="135"/>
      <c r="N817" s="135"/>
    </row>
    <row r="818" spans="7:14" ht="12.75">
      <c r="G818" s="135"/>
      <c r="H818" s="135"/>
      <c r="I818" s="135"/>
      <c r="J818" s="135"/>
      <c r="K818" s="135"/>
      <c r="L818" s="135"/>
      <c r="M818" s="135"/>
      <c r="N818" s="135"/>
    </row>
    <row r="819" spans="7:14" ht="12.75">
      <c r="G819" s="135"/>
      <c r="H819" s="135"/>
      <c r="I819" s="135"/>
      <c r="J819" s="135"/>
      <c r="K819" s="135"/>
      <c r="L819" s="135"/>
      <c r="M819" s="135"/>
      <c r="N819" s="135"/>
    </row>
    <row r="820" spans="7:14" ht="12.75">
      <c r="G820" s="135"/>
      <c r="H820" s="135"/>
      <c r="I820" s="135"/>
      <c r="J820" s="135"/>
      <c r="K820" s="135"/>
      <c r="L820" s="135"/>
      <c r="M820" s="135"/>
      <c r="N820" s="135"/>
    </row>
    <row r="821" spans="7:14" ht="12.75">
      <c r="G821" s="135"/>
      <c r="H821" s="135"/>
      <c r="I821" s="135"/>
      <c r="J821" s="135"/>
      <c r="K821" s="135"/>
      <c r="L821" s="135"/>
      <c r="M821" s="135"/>
      <c r="N821" s="135"/>
    </row>
    <row r="822" spans="7:14" ht="12.75">
      <c r="G822" s="135"/>
      <c r="H822" s="135"/>
      <c r="I822" s="135"/>
      <c r="J822" s="135"/>
      <c r="K822" s="135"/>
      <c r="L822" s="135"/>
      <c r="M822" s="135"/>
      <c r="N822" s="135"/>
    </row>
    <row r="823" spans="7:14" ht="12.75">
      <c r="G823" s="135"/>
      <c r="H823" s="135"/>
      <c r="I823" s="135"/>
      <c r="J823" s="135"/>
      <c r="K823" s="135"/>
      <c r="L823" s="135"/>
      <c r="M823" s="135"/>
      <c r="N823" s="135"/>
    </row>
    <row r="824" spans="7:14" ht="12.75">
      <c r="G824" s="135"/>
      <c r="H824" s="135"/>
      <c r="I824" s="135"/>
      <c r="J824" s="135"/>
      <c r="K824" s="135"/>
      <c r="L824" s="135"/>
      <c r="M824" s="135"/>
      <c r="N824" s="135"/>
    </row>
    <row r="825" spans="7:14" ht="12.75">
      <c r="G825" s="135"/>
      <c r="H825" s="135"/>
      <c r="I825" s="135"/>
      <c r="J825" s="135"/>
      <c r="K825" s="135"/>
      <c r="L825" s="135"/>
      <c r="M825" s="135"/>
      <c r="N825" s="135"/>
    </row>
    <row r="826" spans="7:14" ht="12.75">
      <c r="G826" s="135"/>
      <c r="H826" s="135"/>
      <c r="I826" s="135"/>
      <c r="J826" s="135"/>
      <c r="K826" s="135"/>
      <c r="L826" s="135"/>
      <c r="M826" s="135"/>
      <c r="N826" s="135"/>
    </row>
    <row r="827" spans="7:14" ht="12.75">
      <c r="G827" s="135"/>
      <c r="H827" s="135"/>
      <c r="I827" s="135"/>
      <c r="J827" s="135"/>
      <c r="K827" s="135"/>
      <c r="L827" s="135"/>
      <c r="M827" s="135"/>
      <c r="N827" s="135"/>
    </row>
    <row r="828" spans="7:14" ht="12.75">
      <c r="G828" s="135"/>
      <c r="H828" s="135"/>
      <c r="I828" s="135"/>
      <c r="J828" s="135"/>
      <c r="K828" s="135"/>
      <c r="L828" s="135"/>
      <c r="M828" s="135"/>
      <c r="N828" s="135"/>
    </row>
    <row r="829" spans="7:14" ht="12.75">
      <c r="G829" s="135"/>
      <c r="H829" s="135"/>
      <c r="I829" s="135"/>
      <c r="J829" s="135"/>
      <c r="K829" s="135"/>
      <c r="L829" s="135"/>
      <c r="M829" s="135"/>
      <c r="N829" s="135"/>
    </row>
    <row r="830" spans="7:14" ht="12.75">
      <c r="G830" s="135"/>
      <c r="H830" s="135"/>
      <c r="I830" s="135"/>
      <c r="J830" s="135"/>
      <c r="K830" s="135"/>
      <c r="L830" s="135"/>
      <c r="M830" s="135"/>
      <c r="N830" s="135"/>
    </row>
    <row r="831" spans="7:14" ht="12.75">
      <c r="G831" s="135"/>
      <c r="H831" s="135"/>
      <c r="I831" s="135"/>
      <c r="J831" s="135"/>
      <c r="K831" s="135"/>
      <c r="L831" s="135"/>
      <c r="M831" s="135"/>
      <c r="N831" s="135"/>
    </row>
    <row r="832" spans="7:14" ht="12.75">
      <c r="G832" s="135"/>
      <c r="H832" s="135"/>
      <c r="I832" s="135"/>
      <c r="J832" s="135"/>
      <c r="K832" s="135"/>
      <c r="L832" s="135"/>
      <c r="M832" s="135"/>
      <c r="N832" s="135"/>
    </row>
    <row r="833" spans="7:14" ht="12.75">
      <c r="G833" s="135"/>
      <c r="H833" s="135"/>
      <c r="I833" s="135"/>
      <c r="J833" s="135"/>
      <c r="K833" s="135"/>
      <c r="L833" s="135"/>
      <c r="M833" s="135"/>
      <c r="N833" s="135"/>
    </row>
    <row r="834" spans="7:14" ht="12.75">
      <c r="G834" s="135"/>
      <c r="H834" s="135"/>
      <c r="I834" s="135"/>
      <c r="J834" s="135"/>
      <c r="K834" s="135"/>
      <c r="L834" s="135"/>
      <c r="M834" s="135"/>
      <c r="N834" s="135"/>
    </row>
    <row r="835" spans="7:14" ht="12.75">
      <c r="G835" s="135"/>
      <c r="H835" s="135"/>
      <c r="I835" s="135"/>
      <c r="J835" s="135"/>
      <c r="K835" s="135"/>
      <c r="L835" s="135"/>
      <c r="M835" s="135"/>
      <c r="N835" s="135"/>
    </row>
    <row r="836" spans="7:14" ht="12.75">
      <c r="G836" s="135"/>
      <c r="H836" s="135"/>
      <c r="I836" s="135"/>
      <c r="J836" s="135"/>
      <c r="K836" s="135"/>
      <c r="L836" s="135"/>
      <c r="M836" s="135"/>
      <c r="N836" s="135"/>
    </row>
    <row r="837" spans="7:14" ht="12.75">
      <c r="G837" s="135"/>
      <c r="H837" s="135"/>
      <c r="I837" s="135"/>
      <c r="J837" s="135"/>
      <c r="K837" s="135"/>
      <c r="L837" s="135"/>
      <c r="M837" s="135"/>
      <c r="N837" s="135"/>
    </row>
    <row r="838" spans="7:14" ht="12.75">
      <c r="G838" s="135"/>
      <c r="H838" s="135"/>
      <c r="I838" s="135"/>
      <c r="J838" s="135"/>
      <c r="K838" s="135"/>
      <c r="L838" s="135"/>
      <c r="M838" s="135"/>
      <c r="N838" s="135"/>
    </row>
    <row r="839" spans="7:14" ht="12.75">
      <c r="G839" s="135"/>
      <c r="H839" s="135"/>
      <c r="I839" s="135"/>
      <c r="J839" s="135"/>
      <c r="K839" s="135"/>
      <c r="L839" s="135"/>
      <c r="M839" s="135"/>
      <c r="N839" s="135"/>
    </row>
    <row r="840" spans="7:14" ht="12.75">
      <c r="G840" s="135"/>
      <c r="H840" s="135"/>
      <c r="I840" s="135"/>
      <c r="J840" s="135"/>
      <c r="K840" s="135"/>
      <c r="L840" s="135"/>
      <c r="M840" s="135"/>
      <c r="N840" s="135"/>
    </row>
    <row r="841" spans="7:14" ht="12.75">
      <c r="G841" s="135"/>
      <c r="H841" s="135"/>
      <c r="I841" s="135"/>
      <c r="J841" s="135"/>
      <c r="K841" s="135"/>
      <c r="L841" s="135"/>
      <c r="M841" s="135"/>
      <c r="N841" s="135"/>
    </row>
    <row r="842" spans="7:14" ht="12.75">
      <c r="G842" s="135"/>
      <c r="H842" s="135"/>
      <c r="I842" s="135"/>
      <c r="J842" s="135"/>
      <c r="K842" s="135"/>
      <c r="L842" s="135"/>
      <c r="M842" s="135"/>
      <c r="N842" s="135"/>
    </row>
    <row r="843" spans="7:14" ht="12.75">
      <c r="G843" s="135"/>
      <c r="H843" s="135"/>
      <c r="I843" s="135"/>
      <c r="J843" s="135"/>
      <c r="K843" s="135"/>
      <c r="L843" s="135"/>
      <c r="M843" s="135"/>
      <c r="N843" s="135"/>
    </row>
    <row r="844" spans="7:14" ht="12.75">
      <c r="G844" s="135"/>
      <c r="H844" s="135"/>
      <c r="I844" s="135"/>
      <c r="J844" s="135"/>
      <c r="K844" s="135"/>
      <c r="L844" s="135"/>
      <c r="M844" s="135"/>
      <c r="N844" s="135"/>
    </row>
    <row r="845" spans="7:14" ht="12.75">
      <c r="G845" s="135"/>
      <c r="H845" s="135"/>
      <c r="I845" s="135"/>
      <c r="J845" s="135"/>
      <c r="K845" s="135"/>
      <c r="L845" s="135"/>
      <c r="M845" s="135"/>
      <c r="N845" s="135"/>
    </row>
    <row r="846" spans="7:14" ht="12.75">
      <c r="G846" s="135"/>
      <c r="H846" s="135"/>
      <c r="I846" s="135"/>
      <c r="J846" s="135"/>
      <c r="K846" s="135"/>
      <c r="L846" s="135"/>
      <c r="M846" s="135"/>
      <c r="N846" s="135"/>
    </row>
    <row r="847" spans="7:14" ht="12.75">
      <c r="G847" s="135"/>
      <c r="H847" s="135"/>
      <c r="I847" s="135"/>
      <c r="J847" s="135"/>
      <c r="K847" s="135"/>
      <c r="L847" s="135"/>
      <c r="M847" s="135"/>
      <c r="N847" s="135"/>
    </row>
    <row r="848" spans="7:14" ht="12.75">
      <c r="G848" s="135"/>
      <c r="H848" s="135"/>
      <c r="I848" s="135"/>
      <c r="J848" s="135"/>
      <c r="K848" s="135"/>
      <c r="L848" s="135"/>
      <c r="M848" s="135"/>
      <c r="N848" s="135"/>
    </row>
    <row r="849" spans="7:14" ht="12.75">
      <c r="G849" s="135"/>
      <c r="H849" s="135"/>
      <c r="I849" s="135"/>
      <c r="J849" s="135"/>
      <c r="K849" s="135"/>
      <c r="L849" s="135"/>
      <c r="M849" s="135"/>
      <c r="N849" s="135"/>
    </row>
    <row r="850" spans="7:14" ht="12.75">
      <c r="G850" s="135"/>
      <c r="H850" s="135"/>
      <c r="I850" s="135"/>
      <c r="J850" s="135"/>
      <c r="K850" s="135"/>
      <c r="L850" s="135"/>
      <c r="M850" s="135"/>
      <c r="N850" s="135"/>
    </row>
    <row r="851" spans="7:14" ht="12.75">
      <c r="G851" s="135"/>
      <c r="H851" s="135"/>
      <c r="I851" s="135"/>
      <c r="J851" s="135"/>
      <c r="K851" s="135"/>
      <c r="L851" s="135"/>
      <c r="M851" s="135"/>
      <c r="N851" s="135"/>
    </row>
    <row r="852" spans="7:14" ht="12.75">
      <c r="G852" s="135"/>
      <c r="H852" s="135"/>
      <c r="I852" s="135"/>
      <c r="J852" s="135"/>
      <c r="K852" s="135"/>
      <c r="L852" s="135"/>
      <c r="M852" s="135"/>
      <c r="N852" s="135"/>
    </row>
    <row r="853" spans="7:14" ht="12.75">
      <c r="G853" s="135"/>
      <c r="H853" s="135"/>
      <c r="I853" s="135"/>
      <c r="J853" s="135"/>
      <c r="K853" s="135"/>
      <c r="L853" s="135"/>
      <c r="M853" s="135"/>
      <c r="N853" s="135"/>
    </row>
    <row r="854" spans="7:14" ht="12.75">
      <c r="G854" s="135"/>
      <c r="H854" s="135"/>
      <c r="I854" s="135"/>
      <c r="J854" s="135"/>
      <c r="K854" s="135"/>
      <c r="L854" s="135"/>
      <c r="M854" s="135"/>
      <c r="N854" s="135"/>
    </row>
    <row r="855" spans="7:14" ht="12.75">
      <c r="G855" s="135"/>
      <c r="H855" s="135"/>
      <c r="I855" s="135"/>
      <c r="J855" s="135"/>
      <c r="K855" s="135"/>
      <c r="L855" s="135"/>
      <c r="M855" s="135"/>
      <c r="N855" s="135"/>
    </row>
    <row r="856" spans="7:14" ht="12.75">
      <c r="G856" s="135"/>
      <c r="H856" s="135"/>
      <c r="I856" s="135"/>
      <c r="J856" s="135"/>
      <c r="K856" s="135"/>
      <c r="L856" s="135"/>
      <c r="M856" s="135"/>
      <c r="N856" s="135"/>
    </row>
    <row r="857" spans="7:14" ht="12.75">
      <c r="G857" s="135"/>
      <c r="H857" s="135"/>
      <c r="I857" s="135"/>
      <c r="J857" s="135"/>
      <c r="K857" s="135"/>
      <c r="L857" s="135"/>
      <c r="M857" s="135"/>
      <c r="N857" s="135"/>
    </row>
    <row r="858" spans="7:14" ht="12.75">
      <c r="G858" s="135"/>
      <c r="H858" s="135"/>
      <c r="I858" s="135"/>
      <c r="J858" s="135"/>
      <c r="K858" s="135"/>
      <c r="L858" s="135"/>
      <c r="M858" s="135"/>
      <c r="N858" s="135"/>
    </row>
    <row r="859" spans="7:14" ht="12.75">
      <c r="G859" s="135"/>
      <c r="H859" s="135"/>
      <c r="I859" s="135"/>
      <c r="J859" s="135"/>
      <c r="K859" s="135"/>
      <c r="L859" s="135"/>
      <c r="M859" s="135"/>
      <c r="N859" s="135"/>
    </row>
    <row r="860" spans="7:14" ht="12.75">
      <c r="G860" s="135"/>
      <c r="H860" s="135"/>
      <c r="I860" s="135"/>
      <c r="J860" s="135"/>
      <c r="K860" s="135"/>
      <c r="L860" s="135"/>
      <c r="M860" s="135"/>
      <c r="N860" s="135"/>
    </row>
    <row r="861" spans="7:14" ht="12.75">
      <c r="G861" s="135"/>
      <c r="H861" s="135"/>
      <c r="I861" s="135"/>
      <c r="J861" s="135"/>
      <c r="K861" s="135"/>
      <c r="L861" s="135"/>
      <c r="M861" s="135"/>
      <c r="N861" s="135"/>
    </row>
    <row r="862" spans="7:14" ht="12.75">
      <c r="G862" s="135"/>
      <c r="H862" s="135"/>
      <c r="I862" s="135"/>
      <c r="J862" s="135"/>
      <c r="K862" s="135"/>
      <c r="L862" s="135"/>
      <c r="M862" s="135"/>
      <c r="N862" s="135"/>
    </row>
    <row r="863" spans="7:14" ht="12.75">
      <c r="G863" s="135"/>
      <c r="H863" s="135"/>
      <c r="I863" s="135"/>
      <c r="J863" s="135"/>
      <c r="K863" s="135"/>
      <c r="L863" s="135"/>
      <c r="M863" s="135"/>
      <c r="N863" s="135"/>
    </row>
    <row r="864" spans="7:14" ht="12.75">
      <c r="G864" s="135"/>
      <c r="H864" s="135"/>
      <c r="I864" s="135"/>
      <c r="J864" s="135"/>
      <c r="K864" s="135"/>
      <c r="L864" s="135"/>
      <c r="M864" s="135"/>
      <c r="N864" s="135"/>
    </row>
    <row r="865" spans="7:14" ht="12.75">
      <c r="G865" s="135"/>
      <c r="H865" s="135"/>
      <c r="I865" s="135"/>
      <c r="J865" s="135"/>
      <c r="K865" s="135"/>
      <c r="L865" s="135"/>
      <c r="M865" s="135"/>
      <c r="N865" s="135"/>
    </row>
    <row r="866" spans="7:14" ht="12.75">
      <c r="G866" s="135"/>
      <c r="H866" s="135"/>
      <c r="I866" s="135"/>
      <c r="J866" s="135"/>
      <c r="K866" s="135"/>
      <c r="L866" s="135"/>
      <c r="M866" s="135"/>
      <c r="N866" s="135"/>
    </row>
    <row r="867" spans="7:14" ht="12.75">
      <c r="G867" s="135"/>
      <c r="H867" s="135"/>
      <c r="I867" s="135"/>
      <c r="J867" s="135"/>
      <c r="K867" s="135"/>
      <c r="L867" s="135"/>
      <c r="M867" s="135"/>
      <c r="N867" s="135"/>
    </row>
    <row r="868" spans="7:14" ht="12.75">
      <c r="G868" s="135"/>
      <c r="H868" s="135"/>
      <c r="I868" s="135"/>
      <c r="J868" s="135"/>
      <c r="K868" s="135"/>
      <c r="L868" s="135"/>
      <c r="M868" s="135"/>
      <c r="N868" s="135"/>
    </row>
    <row r="869" spans="7:14" ht="12.75">
      <c r="G869" s="135"/>
      <c r="H869" s="135"/>
      <c r="I869" s="135"/>
      <c r="J869" s="135"/>
      <c r="K869" s="135"/>
      <c r="L869" s="135"/>
      <c r="M869" s="135"/>
      <c r="N869" s="135"/>
    </row>
    <row r="870" spans="7:14" ht="12.75">
      <c r="G870" s="135"/>
      <c r="H870" s="135"/>
      <c r="I870" s="135"/>
      <c r="J870" s="135"/>
      <c r="K870" s="135"/>
      <c r="L870" s="135"/>
      <c r="M870" s="135"/>
      <c r="N870" s="135"/>
    </row>
    <row r="871" spans="7:14" ht="12.75">
      <c r="G871" s="135"/>
      <c r="H871" s="135"/>
      <c r="I871" s="135"/>
      <c r="J871" s="135"/>
      <c r="K871" s="135"/>
      <c r="L871" s="135"/>
      <c r="M871" s="135"/>
      <c r="N871" s="135"/>
    </row>
    <row r="872" spans="7:14" ht="12.75">
      <c r="G872" s="135"/>
      <c r="H872" s="135"/>
      <c r="I872" s="135"/>
      <c r="J872" s="135"/>
      <c r="K872" s="135"/>
      <c r="L872" s="135"/>
      <c r="M872" s="135"/>
      <c r="N872" s="135"/>
    </row>
    <row r="873" spans="7:14" ht="12.75">
      <c r="G873" s="135"/>
      <c r="H873" s="135"/>
      <c r="I873" s="135"/>
      <c r="J873" s="135"/>
      <c r="K873" s="135"/>
      <c r="L873" s="135"/>
      <c r="M873" s="135"/>
      <c r="N873" s="135"/>
    </row>
    <row r="874" spans="7:14" ht="12.75">
      <c r="G874" s="135"/>
      <c r="H874" s="135"/>
      <c r="I874" s="135"/>
      <c r="J874" s="135"/>
      <c r="K874" s="135"/>
      <c r="L874" s="135"/>
      <c r="M874" s="135"/>
      <c r="N874" s="135"/>
    </row>
    <row r="875" spans="7:14" ht="12.75">
      <c r="G875" s="135"/>
      <c r="H875" s="135"/>
      <c r="I875" s="135"/>
      <c r="J875" s="135"/>
      <c r="K875" s="135"/>
      <c r="L875" s="135"/>
      <c r="M875" s="135"/>
      <c r="N875" s="135"/>
    </row>
    <row r="876" spans="7:14" ht="12.75">
      <c r="G876" s="135"/>
      <c r="H876" s="135"/>
      <c r="I876" s="135"/>
      <c r="J876" s="135"/>
      <c r="K876" s="135"/>
      <c r="L876" s="135"/>
      <c r="M876" s="135"/>
      <c r="N876" s="135"/>
    </row>
    <row r="877" spans="7:14" ht="12.75">
      <c r="G877" s="135"/>
      <c r="H877" s="135"/>
      <c r="I877" s="135"/>
      <c r="J877" s="135"/>
      <c r="K877" s="135"/>
      <c r="L877" s="135"/>
      <c r="M877" s="135"/>
      <c r="N877" s="135"/>
    </row>
    <row r="878" spans="7:14" ht="12.75">
      <c r="G878" s="135"/>
      <c r="H878" s="135"/>
      <c r="I878" s="135"/>
      <c r="J878" s="135"/>
      <c r="K878" s="135"/>
      <c r="L878" s="135"/>
      <c r="M878" s="135"/>
      <c r="N878" s="135"/>
    </row>
    <row r="879" spans="7:14" ht="12.75">
      <c r="G879" s="135"/>
      <c r="H879" s="135"/>
      <c r="I879" s="135"/>
      <c r="J879" s="135"/>
      <c r="K879" s="135"/>
      <c r="L879" s="135"/>
      <c r="M879" s="135"/>
      <c r="N879" s="135"/>
    </row>
    <row r="880" spans="7:14" ht="12.75">
      <c r="G880" s="135"/>
      <c r="H880" s="135"/>
      <c r="I880" s="135"/>
      <c r="J880" s="135"/>
      <c r="K880" s="135"/>
      <c r="L880" s="135"/>
      <c r="M880" s="135"/>
      <c r="N880" s="135"/>
    </row>
    <row r="881" spans="7:14" ht="12.75">
      <c r="G881" s="135"/>
      <c r="H881" s="135"/>
      <c r="I881" s="135"/>
      <c r="J881" s="135"/>
      <c r="K881" s="135"/>
      <c r="L881" s="135"/>
      <c r="M881" s="135"/>
      <c r="N881" s="135"/>
    </row>
    <row r="882" spans="7:14" ht="12.75">
      <c r="G882" s="135"/>
      <c r="H882" s="135"/>
      <c r="I882" s="135"/>
      <c r="J882" s="135"/>
      <c r="K882" s="135"/>
      <c r="L882" s="135"/>
      <c r="M882" s="135"/>
      <c r="N882" s="135"/>
    </row>
    <row r="883" spans="7:14" ht="12.75">
      <c r="G883" s="135"/>
      <c r="H883" s="135"/>
      <c r="I883" s="135"/>
      <c r="J883" s="135"/>
      <c r="K883" s="135"/>
      <c r="L883" s="135"/>
      <c r="M883" s="135"/>
      <c r="N883" s="135"/>
    </row>
    <row r="884" spans="7:14" ht="12.75">
      <c r="G884" s="135"/>
      <c r="H884" s="135"/>
      <c r="I884" s="135"/>
      <c r="J884" s="135"/>
      <c r="K884" s="135"/>
      <c r="L884" s="135"/>
      <c r="M884" s="135"/>
      <c r="N884" s="135"/>
    </row>
    <row r="885" spans="7:14" ht="12.75">
      <c r="G885" s="135"/>
      <c r="H885" s="135"/>
      <c r="I885" s="135"/>
      <c r="J885" s="135"/>
      <c r="K885" s="135"/>
      <c r="L885" s="135"/>
      <c r="M885" s="135"/>
      <c r="N885" s="135"/>
    </row>
    <row r="886" spans="7:14" ht="12.75">
      <c r="G886" s="135"/>
      <c r="H886" s="135"/>
      <c r="I886" s="135"/>
      <c r="J886" s="135"/>
      <c r="K886" s="135"/>
      <c r="L886" s="135"/>
      <c r="M886" s="135"/>
      <c r="N886" s="135"/>
    </row>
    <row r="887" spans="7:14" ht="12.75">
      <c r="G887" s="135"/>
      <c r="H887" s="135"/>
      <c r="I887" s="135"/>
      <c r="J887" s="135"/>
      <c r="K887" s="135"/>
      <c r="L887" s="135"/>
      <c r="M887" s="135"/>
      <c r="N887" s="135"/>
    </row>
    <row r="888" spans="7:14" ht="12.75">
      <c r="G888" s="135"/>
      <c r="H888" s="135"/>
      <c r="I888" s="135"/>
      <c r="J888" s="135"/>
      <c r="K888" s="135"/>
      <c r="L888" s="135"/>
      <c r="M888" s="135"/>
      <c r="N888" s="135"/>
    </row>
    <row r="889" spans="7:14" ht="12.75">
      <c r="G889" s="135"/>
      <c r="H889" s="135"/>
      <c r="I889" s="135"/>
      <c r="J889" s="135"/>
      <c r="K889" s="135"/>
      <c r="L889" s="135"/>
      <c r="M889" s="135"/>
      <c r="N889" s="135"/>
    </row>
    <row r="890" spans="7:14" ht="12.75">
      <c r="G890" s="135"/>
      <c r="H890" s="135"/>
      <c r="I890" s="135"/>
      <c r="J890" s="135"/>
      <c r="K890" s="135"/>
      <c r="L890" s="135"/>
      <c r="M890" s="135"/>
      <c r="N890" s="135"/>
    </row>
    <row r="891" spans="7:14" ht="12.75">
      <c r="G891" s="135"/>
      <c r="H891" s="135"/>
      <c r="I891" s="135"/>
      <c r="J891" s="135"/>
      <c r="K891" s="135"/>
      <c r="L891" s="135"/>
      <c r="M891" s="135"/>
      <c r="N891" s="135"/>
    </row>
    <row r="892" spans="7:14" ht="12.75">
      <c r="G892" s="135"/>
      <c r="H892" s="135"/>
      <c r="I892" s="135"/>
      <c r="J892" s="135"/>
      <c r="K892" s="135"/>
      <c r="L892" s="135"/>
      <c r="M892" s="135"/>
      <c r="N892" s="135"/>
    </row>
    <row r="893" spans="7:14" ht="12.75">
      <c r="G893" s="135"/>
      <c r="H893" s="135"/>
      <c r="I893" s="135"/>
      <c r="J893" s="135"/>
      <c r="K893" s="135"/>
      <c r="L893" s="135"/>
      <c r="M893" s="135"/>
      <c r="N893" s="135"/>
    </row>
    <row r="894" spans="7:14" ht="12.75">
      <c r="G894" s="135"/>
      <c r="H894" s="135"/>
      <c r="I894" s="135"/>
      <c r="J894" s="135"/>
      <c r="K894" s="135"/>
      <c r="L894" s="135"/>
      <c r="M894" s="135"/>
      <c r="N894" s="135"/>
    </row>
    <row r="895" spans="7:14" ht="12.75">
      <c r="G895" s="135"/>
      <c r="H895" s="135"/>
      <c r="I895" s="135"/>
      <c r="J895" s="135"/>
      <c r="K895" s="135"/>
      <c r="L895" s="135"/>
      <c r="M895" s="135"/>
      <c r="N895" s="135"/>
    </row>
    <row r="896" spans="7:14" ht="12.75">
      <c r="G896" s="135"/>
      <c r="H896" s="135"/>
      <c r="I896" s="135"/>
      <c r="J896" s="135"/>
      <c r="K896" s="135"/>
      <c r="L896" s="135"/>
      <c r="M896" s="135"/>
      <c r="N896" s="135"/>
    </row>
    <row r="897" spans="7:14" ht="12.75">
      <c r="G897" s="135"/>
      <c r="H897" s="135"/>
      <c r="I897" s="135"/>
      <c r="J897" s="135"/>
      <c r="K897" s="135"/>
      <c r="L897" s="135"/>
      <c r="M897" s="135"/>
      <c r="N897" s="135"/>
    </row>
    <row r="898" spans="7:14" ht="12.75">
      <c r="G898" s="135"/>
      <c r="H898" s="135"/>
      <c r="I898" s="135"/>
      <c r="J898" s="135"/>
      <c r="K898" s="135"/>
      <c r="L898" s="135"/>
      <c r="M898" s="135"/>
      <c r="N898" s="135"/>
    </row>
    <row r="899" spans="7:14" ht="12.75">
      <c r="G899" s="135"/>
      <c r="H899" s="135"/>
      <c r="I899" s="135"/>
      <c r="J899" s="135"/>
      <c r="K899" s="135"/>
      <c r="L899" s="135"/>
      <c r="M899" s="135"/>
      <c r="N899" s="135"/>
    </row>
    <row r="900" spans="7:14" ht="12.75">
      <c r="G900" s="135"/>
      <c r="H900" s="135"/>
      <c r="I900" s="135"/>
      <c r="J900" s="135"/>
      <c r="K900" s="135"/>
      <c r="L900" s="135"/>
      <c r="M900" s="135"/>
      <c r="N900" s="135"/>
    </row>
    <row r="901" spans="7:14" ht="12.75">
      <c r="G901" s="135"/>
      <c r="H901" s="135"/>
      <c r="I901" s="135"/>
      <c r="J901" s="135"/>
      <c r="K901" s="135"/>
      <c r="L901" s="135"/>
      <c r="M901" s="135"/>
      <c r="N901" s="135"/>
    </row>
    <row r="902" spans="7:14" ht="12.75">
      <c r="G902" s="135"/>
      <c r="H902" s="135"/>
      <c r="I902" s="135"/>
      <c r="J902" s="135"/>
      <c r="K902" s="135"/>
      <c r="L902" s="135"/>
      <c r="M902" s="135"/>
      <c r="N902" s="135"/>
    </row>
    <row r="903" spans="7:14" ht="12.75">
      <c r="G903" s="135"/>
      <c r="H903" s="135"/>
      <c r="I903" s="135"/>
      <c r="J903" s="135"/>
      <c r="K903" s="135"/>
      <c r="L903" s="135"/>
      <c r="M903" s="135"/>
      <c r="N903" s="135"/>
    </row>
    <row r="904" spans="7:14" ht="12.75">
      <c r="G904" s="135"/>
      <c r="H904" s="135"/>
      <c r="I904" s="135"/>
      <c r="J904" s="135"/>
      <c r="K904" s="135"/>
      <c r="L904" s="135"/>
      <c r="M904" s="135"/>
      <c r="N904" s="135"/>
    </row>
    <row r="905" spans="7:14" ht="12.75">
      <c r="G905" s="135"/>
      <c r="H905" s="135"/>
      <c r="I905" s="135"/>
      <c r="J905" s="135"/>
      <c r="K905" s="135"/>
      <c r="L905" s="135"/>
      <c r="M905" s="135"/>
      <c r="N905" s="135"/>
    </row>
    <row r="906" spans="7:14" ht="12.75">
      <c r="G906" s="135"/>
      <c r="H906" s="135"/>
      <c r="I906" s="135"/>
      <c r="J906" s="135"/>
      <c r="K906" s="135"/>
      <c r="L906" s="135"/>
      <c r="M906" s="135"/>
      <c r="N906" s="135"/>
    </row>
    <row r="907" spans="7:14" ht="12.75">
      <c r="G907" s="135"/>
      <c r="H907" s="135"/>
      <c r="I907" s="135"/>
      <c r="J907" s="135"/>
      <c r="K907" s="135"/>
      <c r="L907" s="135"/>
      <c r="M907" s="135"/>
      <c r="N907" s="135"/>
    </row>
    <row r="908" spans="7:14" ht="12.75">
      <c r="G908" s="135"/>
      <c r="H908" s="135"/>
      <c r="I908" s="135"/>
      <c r="J908" s="135"/>
      <c r="K908" s="135"/>
      <c r="L908" s="135"/>
      <c r="M908" s="135"/>
      <c r="N908" s="135"/>
    </row>
    <row r="909" spans="7:14" ht="12.75">
      <c r="G909" s="135"/>
      <c r="H909" s="135"/>
      <c r="I909" s="135"/>
      <c r="J909" s="135"/>
      <c r="K909" s="135"/>
      <c r="L909" s="135"/>
      <c r="M909" s="135"/>
      <c r="N909" s="135"/>
    </row>
    <row r="910" spans="7:14" ht="12.75">
      <c r="G910" s="135"/>
      <c r="H910" s="135"/>
      <c r="I910" s="135"/>
      <c r="J910" s="135"/>
      <c r="K910" s="135"/>
      <c r="L910" s="135"/>
      <c r="M910" s="135"/>
      <c r="N910" s="135"/>
    </row>
    <row r="911" spans="7:14" ht="12.75">
      <c r="G911" s="135"/>
      <c r="H911" s="135"/>
      <c r="I911" s="135"/>
      <c r="J911" s="135"/>
      <c r="K911" s="135"/>
      <c r="L911" s="135"/>
      <c r="M911" s="135"/>
      <c r="N911" s="135"/>
    </row>
    <row r="912" spans="7:14" ht="12.75">
      <c r="G912" s="135"/>
      <c r="H912" s="135"/>
      <c r="I912" s="135"/>
      <c r="J912" s="135"/>
      <c r="K912" s="135"/>
      <c r="L912" s="135"/>
      <c r="M912" s="135"/>
      <c r="N912" s="135"/>
    </row>
    <row r="913" spans="7:14" ht="12.75">
      <c r="G913" s="135"/>
      <c r="H913" s="135"/>
      <c r="I913" s="135"/>
      <c r="J913" s="135"/>
      <c r="K913" s="135"/>
      <c r="L913" s="135"/>
      <c r="M913" s="135"/>
      <c r="N913" s="135"/>
    </row>
    <row r="914" spans="7:14" ht="12.75">
      <c r="G914" s="135"/>
      <c r="H914" s="135"/>
      <c r="I914" s="135"/>
      <c r="J914" s="135"/>
      <c r="K914" s="135"/>
      <c r="L914" s="135"/>
      <c r="M914" s="135"/>
      <c r="N914" s="135"/>
    </row>
    <row r="915" spans="7:14" ht="12.75">
      <c r="G915" s="135"/>
      <c r="H915" s="135"/>
      <c r="I915" s="135"/>
      <c r="J915" s="135"/>
      <c r="K915" s="135"/>
      <c r="L915" s="135"/>
      <c r="M915" s="135"/>
      <c r="N915" s="135"/>
    </row>
    <row r="916" spans="7:14" ht="12.75">
      <c r="G916" s="135"/>
      <c r="H916" s="135"/>
      <c r="I916" s="135"/>
      <c r="J916" s="135"/>
      <c r="K916" s="135"/>
      <c r="L916" s="135"/>
      <c r="M916" s="135"/>
      <c r="N916" s="135"/>
    </row>
    <row r="917" spans="7:14" ht="12.75">
      <c r="G917" s="135"/>
      <c r="H917" s="135"/>
      <c r="I917" s="135"/>
      <c r="J917" s="135"/>
      <c r="K917" s="135"/>
      <c r="L917" s="135"/>
      <c r="M917" s="135"/>
      <c r="N917" s="135"/>
    </row>
    <row r="918" spans="7:14" ht="12.75">
      <c r="G918" s="135"/>
      <c r="H918" s="135"/>
      <c r="I918" s="135"/>
      <c r="J918" s="135"/>
      <c r="K918" s="135"/>
      <c r="L918" s="135"/>
      <c r="M918" s="135"/>
      <c r="N918" s="135"/>
    </row>
    <row r="919" spans="7:14" ht="12.75">
      <c r="G919" s="135"/>
      <c r="H919" s="135"/>
      <c r="I919" s="135"/>
      <c r="J919" s="135"/>
      <c r="K919" s="135"/>
      <c r="L919" s="135"/>
      <c r="M919" s="135"/>
      <c r="N919" s="135"/>
    </row>
    <row r="920" spans="7:14" ht="12.75">
      <c r="G920" s="135"/>
      <c r="H920" s="135"/>
      <c r="I920" s="135"/>
      <c r="J920" s="135"/>
      <c r="K920" s="135"/>
      <c r="L920" s="135"/>
      <c r="M920" s="135"/>
      <c r="N920" s="135"/>
    </row>
    <row r="921" spans="7:14" ht="12.75">
      <c r="G921" s="135"/>
      <c r="H921" s="135"/>
      <c r="I921" s="135"/>
      <c r="J921" s="135"/>
      <c r="K921" s="135"/>
      <c r="L921" s="135"/>
      <c r="M921" s="135"/>
      <c r="N921" s="135"/>
    </row>
    <row r="922" spans="7:14" ht="12.75">
      <c r="G922" s="135"/>
      <c r="H922" s="135"/>
      <c r="I922" s="135"/>
      <c r="J922" s="135"/>
      <c r="K922" s="135"/>
      <c r="L922" s="135"/>
      <c r="M922" s="135"/>
      <c r="N922" s="135"/>
    </row>
    <row r="923" spans="7:14" ht="12.75">
      <c r="G923" s="135"/>
      <c r="H923" s="135"/>
      <c r="I923" s="135"/>
      <c r="J923" s="135"/>
      <c r="K923" s="135"/>
      <c r="L923" s="135"/>
      <c r="M923" s="135"/>
      <c r="N923" s="135"/>
    </row>
    <row r="924" spans="7:14" ht="12.75">
      <c r="G924" s="135"/>
      <c r="H924" s="135"/>
      <c r="I924" s="135"/>
      <c r="J924" s="135"/>
      <c r="K924" s="135"/>
      <c r="L924" s="135"/>
      <c r="M924" s="135"/>
      <c r="N924" s="135"/>
    </row>
    <row r="925" spans="7:14" ht="12.75">
      <c r="G925" s="135"/>
      <c r="H925" s="135"/>
      <c r="I925" s="135"/>
      <c r="J925" s="135"/>
      <c r="K925" s="135"/>
      <c r="L925" s="135"/>
      <c r="M925" s="135"/>
      <c r="N925" s="135"/>
    </row>
    <row r="926" spans="7:14" ht="12.75">
      <c r="G926" s="135"/>
      <c r="H926" s="135"/>
      <c r="I926" s="135"/>
      <c r="J926" s="135"/>
      <c r="K926" s="135"/>
      <c r="L926" s="135"/>
      <c r="M926" s="135"/>
      <c r="N926" s="135"/>
    </row>
    <row r="927" spans="7:14" ht="12.75">
      <c r="G927" s="135"/>
      <c r="H927" s="135"/>
      <c r="I927" s="135"/>
      <c r="J927" s="135"/>
      <c r="K927" s="135"/>
      <c r="L927" s="135"/>
      <c r="M927" s="135"/>
      <c r="N927" s="135"/>
    </row>
    <row r="928" spans="7:14" ht="12.75">
      <c r="G928" s="135"/>
      <c r="H928" s="135"/>
      <c r="I928" s="135"/>
      <c r="J928" s="135"/>
      <c r="K928" s="135"/>
      <c r="L928" s="135"/>
      <c r="M928" s="135"/>
      <c r="N928" s="135"/>
    </row>
    <row r="929" spans="7:14" ht="12.75">
      <c r="G929" s="135"/>
      <c r="H929" s="135"/>
      <c r="I929" s="135"/>
      <c r="J929" s="135"/>
      <c r="K929" s="135"/>
      <c r="L929" s="135"/>
      <c r="M929" s="135"/>
      <c r="N929" s="135"/>
    </row>
    <row r="930" spans="7:14" ht="12.75">
      <c r="G930" s="135"/>
      <c r="H930" s="135"/>
      <c r="I930" s="135"/>
      <c r="J930" s="135"/>
      <c r="K930" s="135"/>
      <c r="L930" s="135"/>
      <c r="M930" s="135"/>
      <c r="N930" s="135"/>
    </row>
    <row r="931" spans="7:14" ht="12.75">
      <c r="G931" s="135"/>
      <c r="H931" s="135"/>
      <c r="I931" s="135"/>
      <c r="J931" s="135"/>
      <c r="K931" s="135"/>
      <c r="L931" s="135"/>
      <c r="M931" s="135"/>
      <c r="N931" s="135"/>
    </row>
    <row r="932" spans="7:14" ht="12.75">
      <c r="G932" s="135"/>
      <c r="H932" s="135"/>
      <c r="I932" s="135"/>
      <c r="J932" s="135"/>
      <c r="K932" s="135"/>
      <c r="L932" s="135"/>
      <c r="M932" s="135"/>
      <c r="N932" s="135"/>
    </row>
    <row r="933" spans="7:14" ht="12.75">
      <c r="G933" s="135"/>
      <c r="H933" s="135"/>
      <c r="I933" s="135"/>
      <c r="J933" s="135"/>
      <c r="K933" s="135"/>
      <c r="L933" s="135"/>
      <c r="M933" s="135"/>
      <c r="N933" s="135"/>
    </row>
    <row r="934" spans="7:14" ht="12.75">
      <c r="G934" s="135"/>
      <c r="H934" s="135"/>
      <c r="I934" s="135"/>
      <c r="J934" s="135"/>
      <c r="K934" s="135"/>
      <c r="L934" s="135"/>
      <c r="M934" s="135"/>
      <c r="N934" s="135"/>
    </row>
    <row r="935" spans="7:14" ht="12.75">
      <c r="G935" s="135"/>
      <c r="H935" s="135"/>
      <c r="I935" s="135"/>
      <c r="J935" s="135"/>
      <c r="K935" s="135"/>
      <c r="L935" s="135"/>
      <c r="M935" s="135"/>
      <c r="N935" s="135"/>
    </row>
    <row r="936" spans="7:14" ht="12.75">
      <c r="G936" s="135"/>
      <c r="H936" s="135"/>
      <c r="I936" s="135"/>
      <c r="J936" s="135"/>
      <c r="K936" s="135"/>
      <c r="L936" s="135"/>
      <c r="M936" s="135"/>
      <c r="N936" s="135"/>
    </row>
    <row r="937" spans="7:14" ht="12.75">
      <c r="G937" s="135"/>
      <c r="H937" s="135"/>
      <c r="I937" s="135"/>
      <c r="J937" s="135"/>
      <c r="K937" s="135"/>
      <c r="L937" s="135"/>
      <c r="M937" s="135"/>
      <c r="N937" s="135"/>
    </row>
    <row r="938" spans="7:14" ht="12.75">
      <c r="G938" s="135"/>
      <c r="H938" s="135"/>
      <c r="I938" s="135"/>
      <c r="J938" s="135"/>
      <c r="K938" s="135"/>
      <c r="L938" s="135"/>
      <c r="M938" s="135"/>
      <c r="N938" s="135"/>
    </row>
    <row r="939" spans="7:14" ht="12.75">
      <c r="G939" s="135"/>
      <c r="H939" s="135"/>
      <c r="I939" s="135"/>
      <c r="J939" s="135"/>
      <c r="K939" s="135"/>
      <c r="L939" s="135"/>
      <c r="M939" s="135"/>
      <c r="N939" s="135"/>
    </row>
    <row r="940" spans="7:14" ht="12.75">
      <c r="G940" s="135"/>
      <c r="H940" s="135"/>
      <c r="I940" s="135"/>
      <c r="J940" s="135"/>
      <c r="K940" s="135"/>
      <c r="L940" s="135"/>
      <c r="M940" s="135"/>
      <c r="N940" s="135"/>
    </row>
    <row r="941" spans="7:14" ht="12.75">
      <c r="G941" s="135"/>
      <c r="H941" s="135"/>
      <c r="I941" s="135"/>
      <c r="J941" s="135"/>
      <c r="K941" s="135"/>
      <c r="L941" s="135"/>
      <c r="M941" s="135"/>
      <c r="N941" s="135"/>
    </row>
    <row r="942" spans="7:14" ht="12.75">
      <c r="G942" s="135"/>
      <c r="H942" s="135"/>
      <c r="I942" s="135"/>
      <c r="J942" s="135"/>
      <c r="K942" s="135"/>
      <c r="L942" s="135"/>
      <c r="M942" s="135"/>
      <c r="N942" s="135"/>
    </row>
    <row r="943" spans="7:14" ht="12.75">
      <c r="G943" s="135"/>
      <c r="H943" s="135"/>
      <c r="I943" s="135"/>
      <c r="J943" s="135"/>
      <c r="K943" s="135"/>
      <c r="L943" s="135"/>
      <c r="M943" s="135"/>
      <c r="N943" s="135"/>
    </row>
    <row r="944" spans="7:14" ht="12.75">
      <c r="G944" s="135"/>
      <c r="H944" s="135"/>
      <c r="I944" s="135"/>
      <c r="J944" s="135"/>
      <c r="K944" s="135"/>
      <c r="L944" s="135"/>
      <c r="M944" s="135"/>
      <c r="N944" s="135"/>
    </row>
    <row r="945" spans="7:14" ht="12.75">
      <c r="G945" s="135"/>
      <c r="H945" s="135"/>
      <c r="I945" s="135"/>
      <c r="J945" s="135"/>
      <c r="K945" s="135"/>
      <c r="L945" s="135"/>
      <c r="M945" s="135"/>
      <c r="N945" s="135"/>
    </row>
    <row r="946" spans="7:14" ht="12.75">
      <c r="G946" s="135"/>
      <c r="H946" s="135"/>
      <c r="I946" s="135"/>
      <c r="J946" s="135"/>
      <c r="K946" s="135"/>
      <c r="L946" s="135"/>
      <c r="M946" s="135"/>
      <c r="N946" s="135"/>
    </row>
    <row r="947" spans="7:14" ht="12.75">
      <c r="G947" s="135"/>
      <c r="H947" s="135"/>
      <c r="I947" s="135"/>
      <c r="J947" s="135"/>
      <c r="K947" s="135"/>
      <c r="L947" s="135"/>
      <c r="M947" s="135"/>
      <c r="N947" s="135"/>
    </row>
    <row r="948" spans="7:14" ht="12.75">
      <c r="G948" s="135"/>
      <c r="H948" s="135"/>
      <c r="I948" s="135"/>
      <c r="J948" s="135"/>
      <c r="K948" s="135"/>
      <c r="L948" s="135"/>
      <c r="M948" s="135"/>
      <c r="N948" s="135"/>
    </row>
    <row r="949" spans="7:14" ht="12.75">
      <c r="G949" s="135"/>
      <c r="H949" s="135"/>
      <c r="I949" s="135"/>
      <c r="J949" s="135"/>
      <c r="K949" s="135"/>
      <c r="L949" s="135"/>
      <c r="M949" s="135"/>
      <c r="N949" s="135"/>
    </row>
    <row r="950" spans="7:14" ht="12.75">
      <c r="G950" s="135"/>
      <c r="H950" s="135"/>
      <c r="I950" s="135"/>
      <c r="J950" s="135"/>
      <c r="K950" s="135"/>
      <c r="L950" s="135"/>
      <c r="M950" s="135"/>
      <c r="N950" s="135"/>
    </row>
    <row r="951" spans="7:14" ht="12.75">
      <c r="G951" s="135"/>
      <c r="H951" s="135"/>
      <c r="I951" s="135"/>
      <c r="J951" s="135"/>
      <c r="K951" s="135"/>
      <c r="L951" s="135"/>
      <c r="M951" s="135"/>
      <c r="N951" s="135"/>
    </row>
    <row r="952" spans="7:14" ht="12.75">
      <c r="G952" s="135"/>
      <c r="H952" s="135"/>
      <c r="I952" s="135"/>
      <c r="J952" s="135"/>
      <c r="K952" s="135"/>
      <c r="L952" s="135"/>
      <c r="M952" s="135"/>
      <c r="N952" s="135"/>
    </row>
    <row r="953" spans="7:14" ht="12.75">
      <c r="G953" s="135"/>
      <c r="H953" s="135"/>
      <c r="I953" s="135"/>
      <c r="J953" s="135"/>
      <c r="K953" s="135"/>
      <c r="L953" s="135"/>
      <c r="M953" s="135"/>
      <c r="N953" s="135"/>
    </row>
    <row r="954" spans="7:14" ht="12.75">
      <c r="G954" s="135"/>
      <c r="H954" s="135"/>
      <c r="I954" s="135"/>
      <c r="J954" s="135"/>
      <c r="K954" s="135"/>
      <c r="L954" s="135"/>
      <c r="M954" s="135"/>
      <c r="N954" s="135"/>
    </row>
    <row r="955" spans="7:14" ht="12.75">
      <c r="G955" s="135"/>
      <c r="H955" s="135"/>
      <c r="I955" s="135"/>
      <c r="J955" s="135"/>
      <c r="K955" s="135"/>
      <c r="L955" s="135"/>
      <c r="M955" s="135"/>
      <c r="N955" s="135"/>
    </row>
    <row r="956" spans="7:14" ht="12.75">
      <c r="G956" s="135"/>
      <c r="H956" s="135"/>
      <c r="I956" s="135"/>
      <c r="J956" s="135"/>
      <c r="K956" s="135"/>
      <c r="L956" s="135"/>
      <c r="M956" s="135"/>
      <c r="N956" s="135"/>
    </row>
    <row r="957" spans="7:14" ht="12.75">
      <c r="G957" s="135"/>
      <c r="H957" s="135"/>
      <c r="I957" s="135"/>
      <c r="J957" s="135"/>
      <c r="K957" s="135"/>
      <c r="L957" s="135"/>
      <c r="M957" s="135"/>
      <c r="N957" s="135"/>
    </row>
    <row r="958" spans="7:14" ht="12.75">
      <c r="G958" s="135"/>
      <c r="H958" s="135"/>
      <c r="I958" s="135"/>
      <c r="J958" s="135"/>
      <c r="K958" s="135"/>
      <c r="L958" s="135"/>
      <c r="M958" s="135"/>
      <c r="N958" s="135"/>
    </row>
    <row r="959" spans="7:14" ht="12.75">
      <c r="G959" s="135"/>
      <c r="H959" s="135"/>
      <c r="I959" s="135"/>
      <c r="J959" s="135"/>
      <c r="K959" s="135"/>
      <c r="L959" s="135"/>
      <c r="M959" s="135"/>
      <c r="N959" s="135"/>
    </row>
    <row r="960" spans="7:14" ht="12.75">
      <c r="G960" s="135"/>
      <c r="H960" s="135"/>
      <c r="I960" s="135"/>
      <c r="J960" s="135"/>
      <c r="K960" s="135"/>
      <c r="L960" s="135"/>
      <c r="M960" s="135"/>
      <c r="N960" s="135"/>
    </row>
    <row r="961" spans="7:14" ht="12.75">
      <c r="G961" s="135"/>
      <c r="H961" s="135"/>
      <c r="I961" s="135"/>
      <c r="J961" s="135"/>
      <c r="K961" s="135"/>
      <c r="L961" s="135"/>
      <c r="M961" s="135"/>
      <c r="N961" s="135"/>
    </row>
    <row r="962" spans="7:14" ht="12.75">
      <c r="G962" s="135"/>
      <c r="H962" s="135"/>
      <c r="I962" s="135"/>
      <c r="J962" s="135"/>
      <c r="K962" s="135"/>
      <c r="L962" s="135"/>
      <c r="M962" s="135"/>
      <c r="N962" s="135"/>
    </row>
    <row r="963" spans="7:14" ht="12.75">
      <c r="G963" s="135"/>
      <c r="H963" s="135"/>
      <c r="I963" s="135"/>
      <c r="J963" s="135"/>
      <c r="K963" s="135"/>
      <c r="L963" s="135"/>
      <c r="M963" s="135"/>
      <c r="N963" s="135"/>
    </row>
    <row r="964" spans="7:14" ht="12.75">
      <c r="G964" s="135"/>
      <c r="H964" s="135"/>
      <c r="I964" s="135"/>
      <c r="J964" s="135"/>
      <c r="K964" s="135"/>
      <c r="L964" s="135"/>
      <c r="M964" s="135"/>
      <c r="N964" s="135"/>
    </row>
    <row r="965" spans="7:14" ht="12.75">
      <c r="G965" s="135"/>
      <c r="H965" s="135"/>
      <c r="I965" s="135"/>
      <c r="J965" s="135"/>
      <c r="K965" s="135"/>
      <c r="L965" s="135"/>
      <c r="M965" s="135"/>
      <c r="N965" s="135"/>
    </row>
    <row r="966" spans="7:14" ht="12.75">
      <c r="G966" s="135"/>
      <c r="H966" s="135"/>
      <c r="I966" s="135"/>
      <c r="J966" s="135"/>
      <c r="K966" s="135"/>
      <c r="L966" s="135"/>
      <c r="M966" s="135"/>
      <c r="N966" s="135"/>
    </row>
    <row r="967" spans="7:14" ht="12.75">
      <c r="G967" s="135"/>
      <c r="H967" s="135"/>
      <c r="I967" s="135"/>
      <c r="J967" s="135"/>
      <c r="K967" s="135"/>
      <c r="L967" s="135"/>
      <c r="M967" s="135"/>
      <c r="N967" s="135"/>
    </row>
    <row r="968" spans="7:14" ht="12.75">
      <c r="G968" s="135"/>
      <c r="H968" s="135"/>
      <c r="I968" s="135"/>
      <c r="J968" s="135"/>
      <c r="K968" s="135"/>
      <c r="L968" s="135"/>
      <c r="M968" s="135"/>
      <c r="N968" s="135"/>
    </row>
    <row r="969" spans="7:14" ht="12.75">
      <c r="G969" s="135"/>
      <c r="H969" s="135"/>
      <c r="I969" s="135"/>
      <c r="J969" s="135"/>
      <c r="K969" s="135"/>
      <c r="L969" s="135"/>
      <c r="M969" s="135"/>
      <c r="N969" s="135"/>
    </row>
    <row r="970" spans="7:14" ht="12.75">
      <c r="G970" s="135"/>
      <c r="H970" s="135"/>
      <c r="I970" s="135"/>
      <c r="J970" s="135"/>
      <c r="K970" s="135"/>
      <c r="L970" s="135"/>
      <c r="M970" s="135"/>
      <c r="N970" s="135"/>
    </row>
    <row r="971" spans="7:14" ht="12.75">
      <c r="G971" s="135"/>
      <c r="H971" s="135"/>
      <c r="I971" s="135"/>
      <c r="J971" s="135"/>
      <c r="K971" s="135"/>
      <c r="L971" s="135"/>
      <c r="M971" s="135"/>
      <c r="N971" s="135"/>
    </row>
    <row r="972" spans="7:14" ht="12.75">
      <c r="G972" s="135"/>
      <c r="H972" s="135"/>
      <c r="I972" s="135"/>
      <c r="J972" s="135"/>
      <c r="K972" s="135"/>
      <c r="L972" s="135"/>
      <c r="M972" s="135"/>
      <c r="N972" s="135"/>
    </row>
    <row r="973" spans="7:14" ht="12.75">
      <c r="G973" s="135"/>
      <c r="H973" s="135"/>
      <c r="I973" s="135"/>
      <c r="J973" s="135"/>
      <c r="K973" s="135"/>
      <c r="L973" s="135"/>
      <c r="M973" s="135"/>
      <c r="N973" s="135"/>
    </row>
    <row r="974" spans="7:14" ht="12.75">
      <c r="G974" s="135"/>
      <c r="H974" s="135"/>
      <c r="I974" s="135"/>
      <c r="J974" s="135"/>
      <c r="K974" s="135"/>
      <c r="L974" s="135"/>
      <c r="M974" s="135"/>
      <c r="N974" s="135"/>
    </row>
    <row r="975" spans="7:14" ht="12.75">
      <c r="G975" s="135"/>
      <c r="H975" s="135"/>
      <c r="I975" s="135"/>
      <c r="J975" s="135"/>
      <c r="K975" s="135"/>
      <c r="L975" s="135"/>
      <c r="M975" s="135"/>
      <c r="N975" s="135"/>
    </row>
    <row r="976" spans="7:14" ht="12.75">
      <c r="G976" s="135"/>
      <c r="H976" s="135"/>
      <c r="I976" s="135"/>
      <c r="J976" s="135"/>
      <c r="K976" s="135"/>
      <c r="L976" s="135"/>
      <c r="M976" s="135"/>
      <c r="N976" s="135"/>
    </row>
    <row r="977" spans="7:14" ht="12.75">
      <c r="G977" s="135"/>
      <c r="H977" s="135"/>
      <c r="I977" s="135"/>
      <c r="J977" s="135"/>
      <c r="K977" s="135"/>
      <c r="L977" s="135"/>
      <c r="M977" s="135"/>
      <c r="N977" s="135"/>
    </row>
    <row r="978" spans="7:14" ht="12.75">
      <c r="G978" s="135"/>
      <c r="H978" s="135"/>
      <c r="I978" s="135"/>
      <c r="J978" s="135"/>
      <c r="K978" s="135"/>
      <c r="L978" s="135"/>
      <c r="M978" s="135"/>
      <c r="N978" s="135"/>
    </row>
    <row r="979" spans="7:14" ht="12.75">
      <c r="G979" s="135"/>
      <c r="H979" s="135"/>
      <c r="I979" s="135"/>
      <c r="J979" s="135"/>
      <c r="K979" s="135"/>
      <c r="L979" s="135"/>
      <c r="M979" s="135"/>
      <c r="N979" s="135"/>
    </row>
    <row r="980" spans="7:14" ht="12.75">
      <c r="G980" s="135"/>
      <c r="H980" s="135"/>
      <c r="I980" s="135"/>
      <c r="J980" s="135"/>
      <c r="K980" s="135"/>
      <c r="L980" s="135"/>
      <c r="M980" s="135"/>
      <c r="N980" s="135"/>
    </row>
    <row r="981" spans="7:14" ht="12.75">
      <c r="G981" s="135"/>
      <c r="H981" s="135"/>
      <c r="I981" s="135"/>
      <c r="J981" s="135"/>
      <c r="K981" s="135"/>
      <c r="L981" s="135"/>
      <c r="M981" s="135"/>
      <c r="N981" s="135"/>
    </row>
    <row r="982" spans="7:14" ht="12.75">
      <c r="G982" s="135"/>
      <c r="H982" s="135"/>
      <c r="I982" s="135"/>
      <c r="J982" s="135"/>
      <c r="K982" s="135"/>
      <c r="L982" s="135"/>
      <c r="M982" s="135"/>
      <c r="N982" s="135"/>
    </row>
    <row r="983" spans="7:14" ht="12.75">
      <c r="G983" s="135"/>
      <c r="H983" s="135"/>
      <c r="I983" s="135"/>
      <c r="J983" s="135"/>
      <c r="K983" s="135"/>
      <c r="L983" s="135"/>
      <c r="M983" s="135"/>
      <c r="N983" s="135"/>
    </row>
    <row r="984" spans="7:14" ht="12.75">
      <c r="G984" s="135"/>
      <c r="H984" s="135"/>
      <c r="I984" s="135"/>
      <c r="J984" s="135"/>
      <c r="K984" s="135"/>
      <c r="L984" s="135"/>
      <c r="M984" s="135"/>
      <c r="N984" s="135"/>
    </row>
    <row r="985" spans="7:14" ht="12.75">
      <c r="G985" s="135"/>
      <c r="H985" s="135"/>
      <c r="I985" s="135"/>
      <c r="J985" s="135"/>
      <c r="K985" s="135"/>
      <c r="L985" s="135"/>
      <c r="M985" s="135"/>
      <c r="N985" s="135"/>
    </row>
    <row r="986" spans="7:14" ht="12.75">
      <c r="G986" s="135"/>
      <c r="H986" s="135"/>
      <c r="I986" s="135"/>
      <c r="J986" s="135"/>
      <c r="K986" s="135"/>
      <c r="L986" s="135"/>
      <c r="M986" s="135"/>
      <c r="N986" s="135"/>
    </row>
    <row r="987" spans="7:14" ht="12.75">
      <c r="G987" s="135"/>
      <c r="H987" s="135"/>
      <c r="I987" s="135"/>
      <c r="J987" s="135"/>
      <c r="K987" s="135"/>
      <c r="L987" s="135"/>
      <c r="M987" s="135"/>
      <c r="N987" s="135"/>
    </row>
    <row r="988" spans="7:14" ht="12.75">
      <c r="G988" s="135"/>
      <c r="H988" s="135"/>
      <c r="I988" s="135"/>
      <c r="J988" s="135"/>
      <c r="K988" s="135"/>
      <c r="L988" s="135"/>
      <c r="M988" s="135"/>
      <c r="N988" s="135"/>
    </row>
    <row r="989" spans="7:14" ht="12.75">
      <c r="G989" s="135"/>
      <c r="H989" s="135"/>
      <c r="I989" s="135"/>
      <c r="J989" s="135"/>
      <c r="K989" s="135"/>
      <c r="L989" s="135"/>
      <c r="M989" s="135"/>
      <c r="N989" s="135"/>
    </row>
    <row r="990" spans="7:14" ht="12.75">
      <c r="G990" s="135"/>
      <c r="H990" s="135"/>
      <c r="I990" s="135"/>
      <c r="J990" s="135"/>
      <c r="K990" s="135"/>
      <c r="L990" s="135"/>
      <c r="M990" s="135"/>
      <c r="N990" s="135"/>
    </row>
    <row r="991" spans="7:14" ht="12.75">
      <c r="G991" s="135"/>
      <c r="H991" s="135"/>
      <c r="I991" s="135"/>
      <c r="J991" s="135"/>
      <c r="K991" s="135"/>
      <c r="L991" s="135"/>
      <c r="M991" s="135"/>
      <c r="N991" s="135"/>
    </row>
    <row r="992" spans="7:14" ht="12.75">
      <c r="G992" s="135"/>
      <c r="H992" s="135"/>
      <c r="I992" s="135"/>
      <c r="J992" s="135"/>
      <c r="K992" s="135"/>
      <c r="L992" s="135"/>
      <c r="M992" s="135"/>
      <c r="N992" s="135"/>
    </row>
    <row r="993" spans="7:14" ht="12.75">
      <c r="G993" s="135"/>
      <c r="H993" s="135"/>
      <c r="I993" s="135"/>
      <c r="J993" s="135"/>
      <c r="K993" s="135"/>
      <c r="L993" s="135"/>
      <c r="M993" s="135"/>
      <c r="N993" s="135"/>
    </row>
    <row r="994" spans="7:14" ht="12.75">
      <c r="G994" s="135"/>
      <c r="H994" s="135"/>
      <c r="I994" s="135"/>
      <c r="J994" s="135"/>
      <c r="K994" s="135"/>
      <c r="L994" s="135"/>
      <c r="M994" s="135"/>
      <c r="N994" s="135"/>
    </row>
    <row r="995" spans="7:14" ht="12.75">
      <c r="G995" s="135"/>
      <c r="H995" s="135"/>
      <c r="I995" s="135"/>
      <c r="J995" s="135"/>
      <c r="K995" s="135"/>
      <c r="L995" s="135"/>
      <c r="M995" s="135"/>
      <c r="N995" s="135"/>
    </row>
    <row r="996" spans="7:14" ht="12.75">
      <c r="G996" s="135"/>
      <c r="H996" s="135"/>
      <c r="I996" s="135"/>
      <c r="J996" s="135"/>
      <c r="K996" s="135"/>
      <c r="L996" s="135"/>
      <c r="M996" s="135"/>
      <c r="N996" s="135"/>
    </row>
    <row r="997" spans="7:14" ht="12.75">
      <c r="G997" s="135"/>
      <c r="H997" s="135"/>
      <c r="I997" s="135"/>
      <c r="J997" s="135"/>
      <c r="K997" s="135"/>
      <c r="L997" s="135"/>
      <c r="M997" s="135"/>
      <c r="N997" s="135"/>
    </row>
    <row r="998" spans="7:14" ht="12.75">
      <c r="G998" s="135"/>
      <c r="H998" s="135"/>
      <c r="I998" s="135"/>
      <c r="J998" s="135"/>
      <c r="K998" s="135"/>
      <c r="L998" s="135"/>
      <c r="M998" s="135"/>
      <c r="N998" s="135"/>
    </row>
    <row r="999" spans="7:14" ht="12.75">
      <c r="G999" s="135"/>
      <c r="H999" s="135"/>
      <c r="I999" s="135"/>
      <c r="J999" s="135"/>
      <c r="K999" s="135"/>
      <c r="L999" s="135"/>
      <c r="M999" s="135"/>
      <c r="N999" s="135"/>
    </row>
    <row r="1000" spans="7:14" ht="12.75">
      <c r="G1000" s="135"/>
      <c r="H1000" s="135"/>
      <c r="I1000" s="135"/>
      <c r="J1000" s="135"/>
      <c r="K1000" s="135"/>
      <c r="L1000" s="135"/>
      <c r="M1000" s="135"/>
      <c r="N1000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287"/>
  <sheetViews>
    <sheetView workbookViewId="0"/>
  </sheetViews>
  <sheetFormatPr defaultColWidth="14.42578125" defaultRowHeight="15.75" customHeight="1"/>
  <sheetData>
    <row r="1" spans="1:16" ht="15.75" customHeight="1">
      <c r="A1" s="120" t="s">
        <v>27</v>
      </c>
      <c r="B1" t="str">
        <f ca="1">IFERROR(__xludf.DUMMYFUNCTION("GOOGLEFINANCE(""EMQQ"",""price"",DATE(2016,12,1),TODAY())"),"Date")</f>
        <v>Date</v>
      </c>
      <c r="C1" t="str">
        <f ca="1">IFERROR(__xludf.DUMMYFUNCTION("""COMPUTED_VALUE"""),"Close")</f>
        <v>Close</v>
      </c>
      <c r="D1" s="122" t="s">
        <v>30</v>
      </c>
      <c r="E1" s="122" t="s">
        <v>73</v>
      </c>
      <c r="F1" s="122" t="s">
        <v>36</v>
      </c>
      <c r="G1" s="122" t="s">
        <v>39</v>
      </c>
      <c r="H1" s="122" t="s">
        <v>74</v>
      </c>
      <c r="I1" s="122" t="s">
        <v>45</v>
      </c>
      <c r="J1" s="122" t="s">
        <v>48</v>
      </c>
      <c r="K1" s="122" t="s">
        <v>51</v>
      </c>
      <c r="L1" s="122" t="s">
        <v>53</v>
      </c>
      <c r="M1" t="str">
        <f ca="1">IFERROR(__xludf.DUMMYFUNCTION("GOOGLEFINANCE(""SRVR"",""price"",DATE(2016,12,1),TODAY())"),"Date")</f>
        <v>Date</v>
      </c>
      <c r="N1" t="str">
        <f ca="1">IFERROR(__xludf.DUMMYFUNCTION("""COMPUTED_VALUE"""),"Close")</f>
        <v>Close</v>
      </c>
      <c r="O1" t="str">
        <f ca="1">IFERROR(__xludf.DUMMYFUNCTION("GOOGLEFINANCE(""EMQQ"",""price"",DATE(2016,12,1),TODAY())"),"Date")</f>
        <v>Date</v>
      </c>
      <c r="P1" t="str">
        <f ca="1">IFERROR(__xludf.DUMMYFUNCTION("""COMPUTED_VALUE"""),"Close")</f>
        <v>Close</v>
      </c>
    </row>
    <row r="2" spans="1:16" ht="15.75" customHeight="1">
      <c r="A2" s="120" t="s">
        <v>30</v>
      </c>
      <c r="B2" s="125">
        <f ca="1">IFERROR(__xludf.DUMMYFUNCTION("""COMPUTED_VALUE"""),42705.6666666666)</f>
        <v>42705.666666666599</v>
      </c>
      <c r="C2">
        <f ca="1">IFERROR(__xludf.DUMMYFUNCTION("""COMPUTED_VALUE"""),23.69)</f>
        <v>23.69</v>
      </c>
      <c r="D2">
        <v>14.63</v>
      </c>
      <c r="E2">
        <v>26.11</v>
      </c>
      <c r="F2">
        <v>23.29</v>
      </c>
      <c r="G2">
        <v>7.97</v>
      </c>
      <c r="H2">
        <v>143.88</v>
      </c>
      <c r="I2">
        <v>23.73</v>
      </c>
      <c r="J2">
        <v>50.25</v>
      </c>
      <c r="K2">
        <v>102.05</v>
      </c>
      <c r="L2">
        <v>30.01</v>
      </c>
      <c r="M2" s="125">
        <f ca="1">IFERROR(__xludf.DUMMYFUNCTION("""COMPUTED_VALUE"""),43236.6666666666)</f>
        <v>43236.666666666599</v>
      </c>
      <c r="N2">
        <f ca="1">IFERROR(__xludf.DUMMYFUNCTION("""COMPUTED_VALUE"""),24.68)</f>
        <v>24.68</v>
      </c>
      <c r="O2" s="125">
        <f ca="1">IFERROR(__xludf.DUMMYFUNCTION("""COMPUTED_VALUE"""),42705.6666666666)</f>
        <v>42705.666666666599</v>
      </c>
      <c r="P2">
        <f ca="1">IFERROR(__xludf.DUMMYFUNCTION("""COMPUTED_VALUE"""),23.69)</f>
        <v>23.69</v>
      </c>
    </row>
    <row r="3" spans="1:16" ht="15.75" customHeight="1">
      <c r="A3" s="104" t="s">
        <v>73</v>
      </c>
      <c r="B3" s="125">
        <f ca="1">IFERROR(__xludf.DUMMYFUNCTION("""COMPUTED_VALUE"""),42706.6666666666)</f>
        <v>42706.666666666599</v>
      </c>
      <c r="C3">
        <f ca="1">IFERROR(__xludf.DUMMYFUNCTION("""COMPUTED_VALUE"""),23.56)</f>
        <v>23.56</v>
      </c>
      <c r="D3">
        <v>14.53</v>
      </c>
      <c r="E3">
        <v>26.05</v>
      </c>
      <c r="F3">
        <v>23.17</v>
      </c>
      <c r="G3">
        <v>7.94</v>
      </c>
      <c r="H3">
        <v>143.99</v>
      </c>
      <c r="I3">
        <v>23.82</v>
      </c>
      <c r="J3">
        <v>50.57</v>
      </c>
      <c r="K3">
        <v>102.93</v>
      </c>
      <c r="L3">
        <v>30.2</v>
      </c>
      <c r="M3" s="125">
        <f ca="1">IFERROR(__xludf.DUMMYFUNCTION("""COMPUTED_VALUE"""),43237.6666666666)</f>
        <v>43237.666666666599</v>
      </c>
      <c r="N3">
        <f ca="1">IFERROR(__xludf.DUMMYFUNCTION("""COMPUTED_VALUE"""),24.48)</f>
        <v>24.48</v>
      </c>
      <c r="O3" s="125">
        <f ca="1">IFERROR(__xludf.DUMMYFUNCTION("""COMPUTED_VALUE"""),42706.6666666666)</f>
        <v>42706.666666666599</v>
      </c>
      <c r="P3">
        <f ca="1">IFERROR(__xludf.DUMMYFUNCTION("""COMPUTED_VALUE"""),23.56)</f>
        <v>23.56</v>
      </c>
    </row>
    <row r="4" spans="1:16" ht="15.75" customHeight="1">
      <c r="A4" s="127" t="s">
        <v>36</v>
      </c>
      <c r="B4" s="125">
        <f ca="1">IFERROR(__xludf.DUMMYFUNCTION("""COMPUTED_VALUE"""),42709.6666666666)</f>
        <v>42709.666666666599</v>
      </c>
      <c r="C4">
        <f ca="1">IFERROR(__xludf.DUMMYFUNCTION("""COMPUTED_VALUE"""),23.79)</f>
        <v>23.79</v>
      </c>
      <c r="D4">
        <v>14.72</v>
      </c>
      <c r="E4">
        <v>25.88</v>
      </c>
      <c r="F4">
        <v>23.67</v>
      </c>
      <c r="G4">
        <v>8.02</v>
      </c>
      <c r="H4">
        <v>144.38</v>
      </c>
      <c r="I4">
        <v>24.19</v>
      </c>
      <c r="J4">
        <v>50.63</v>
      </c>
      <c r="K4">
        <v>103.26</v>
      </c>
      <c r="L4">
        <v>30.52</v>
      </c>
      <c r="M4" s="125">
        <f ca="1">IFERROR(__xludf.DUMMYFUNCTION("""COMPUTED_VALUE"""),43238.6666666666)</f>
        <v>43238.666666666599</v>
      </c>
      <c r="N4">
        <f ca="1">IFERROR(__xludf.DUMMYFUNCTION("""COMPUTED_VALUE"""),24.56)</f>
        <v>24.56</v>
      </c>
      <c r="O4" s="125">
        <f ca="1">IFERROR(__xludf.DUMMYFUNCTION("""COMPUTED_VALUE"""),42709.6666666666)</f>
        <v>42709.666666666599</v>
      </c>
      <c r="P4">
        <f ca="1">IFERROR(__xludf.DUMMYFUNCTION("""COMPUTED_VALUE"""),23.79)</f>
        <v>23.79</v>
      </c>
    </row>
    <row r="5" spans="1:16" ht="15.75" customHeight="1">
      <c r="A5" s="128" t="s">
        <v>39</v>
      </c>
      <c r="B5" s="125">
        <f ca="1">IFERROR(__xludf.DUMMYFUNCTION("""COMPUTED_VALUE"""),42710.6666666666)</f>
        <v>42710.666666666599</v>
      </c>
      <c r="C5">
        <f ca="1">IFERROR(__xludf.DUMMYFUNCTION("""COMPUTED_VALUE"""),23.67)</f>
        <v>23.67</v>
      </c>
      <c r="D5">
        <v>14.55</v>
      </c>
      <c r="E5">
        <v>25.98</v>
      </c>
      <c r="F5">
        <v>23.87</v>
      </c>
      <c r="G5">
        <v>8.02</v>
      </c>
      <c r="H5">
        <v>144.94</v>
      </c>
      <c r="I5">
        <v>24.48</v>
      </c>
      <c r="J5">
        <v>50.78</v>
      </c>
      <c r="K5">
        <v>103.03</v>
      </c>
      <c r="L5">
        <v>30.29</v>
      </c>
      <c r="M5" s="125">
        <f ca="1">IFERROR(__xludf.DUMMYFUNCTION("""COMPUTED_VALUE"""),43241.6666666666)</f>
        <v>43241.666666666599</v>
      </c>
      <c r="N5">
        <f ca="1">IFERROR(__xludf.DUMMYFUNCTION("""COMPUTED_VALUE"""),24.66)</f>
        <v>24.66</v>
      </c>
      <c r="O5" s="125">
        <f ca="1">IFERROR(__xludf.DUMMYFUNCTION("""COMPUTED_VALUE"""),42710.6666666666)</f>
        <v>42710.666666666599</v>
      </c>
      <c r="P5">
        <f ca="1">IFERROR(__xludf.DUMMYFUNCTION("""COMPUTED_VALUE"""),23.67)</f>
        <v>23.67</v>
      </c>
    </row>
    <row r="6" spans="1:16" ht="15.75" customHeight="1">
      <c r="A6" s="120" t="s">
        <v>74</v>
      </c>
      <c r="B6" s="125">
        <f ca="1">IFERROR(__xludf.DUMMYFUNCTION("""COMPUTED_VALUE"""),42711.6666666666)</f>
        <v>42711.666666666599</v>
      </c>
      <c r="C6">
        <f ca="1">IFERROR(__xludf.DUMMYFUNCTION("""COMPUTED_VALUE"""),24.06)</f>
        <v>24.06</v>
      </c>
      <c r="D6">
        <v>14.8</v>
      </c>
      <c r="E6">
        <v>25.9</v>
      </c>
      <c r="F6">
        <v>24.11</v>
      </c>
      <c r="G6">
        <v>8.17</v>
      </c>
      <c r="H6">
        <v>146.22</v>
      </c>
      <c r="I6">
        <v>24.96</v>
      </c>
      <c r="J6">
        <v>51.51</v>
      </c>
      <c r="K6">
        <v>104.45</v>
      </c>
      <c r="L6">
        <v>30.01</v>
      </c>
      <c r="M6" s="125">
        <f ca="1">IFERROR(__xludf.DUMMYFUNCTION("""COMPUTED_VALUE"""),43242.6666666666)</f>
        <v>43242.666666666599</v>
      </c>
      <c r="N6">
        <f ca="1">IFERROR(__xludf.DUMMYFUNCTION("""COMPUTED_VALUE"""),24.63)</f>
        <v>24.63</v>
      </c>
      <c r="O6" s="125">
        <f ca="1">IFERROR(__xludf.DUMMYFUNCTION("""COMPUTED_VALUE"""),42711.6666666666)</f>
        <v>42711.666666666599</v>
      </c>
      <c r="P6">
        <f ca="1">IFERROR(__xludf.DUMMYFUNCTION("""COMPUTED_VALUE"""),24.06)</f>
        <v>24.06</v>
      </c>
    </row>
    <row r="7" spans="1:16" ht="15.75" customHeight="1">
      <c r="A7" s="127" t="s">
        <v>45</v>
      </c>
      <c r="B7" s="125">
        <f ca="1">IFERROR(__xludf.DUMMYFUNCTION("""COMPUTED_VALUE"""),42712.6666666666)</f>
        <v>42712.666666666599</v>
      </c>
      <c r="C7">
        <f ca="1">IFERROR(__xludf.DUMMYFUNCTION("""COMPUTED_VALUE"""),24.09)</f>
        <v>24.09</v>
      </c>
      <c r="D7">
        <v>14.8</v>
      </c>
      <c r="E7">
        <v>26.13</v>
      </c>
      <c r="F7">
        <v>23.92</v>
      </c>
      <c r="G7">
        <v>8.1199999999999992</v>
      </c>
      <c r="H7">
        <v>144.83000000000001</v>
      </c>
      <c r="I7">
        <v>25.22</v>
      </c>
      <c r="J7">
        <v>51.3</v>
      </c>
      <c r="K7">
        <v>104.88</v>
      </c>
      <c r="L7">
        <v>29.53</v>
      </c>
      <c r="M7" s="125">
        <f ca="1">IFERROR(__xludf.DUMMYFUNCTION("""COMPUTED_VALUE"""),43243.6666666666)</f>
        <v>43243.666666666599</v>
      </c>
      <c r="N7">
        <f ca="1">IFERROR(__xludf.DUMMYFUNCTION("""COMPUTED_VALUE"""),24.77)</f>
        <v>24.77</v>
      </c>
      <c r="O7" s="125">
        <f ca="1">IFERROR(__xludf.DUMMYFUNCTION("""COMPUTED_VALUE"""),42712.6666666666)</f>
        <v>42712.666666666599</v>
      </c>
      <c r="P7">
        <f ca="1">IFERROR(__xludf.DUMMYFUNCTION("""COMPUTED_VALUE"""),24.09)</f>
        <v>24.09</v>
      </c>
    </row>
    <row r="8" spans="1:16" ht="15.75" customHeight="1">
      <c r="A8" s="104" t="s">
        <v>48</v>
      </c>
      <c r="B8" s="125">
        <f ca="1">IFERROR(__xludf.DUMMYFUNCTION("""COMPUTED_VALUE"""),42713.6666666666)</f>
        <v>42713.666666666599</v>
      </c>
      <c r="C8">
        <f ca="1">IFERROR(__xludf.DUMMYFUNCTION("""COMPUTED_VALUE"""),24.19)</f>
        <v>24.19</v>
      </c>
      <c r="D8" t="e">
        <v>#N/A</v>
      </c>
      <c r="E8">
        <v>26.24</v>
      </c>
      <c r="F8">
        <v>24.03</v>
      </c>
      <c r="G8">
        <v>8.08</v>
      </c>
      <c r="H8">
        <v>145.13</v>
      </c>
      <c r="I8">
        <v>25.37</v>
      </c>
      <c r="J8">
        <v>52.04</v>
      </c>
      <c r="K8">
        <v>105.87</v>
      </c>
      <c r="L8">
        <v>29.94</v>
      </c>
      <c r="M8" s="125">
        <f ca="1">IFERROR(__xludf.DUMMYFUNCTION("""COMPUTED_VALUE"""),43244.6666666666)</f>
        <v>43244.666666666599</v>
      </c>
      <c r="N8">
        <f ca="1">IFERROR(__xludf.DUMMYFUNCTION("""COMPUTED_VALUE"""),24.75)</f>
        <v>24.75</v>
      </c>
      <c r="O8" s="125">
        <f ca="1">IFERROR(__xludf.DUMMYFUNCTION("""COMPUTED_VALUE"""),42713.6666666666)</f>
        <v>42713.666666666599</v>
      </c>
      <c r="P8">
        <f ca="1">IFERROR(__xludf.DUMMYFUNCTION("""COMPUTED_VALUE"""),24.19)</f>
        <v>24.19</v>
      </c>
    </row>
    <row r="9" spans="1:16" ht="15.75" customHeight="1">
      <c r="A9" s="104" t="s">
        <v>51</v>
      </c>
      <c r="B9" s="125">
        <f ca="1">IFERROR(__xludf.DUMMYFUNCTION("""COMPUTED_VALUE"""),42716.6666666666)</f>
        <v>42716.666666666599</v>
      </c>
      <c r="C9">
        <f ca="1">IFERROR(__xludf.DUMMYFUNCTION("""COMPUTED_VALUE"""),23.81)</f>
        <v>23.81</v>
      </c>
      <c r="D9">
        <v>14.78</v>
      </c>
      <c r="E9">
        <v>26.09</v>
      </c>
      <c r="F9">
        <v>24.08</v>
      </c>
      <c r="G9">
        <v>8.01</v>
      </c>
      <c r="H9">
        <v>143.47</v>
      </c>
      <c r="I9">
        <v>25.21</v>
      </c>
      <c r="J9">
        <v>52.25</v>
      </c>
      <c r="K9">
        <v>106.76</v>
      </c>
      <c r="L9">
        <v>30.17</v>
      </c>
      <c r="M9" s="125">
        <f ca="1">IFERROR(__xludf.DUMMYFUNCTION("""COMPUTED_VALUE"""),43245.6666666666)</f>
        <v>43245.666666666599</v>
      </c>
      <c r="N9">
        <f ca="1">IFERROR(__xludf.DUMMYFUNCTION("""COMPUTED_VALUE"""),25.01)</f>
        <v>25.01</v>
      </c>
      <c r="O9" s="125">
        <f ca="1">IFERROR(__xludf.DUMMYFUNCTION("""COMPUTED_VALUE"""),42716.6666666666)</f>
        <v>42716.666666666599</v>
      </c>
      <c r="P9">
        <f ca="1">IFERROR(__xludf.DUMMYFUNCTION("""COMPUTED_VALUE"""),23.81)</f>
        <v>23.81</v>
      </c>
    </row>
    <row r="10" spans="1:16" ht="15.75" customHeight="1">
      <c r="A10" s="129" t="s">
        <v>53</v>
      </c>
      <c r="B10" s="125">
        <f ca="1">IFERROR(__xludf.DUMMYFUNCTION("""COMPUTED_VALUE"""),42717.6666666666)</f>
        <v>42717.666666666599</v>
      </c>
      <c r="C10">
        <f ca="1">IFERROR(__xludf.DUMMYFUNCTION("""COMPUTED_VALUE"""),24.08)</f>
        <v>24.08</v>
      </c>
      <c r="D10">
        <v>14.7</v>
      </c>
      <c r="E10">
        <v>26.12</v>
      </c>
      <c r="F10">
        <v>24.26</v>
      </c>
      <c r="G10">
        <v>8.1300000000000008</v>
      </c>
      <c r="H10">
        <v>142.85</v>
      </c>
      <c r="I10">
        <v>25.47</v>
      </c>
      <c r="J10">
        <v>52.49</v>
      </c>
      <c r="K10">
        <v>107.86</v>
      </c>
      <c r="L10">
        <v>30.55</v>
      </c>
      <c r="M10" s="125">
        <f ca="1">IFERROR(__xludf.DUMMYFUNCTION("""COMPUTED_VALUE"""),43249.6666666666)</f>
        <v>43249.666666666599</v>
      </c>
      <c r="N10">
        <f ca="1">IFERROR(__xludf.DUMMYFUNCTION("""COMPUTED_VALUE"""),25.03)</f>
        <v>25.03</v>
      </c>
      <c r="O10" s="125">
        <f ca="1">IFERROR(__xludf.DUMMYFUNCTION("""COMPUTED_VALUE"""),42717.6666666666)</f>
        <v>42717.666666666599</v>
      </c>
      <c r="P10">
        <f ca="1">IFERROR(__xludf.DUMMYFUNCTION("""COMPUTED_VALUE"""),24.08)</f>
        <v>24.08</v>
      </c>
    </row>
    <row r="11" spans="1:16" ht="15.75" customHeight="1">
      <c r="A11" s="129" t="s">
        <v>56</v>
      </c>
      <c r="B11" s="125">
        <f ca="1">IFERROR(__xludf.DUMMYFUNCTION("""COMPUTED_VALUE"""),42718.6666666666)</f>
        <v>42718.666666666599</v>
      </c>
      <c r="C11">
        <f ca="1">IFERROR(__xludf.DUMMYFUNCTION("""COMPUTED_VALUE"""),23.68)</f>
        <v>23.68</v>
      </c>
      <c r="D11">
        <v>14.69</v>
      </c>
      <c r="E11">
        <v>26.37</v>
      </c>
      <c r="F11">
        <v>23.98</v>
      </c>
      <c r="G11">
        <v>7.91</v>
      </c>
      <c r="H11">
        <v>141.52000000000001</v>
      </c>
      <c r="I11">
        <v>25.37</v>
      </c>
      <c r="J11">
        <v>51.92</v>
      </c>
      <c r="K11">
        <v>104.7</v>
      </c>
      <c r="L11">
        <v>30.51</v>
      </c>
      <c r="M11" s="125">
        <f ca="1">IFERROR(__xludf.DUMMYFUNCTION("""COMPUTED_VALUE"""),43250.6666666666)</f>
        <v>43250.666666666599</v>
      </c>
      <c r="N11">
        <f ca="1">IFERROR(__xludf.DUMMYFUNCTION("""COMPUTED_VALUE"""),25.38)</f>
        <v>25.38</v>
      </c>
      <c r="O11" s="125">
        <f ca="1">IFERROR(__xludf.DUMMYFUNCTION("""COMPUTED_VALUE"""),42718.6666666666)</f>
        <v>42718.666666666599</v>
      </c>
      <c r="P11">
        <f ca="1">IFERROR(__xludf.DUMMYFUNCTION("""COMPUTED_VALUE"""),23.68)</f>
        <v>23.68</v>
      </c>
    </row>
    <row r="12" spans="1:16" ht="15.75" customHeight="1">
      <c r="A12" s="129" t="s">
        <v>59</v>
      </c>
      <c r="B12" s="125">
        <f ca="1">IFERROR(__xludf.DUMMYFUNCTION("""COMPUTED_VALUE"""),42719.6666666666)</f>
        <v>42719.666666666599</v>
      </c>
      <c r="C12">
        <f ca="1">IFERROR(__xludf.DUMMYFUNCTION("""COMPUTED_VALUE"""),23.36)</f>
        <v>23.36</v>
      </c>
      <c r="D12">
        <v>14.76</v>
      </c>
      <c r="E12">
        <v>26.66</v>
      </c>
      <c r="F12">
        <v>23.92</v>
      </c>
      <c r="G12">
        <v>7.88</v>
      </c>
      <c r="H12">
        <v>141.94999999999999</v>
      </c>
      <c r="I12">
        <v>25.61</v>
      </c>
      <c r="J12">
        <v>52.14</v>
      </c>
      <c r="K12">
        <v>105.45</v>
      </c>
      <c r="L12">
        <v>30.69</v>
      </c>
      <c r="M12" s="125">
        <f ca="1">IFERROR(__xludf.DUMMYFUNCTION("""COMPUTED_VALUE"""),43251.6666666666)</f>
        <v>43251.666666666599</v>
      </c>
      <c r="N12">
        <f ca="1">IFERROR(__xludf.DUMMYFUNCTION("""COMPUTED_VALUE"""),25.23)</f>
        <v>25.23</v>
      </c>
      <c r="O12" s="125">
        <f ca="1">IFERROR(__xludf.DUMMYFUNCTION("""COMPUTED_VALUE"""),42719.6666666666)</f>
        <v>42719.666666666599</v>
      </c>
      <c r="P12">
        <f ca="1">IFERROR(__xludf.DUMMYFUNCTION("""COMPUTED_VALUE"""),23.36)</f>
        <v>23.36</v>
      </c>
    </row>
    <row r="13" spans="1:16" ht="15.75" customHeight="1">
      <c r="B13" s="125">
        <f ca="1">IFERROR(__xludf.DUMMYFUNCTION("""COMPUTED_VALUE"""),42720.6666666666)</f>
        <v>42720.666666666599</v>
      </c>
      <c r="C13">
        <f ca="1">IFERROR(__xludf.DUMMYFUNCTION("""COMPUTED_VALUE"""),23.17)</f>
        <v>23.17</v>
      </c>
      <c r="D13" t="e">
        <v>#N/A</v>
      </c>
      <c r="E13">
        <v>26.57</v>
      </c>
      <c r="F13">
        <v>23.98</v>
      </c>
      <c r="G13">
        <v>7.87</v>
      </c>
      <c r="H13">
        <v>141.71</v>
      </c>
      <c r="I13">
        <v>25.68</v>
      </c>
      <c r="J13">
        <v>52.05</v>
      </c>
      <c r="K13">
        <v>106.58</v>
      </c>
      <c r="L13">
        <v>31.09</v>
      </c>
      <c r="M13" s="125">
        <f ca="1">IFERROR(__xludf.DUMMYFUNCTION("""COMPUTED_VALUE"""),43252.6666666666)</f>
        <v>43252.666666666599</v>
      </c>
      <c r="N13">
        <f ca="1">IFERROR(__xludf.DUMMYFUNCTION("""COMPUTED_VALUE"""),25.39)</f>
        <v>25.39</v>
      </c>
      <c r="O13" s="125">
        <f ca="1">IFERROR(__xludf.DUMMYFUNCTION("""COMPUTED_VALUE"""),42720.6666666666)</f>
        <v>42720.666666666599</v>
      </c>
      <c r="P13">
        <f ca="1">IFERROR(__xludf.DUMMYFUNCTION("""COMPUTED_VALUE"""),23.17)</f>
        <v>23.17</v>
      </c>
    </row>
    <row r="14" spans="1:16" ht="15.75" customHeight="1">
      <c r="B14" s="125">
        <f ca="1">IFERROR(__xludf.DUMMYFUNCTION("""COMPUTED_VALUE"""),42723.6666666666)</f>
        <v>42723.666666666599</v>
      </c>
      <c r="C14">
        <f ca="1">IFERROR(__xludf.DUMMYFUNCTION("""COMPUTED_VALUE"""),23.09)</f>
        <v>23.09</v>
      </c>
      <c r="D14">
        <v>14.59</v>
      </c>
      <c r="E14">
        <v>26.65</v>
      </c>
      <c r="F14">
        <v>24.07</v>
      </c>
      <c r="G14">
        <v>8</v>
      </c>
      <c r="H14">
        <v>142.77000000000001</v>
      </c>
      <c r="I14">
        <v>25.7</v>
      </c>
      <c r="J14">
        <v>52.15</v>
      </c>
      <c r="K14">
        <v>107.11</v>
      </c>
      <c r="L14">
        <v>31.27</v>
      </c>
      <c r="M14" s="125">
        <f ca="1">IFERROR(__xludf.DUMMYFUNCTION("""COMPUTED_VALUE"""),43255.6666666666)</f>
        <v>43255.666666666599</v>
      </c>
      <c r="N14">
        <f ca="1">IFERROR(__xludf.DUMMYFUNCTION("""COMPUTED_VALUE"""),25.57)</f>
        <v>25.57</v>
      </c>
      <c r="O14" s="125">
        <f ca="1">IFERROR(__xludf.DUMMYFUNCTION("""COMPUTED_VALUE"""),42723.6666666666)</f>
        <v>42723.666666666599</v>
      </c>
      <c r="P14">
        <f ca="1">IFERROR(__xludf.DUMMYFUNCTION("""COMPUTED_VALUE"""),23.09)</f>
        <v>23.09</v>
      </c>
    </row>
    <row r="15" spans="1:16" ht="15.75" customHeight="1">
      <c r="B15" s="125">
        <f ca="1">IFERROR(__xludf.DUMMYFUNCTION("""COMPUTED_VALUE"""),42724.6666666666)</f>
        <v>42724.666666666599</v>
      </c>
      <c r="C15">
        <f ca="1">IFERROR(__xludf.DUMMYFUNCTION("""COMPUTED_VALUE"""),22.94)</f>
        <v>22.94</v>
      </c>
      <c r="D15">
        <v>14.67</v>
      </c>
      <c r="E15">
        <v>26.7</v>
      </c>
      <c r="F15">
        <v>24.2</v>
      </c>
      <c r="G15">
        <v>7.94</v>
      </c>
      <c r="H15">
        <v>143.4</v>
      </c>
      <c r="I15">
        <v>25.83</v>
      </c>
      <c r="J15">
        <v>52.05</v>
      </c>
      <c r="K15">
        <v>107.18</v>
      </c>
      <c r="L15">
        <v>30.92</v>
      </c>
      <c r="M15" s="125">
        <f ca="1">IFERROR(__xludf.DUMMYFUNCTION("""COMPUTED_VALUE"""),43256.6666666666)</f>
        <v>43256.666666666599</v>
      </c>
      <c r="N15">
        <f ca="1">IFERROR(__xludf.DUMMYFUNCTION("""COMPUTED_VALUE"""),25.57)</f>
        <v>25.57</v>
      </c>
      <c r="O15" s="125">
        <f ca="1">IFERROR(__xludf.DUMMYFUNCTION("""COMPUTED_VALUE"""),42724.6666666666)</f>
        <v>42724.666666666599</v>
      </c>
      <c r="P15">
        <f ca="1">IFERROR(__xludf.DUMMYFUNCTION("""COMPUTED_VALUE"""),22.94)</f>
        <v>22.94</v>
      </c>
    </row>
    <row r="16" spans="1:16" ht="15.75" customHeight="1">
      <c r="B16" s="125">
        <f ca="1">IFERROR(__xludf.DUMMYFUNCTION("""COMPUTED_VALUE"""),42725.6666666666)</f>
        <v>42725.666666666599</v>
      </c>
      <c r="C16">
        <f ca="1">IFERROR(__xludf.DUMMYFUNCTION("""COMPUTED_VALUE"""),23.05)</f>
        <v>23.05</v>
      </c>
      <c r="D16" t="e">
        <v>#N/A</v>
      </c>
      <c r="E16">
        <v>26.62</v>
      </c>
      <c r="F16">
        <v>23.99</v>
      </c>
      <c r="G16">
        <v>7.92</v>
      </c>
      <c r="H16">
        <v>142.21</v>
      </c>
      <c r="I16">
        <v>25.87</v>
      </c>
      <c r="J16">
        <v>52.04</v>
      </c>
      <c r="K16">
        <v>106.77</v>
      </c>
      <c r="L16">
        <v>31</v>
      </c>
      <c r="M16" s="125">
        <f ca="1">IFERROR(__xludf.DUMMYFUNCTION("""COMPUTED_VALUE"""),43257.6666666666)</f>
        <v>43257.666666666599</v>
      </c>
      <c r="N16">
        <f ca="1">IFERROR(__xludf.DUMMYFUNCTION("""COMPUTED_VALUE"""),25.45)</f>
        <v>25.45</v>
      </c>
      <c r="O16" s="125">
        <f ca="1">IFERROR(__xludf.DUMMYFUNCTION("""COMPUTED_VALUE"""),42725.6666666666)</f>
        <v>42725.666666666599</v>
      </c>
      <c r="P16">
        <f ca="1">IFERROR(__xludf.DUMMYFUNCTION("""COMPUTED_VALUE"""),23.05)</f>
        <v>23.05</v>
      </c>
    </row>
    <row r="17" spans="2:16" ht="15.75" customHeight="1">
      <c r="B17" s="125">
        <f ca="1">IFERROR(__xludf.DUMMYFUNCTION("""COMPUTED_VALUE"""),42726.6666666666)</f>
        <v>42726.666666666599</v>
      </c>
      <c r="C17">
        <f ca="1">IFERROR(__xludf.DUMMYFUNCTION("""COMPUTED_VALUE"""),22.88)</f>
        <v>22.88</v>
      </c>
      <c r="D17" t="e">
        <v>#N/A</v>
      </c>
      <c r="E17">
        <v>26.65</v>
      </c>
      <c r="F17">
        <v>23.96</v>
      </c>
      <c r="G17">
        <v>7.86</v>
      </c>
      <c r="H17">
        <v>142.19999999999999</v>
      </c>
      <c r="I17">
        <v>25.85</v>
      </c>
      <c r="J17">
        <v>51.96</v>
      </c>
      <c r="K17">
        <v>107.13</v>
      </c>
      <c r="L17">
        <v>31</v>
      </c>
      <c r="M17" s="125">
        <f ca="1">IFERROR(__xludf.DUMMYFUNCTION("""COMPUTED_VALUE"""),43258.6666666666)</f>
        <v>43258.666666666599</v>
      </c>
      <c r="N17">
        <f ca="1">IFERROR(__xludf.DUMMYFUNCTION("""COMPUTED_VALUE"""),25.45)</f>
        <v>25.45</v>
      </c>
      <c r="O17" s="125">
        <f ca="1">IFERROR(__xludf.DUMMYFUNCTION("""COMPUTED_VALUE"""),42726.6666666666)</f>
        <v>42726.666666666599</v>
      </c>
      <c r="P17">
        <f ca="1">IFERROR(__xludf.DUMMYFUNCTION("""COMPUTED_VALUE"""),22.88)</f>
        <v>22.88</v>
      </c>
    </row>
    <row r="18" spans="2:16" ht="15.75" customHeight="1">
      <c r="B18" s="125">
        <f ca="1">IFERROR(__xludf.DUMMYFUNCTION("""COMPUTED_VALUE"""),42727.6666666666)</f>
        <v>42727.666666666599</v>
      </c>
      <c r="C18">
        <f ca="1">IFERROR(__xludf.DUMMYFUNCTION("""COMPUTED_VALUE"""),22.74)</f>
        <v>22.74</v>
      </c>
      <c r="D18">
        <v>14.64</v>
      </c>
      <c r="E18">
        <v>26.63</v>
      </c>
      <c r="F18">
        <v>24.08</v>
      </c>
      <c r="G18">
        <v>7.77</v>
      </c>
      <c r="H18">
        <v>142.22999999999999</v>
      </c>
      <c r="I18">
        <v>25.86</v>
      </c>
      <c r="J18">
        <v>52.06</v>
      </c>
      <c r="K18">
        <v>107.07</v>
      </c>
      <c r="L18">
        <v>30.9</v>
      </c>
      <c r="M18" s="125">
        <f ca="1">IFERROR(__xludf.DUMMYFUNCTION("""COMPUTED_VALUE"""),43259.6666666666)</f>
        <v>43259.666666666599</v>
      </c>
      <c r="N18">
        <f ca="1">IFERROR(__xludf.DUMMYFUNCTION("""COMPUTED_VALUE"""),25.66)</f>
        <v>25.66</v>
      </c>
      <c r="O18" s="125">
        <f ca="1">IFERROR(__xludf.DUMMYFUNCTION("""COMPUTED_VALUE"""),42727.6666666666)</f>
        <v>42727.666666666599</v>
      </c>
      <c r="P18">
        <f ca="1">IFERROR(__xludf.DUMMYFUNCTION("""COMPUTED_VALUE"""),22.74)</f>
        <v>22.74</v>
      </c>
    </row>
    <row r="19" spans="2:16" ht="15.75" customHeight="1">
      <c r="B19" s="125">
        <f ca="1">IFERROR(__xludf.DUMMYFUNCTION("""COMPUTED_VALUE"""),42731.6666666666)</f>
        <v>42731.666666666599</v>
      </c>
      <c r="C19">
        <f ca="1">IFERROR(__xludf.DUMMYFUNCTION("""COMPUTED_VALUE"""),22.95)</f>
        <v>22.95</v>
      </c>
      <c r="D19">
        <v>14.76</v>
      </c>
      <c r="E19">
        <v>26.62</v>
      </c>
      <c r="F19">
        <v>24.07</v>
      </c>
      <c r="G19">
        <v>7.85</v>
      </c>
      <c r="H19">
        <v>142.6</v>
      </c>
      <c r="I19">
        <v>25.89</v>
      </c>
      <c r="J19">
        <v>52.05</v>
      </c>
      <c r="K19">
        <v>107.13</v>
      </c>
      <c r="L19">
        <v>30.36</v>
      </c>
      <c r="M19" s="125">
        <f ca="1">IFERROR(__xludf.DUMMYFUNCTION("""COMPUTED_VALUE"""),43262.6666666666)</f>
        <v>43262.666666666599</v>
      </c>
      <c r="N19">
        <f ca="1">IFERROR(__xludf.DUMMYFUNCTION("""COMPUTED_VALUE"""),25.83)</f>
        <v>25.83</v>
      </c>
      <c r="O19" s="125">
        <f ca="1">IFERROR(__xludf.DUMMYFUNCTION("""COMPUTED_VALUE"""),42731.6666666666)</f>
        <v>42731.666666666599</v>
      </c>
      <c r="P19">
        <f ca="1">IFERROR(__xludf.DUMMYFUNCTION("""COMPUTED_VALUE"""),22.95)</f>
        <v>22.95</v>
      </c>
    </row>
    <row r="20" spans="2:16" ht="15.75" customHeight="1">
      <c r="B20" s="125">
        <f ca="1">IFERROR(__xludf.DUMMYFUNCTION("""COMPUTED_VALUE"""),42732.6666666666)</f>
        <v>42732.666666666599</v>
      </c>
      <c r="C20">
        <f ca="1">IFERROR(__xludf.DUMMYFUNCTION("""COMPUTED_VALUE"""),22.93)</f>
        <v>22.93</v>
      </c>
      <c r="D20">
        <v>14.67</v>
      </c>
      <c r="E20">
        <v>26.69</v>
      </c>
      <c r="F20">
        <v>23.9</v>
      </c>
      <c r="G20">
        <v>7.83</v>
      </c>
      <c r="H20">
        <v>141.22999999999999</v>
      </c>
      <c r="I20">
        <v>25.81</v>
      </c>
      <c r="J20">
        <v>51.73</v>
      </c>
      <c r="K20">
        <v>106.17</v>
      </c>
      <c r="L20">
        <v>30.57</v>
      </c>
      <c r="M20" s="125">
        <f ca="1">IFERROR(__xludf.DUMMYFUNCTION("""COMPUTED_VALUE"""),43263.6666666666)</f>
        <v>43263.666666666599</v>
      </c>
      <c r="N20">
        <f ca="1">IFERROR(__xludf.DUMMYFUNCTION("""COMPUTED_VALUE"""),25.9)</f>
        <v>25.9</v>
      </c>
      <c r="O20" s="125">
        <f ca="1">IFERROR(__xludf.DUMMYFUNCTION("""COMPUTED_VALUE"""),42732.6666666666)</f>
        <v>42732.666666666599</v>
      </c>
      <c r="P20">
        <f ca="1">IFERROR(__xludf.DUMMYFUNCTION("""COMPUTED_VALUE"""),22.93)</f>
        <v>22.93</v>
      </c>
    </row>
    <row r="21" spans="2:16" ht="15.75" customHeight="1">
      <c r="B21" s="125">
        <f ca="1">IFERROR(__xludf.DUMMYFUNCTION("""COMPUTED_VALUE"""),42733.6666666666)</f>
        <v>42733.666666666599</v>
      </c>
      <c r="C21">
        <f ca="1">IFERROR(__xludf.DUMMYFUNCTION("""COMPUTED_VALUE"""),23.12)</f>
        <v>23.12</v>
      </c>
      <c r="D21">
        <v>14.65</v>
      </c>
      <c r="E21">
        <v>26.54</v>
      </c>
      <c r="F21">
        <v>24.04</v>
      </c>
      <c r="G21">
        <v>7.91</v>
      </c>
      <c r="H21">
        <v>141.38</v>
      </c>
      <c r="I21">
        <v>25.8</v>
      </c>
      <c r="J21">
        <v>51.97</v>
      </c>
      <c r="K21">
        <v>107.51</v>
      </c>
      <c r="L21">
        <v>30.53</v>
      </c>
      <c r="M21" s="125">
        <f ca="1">IFERROR(__xludf.DUMMYFUNCTION("""COMPUTED_VALUE"""),43264.6666666666)</f>
        <v>43264.666666666599</v>
      </c>
      <c r="N21">
        <f ca="1">IFERROR(__xludf.DUMMYFUNCTION("""COMPUTED_VALUE"""),25.38)</f>
        <v>25.38</v>
      </c>
      <c r="O21" s="125">
        <f ca="1">IFERROR(__xludf.DUMMYFUNCTION("""COMPUTED_VALUE"""),42733.6666666666)</f>
        <v>42733.666666666599</v>
      </c>
      <c r="P21">
        <f ca="1">IFERROR(__xludf.DUMMYFUNCTION("""COMPUTED_VALUE"""),23.12)</f>
        <v>23.12</v>
      </c>
    </row>
    <row r="22" spans="2:16" ht="15.75" customHeight="1">
      <c r="B22" s="125">
        <f ca="1">IFERROR(__xludf.DUMMYFUNCTION("""COMPUTED_VALUE"""),42734.6666666666)</f>
        <v>42734.666666666599</v>
      </c>
      <c r="C22">
        <f ca="1">IFERROR(__xludf.DUMMYFUNCTION("""COMPUTED_VALUE"""),22.84)</f>
        <v>22.84</v>
      </c>
      <c r="D22" t="e">
        <v>#N/A</v>
      </c>
      <c r="E22">
        <v>26.46</v>
      </c>
      <c r="F22">
        <v>24.15</v>
      </c>
      <c r="G22">
        <v>7.88</v>
      </c>
      <c r="H22">
        <v>140.52000000000001</v>
      </c>
      <c r="I22">
        <v>25.84</v>
      </c>
      <c r="J22">
        <v>51.71</v>
      </c>
      <c r="K22">
        <v>107.01</v>
      </c>
      <c r="L22">
        <v>29.73</v>
      </c>
      <c r="M22" s="125">
        <f ca="1">IFERROR(__xludf.DUMMYFUNCTION("""COMPUTED_VALUE"""),43265.6666666666)</f>
        <v>43265.666666666599</v>
      </c>
      <c r="N22">
        <f ca="1">IFERROR(__xludf.DUMMYFUNCTION("""COMPUTED_VALUE"""),25.6)</f>
        <v>25.6</v>
      </c>
      <c r="O22" s="125">
        <f ca="1">IFERROR(__xludf.DUMMYFUNCTION("""COMPUTED_VALUE"""),42734.6666666666)</f>
        <v>42734.666666666599</v>
      </c>
      <c r="P22">
        <f ca="1">IFERROR(__xludf.DUMMYFUNCTION("""COMPUTED_VALUE"""),22.84)</f>
        <v>22.84</v>
      </c>
    </row>
    <row r="23" spans="2:16" ht="15.75" customHeight="1">
      <c r="B23" s="125">
        <f ca="1">IFERROR(__xludf.DUMMYFUNCTION("""COMPUTED_VALUE"""),42738.6666666666)</f>
        <v>42738.666666666599</v>
      </c>
      <c r="C23">
        <f ca="1">IFERROR(__xludf.DUMMYFUNCTION("""COMPUTED_VALUE"""),23.17)</f>
        <v>23.17</v>
      </c>
      <c r="D23">
        <v>14.78</v>
      </c>
      <c r="E23">
        <v>26.7</v>
      </c>
      <c r="F23">
        <v>24.16</v>
      </c>
      <c r="G23">
        <v>7.97</v>
      </c>
      <c r="H23">
        <v>142.38999999999999</v>
      </c>
      <c r="I23">
        <v>26.16</v>
      </c>
      <c r="J23">
        <v>51.9</v>
      </c>
      <c r="K23">
        <v>106.59</v>
      </c>
      <c r="L23">
        <v>29.19</v>
      </c>
      <c r="M23" s="125">
        <f ca="1">IFERROR(__xludf.DUMMYFUNCTION("""COMPUTED_VALUE"""),43266.6666666666)</f>
        <v>43266.666666666599</v>
      </c>
      <c r="N23">
        <f ca="1">IFERROR(__xludf.DUMMYFUNCTION("""COMPUTED_VALUE"""),25.5)</f>
        <v>25.5</v>
      </c>
      <c r="O23" s="125">
        <f ca="1">IFERROR(__xludf.DUMMYFUNCTION("""COMPUTED_VALUE"""),42738.6666666666)</f>
        <v>42738.666666666599</v>
      </c>
      <c r="P23">
        <f ca="1">IFERROR(__xludf.DUMMYFUNCTION("""COMPUTED_VALUE"""),23.17)</f>
        <v>23.17</v>
      </c>
    </row>
    <row r="24" spans="2:16" ht="15.75" customHeight="1">
      <c r="B24" s="125">
        <f ca="1">IFERROR(__xludf.DUMMYFUNCTION("""COMPUTED_VALUE"""),42739.6666666666)</f>
        <v>42739.666666666599</v>
      </c>
      <c r="C24">
        <f ca="1">IFERROR(__xludf.DUMMYFUNCTION("""COMPUTED_VALUE"""),23.61)</f>
        <v>23.61</v>
      </c>
      <c r="D24">
        <v>14.85</v>
      </c>
      <c r="E24">
        <v>26.5</v>
      </c>
      <c r="F24">
        <v>24.32</v>
      </c>
      <c r="G24">
        <v>8.11</v>
      </c>
      <c r="H24">
        <v>143.36000000000001</v>
      </c>
      <c r="I24">
        <v>26.15</v>
      </c>
      <c r="J24">
        <v>51.9</v>
      </c>
      <c r="K24">
        <v>107.11</v>
      </c>
      <c r="L24">
        <v>29.91</v>
      </c>
      <c r="M24" s="125">
        <f ca="1">IFERROR(__xludf.DUMMYFUNCTION("""COMPUTED_VALUE"""),43269.6666666666)</f>
        <v>43269.666666666599</v>
      </c>
      <c r="N24">
        <f ca="1">IFERROR(__xludf.DUMMYFUNCTION("""COMPUTED_VALUE"""),25.6)</f>
        <v>25.6</v>
      </c>
      <c r="O24" s="125">
        <f ca="1">IFERROR(__xludf.DUMMYFUNCTION("""COMPUTED_VALUE"""),42739.6666666666)</f>
        <v>42739.666666666599</v>
      </c>
      <c r="P24">
        <f ca="1">IFERROR(__xludf.DUMMYFUNCTION("""COMPUTED_VALUE"""),23.61)</f>
        <v>23.61</v>
      </c>
    </row>
    <row r="25" spans="2:16" ht="15.75" customHeight="1">
      <c r="B25" s="125">
        <f ca="1">IFERROR(__xludf.DUMMYFUNCTION("""COMPUTED_VALUE"""),42740.6666666666)</f>
        <v>42740.666666666599</v>
      </c>
      <c r="C25">
        <f ca="1">IFERROR(__xludf.DUMMYFUNCTION("""COMPUTED_VALUE"""),24.35)</f>
        <v>24.35</v>
      </c>
      <c r="D25">
        <v>15.02</v>
      </c>
      <c r="E25">
        <v>26.22</v>
      </c>
      <c r="F25">
        <v>24.47</v>
      </c>
      <c r="G25">
        <v>8.16</v>
      </c>
      <c r="H25">
        <v>143.24</v>
      </c>
      <c r="I25">
        <v>26.13</v>
      </c>
      <c r="J25">
        <v>52.07</v>
      </c>
      <c r="K25">
        <v>107.11</v>
      </c>
      <c r="L25">
        <v>29.25</v>
      </c>
      <c r="M25" s="125">
        <f ca="1">IFERROR(__xludf.DUMMYFUNCTION("""COMPUTED_VALUE"""),43270.6666666666)</f>
        <v>43270.666666666599</v>
      </c>
      <c r="N25">
        <f ca="1">IFERROR(__xludf.DUMMYFUNCTION("""COMPUTED_VALUE"""),25.5)</f>
        <v>25.5</v>
      </c>
      <c r="O25" s="125">
        <f ca="1">IFERROR(__xludf.DUMMYFUNCTION("""COMPUTED_VALUE"""),42740.6666666666)</f>
        <v>42740.666666666599</v>
      </c>
      <c r="P25">
        <f ca="1">IFERROR(__xludf.DUMMYFUNCTION("""COMPUTED_VALUE"""),24.35)</f>
        <v>24.35</v>
      </c>
    </row>
    <row r="26" spans="2:16" ht="15.75" customHeight="1">
      <c r="B26" s="125">
        <f ca="1">IFERROR(__xludf.DUMMYFUNCTION("""COMPUTED_VALUE"""),42741.6666666666)</f>
        <v>42741.666666666599</v>
      </c>
      <c r="C26">
        <f ca="1">IFERROR(__xludf.DUMMYFUNCTION("""COMPUTED_VALUE"""),24.29)</f>
        <v>24.29</v>
      </c>
      <c r="D26">
        <v>15.09</v>
      </c>
      <c r="E26">
        <v>26.41</v>
      </c>
      <c r="F26">
        <v>24.36</v>
      </c>
      <c r="G26">
        <v>8.1199999999999992</v>
      </c>
      <c r="H26">
        <v>143.66</v>
      </c>
      <c r="I26">
        <v>26.2</v>
      </c>
      <c r="J26">
        <v>52.12</v>
      </c>
      <c r="K26">
        <v>107.42</v>
      </c>
      <c r="L26">
        <v>29.02</v>
      </c>
      <c r="M26" s="125">
        <f ca="1">IFERROR(__xludf.DUMMYFUNCTION("""COMPUTED_VALUE"""),43271.6666666666)</f>
        <v>43271.666666666599</v>
      </c>
      <c r="N26">
        <f ca="1">IFERROR(__xludf.DUMMYFUNCTION("""COMPUTED_VALUE"""),25.8)</f>
        <v>25.8</v>
      </c>
      <c r="O26" s="125">
        <f ca="1">IFERROR(__xludf.DUMMYFUNCTION("""COMPUTED_VALUE"""),42741.6666666666)</f>
        <v>42741.666666666599</v>
      </c>
      <c r="P26">
        <f ca="1">IFERROR(__xludf.DUMMYFUNCTION("""COMPUTED_VALUE"""),24.29)</f>
        <v>24.29</v>
      </c>
    </row>
    <row r="27" spans="2:16" ht="15.75" customHeight="1">
      <c r="B27" s="125">
        <f ca="1">IFERROR(__xludf.DUMMYFUNCTION("""COMPUTED_VALUE"""),42744.6666666666)</f>
        <v>42744.666666666599</v>
      </c>
      <c r="C27">
        <f ca="1">IFERROR(__xludf.DUMMYFUNCTION("""COMPUTED_VALUE"""),24.41)</f>
        <v>24.41</v>
      </c>
      <c r="D27">
        <v>15.05</v>
      </c>
      <c r="E27">
        <v>26.34</v>
      </c>
      <c r="F27">
        <v>24.38</v>
      </c>
      <c r="G27">
        <v>8.15</v>
      </c>
      <c r="H27">
        <v>142.5</v>
      </c>
      <c r="I27">
        <v>26.11</v>
      </c>
      <c r="J27">
        <v>51.7</v>
      </c>
      <c r="K27">
        <v>105.95</v>
      </c>
      <c r="L27">
        <v>29.48</v>
      </c>
      <c r="M27" s="125">
        <f ca="1">IFERROR(__xludf.DUMMYFUNCTION("""COMPUTED_VALUE"""),43272.6666666666)</f>
        <v>43272.666666666599</v>
      </c>
      <c r="N27">
        <f ca="1">IFERROR(__xludf.DUMMYFUNCTION("""COMPUTED_VALUE"""),25.94)</f>
        <v>25.94</v>
      </c>
      <c r="O27" s="125">
        <f ca="1">IFERROR(__xludf.DUMMYFUNCTION("""COMPUTED_VALUE"""),42744.6666666666)</f>
        <v>42744.666666666599</v>
      </c>
      <c r="P27">
        <f ca="1">IFERROR(__xludf.DUMMYFUNCTION("""COMPUTED_VALUE"""),24.41)</f>
        <v>24.41</v>
      </c>
    </row>
    <row r="28" spans="2:16" ht="15.75" customHeight="1">
      <c r="B28" s="125">
        <f ca="1">IFERROR(__xludf.DUMMYFUNCTION("""COMPUTED_VALUE"""),42745.6666666666)</f>
        <v>42745.666666666599</v>
      </c>
      <c r="C28">
        <f ca="1">IFERROR(__xludf.DUMMYFUNCTION("""COMPUTED_VALUE"""),24.7)</f>
        <v>24.7</v>
      </c>
      <c r="D28">
        <v>15.23</v>
      </c>
      <c r="E28">
        <v>26.35</v>
      </c>
      <c r="F28">
        <v>24.34</v>
      </c>
      <c r="G28">
        <v>8.16</v>
      </c>
      <c r="H28">
        <v>142.74</v>
      </c>
      <c r="I28">
        <v>26.11</v>
      </c>
      <c r="J28">
        <v>51.44</v>
      </c>
      <c r="K28">
        <v>105.72</v>
      </c>
      <c r="L28">
        <v>28.86</v>
      </c>
      <c r="M28" s="125">
        <f ca="1">IFERROR(__xludf.DUMMYFUNCTION("""COMPUTED_VALUE"""),43273.6666666666)</f>
        <v>43273.666666666599</v>
      </c>
      <c r="N28">
        <f ca="1">IFERROR(__xludf.DUMMYFUNCTION("""COMPUTED_VALUE"""),25.98)</f>
        <v>25.98</v>
      </c>
      <c r="O28" s="125">
        <f ca="1">IFERROR(__xludf.DUMMYFUNCTION("""COMPUTED_VALUE"""),42745.6666666666)</f>
        <v>42745.666666666599</v>
      </c>
      <c r="P28">
        <f ca="1">IFERROR(__xludf.DUMMYFUNCTION("""COMPUTED_VALUE"""),24.7)</f>
        <v>24.7</v>
      </c>
    </row>
    <row r="29" spans="2:16" ht="15.75" customHeight="1">
      <c r="B29" s="125">
        <f ca="1">IFERROR(__xludf.DUMMYFUNCTION("""COMPUTED_VALUE"""),42746.6666666666)</f>
        <v>42746.666666666599</v>
      </c>
      <c r="C29">
        <f ca="1">IFERROR(__xludf.DUMMYFUNCTION("""COMPUTED_VALUE"""),24.86)</f>
        <v>24.86</v>
      </c>
      <c r="D29">
        <v>15.11</v>
      </c>
      <c r="E29">
        <v>26.29</v>
      </c>
      <c r="F29">
        <v>24.44</v>
      </c>
      <c r="G29">
        <v>8.25</v>
      </c>
      <c r="H29">
        <v>142.62</v>
      </c>
      <c r="I29">
        <v>26.33</v>
      </c>
      <c r="J29">
        <v>51.54</v>
      </c>
      <c r="K29">
        <v>106.78</v>
      </c>
      <c r="L29">
        <v>29.03</v>
      </c>
      <c r="M29" s="125">
        <f ca="1">IFERROR(__xludf.DUMMYFUNCTION("""COMPUTED_VALUE"""),43276.6666666666)</f>
        <v>43276.666666666599</v>
      </c>
      <c r="N29">
        <f ca="1">IFERROR(__xludf.DUMMYFUNCTION("""COMPUTED_VALUE"""),25.77)</f>
        <v>25.77</v>
      </c>
      <c r="O29" s="125">
        <f ca="1">IFERROR(__xludf.DUMMYFUNCTION("""COMPUTED_VALUE"""),42746.6666666666)</f>
        <v>42746.666666666599</v>
      </c>
      <c r="P29">
        <f ca="1">IFERROR(__xludf.DUMMYFUNCTION("""COMPUTED_VALUE"""),24.86)</f>
        <v>24.86</v>
      </c>
    </row>
    <row r="30" spans="2:16" ht="15.75" customHeight="1">
      <c r="B30" s="125">
        <f ca="1">IFERROR(__xludf.DUMMYFUNCTION("""COMPUTED_VALUE"""),42747.6666666666)</f>
        <v>42747.666666666599</v>
      </c>
      <c r="C30">
        <f ca="1">IFERROR(__xludf.DUMMYFUNCTION("""COMPUTED_VALUE"""),24.6)</f>
        <v>24.6</v>
      </c>
      <c r="D30" t="e">
        <v>#N/A</v>
      </c>
      <c r="E30">
        <v>26.19</v>
      </c>
      <c r="F30">
        <v>24.48</v>
      </c>
      <c r="G30">
        <v>8.2799999999999994</v>
      </c>
      <c r="H30">
        <v>141.86000000000001</v>
      </c>
      <c r="I30">
        <v>26.16</v>
      </c>
      <c r="J30">
        <v>51.49</v>
      </c>
      <c r="K30">
        <v>106.89</v>
      </c>
      <c r="L30">
        <v>28.82</v>
      </c>
      <c r="M30" s="125">
        <f ca="1">IFERROR(__xludf.DUMMYFUNCTION("""COMPUTED_VALUE"""),43277.6666666666)</f>
        <v>43277.666666666599</v>
      </c>
      <c r="N30">
        <f ca="1">IFERROR(__xludf.DUMMYFUNCTION("""COMPUTED_VALUE"""),25.99)</f>
        <v>25.99</v>
      </c>
      <c r="O30" s="125">
        <f ca="1">IFERROR(__xludf.DUMMYFUNCTION("""COMPUTED_VALUE"""),42747.6666666666)</f>
        <v>42747.666666666599</v>
      </c>
      <c r="P30">
        <f ca="1">IFERROR(__xludf.DUMMYFUNCTION("""COMPUTED_VALUE"""),24.6)</f>
        <v>24.6</v>
      </c>
    </row>
    <row r="31" spans="2:16" ht="15.75" customHeight="1">
      <c r="B31" s="125">
        <f ca="1">IFERROR(__xludf.DUMMYFUNCTION("""COMPUTED_VALUE"""),42748.6666666666)</f>
        <v>42748.666666666599</v>
      </c>
      <c r="C31">
        <f ca="1">IFERROR(__xludf.DUMMYFUNCTION("""COMPUTED_VALUE"""),24.81)</f>
        <v>24.81</v>
      </c>
      <c r="D31">
        <v>15.31</v>
      </c>
      <c r="E31">
        <v>26.16</v>
      </c>
      <c r="F31">
        <v>24.61</v>
      </c>
      <c r="G31">
        <v>8.26</v>
      </c>
      <c r="H31">
        <v>142.44</v>
      </c>
      <c r="I31">
        <v>26.24</v>
      </c>
      <c r="J31">
        <v>51.52</v>
      </c>
      <c r="K31">
        <v>106.83</v>
      </c>
      <c r="L31">
        <v>29.07</v>
      </c>
      <c r="M31" s="125">
        <f ca="1">IFERROR(__xludf.DUMMYFUNCTION("""COMPUTED_VALUE"""),43278.6666666666)</f>
        <v>43278.666666666599</v>
      </c>
      <c r="N31">
        <f ca="1">IFERROR(__xludf.DUMMYFUNCTION("""COMPUTED_VALUE"""),25.85)</f>
        <v>25.85</v>
      </c>
      <c r="O31" s="125">
        <f ca="1">IFERROR(__xludf.DUMMYFUNCTION("""COMPUTED_VALUE"""),42748.6666666666)</f>
        <v>42748.666666666599</v>
      </c>
      <c r="P31">
        <f ca="1">IFERROR(__xludf.DUMMYFUNCTION("""COMPUTED_VALUE"""),24.81)</f>
        <v>24.81</v>
      </c>
    </row>
    <row r="32" spans="2:16" ht="15.75" customHeight="1">
      <c r="B32" s="125">
        <f ca="1">IFERROR(__xludf.DUMMYFUNCTION("""COMPUTED_VALUE"""),42752.6666666666)</f>
        <v>42752.666666666599</v>
      </c>
      <c r="C32">
        <f ca="1">IFERROR(__xludf.DUMMYFUNCTION("""COMPUTED_VALUE"""),24.83)</f>
        <v>24.83</v>
      </c>
      <c r="D32">
        <v>15.11</v>
      </c>
      <c r="E32">
        <v>25.92</v>
      </c>
      <c r="F32">
        <v>24.54</v>
      </c>
      <c r="G32">
        <v>8.35</v>
      </c>
      <c r="H32">
        <v>140.72</v>
      </c>
      <c r="I32">
        <v>26.13</v>
      </c>
      <c r="J32">
        <v>52.25</v>
      </c>
      <c r="K32">
        <v>107.89</v>
      </c>
      <c r="L32">
        <v>28.5</v>
      </c>
      <c r="M32" s="125">
        <f ca="1">IFERROR(__xludf.DUMMYFUNCTION("""COMPUTED_VALUE"""),43279.6666666666)</f>
        <v>43279.666666666599</v>
      </c>
      <c r="N32">
        <f ca="1">IFERROR(__xludf.DUMMYFUNCTION("""COMPUTED_VALUE"""),26.08)</f>
        <v>26.08</v>
      </c>
      <c r="O32" s="125">
        <f ca="1">IFERROR(__xludf.DUMMYFUNCTION("""COMPUTED_VALUE"""),42752.6666666666)</f>
        <v>42752.666666666599</v>
      </c>
      <c r="P32">
        <f ca="1">IFERROR(__xludf.DUMMYFUNCTION("""COMPUTED_VALUE"""),24.83)</f>
        <v>24.83</v>
      </c>
    </row>
    <row r="33" spans="2:16" ht="15.75" customHeight="1">
      <c r="B33" s="125">
        <f ca="1">IFERROR(__xludf.DUMMYFUNCTION("""COMPUTED_VALUE"""),42753.6666666666)</f>
        <v>42753.666666666599</v>
      </c>
      <c r="C33">
        <f ca="1">IFERROR(__xludf.DUMMYFUNCTION("""COMPUTED_VALUE"""),24.7)</f>
        <v>24.7</v>
      </c>
      <c r="D33" t="e">
        <v>#N/A</v>
      </c>
      <c r="E33">
        <v>26.16</v>
      </c>
      <c r="F33">
        <v>24.58</v>
      </c>
      <c r="G33">
        <v>8.3000000000000007</v>
      </c>
      <c r="H33">
        <v>141.38</v>
      </c>
      <c r="I33">
        <v>26.28</v>
      </c>
      <c r="J33">
        <v>52.43</v>
      </c>
      <c r="K33">
        <v>107.78</v>
      </c>
      <c r="L33">
        <v>28.66</v>
      </c>
      <c r="M33" s="125">
        <f ca="1">IFERROR(__xludf.DUMMYFUNCTION("""COMPUTED_VALUE"""),43283.6666666666)</f>
        <v>43283.666666666599</v>
      </c>
      <c r="N33">
        <f ca="1">IFERROR(__xludf.DUMMYFUNCTION("""COMPUTED_VALUE"""),25.99)</f>
        <v>25.99</v>
      </c>
      <c r="O33" s="125">
        <f ca="1">IFERROR(__xludf.DUMMYFUNCTION("""COMPUTED_VALUE"""),42753.6666666666)</f>
        <v>42753.666666666599</v>
      </c>
      <c r="P33">
        <f ca="1">IFERROR(__xludf.DUMMYFUNCTION("""COMPUTED_VALUE"""),24.7)</f>
        <v>24.7</v>
      </c>
    </row>
    <row r="34" spans="2:16" ht="15.75" customHeight="1">
      <c r="B34" s="125">
        <f ca="1">IFERROR(__xludf.DUMMYFUNCTION("""COMPUTED_VALUE"""),42754.6666666666)</f>
        <v>42754.666666666599</v>
      </c>
      <c r="C34">
        <f ca="1">IFERROR(__xludf.DUMMYFUNCTION("""COMPUTED_VALUE"""),24.77)</f>
        <v>24.77</v>
      </c>
      <c r="D34">
        <v>15.26</v>
      </c>
      <c r="E34">
        <v>26.12</v>
      </c>
      <c r="F34">
        <v>24.6</v>
      </c>
      <c r="G34">
        <v>8.26</v>
      </c>
      <c r="H34">
        <v>142.56</v>
      </c>
      <c r="I34">
        <v>26.17</v>
      </c>
      <c r="J34">
        <v>52.24</v>
      </c>
      <c r="K34">
        <v>106.79</v>
      </c>
      <c r="L34">
        <v>29.13</v>
      </c>
      <c r="M34" s="125">
        <f ca="1">IFERROR(__xludf.DUMMYFUNCTION("""COMPUTED_VALUE"""),43284.5416666666)</f>
        <v>43284.541666666599</v>
      </c>
      <c r="N34">
        <f ca="1">IFERROR(__xludf.DUMMYFUNCTION("""COMPUTED_VALUE"""),26.37)</f>
        <v>26.37</v>
      </c>
      <c r="O34" s="125">
        <f ca="1">IFERROR(__xludf.DUMMYFUNCTION("""COMPUTED_VALUE"""),42754.6666666666)</f>
        <v>42754.666666666599</v>
      </c>
      <c r="P34">
        <f ca="1">IFERROR(__xludf.DUMMYFUNCTION("""COMPUTED_VALUE"""),24.77)</f>
        <v>24.77</v>
      </c>
    </row>
    <row r="35" spans="2:16" ht="15.75" customHeight="1">
      <c r="B35" s="125">
        <f ca="1">IFERROR(__xludf.DUMMYFUNCTION("""COMPUTED_VALUE"""),42755.6666666666)</f>
        <v>42755.666666666599</v>
      </c>
      <c r="C35">
        <f ca="1">IFERROR(__xludf.DUMMYFUNCTION("""COMPUTED_VALUE"""),24.68)</f>
        <v>24.68</v>
      </c>
      <c r="D35">
        <v>15.23</v>
      </c>
      <c r="E35">
        <v>26.03</v>
      </c>
      <c r="F35">
        <v>24.78</v>
      </c>
      <c r="G35">
        <v>8.2899999999999991</v>
      </c>
      <c r="H35">
        <v>141.99</v>
      </c>
      <c r="I35">
        <v>26.29</v>
      </c>
      <c r="J35">
        <v>52.58</v>
      </c>
      <c r="K35">
        <v>107.01</v>
      </c>
      <c r="L35">
        <v>29.19</v>
      </c>
      <c r="M35" s="125">
        <f ca="1">IFERROR(__xludf.DUMMYFUNCTION("""COMPUTED_VALUE"""),43286.6666666666)</f>
        <v>43286.666666666599</v>
      </c>
      <c r="N35">
        <f ca="1">IFERROR(__xludf.DUMMYFUNCTION("""COMPUTED_VALUE"""),26.55)</f>
        <v>26.55</v>
      </c>
      <c r="O35" s="125">
        <f ca="1">IFERROR(__xludf.DUMMYFUNCTION("""COMPUTED_VALUE"""),42755.6666666666)</f>
        <v>42755.666666666599</v>
      </c>
      <c r="P35">
        <f ca="1">IFERROR(__xludf.DUMMYFUNCTION("""COMPUTED_VALUE"""),24.68)</f>
        <v>24.68</v>
      </c>
    </row>
    <row r="36" spans="2:16" ht="15.75" customHeight="1">
      <c r="B36" s="125">
        <f ca="1">IFERROR(__xludf.DUMMYFUNCTION("""COMPUTED_VALUE"""),42758.6666666666)</f>
        <v>42758.666666666599</v>
      </c>
      <c r="C36">
        <f ca="1">IFERROR(__xludf.DUMMYFUNCTION("""COMPUTED_VALUE"""),25)</f>
        <v>25</v>
      </c>
      <c r="D36">
        <v>15.24</v>
      </c>
      <c r="E36">
        <v>25.89</v>
      </c>
      <c r="F36">
        <v>24.74</v>
      </c>
      <c r="G36">
        <v>8.2899999999999991</v>
      </c>
      <c r="H36">
        <v>141.25</v>
      </c>
      <c r="I36">
        <v>26.18</v>
      </c>
      <c r="J36">
        <v>52.56</v>
      </c>
      <c r="K36">
        <v>106.48</v>
      </c>
      <c r="L36">
        <v>29.44</v>
      </c>
      <c r="M36" s="125">
        <f ca="1">IFERROR(__xludf.DUMMYFUNCTION("""COMPUTED_VALUE"""),43287.6666666666)</f>
        <v>43287.666666666599</v>
      </c>
      <c r="N36">
        <f ca="1">IFERROR(__xludf.DUMMYFUNCTION("""COMPUTED_VALUE"""),26.87)</f>
        <v>26.87</v>
      </c>
      <c r="O36" s="125">
        <f ca="1">IFERROR(__xludf.DUMMYFUNCTION("""COMPUTED_VALUE"""),42758.6666666666)</f>
        <v>42758.666666666599</v>
      </c>
      <c r="P36">
        <f ca="1">IFERROR(__xludf.DUMMYFUNCTION("""COMPUTED_VALUE"""),25)</f>
        <v>25</v>
      </c>
    </row>
    <row r="37" spans="2:16" ht="15.75" customHeight="1">
      <c r="B37" s="125">
        <f ca="1">IFERROR(__xludf.DUMMYFUNCTION("""COMPUTED_VALUE"""),42759.6666666666)</f>
        <v>42759.666666666599</v>
      </c>
      <c r="C37">
        <f ca="1">IFERROR(__xludf.DUMMYFUNCTION("""COMPUTED_VALUE"""),25.32)</f>
        <v>25.32</v>
      </c>
      <c r="D37">
        <v>15.32</v>
      </c>
      <c r="E37">
        <v>25.9</v>
      </c>
      <c r="F37">
        <v>24.78</v>
      </c>
      <c r="G37">
        <v>8.33</v>
      </c>
      <c r="H37">
        <v>142.52000000000001</v>
      </c>
      <c r="I37">
        <v>26.32</v>
      </c>
      <c r="J37">
        <v>52.91</v>
      </c>
      <c r="K37">
        <v>106.64</v>
      </c>
      <c r="L37">
        <v>29.23</v>
      </c>
      <c r="M37" s="125">
        <f ca="1">IFERROR(__xludf.DUMMYFUNCTION("""COMPUTED_VALUE"""),43290.6666666666)</f>
        <v>43290.666666666599</v>
      </c>
      <c r="N37">
        <f ca="1">IFERROR(__xludf.DUMMYFUNCTION("""COMPUTED_VALUE"""),26.6)</f>
        <v>26.6</v>
      </c>
      <c r="O37" s="125">
        <f ca="1">IFERROR(__xludf.DUMMYFUNCTION("""COMPUTED_VALUE"""),42759.6666666666)</f>
        <v>42759.666666666599</v>
      </c>
      <c r="P37">
        <f ca="1">IFERROR(__xludf.DUMMYFUNCTION("""COMPUTED_VALUE"""),25.32)</f>
        <v>25.32</v>
      </c>
    </row>
    <row r="38" spans="2:16" ht="15.75" customHeight="1">
      <c r="B38" s="125">
        <f ca="1">IFERROR(__xludf.DUMMYFUNCTION("""COMPUTED_VALUE"""),42760.6666666666)</f>
        <v>42760.666666666599</v>
      </c>
      <c r="C38">
        <f ca="1">IFERROR(__xludf.DUMMYFUNCTION("""COMPUTED_VALUE"""),25.5)</f>
        <v>25.5</v>
      </c>
      <c r="D38">
        <v>15.44</v>
      </c>
      <c r="E38">
        <v>25.81</v>
      </c>
      <c r="F38">
        <v>25.06</v>
      </c>
      <c r="G38">
        <v>8.39</v>
      </c>
      <c r="H38">
        <v>142.81</v>
      </c>
      <c r="I38">
        <v>26.75</v>
      </c>
      <c r="J38">
        <v>52.9</v>
      </c>
      <c r="K38">
        <v>106.65</v>
      </c>
      <c r="L38">
        <v>29.56</v>
      </c>
      <c r="M38" s="125">
        <f ca="1">IFERROR(__xludf.DUMMYFUNCTION("""COMPUTED_VALUE"""),43291.6666666666)</f>
        <v>43291.666666666599</v>
      </c>
      <c r="N38">
        <f ca="1">IFERROR(__xludf.DUMMYFUNCTION("""COMPUTED_VALUE"""),26.79)</f>
        <v>26.79</v>
      </c>
      <c r="O38" s="125">
        <f ca="1">IFERROR(__xludf.DUMMYFUNCTION("""COMPUTED_VALUE"""),42760.6666666666)</f>
        <v>42760.666666666599</v>
      </c>
      <c r="P38">
        <f ca="1">IFERROR(__xludf.DUMMYFUNCTION("""COMPUTED_VALUE"""),25.5)</f>
        <v>25.5</v>
      </c>
    </row>
    <row r="39" spans="2:16" ht="15.75" customHeight="1">
      <c r="B39" s="125">
        <f ca="1">IFERROR(__xludf.DUMMYFUNCTION("""COMPUTED_VALUE"""),42761.6666666666)</f>
        <v>42761.666666666599</v>
      </c>
      <c r="C39">
        <f ca="1">IFERROR(__xludf.DUMMYFUNCTION("""COMPUTED_VALUE"""),25.36)</f>
        <v>25.36</v>
      </c>
      <c r="D39">
        <v>15.4</v>
      </c>
      <c r="E39">
        <v>25.98</v>
      </c>
      <c r="F39">
        <v>24.78</v>
      </c>
      <c r="G39">
        <v>8.32</v>
      </c>
      <c r="H39">
        <v>143.01</v>
      </c>
      <c r="I39">
        <v>26.77</v>
      </c>
      <c r="J39">
        <v>52.67</v>
      </c>
      <c r="K39">
        <v>106.71</v>
      </c>
      <c r="L39">
        <v>29.56</v>
      </c>
      <c r="M39" s="125">
        <f ca="1">IFERROR(__xludf.DUMMYFUNCTION("""COMPUTED_VALUE"""),43292.6666666666)</f>
        <v>43292.666666666599</v>
      </c>
      <c r="N39">
        <f ca="1">IFERROR(__xludf.DUMMYFUNCTION("""COMPUTED_VALUE"""),26.76)</f>
        <v>26.76</v>
      </c>
      <c r="O39" s="125">
        <f ca="1">IFERROR(__xludf.DUMMYFUNCTION("""COMPUTED_VALUE"""),42761.6666666666)</f>
        <v>42761.666666666599</v>
      </c>
      <c r="P39">
        <f ca="1">IFERROR(__xludf.DUMMYFUNCTION("""COMPUTED_VALUE"""),25.36)</f>
        <v>25.36</v>
      </c>
    </row>
    <row r="40" spans="2:16" ht="15.75" customHeight="1">
      <c r="B40" s="125">
        <f ca="1">IFERROR(__xludf.DUMMYFUNCTION("""COMPUTED_VALUE"""),42762.6666666666)</f>
        <v>42762.666666666599</v>
      </c>
      <c r="C40">
        <f ca="1">IFERROR(__xludf.DUMMYFUNCTION("""COMPUTED_VALUE"""),25.28)</f>
        <v>25.28</v>
      </c>
      <c r="D40">
        <v>15.43</v>
      </c>
      <c r="E40">
        <v>25.99</v>
      </c>
      <c r="F40">
        <v>24.86</v>
      </c>
      <c r="G40">
        <v>8.32</v>
      </c>
      <c r="H40">
        <v>143.36000000000001</v>
      </c>
      <c r="I40">
        <v>26.73</v>
      </c>
      <c r="J40">
        <v>52.38</v>
      </c>
      <c r="K40">
        <v>106.58</v>
      </c>
      <c r="L40">
        <v>30.01</v>
      </c>
      <c r="M40" s="125">
        <f ca="1">IFERROR(__xludf.DUMMYFUNCTION("""COMPUTED_VALUE"""),43293.6666666666)</f>
        <v>43293.666666666599</v>
      </c>
      <c r="N40">
        <f ca="1">IFERROR(__xludf.DUMMYFUNCTION("""COMPUTED_VALUE"""),26.85)</f>
        <v>26.85</v>
      </c>
      <c r="O40" s="125">
        <f ca="1">IFERROR(__xludf.DUMMYFUNCTION("""COMPUTED_VALUE"""),42762.6666666666)</f>
        <v>42762.666666666599</v>
      </c>
      <c r="P40">
        <f ca="1">IFERROR(__xludf.DUMMYFUNCTION("""COMPUTED_VALUE"""),25.28)</f>
        <v>25.28</v>
      </c>
    </row>
    <row r="41" spans="2:16" ht="15.75" customHeight="1">
      <c r="B41" s="125">
        <f ca="1">IFERROR(__xludf.DUMMYFUNCTION("""COMPUTED_VALUE"""),42765.6666666666)</f>
        <v>42765.666666666599</v>
      </c>
      <c r="C41">
        <f ca="1">IFERROR(__xludf.DUMMYFUNCTION("""COMPUTED_VALUE"""),25.2)</f>
        <v>25.2</v>
      </c>
      <c r="D41">
        <v>15.29</v>
      </c>
      <c r="E41">
        <v>25.94</v>
      </c>
      <c r="F41">
        <v>24.65</v>
      </c>
      <c r="G41">
        <v>8.23</v>
      </c>
      <c r="H41">
        <v>142.26</v>
      </c>
      <c r="I41">
        <v>26.5</v>
      </c>
      <c r="J41">
        <v>52.34</v>
      </c>
      <c r="K41">
        <v>106.58</v>
      </c>
      <c r="L41">
        <v>29.82</v>
      </c>
      <c r="M41" s="125">
        <f ca="1">IFERROR(__xludf.DUMMYFUNCTION("""COMPUTED_VALUE"""),43294.6666666666)</f>
        <v>43294.666666666599</v>
      </c>
      <c r="N41">
        <f ca="1">IFERROR(__xludf.DUMMYFUNCTION("""COMPUTED_VALUE"""),26.81)</f>
        <v>26.81</v>
      </c>
      <c r="O41" s="125">
        <f ca="1">IFERROR(__xludf.DUMMYFUNCTION("""COMPUTED_VALUE"""),42765.6666666666)</f>
        <v>42765.666666666599</v>
      </c>
      <c r="P41">
        <f ca="1">IFERROR(__xludf.DUMMYFUNCTION("""COMPUTED_VALUE"""),25.2)</f>
        <v>25.2</v>
      </c>
    </row>
    <row r="42" spans="2:16" ht="15.75" customHeight="1">
      <c r="B42" s="125">
        <f ca="1">IFERROR(__xludf.DUMMYFUNCTION("""COMPUTED_VALUE"""),42766.6666666666)</f>
        <v>42766.666666666599</v>
      </c>
      <c r="C42">
        <f ca="1">IFERROR(__xludf.DUMMYFUNCTION("""COMPUTED_VALUE"""),25.36)</f>
        <v>25.36</v>
      </c>
      <c r="D42">
        <v>15.28</v>
      </c>
      <c r="E42">
        <v>25.73</v>
      </c>
      <c r="F42">
        <v>24.74</v>
      </c>
      <c r="G42">
        <v>8.25</v>
      </c>
      <c r="H42">
        <v>142.38999999999999</v>
      </c>
      <c r="I42">
        <v>26.24</v>
      </c>
      <c r="J42">
        <v>52.59</v>
      </c>
      <c r="K42">
        <v>108.26</v>
      </c>
      <c r="L42">
        <v>29.5</v>
      </c>
      <c r="M42" s="125">
        <f ca="1">IFERROR(__xludf.DUMMYFUNCTION("""COMPUTED_VALUE"""),43297.6666666666)</f>
        <v>43297.666666666599</v>
      </c>
      <c r="N42">
        <f ca="1">IFERROR(__xludf.DUMMYFUNCTION("""COMPUTED_VALUE"""),26.61)</f>
        <v>26.61</v>
      </c>
      <c r="O42" s="125">
        <f ca="1">IFERROR(__xludf.DUMMYFUNCTION("""COMPUTED_VALUE"""),42766.6666666666)</f>
        <v>42766.666666666599</v>
      </c>
      <c r="P42">
        <f ca="1">IFERROR(__xludf.DUMMYFUNCTION("""COMPUTED_VALUE"""),25.36)</f>
        <v>25.36</v>
      </c>
    </row>
    <row r="43" spans="2:16" ht="15.75" customHeight="1">
      <c r="B43" s="125">
        <f ca="1">IFERROR(__xludf.DUMMYFUNCTION("""COMPUTED_VALUE"""),42767.6666666666)</f>
        <v>42767.666666666599</v>
      </c>
      <c r="C43">
        <f ca="1">IFERROR(__xludf.DUMMYFUNCTION("""COMPUTED_VALUE"""),25.52)</f>
        <v>25.52</v>
      </c>
      <c r="D43">
        <v>15.3</v>
      </c>
      <c r="E43">
        <v>25.75</v>
      </c>
      <c r="F43">
        <v>24.77</v>
      </c>
      <c r="G43">
        <v>8.36</v>
      </c>
      <c r="H43">
        <v>142.38999999999999</v>
      </c>
      <c r="I43">
        <v>26.39</v>
      </c>
      <c r="J43">
        <v>52.18</v>
      </c>
      <c r="K43">
        <v>106.44</v>
      </c>
      <c r="L43">
        <v>29.17</v>
      </c>
      <c r="M43" s="125">
        <f ca="1">IFERROR(__xludf.DUMMYFUNCTION("""COMPUTED_VALUE"""),43298.6666666666)</f>
        <v>43298.666666666599</v>
      </c>
      <c r="N43">
        <f ca="1">IFERROR(__xludf.DUMMYFUNCTION("""COMPUTED_VALUE"""),26.64)</f>
        <v>26.64</v>
      </c>
      <c r="O43" s="125">
        <f ca="1">IFERROR(__xludf.DUMMYFUNCTION("""COMPUTED_VALUE"""),42767.6666666666)</f>
        <v>42767.666666666599</v>
      </c>
      <c r="P43">
        <f ca="1">IFERROR(__xludf.DUMMYFUNCTION("""COMPUTED_VALUE"""),25.52)</f>
        <v>25.52</v>
      </c>
    </row>
    <row r="44" spans="2:16" ht="15.75" customHeight="1">
      <c r="B44" s="125">
        <f ca="1">IFERROR(__xludf.DUMMYFUNCTION("""COMPUTED_VALUE"""),42768.6666666666)</f>
        <v>42768.666666666599</v>
      </c>
      <c r="C44">
        <f ca="1">IFERROR(__xludf.DUMMYFUNCTION("""COMPUTED_VALUE"""),25.63)</f>
        <v>25.63</v>
      </c>
      <c r="D44">
        <v>15.48</v>
      </c>
      <c r="E44">
        <v>25.79</v>
      </c>
      <c r="F44">
        <v>24.92</v>
      </c>
      <c r="G44">
        <v>8.35</v>
      </c>
      <c r="H44">
        <v>142.43</v>
      </c>
      <c r="I44">
        <v>26.39</v>
      </c>
      <c r="J44">
        <v>52.66</v>
      </c>
      <c r="K44">
        <v>107.37</v>
      </c>
      <c r="L44">
        <v>28.86</v>
      </c>
      <c r="M44" s="125">
        <f ca="1">IFERROR(__xludf.DUMMYFUNCTION("""COMPUTED_VALUE"""),43299.6666666666)</f>
        <v>43299.666666666599</v>
      </c>
      <c r="N44">
        <f ca="1">IFERROR(__xludf.DUMMYFUNCTION("""COMPUTED_VALUE"""),26.37)</f>
        <v>26.37</v>
      </c>
      <c r="O44" s="125">
        <f ca="1">IFERROR(__xludf.DUMMYFUNCTION("""COMPUTED_VALUE"""),42768.6666666666)</f>
        <v>42768.666666666599</v>
      </c>
      <c r="P44">
        <f ca="1">IFERROR(__xludf.DUMMYFUNCTION("""COMPUTED_VALUE"""),25.63)</f>
        <v>25.63</v>
      </c>
    </row>
    <row r="45" spans="2:16" ht="12.75">
      <c r="B45" s="125">
        <f ca="1">IFERROR(__xludf.DUMMYFUNCTION("""COMPUTED_VALUE"""),42769.6666666666)</f>
        <v>42769.666666666599</v>
      </c>
      <c r="C45">
        <f ca="1">IFERROR(__xludf.DUMMYFUNCTION("""COMPUTED_VALUE"""),25.66)</f>
        <v>25.66</v>
      </c>
      <c r="D45" t="e">
        <v>#N/A</v>
      </c>
      <c r="E45">
        <v>25.78</v>
      </c>
      <c r="F45">
        <v>25.13</v>
      </c>
      <c r="G45">
        <v>8.43</v>
      </c>
      <c r="H45">
        <v>144.44</v>
      </c>
      <c r="I45">
        <v>26.39</v>
      </c>
      <c r="J45">
        <v>53</v>
      </c>
      <c r="K45">
        <v>107.69</v>
      </c>
      <c r="L45">
        <v>28.75</v>
      </c>
      <c r="M45" s="125">
        <f ca="1">IFERROR(__xludf.DUMMYFUNCTION("""COMPUTED_VALUE"""),43300.6666666666)</f>
        <v>43300.666666666599</v>
      </c>
      <c r="N45">
        <f ca="1">IFERROR(__xludf.DUMMYFUNCTION("""COMPUTED_VALUE"""),26.64)</f>
        <v>26.64</v>
      </c>
      <c r="O45" s="125">
        <f ca="1">IFERROR(__xludf.DUMMYFUNCTION("""COMPUTED_VALUE"""),42769.6666666666)</f>
        <v>42769.666666666599</v>
      </c>
      <c r="P45">
        <f ca="1">IFERROR(__xludf.DUMMYFUNCTION("""COMPUTED_VALUE"""),25.66)</f>
        <v>25.66</v>
      </c>
    </row>
    <row r="46" spans="2:16" ht="12.75">
      <c r="B46" s="125">
        <f ca="1">IFERROR(__xludf.DUMMYFUNCTION("""COMPUTED_VALUE"""),42772.6666666666)</f>
        <v>42772.666666666599</v>
      </c>
      <c r="C46">
        <f ca="1">IFERROR(__xludf.DUMMYFUNCTION("""COMPUTED_VALUE"""),25.77)</f>
        <v>25.77</v>
      </c>
      <c r="D46">
        <v>15.53</v>
      </c>
      <c r="E46">
        <v>25.8</v>
      </c>
      <c r="F46">
        <v>24.88</v>
      </c>
      <c r="G46">
        <v>8.33</v>
      </c>
      <c r="H46">
        <v>144.97</v>
      </c>
      <c r="I46">
        <v>26.05</v>
      </c>
      <c r="J46">
        <v>52.71</v>
      </c>
      <c r="K46">
        <v>107.45</v>
      </c>
      <c r="L46">
        <v>29.09</v>
      </c>
      <c r="M46" s="125">
        <f ca="1">IFERROR(__xludf.DUMMYFUNCTION("""COMPUTED_VALUE"""),43301.6666666666)</f>
        <v>43301.666666666599</v>
      </c>
      <c r="N46">
        <f ca="1">IFERROR(__xludf.DUMMYFUNCTION("""COMPUTED_VALUE"""),26.39)</f>
        <v>26.39</v>
      </c>
      <c r="O46" s="125">
        <f ca="1">IFERROR(__xludf.DUMMYFUNCTION("""COMPUTED_VALUE"""),42772.6666666666)</f>
        <v>42772.666666666599</v>
      </c>
      <c r="P46">
        <f ca="1">IFERROR(__xludf.DUMMYFUNCTION("""COMPUTED_VALUE"""),25.77)</f>
        <v>25.77</v>
      </c>
    </row>
    <row r="47" spans="2:16" ht="12.75">
      <c r="B47" s="125">
        <f ca="1">IFERROR(__xludf.DUMMYFUNCTION("""COMPUTED_VALUE"""),42773.6666666666)</f>
        <v>42773.666666666599</v>
      </c>
      <c r="C47">
        <f ca="1">IFERROR(__xludf.DUMMYFUNCTION("""COMPUTED_VALUE"""),25.72)</f>
        <v>25.72</v>
      </c>
      <c r="D47" t="e">
        <v>#N/A</v>
      </c>
      <c r="E47">
        <v>25.93</v>
      </c>
      <c r="F47">
        <v>24.96</v>
      </c>
      <c r="G47">
        <v>8.3000000000000007</v>
      </c>
      <c r="H47">
        <v>145.51</v>
      </c>
      <c r="I47">
        <v>26.18</v>
      </c>
      <c r="J47">
        <v>53.14</v>
      </c>
      <c r="K47">
        <v>107.6</v>
      </c>
      <c r="L47">
        <v>29.02</v>
      </c>
      <c r="M47" s="125">
        <f ca="1">IFERROR(__xludf.DUMMYFUNCTION("""COMPUTED_VALUE"""),43304.6666666666)</f>
        <v>43304.666666666599</v>
      </c>
      <c r="N47">
        <f ca="1">IFERROR(__xludf.DUMMYFUNCTION("""COMPUTED_VALUE"""),26.09)</f>
        <v>26.09</v>
      </c>
      <c r="O47" s="125">
        <f ca="1">IFERROR(__xludf.DUMMYFUNCTION("""COMPUTED_VALUE"""),42773.6666666666)</f>
        <v>42773.666666666599</v>
      </c>
      <c r="P47">
        <f ca="1">IFERROR(__xludf.DUMMYFUNCTION("""COMPUTED_VALUE"""),25.72)</f>
        <v>25.72</v>
      </c>
    </row>
    <row r="48" spans="2:16" ht="12.75">
      <c r="B48" s="125">
        <f ca="1">IFERROR(__xludf.DUMMYFUNCTION("""COMPUTED_VALUE"""),42774.6666666666)</f>
        <v>42774.666666666599</v>
      </c>
      <c r="C48">
        <f ca="1">IFERROR(__xludf.DUMMYFUNCTION("""COMPUTED_VALUE"""),26.08)</f>
        <v>26.08</v>
      </c>
      <c r="D48">
        <v>15.54</v>
      </c>
      <c r="E48">
        <v>25.9</v>
      </c>
      <c r="F48">
        <v>24.95</v>
      </c>
      <c r="G48">
        <v>8.36</v>
      </c>
      <c r="H48">
        <v>144.87</v>
      </c>
      <c r="I48">
        <v>26.18</v>
      </c>
      <c r="J48">
        <v>53.36</v>
      </c>
      <c r="K48">
        <v>108.51</v>
      </c>
      <c r="L48">
        <v>28.91</v>
      </c>
      <c r="M48" s="125">
        <f ca="1">IFERROR(__xludf.DUMMYFUNCTION("""COMPUTED_VALUE"""),43305.6666666666)</f>
        <v>43305.666666666599</v>
      </c>
      <c r="N48">
        <f ca="1">IFERROR(__xludf.DUMMYFUNCTION("""COMPUTED_VALUE"""),25.95)</f>
        <v>25.95</v>
      </c>
      <c r="O48" s="125">
        <f ca="1">IFERROR(__xludf.DUMMYFUNCTION("""COMPUTED_VALUE"""),42774.6666666666)</f>
        <v>42774.666666666599</v>
      </c>
      <c r="P48">
        <f ca="1">IFERROR(__xludf.DUMMYFUNCTION("""COMPUTED_VALUE"""),26.08)</f>
        <v>26.08</v>
      </c>
    </row>
    <row r="49" spans="2:16" ht="12.75">
      <c r="B49" s="125">
        <f ca="1">IFERROR(__xludf.DUMMYFUNCTION("""COMPUTED_VALUE"""),42775.6666666666)</f>
        <v>42775.666666666599</v>
      </c>
      <c r="C49">
        <f ca="1">IFERROR(__xludf.DUMMYFUNCTION("""COMPUTED_VALUE"""),26.21)</f>
        <v>26.21</v>
      </c>
      <c r="D49">
        <v>15.59</v>
      </c>
      <c r="E49">
        <v>26</v>
      </c>
      <c r="F49">
        <v>25.11</v>
      </c>
      <c r="G49">
        <v>8.4</v>
      </c>
      <c r="H49">
        <v>145.77000000000001</v>
      </c>
      <c r="I49">
        <v>26.35</v>
      </c>
      <c r="J49">
        <v>53.58</v>
      </c>
      <c r="K49">
        <v>107.77</v>
      </c>
      <c r="L49">
        <v>28.81</v>
      </c>
      <c r="M49" s="125">
        <f ca="1">IFERROR(__xludf.DUMMYFUNCTION("""COMPUTED_VALUE"""),43306.6666666666)</f>
        <v>43306.666666666599</v>
      </c>
      <c r="N49">
        <f ca="1">IFERROR(__xludf.DUMMYFUNCTION("""COMPUTED_VALUE"""),26.2)</f>
        <v>26.2</v>
      </c>
      <c r="O49" s="125">
        <f ca="1">IFERROR(__xludf.DUMMYFUNCTION("""COMPUTED_VALUE"""),42775.6666666666)</f>
        <v>42775.666666666599</v>
      </c>
      <c r="P49">
        <f ca="1">IFERROR(__xludf.DUMMYFUNCTION("""COMPUTED_VALUE"""),26.21)</f>
        <v>26.21</v>
      </c>
    </row>
    <row r="50" spans="2:16" ht="12.75">
      <c r="B50" s="125">
        <f ca="1">IFERROR(__xludf.DUMMYFUNCTION("""COMPUTED_VALUE"""),42776.6666666666)</f>
        <v>42776.666666666599</v>
      </c>
      <c r="C50">
        <f ca="1">IFERROR(__xludf.DUMMYFUNCTION("""COMPUTED_VALUE"""),26.28)</f>
        <v>26.28</v>
      </c>
      <c r="D50">
        <v>15.7</v>
      </c>
      <c r="E50">
        <v>26.03</v>
      </c>
      <c r="F50">
        <v>25.02</v>
      </c>
      <c r="G50">
        <v>8.51</v>
      </c>
      <c r="H50">
        <v>147.63</v>
      </c>
      <c r="I50">
        <v>26.43</v>
      </c>
      <c r="J50">
        <v>53.62</v>
      </c>
      <c r="K50">
        <v>108.49</v>
      </c>
      <c r="L50">
        <v>29</v>
      </c>
      <c r="M50" s="125">
        <f ca="1">IFERROR(__xludf.DUMMYFUNCTION("""COMPUTED_VALUE"""),43307.6666666666)</f>
        <v>43307.666666666599</v>
      </c>
      <c r="N50">
        <f ca="1">IFERROR(__xludf.DUMMYFUNCTION("""COMPUTED_VALUE"""),26.33)</f>
        <v>26.33</v>
      </c>
      <c r="O50" s="125">
        <f ca="1">IFERROR(__xludf.DUMMYFUNCTION("""COMPUTED_VALUE"""),42776.6666666666)</f>
        <v>42776.666666666599</v>
      </c>
      <c r="P50">
        <f ca="1">IFERROR(__xludf.DUMMYFUNCTION("""COMPUTED_VALUE"""),26.28)</f>
        <v>26.28</v>
      </c>
    </row>
    <row r="51" spans="2:16" ht="12.75">
      <c r="B51" s="125">
        <f ca="1">IFERROR(__xludf.DUMMYFUNCTION("""COMPUTED_VALUE"""),42779.6666666666)</f>
        <v>42779.666666666599</v>
      </c>
      <c r="C51">
        <f ca="1">IFERROR(__xludf.DUMMYFUNCTION("""COMPUTED_VALUE"""),26.35)</f>
        <v>26.35</v>
      </c>
      <c r="D51">
        <v>15.85</v>
      </c>
      <c r="E51">
        <v>26.09</v>
      </c>
      <c r="F51">
        <v>25.1</v>
      </c>
      <c r="G51">
        <v>8.59</v>
      </c>
      <c r="H51">
        <v>148.6</v>
      </c>
      <c r="I51">
        <v>26.67</v>
      </c>
      <c r="J51">
        <v>53.62</v>
      </c>
      <c r="K51">
        <v>108.93</v>
      </c>
      <c r="L51">
        <v>29.12</v>
      </c>
      <c r="M51" s="125">
        <f ca="1">IFERROR(__xludf.DUMMYFUNCTION("""COMPUTED_VALUE"""),43308.6666666666)</f>
        <v>43308.666666666599</v>
      </c>
      <c r="N51">
        <f ca="1">IFERROR(__xludf.DUMMYFUNCTION("""COMPUTED_VALUE"""),26.3)</f>
        <v>26.3</v>
      </c>
      <c r="O51" s="125">
        <f ca="1">IFERROR(__xludf.DUMMYFUNCTION("""COMPUTED_VALUE"""),42779.6666666666)</f>
        <v>42779.666666666599</v>
      </c>
      <c r="P51">
        <f ca="1">IFERROR(__xludf.DUMMYFUNCTION("""COMPUTED_VALUE"""),26.35)</f>
        <v>26.35</v>
      </c>
    </row>
    <row r="52" spans="2:16" ht="12.75">
      <c r="B52" s="125">
        <f ca="1">IFERROR(__xludf.DUMMYFUNCTION("""COMPUTED_VALUE"""),42780.6666666666)</f>
        <v>42780.666666666599</v>
      </c>
      <c r="C52">
        <f ca="1">IFERROR(__xludf.DUMMYFUNCTION("""COMPUTED_VALUE"""),26.21)</f>
        <v>26.21</v>
      </c>
      <c r="D52">
        <v>15.83</v>
      </c>
      <c r="E52">
        <v>26.15</v>
      </c>
      <c r="F52">
        <v>25.14</v>
      </c>
      <c r="G52">
        <v>8.65</v>
      </c>
      <c r="H52">
        <v>148.47999999999999</v>
      </c>
      <c r="I52">
        <v>26.73</v>
      </c>
      <c r="J52">
        <v>53.63</v>
      </c>
      <c r="K52">
        <v>108.17</v>
      </c>
      <c r="L52">
        <v>29.27</v>
      </c>
      <c r="M52" s="125">
        <f ca="1">IFERROR(__xludf.DUMMYFUNCTION("""COMPUTED_VALUE"""),43312.6666666666)</f>
        <v>43312.666666666599</v>
      </c>
      <c r="N52">
        <f ca="1">IFERROR(__xludf.DUMMYFUNCTION("""COMPUTED_VALUE"""),26.3)</f>
        <v>26.3</v>
      </c>
      <c r="O52" s="125">
        <f ca="1">IFERROR(__xludf.DUMMYFUNCTION("""COMPUTED_VALUE"""),42780.6666666666)</f>
        <v>42780.666666666599</v>
      </c>
      <c r="P52">
        <f ca="1">IFERROR(__xludf.DUMMYFUNCTION("""COMPUTED_VALUE"""),26.21)</f>
        <v>26.21</v>
      </c>
    </row>
    <row r="53" spans="2:16" ht="12.75">
      <c r="B53" s="125">
        <f ca="1">IFERROR(__xludf.DUMMYFUNCTION("""COMPUTED_VALUE"""),42781.6666666666)</f>
        <v>42781.666666666599</v>
      </c>
      <c r="C53">
        <f ca="1">IFERROR(__xludf.DUMMYFUNCTION("""COMPUTED_VALUE"""),26.61)</f>
        <v>26.61</v>
      </c>
      <c r="D53">
        <v>15.79</v>
      </c>
      <c r="E53">
        <v>26.1</v>
      </c>
      <c r="F53">
        <v>25.3</v>
      </c>
      <c r="G53">
        <v>8.6999999999999993</v>
      </c>
      <c r="H53">
        <v>149.09</v>
      </c>
      <c r="I53">
        <v>26.71</v>
      </c>
      <c r="J53">
        <v>54.12</v>
      </c>
      <c r="K53">
        <v>107.92</v>
      </c>
      <c r="L53">
        <v>29.47</v>
      </c>
      <c r="M53" s="125">
        <f ca="1">IFERROR(__xludf.DUMMYFUNCTION("""COMPUTED_VALUE"""),43313.6666666666)</f>
        <v>43313.666666666599</v>
      </c>
      <c r="N53">
        <f ca="1">IFERROR(__xludf.DUMMYFUNCTION("""COMPUTED_VALUE"""),26.45)</f>
        <v>26.45</v>
      </c>
      <c r="O53" s="125">
        <f ca="1">IFERROR(__xludf.DUMMYFUNCTION("""COMPUTED_VALUE"""),42781.6666666666)</f>
        <v>42781.666666666599</v>
      </c>
      <c r="P53">
        <f ca="1">IFERROR(__xludf.DUMMYFUNCTION("""COMPUTED_VALUE"""),26.61)</f>
        <v>26.61</v>
      </c>
    </row>
    <row r="54" spans="2:16" ht="12.75">
      <c r="B54" s="125">
        <f ca="1">IFERROR(__xludf.DUMMYFUNCTION("""COMPUTED_VALUE"""),42782.6666666666)</f>
        <v>42782.666666666599</v>
      </c>
      <c r="C54">
        <f ca="1">IFERROR(__xludf.DUMMYFUNCTION("""COMPUTED_VALUE"""),26.82)</f>
        <v>26.82</v>
      </c>
      <c r="D54">
        <v>15.76</v>
      </c>
      <c r="E54">
        <v>25.95</v>
      </c>
      <c r="F54">
        <v>25.37</v>
      </c>
      <c r="G54">
        <v>8.7200000000000006</v>
      </c>
      <c r="H54">
        <v>149.66</v>
      </c>
      <c r="I54">
        <v>26.68</v>
      </c>
      <c r="J54">
        <v>54.19</v>
      </c>
      <c r="K54">
        <v>108.96</v>
      </c>
      <c r="L54">
        <v>29.64</v>
      </c>
      <c r="M54" s="125">
        <f ca="1">IFERROR(__xludf.DUMMYFUNCTION("""COMPUTED_VALUE"""),43314.6666666666)</f>
        <v>43314.666666666599</v>
      </c>
      <c r="N54">
        <f ca="1">IFERROR(__xludf.DUMMYFUNCTION("""COMPUTED_VALUE"""),26.4)</f>
        <v>26.4</v>
      </c>
      <c r="O54" s="125">
        <f ca="1">IFERROR(__xludf.DUMMYFUNCTION("""COMPUTED_VALUE"""),42782.6666666666)</f>
        <v>42782.666666666599</v>
      </c>
      <c r="P54">
        <f ca="1">IFERROR(__xludf.DUMMYFUNCTION("""COMPUTED_VALUE"""),26.82)</f>
        <v>26.82</v>
      </c>
    </row>
    <row r="55" spans="2:16" ht="12.75">
      <c r="B55" s="125">
        <f ca="1">IFERROR(__xludf.DUMMYFUNCTION("""COMPUTED_VALUE"""),42783.6666666666)</f>
        <v>42783.666666666599</v>
      </c>
      <c r="C55">
        <f ca="1">IFERROR(__xludf.DUMMYFUNCTION("""COMPUTED_VALUE"""),26.75)</f>
        <v>26.75</v>
      </c>
      <c r="D55">
        <v>15.8</v>
      </c>
      <c r="E55">
        <v>26.08</v>
      </c>
      <c r="F55">
        <v>25.75</v>
      </c>
      <c r="G55">
        <v>8.73</v>
      </c>
      <c r="H55">
        <v>150.35</v>
      </c>
      <c r="I55">
        <v>26.73</v>
      </c>
      <c r="J55">
        <v>54.46</v>
      </c>
      <c r="K55">
        <v>108.98</v>
      </c>
      <c r="L55">
        <v>29.89</v>
      </c>
      <c r="M55" s="125">
        <f ca="1">IFERROR(__xludf.DUMMYFUNCTION("""COMPUTED_VALUE"""),43315.6666666666)</f>
        <v>43315.666666666599</v>
      </c>
      <c r="N55">
        <f ca="1">IFERROR(__xludf.DUMMYFUNCTION("""COMPUTED_VALUE"""),26.57)</f>
        <v>26.57</v>
      </c>
      <c r="O55" s="125">
        <f ca="1">IFERROR(__xludf.DUMMYFUNCTION("""COMPUTED_VALUE"""),42783.6666666666)</f>
        <v>42783.666666666599</v>
      </c>
      <c r="P55">
        <f ca="1">IFERROR(__xludf.DUMMYFUNCTION("""COMPUTED_VALUE"""),26.75)</f>
        <v>26.75</v>
      </c>
    </row>
    <row r="56" spans="2:16" ht="12.75">
      <c r="B56" s="125">
        <f ca="1">IFERROR(__xludf.DUMMYFUNCTION("""COMPUTED_VALUE"""),42787.6666666666)</f>
        <v>42787.666666666599</v>
      </c>
      <c r="C56">
        <f ca="1">IFERROR(__xludf.DUMMYFUNCTION("""COMPUTED_VALUE"""),27.15)</f>
        <v>27.15</v>
      </c>
      <c r="D56">
        <v>15.87</v>
      </c>
      <c r="E56">
        <v>26.2</v>
      </c>
      <c r="F56">
        <v>25.45</v>
      </c>
      <c r="G56">
        <v>8.83</v>
      </c>
      <c r="H56">
        <v>151.21</v>
      </c>
      <c r="I56">
        <v>27.13</v>
      </c>
      <c r="J56">
        <v>54.95</v>
      </c>
      <c r="K56">
        <v>110.12</v>
      </c>
      <c r="L56">
        <v>29.95</v>
      </c>
      <c r="M56" s="125">
        <f ca="1">IFERROR(__xludf.DUMMYFUNCTION("""COMPUTED_VALUE"""),43318.6666666666)</f>
        <v>43318.666666666599</v>
      </c>
      <c r="N56">
        <f ca="1">IFERROR(__xludf.DUMMYFUNCTION("""COMPUTED_VALUE"""),26.59)</f>
        <v>26.59</v>
      </c>
      <c r="O56" s="125">
        <f ca="1">IFERROR(__xludf.DUMMYFUNCTION("""COMPUTED_VALUE"""),42787.6666666666)</f>
        <v>42787.666666666599</v>
      </c>
      <c r="P56">
        <f ca="1">IFERROR(__xludf.DUMMYFUNCTION("""COMPUTED_VALUE"""),27.15)</f>
        <v>27.15</v>
      </c>
    </row>
    <row r="57" spans="2:16" ht="12.75">
      <c r="B57" s="125">
        <f ca="1">IFERROR(__xludf.DUMMYFUNCTION("""COMPUTED_VALUE"""),42788.6666666666)</f>
        <v>42788.666666666599</v>
      </c>
      <c r="C57">
        <f ca="1">IFERROR(__xludf.DUMMYFUNCTION("""COMPUTED_VALUE"""),27.5)</f>
        <v>27.5</v>
      </c>
      <c r="D57">
        <v>15.9</v>
      </c>
      <c r="E57">
        <v>26.14</v>
      </c>
      <c r="F57">
        <v>25.5</v>
      </c>
      <c r="G57">
        <v>8.76</v>
      </c>
      <c r="H57">
        <v>151.16</v>
      </c>
      <c r="I57">
        <v>27.15</v>
      </c>
      <c r="J57">
        <v>54.96</v>
      </c>
      <c r="K57">
        <v>110.53</v>
      </c>
      <c r="L57">
        <v>29.92</v>
      </c>
      <c r="M57" s="125">
        <f ca="1">IFERROR(__xludf.DUMMYFUNCTION("""COMPUTED_VALUE"""),43319.6666666666)</f>
        <v>43319.666666666599</v>
      </c>
      <c r="N57">
        <f ca="1">IFERROR(__xludf.DUMMYFUNCTION("""COMPUTED_VALUE"""),26.55)</f>
        <v>26.55</v>
      </c>
      <c r="O57" s="125">
        <f ca="1">IFERROR(__xludf.DUMMYFUNCTION("""COMPUTED_VALUE"""),42788.6666666666)</f>
        <v>42788.666666666599</v>
      </c>
      <c r="P57">
        <f ca="1">IFERROR(__xludf.DUMMYFUNCTION("""COMPUTED_VALUE"""),27.5)</f>
        <v>27.5</v>
      </c>
    </row>
    <row r="58" spans="2:16" ht="12.75">
      <c r="B58" s="125">
        <f ca="1">IFERROR(__xludf.DUMMYFUNCTION("""COMPUTED_VALUE"""),42789.6666666666)</f>
        <v>42789.666666666599</v>
      </c>
      <c r="C58">
        <f ca="1">IFERROR(__xludf.DUMMYFUNCTION("""COMPUTED_VALUE"""),27.09)</f>
        <v>27.09</v>
      </c>
      <c r="D58">
        <v>15.98</v>
      </c>
      <c r="E58">
        <v>26.08</v>
      </c>
      <c r="F58">
        <v>25.49</v>
      </c>
      <c r="G58">
        <v>8.73</v>
      </c>
      <c r="H58">
        <v>150.24</v>
      </c>
      <c r="I58">
        <v>27.05</v>
      </c>
      <c r="J58">
        <v>55.09</v>
      </c>
      <c r="K58">
        <v>111.67</v>
      </c>
      <c r="L58">
        <v>29.84</v>
      </c>
      <c r="M58" s="125">
        <f ca="1">IFERROR(__xludf.DUMMYFUNCTION("""COMPUTED_VALUE"""),43320.6666666666)</f>
        <v>43320.666666666599</v>
      </c>
      <c r="N58">
        <f ca="1">IFERROR(__xludf.DUMMYFUNCTION("""COMPUTED_VALUE"""),26.45)</f>
        <v>26.45</v>
      </c>
      <c r="O58" s="125">
        <f ca="1">IFERROR(__xludf.DUMMYFUNCTION("""COMPUTED_VALUE"""),42789.6666666666)</f>
        <v>42789.666666666599</v>
      </c>
      <c r="P58">
        <f ca="1">IFERROR(__xludf.DUMMYFUNCTION("""COMPUTED_VALUE"""),27.09)</f>
        <v>27.09</v>
      </c>
    </row>
    <row r="59" spans="2:16" ht="12.75">
      <c r="B59" s="125">
        <f ca="1">IFERROR(__xludf.DUMMYFUNCTION("""COMPUTED_VALUE"""),42790.6666666666)</f>
        <v>42790.666666666599</v>
      </c>
      <c r="C59">
        <f ca="1">IFERROR(__xludf.DUMMYFUNCTION("""COMPUTED_VALUE"""),26.97)</f>
        <v>26.97</v>
      </c>
      <c r="D59">
        <v>15.95</v>
      </c>
      <c r="E59">
        <v>26.13</v>
      </c>
      <c r="F59">
        <v>25.39</v>
      </c>
      <c r="G59">
        <v>8.65</v>
      </c>
      <c r="H59">
        <v>150.52000000000001</v>
      </c>
      <c r="I59">
        <v>26.79</v>
      </c>
      <c r="J59">
        <v>55.28</v>
      </c>
      <c r="K59">
        <v>113.17</v>
      </c>
      <c r="L59">
        <v>29.57</v>
      </c>
      <c r="M59" s="125">
        <f ca="1">IFERROR(__xludf.DUMMYFUNCTION("""COMPUTED_VALUE"""),43321.6666666666)</f>
        <v>43321.666666666599</v>
      </c>
      <c r="N59">
        <f ca="1">IFERROR(__xludf.DUMMYFUNCTION("""COMPUTED_VALUE"""),26.51)</f>
        <v>26.51</v>
      </c>
      <c r="O59" s="125">
        <f ca="1">IFERROR(__xludf.DUMMYFUNCTION("""COMPUTED_VALUE"""),42790.6666666666)</f>
        <v>42790.666666666599</v>
      </c>
      <c r="P59">
        <f ca="1">IFERROR(__xludf.DUMMYFUNCTION("""COMPUTED_VALUE"""),26.97)</f>
        <v>26.97</v>
      </c>
    </row>
    <row r="60" spans="2:16" ht="12.75">
      <c r="B60" s="125">
        <f ca="1">IFERROR(__xludf.DUMMYFUNCTION("""COMPUTED_VALUE"""),42793.6666666666)</f>
        <v>42793.666666666599</v>
      </c>
      <c r="C60">
        <f ca="1">IFERROR(__xludf.DUMMYFUNCTION("""COMPUTED_VALUE"""),26.88)</f>
        <v>26.88</v>
      </c>
      <c r="D60">
        <v>16.03</v>
      </c>
      <c r="E60">
        <v>26.13</v>
      </c>
      <c r="F60">
        <v>25.46</v>
      </c>
      <c r="G60">
        <v>8.66</v>
      </c>
      <c r="H60">
        <v>152.41</v>
      </c>
      <c r="I60">
        <v>26.82</v>
      </c>
      <c r="J60">
        <v>55.03</v>
      </c>
      <c r="K60">
        <v>112.61</v>
      </c>
      <c r="L60">
        <v>29.78</v>
      </c>
      <c r="M60" s="125">
        <f ca="1">IFERROR(__xludf.DUMMYFUNCTION("""COMPUTED_VALUE"""),43322.6666666666)</f>
        <v>43322.666666666599</v>
      </c>
      <c r="N60">
        <f ca="1">IFERROR(__xludf.DUMMYFUNCTION("""COMPUTED_VALUE"""),26.34)</f>
        <v>26.34</v>
      </c>
      <c r="O60" s="125">
        <f ca="1">IFERROR(__xludf.DUMMYFUNCTION("""COMPUTED_VALUE"""),42793.6666666666)</f>
        <v>42793.666666666599</v>
      </c>
      <c r="P60">
        <f ca="1">IFERROR(__xludf.DUMMYFUNCTION("""COMPUTED_VALUE"""),26.88)</f>
        <v>26.88</v>
      </c>
    </row>
    <row r="61" spans="2:16" ht="12.75">
      <c r="B61" s="125">
        <f ca="1">IFERROR(__xludf.DUMMYFUNCTION("""COMPUTED_VALUE"""),42794.6666666666)</f>
        <v>42794.666666666599</v>
      </c>
      <c r="C61">
        <f ca="1">IFERROR(__xludf.DUMMYFUNCTION("""COMPUTED_VALUE"""),26.76)</f>
        <v>26.76</v>
      </c>
      <c r="D61">
        <v>16</v>
      </c>
      <c r="E61">
        <v>26.11</v>
      </c>
      <c r="F61">
        <v>25.45</v>
      </c>
      <c r="G61">
        <v>8.61</v>
      </c>
      <c r="H61">
        <v>151.77000000000001</v>
      </c>
      <c r="I61">
        <v>26.76</v>
      </c>
      <c r="J61">
        <v>55.1</v>
      </c>
      <c r="K61">
        <v>113.62</v>
      </c>
      <c r="L61">
        <v>29.8</v>
      </c>
      <c r="M61" s="125">
        <f ca="1">IFERROR(__xludf.DUMMYFUNCTION("""COMPUTED_VALUE"""),43325.6666666666)</f>
        <v>43325.666666666599</v>
      </c>
      <c r="N61">
        <f ca="1">IFERROR(__xludf.DUMMYFUNCTION("""COMPUTED_VALUE"""),26.33)</f>
        <v>26.33</v>
      </c>
      <c r="O61" s="125">
        <f ca="1">IFERROR(__xludf.DUMMYFUNCTION("""COMPUTED_VALUE"""),42794.6666666666)</f>
        <v>42794.666666666599</v>
      </c>
      <c r="P61">
        <f ca="1">IFERROR(__xludf.DUMMYFUNCTION("""COMPUTED_VALUE"""),26.76)</f>
        <v>26.76</v>
      </c>
    </row>
    <row r="62" spans="2:16" ht="12.75">
      <c r="B62" s="125">
        <f ca="1">IFERROR(__xludf.DUMMYFUNCTION("""COMPUTED_VALUE"""),42795.6666666666)</f>
        <v>42795.666666666599</v>
      </c>
      <c r="C62">
        <f ca="1">IFERROR(__xludf.DUMMYFUNCTION("""COMPUTED_VALUE"""),27.01)</f>
        <v>27.01</v>
      </c>
      <c r="D62">
        <v>16.02</v>
      </c>
      <c r="E62">
        <v>26.29</v>
      </c>
      <c r="F62">
        <v>25.77</v>
      </c>
      <c r="G62">
        <v>8.6999999999999993</v>
      </c>
      <c r="H62">
        <v>153.96</v>
      </c>
      <c r="I62">
        <v>27.29</v>
      </c>
      <c r="J62">
        <v>55.36</v>
      </c>
      <c r="K62">
        <v>112.71</v>
      </c>
      <c r="L62">
        <v>29.79</v>
      </c>
      <c r="M62" s="125">
        <f ca="1">IFERROR(__xludf.DUMMYFUNCTION("""COMPUTED_VALUE"""),43326.6666666666)</f>
        <v>43326.666666666599</v>
      </c>
      <c r="N62">
        <f ca="1">IFERROR(__xludf.DUMMYFUNCTION("""COMPUTED_VALUE"""),26.35)</f>
        <v>26.35</v>
      </c>
      <c r="O62" s="125">
        <f ca="1">IFERROR(__xludf.DUMMYFUNCTION("""COMPUTED_VALUE"""),42795.6666666666)</f>
        <v>42795.666666666599</v>
      </c>
      <c r="P62">
        <f ca="1">IFERROR(__xludf.DUMMYFUNCTION("""COMPUTED_VALUE"""),27.01)</f>
        <v>27.01</v>
      </c>
    </row>
    <row r="63" spans="2:16" ht="12.75">
      <c r="B63" s="125">
        <f ca="1">IFERROR(__xludf.DUMMYFUNCTION("""COMPUTED_VALUE"""),42796.6666666666)</f>
        <v>42796.666666666599</v>
      </c>
      <c r="C63">
        <f ca="1">IFERROR(__xludf.DUMMYFUNCTION("""COMPUTED_VALUE"""),26.66)</f>
        <v>26.66</v>
      </c>
      <c r="D63">
        <v>15.94</v>
      </c>
      <c r="E63">
        <v>26.4</v>
      </c>
      <c r="F63">
        <v>25.63</v>
      </c>
      <c r="G63">
        <v>8.6300000000000008</v>
      </c>
      <c r="H63">
        <v>152.38999999999999</v>
      </c>
      <c r="I63">
        <v>27.22</v>
      </c>
      <c r="J63">
        <v>55.35</v>
      </c>
      <c r="K63">
        <v>113.49</v>
      </c>
      <c r="L63">
        <v>29.93</v>
      </c>
      <c r="M63" s="125">
        <f ca="1">IFERROR(__xludf.DUMMYFUNCTION("""COMPUTED_VALUE"""),43327.6666666666)</f>
        <v>43327.666666666599</v>
      </c>
      <c r="N63">
        <f ca="1">IFERROR(__xludf.DUMMYFUNCTION("""COMPUTED_VALUE"""),26.39)</f>
        <v>26.39</v>
      </c>
      <c r="O63" s="125">
        <f ca="1">IFERROR(__xludf.DUMMYFUNCTION("""COMPUTED_VALUE"""),42796.6666666666)</f>
        <v>42796.666666666599</v>
      </c>
      <c r="P63">
        <f ca="1">IFERROR(__xludf.DUMMYFUNCTION("""COMPUTED_VALUE"""),26.66)</f>
        <v>26.66</v>
      </c>
    </row>
    <row r="64" spans="2:16" ht="12.75">
      <c r="B64" s="125">
        <f ca="1">IFERROR(__xludf.DUMMYFUNCTION("""COMPUTED_VALUE"""),42797.6666666666)</f>
        <v>42797.666666666599</v>
      </c>
      <c r="C64">
        <f ca="1">IFERROR(__xludf.DUMMYFUNCTION("""COMPUTED_VALUE"""),26.75)</f>
        <v>26.75</v>
      </c>
      <c r="D64">
        <v>15.92</v>
      </c>
      <c r="E64">
        <v>26.17</v>
      </c>
      <c r="F64">
        <v>26.02</v>
      </c>
      <c r="G64">
        <v>8.67</v>
      </c>
      <c r="H64">
        <v>151.85</v>
      </c>
      <c r="I64">
        <v>27.17</v>
      </c>
      <c r="J64">
        <v>55.14</v>
      </c>
      <c r="K64">
        <v>113.14</v>
      </c>
      <c r="L64">
        <v>29.97</v>
      </c>
      <c r="M64" s="125">
        <f ca="1">IFERROR(__xludf.DUMMYFUNCTION("""COMPUTED_VALUE"""),43328.6666666666)</f>
        <v>43328.666666666599</v>
      </c>
      <c r="N64">
        <f ca="1">IFERROR(__xludf.DUMMYFUNCTION("""COMPUTED_VALUE"""),26.58)</f>
        <v>26.58</v>
      </c>
      <c r="O64" s="125">
        <f ca="1">IFERROR(__xludf.DUMMYFUNCTION("""COMPUTED_VALUE"""),42797.6666666666)</f>
        <v>42797.666666666599</v>
      </c>
      <c r="P64">
        <f ca="1">IFERROR(__xludf.DUMMYFUNCTION("""COMPUTED_VALUE"""),26.75)</f>
        <v>26.75</v>
      </c>
    </row>
    <row r="65" spans="2:16" ht="12.75">
      <c r="B65" s="125">
        <f ca="1">IFERROR(__xludf.DUMMYFUNCTION("""COMPUTED_VALUE"""),42800.6666666666)</f>
        <v>42800.666666666599</v>
      </c>
      <c r="C65">
        <f ca="1">IFERROR(__xludf.DUMMYFUNCTION("""COMPUTED_VALUE"""),26.77)</f>
        <v>26.77</v>
      </c>
      <c r="D65">
        <v>16.059999999999999</v>
      </c>
      <c r="E65">
        <v>26.26</v>
      </c>
      <c r="F65">
        <v>25.88</v>
      </c>
      <c r="G65">
        <v>8.6</v>
      </c>
      <c r="H65">
        <v>151.44</v>
      </c>
      <c r="I65">
        <v>27.11</v>
      </c>
      <c r="J65">
        <v>54.9</v>
      </c>
      <c r="K65">
        <v>112.86</v>
      </c>
      <c r="L65">
        <v>29.96</v>
      </c>
      <c r="M65" s="125">
        <f ca="1">IFERROR(__xludf.DUMMYFUNCTION("""COMPUTED_VALUE"""),43329.6666666666)</f>
        <v>43329.666666666599</v>
      </c>
      <c r="N65">
        <f ca="1">IFERROR(__xludf.DUMMYFUNCTION("""COMPUTED_VALUE"""),26.77)</f>
        <v>26.77</v>
      </c>
      <c r="O65" s="125">
        <f ca="1">IFERROR(__xludf.DUMMYFUNCTION("""COMPUTED_VALUE"""),42800.6666666666)</f>
        <v>42800.666666666599</v>
      </c>
      <c r="P65">
        <f ca="1">IFERROR(__xludf.DUMMYFUNCTION("""COMPUTED_VALUE"""),26.77)</f>
        <v>26.77</v>
      </c>
    </row>
    <row r="66" spans="2:16" ht="12.75">
      <c r="B66" s="125">
        <f ca="1">IFERROR(__xludf.DUMMYFUNCTION("""COMPUTED_VALUE"""),42801.6666666666)</f>
        <v>42801.666666666599</v>
      </c>
      <c r="C66">
        <f ca="1">IFERROR(__xludf.DUMMYFUNCTION("""COMPUTED_VALUE"""),26.92)</f>
        <v>26.92</v>
      </c>
      <c r="D66">
        <v>16.059999999999999</v>
      </c>
      <c r="E66">
        <v>26.29</v>
      </c>
      <c r="F66">
        <v>25.74</v>
      </c>
      <c r="G66">
        <v>8.6199999999999992</v>
      </c>
      <c r="H66">
        <v>151.25</v>
      </c>
      <c r="I66">
        <v>27.03</v>
      </c>
      <c r="J66">
        <v>54.83</v>
      </c>
      <c r="K66">
        <v>112.78</v>
      </c>
      <c r="L66">
        <v>29.97</v>
      </c>
      <c r="M66" s="125">
        <f ca="1">IFERROR(__xludf.DUMMYFUNCTION("""COMPUTED_VALUE"""),43332.6666666666)</f>
        <v>43332.666666666599</v>
      </c>
      <c r="N66">
        <f ca="1">IFERROR(__xludf.DUMMYFUNCTION("""COMPUTED_VALUE"""),26.82)</f>
        <v>26.82</v>
      </c>
      <c r="O66" s="125">
        <f ca="1">IFERROR(__xludf.DUMMYFUNCTION("""COMPUTED_VALUE"""),42801.6666666666)</f>
        <v>42801.666666666599</v>
      </c>
      <c r="P66">
        <f ca="1">IFERROR(__xludf.DUMMYFUNCTION("""COMPUTED_VALUE"""),26.92)</f>
        <v>26.92</v>
      </c>
    </row>
    <row r="67" spans="2:16" ht="12.75">
      <c r="B67" s="125">
        <f ca="1">IFERROR(__xludf.DUMMYFUNCTION("""COMPUTED_VALUE"""),42802.6666666666)</f>
        <v>42802.666666666599</v>
      </c>
      <c r="C67">
        <f ca="1">IFERROR(__xludf.DUMMYFUNCTION("""COMPUTED_VALUE"""),27.12)</f>
        <v>27.12</v>
      </c>
      <c r="D67">
        <v>16.07</v>
      </c>
      <c r="E67">
        <v>26.38</v>
      </c>
      <c r="F67">
        <v>25.83</v>
      </c>
      <c r="G67">
        <v>8.59</v>
      </c>
      <c r="H67">
        <v>150.79</v>
      </c>
      <c r="I67">
        <v>26.97</v>
      </c>
      <c r="J67">
        <v>54.71</v>
      </c>
      <c r="K67">
        <v>111.12</v>
      </c>
      <c r="L67">
        <v>29.91</v>
      </c>
      <c r="M67" s="125">
        <f ca="1">IFERROR(__xludf.DUMMYFUNCTION("""COMPUTED_VALUE"""),43333.6666666666)</f>
        <v>43333.666666666599</v>
      </c>
      <c r="N67">
        <f ca="1">IFERROR(__xludf.DUMMYFUNCTION("""COMPUTED_VALUE"""),26.72)</f>
        <v>26.72</v>
      </c>
      <c r="O67" s="125">
        <f ca="1">IFERROR(__xludf.DUMMYFUNCTION("""COMPUTED_VALUE"""),42802.6666666666)</f>
        <v>42802.666666666599</v>
      </c>
      <c r="P67">
        <f ca="1">IFERROR(__xludf.DUMMYFUNCTION("""COMPUTED_VALUE"""),27.12)</f>
        <v>27.12</v>
      </c>
    </row>
    <row r="68" spans="2:16" ht="12.75">
      <c r="B68" s="125">
        <f ca="1">IFERROR(__xludf.DUMMYFUNCTION("""COMPUTED_VALUE"""),42803.6666666666)</f>
        <v>42803.666666666599</v>
      </c>
      <c r="C68">
        <f ca="1">IFERROR(__xludf.DUMMYFUNCTION("""COMPUTED_VALUE"""),26.74)</f>
        <v>26.74</v>
      </c>
      <c r="D68">
        <v>15.96</v>
      </c>
      <c r="E68">
        <v>26.33</v>
      </c>
      <c r="F68">
        <v>26.2</v>
      </c>
      <c r="G68">
        <v>8.52</v>
      </c>
      <c r="H68">
        <v>150.41999999999999</v>
      </c>
      <c r="I68">
        <v>27.08</v>
      </c>
      <c r="J68">
        <v>54.8</v>
      </c>
      <c r="K68">
        <v>110.85</v>
      </c>
      <c r="L68">
        <v>29.48</v>
      </c>
      <c r="M68" s="125">
        <f ca="1">IFERROR(__xludf.DUMMYFUNCTION("""COMPUTED_VALUE"""),43334.6666666666)</f>
        <v>43334.666666666599</v>
      </c>
      <c r="N68">
        <f ca="1">IFERROR(__xludf.DUMMYFUNCTION("""COMPUTED_VALUE"""),26.64)</f>
        <v>26.64</v>
      </c>
      <c r="O68" s="125">
        <f ca="1">IFERROR(__xludf.DUMMYFUNCTION("""COMPUTED_VALUE"""),42803.6666666666)</f>
        <v>42803.666666666599</v>
      </c>
      <c r="P68">
        <f ca="1">IFERROR(__xludf.DUMMYFUNCTION("""COMPUTED_VALUE"""),26.74)</f>
        <v>26.74</v>
      </c>
    </row>
    <row r="69" spans="2:16" ht="12.75">
      <c r="B69" s="125">
        <f ca="1">IFERROR(__xludf.DUMMYFUNCTION("""COMPUTED_VALUE"""),42804.6666666666)</f>
        <v>42804.666666666599</v>
      </c>
      <c r="C69">
        <f ca="1">IFERROR(__xludf.DUMMYFUNCTION("""COMPUTED_VALUE"""),27.07)</f>
        <v>27.07</v>
      </c>
      <c r="D69" t="e">
        <v>#N/A</v>
      </c>
      <c r="E69">
        <v>26.15</v>
      </c>
      <c r="F69">
        <v>26.66</v>
      </c>
      <c r="G69">
        <v>8.5399999999999991</v>
      </c>
      <c r="H69">
        <v>150.38999999999999</v>
      </c>
      <c r="I69">
        <v>27.04</v>
      </c>
      <c r="J69">
        <v>55.05</v>
      </c>
      <c r="K69">
        <v>111.74</v>
      </c>
      <c r="L69">
        <v>29.85</v>
      </c>
      <c r="M69" s="125">
        <f ca="1">IFERROR(__xludf.DUMMYFUNCTION("""COMPUTED_VALUE"""),43335.6666666666)</f>
        <v>43335.666666666599</v>
      </c>
      <c r="N69">
        <f ca="1">IFERROR(__xludf.DUMMYFUNCTION("""COMPUTED_VALUE"""),26.56)</f>
        <v>26.56</v>
      </c>
      <c r="O69" s="125">
        <f ca="1">IFERROR(__xludf.DUMMYFUNCTION("""COMPUTED_VALUE"""),42804.6666666666)</f>
        <v>42804.666666666599</v>
      </c>
      <c r="P69">
        <f ca="1">IFERROR(__xludf.DUMMYFUNCTION("""COMPUTED_VALUE"""),27.07)</f>
        <v>27.07</v>
      </c>
    </row>
    <row r="70" spans="2:16" ht="12.75">
      <c r="B70" s="125">
        <f ca="1">IFERROR(__xludf.DUMMYFUNCTION("""COMPUTED_VALUE"""),42807.6666666666)</f>
        <v>42807.666666666599</v>
      </c>
      <c r="C70">
        <f ca="1">IFERROR(__xludf.DUMMYFUNCTION("""COMPUTED_VALUE"""),27.5)</f>
        <v>27.5</v>
      </c>
      <c r="D70">
        <v>16.22</v>
      </c>
      <c r="E70">
        <v>26.19</v>
      </c>
      <c r="F70">
        <v>26.6</v>
      </c>
      <c r="G70">
        <v>8.61</v>
      </c>
      <c r="H70">
        <v>150.99</v>
      </c>
      <c r="I70">
        <v>27.18</v>
      </c>
      <c r="J70">
        <v>55.09</v>
      </c>
      <c r="K70">
        <v>112.09</v>
      </c>
      <c r="L70">
        <v>29.8</v>
      </c>
      <c r="M70" s="125">
        <f ca="1">IFERROR(__xludf.DUMMYFUNCTION("""COMPUTED_VALUE"""),43336.6666666666)</f>
        <v>43336.666666666599</v>
      </c>
      <c r="N70">
        <f ca="1">IFERROR(__xludf.DUMMYFUNCTION("""COMPUTED_VALUE"""),26.69)</f>
        <v>26.69</v>
      </c>
      <c r="O70" s="125">
        <f ca="1">IFERROR(__xludf.DUMMYFUNCTION("""COMPUTED_VALUE"""),42807.6666666666)</f>
        <v>42807.666666666599</v>
      </c>
      <c r="P70">
        <f ca="1">IFERROR(__xludf.DUMMYFUNCTION("""COMPUTED_VALUE"""),27.5)</f>
        <v>27.5</v>
      </c>
    </row>
    <row r="71" spans="2:16" ht="12.75">
      <c r="B71" s="125">
        <f ca="1">IFERROR(__xludf.DUMMYFUNCTION("""COMPUTED_VALUE"""),42808.6666666666)</f>
        <v>42808.666666666599</v>
      </c>
      <c r="C71">
        <f ca="1">IFERROR(__xludf.DUMMYFUNCTION("""COMPUTED_VALUE"""),27.42)</f>
        <v>27.42</v>
      </c>
      <c r="D71">
        <v>16.21</v>
      </c>
      <c r="E71">
        <v>26.28</v>
      </c>
      <c r="F71">
        <v>26.44</v>
      </c>
      <c r="G71">
        <v>8.56</v>
      </c>
      <c r="H71">
        <v>150.18</v>
      </c>
      <c r="I71">
        <v>27.12</v>
      </c>
      <c r="J71">
        <v>54.93</v>
      </c>
      <c r="K71">
        <v>111.85</v>
      </c>
      <c r="L71">
        <v>30.06</v>
      </c>
      <c r="M71" s="125">
        <f ca="1">IFERROR(__xludf.DUMMYFUNCTION("""COMPUTED_VALUE"""),43339.6666666666)</f>
        <v>43339.666666666599</v>
      </c>
      <c r="N71">
        <f ca="1">IFERROR(__xludf.DUMMYFUNCTION("""COMPUTED_VALUE"""),26.73)</f>
        <v>26.73</v>
      </c>
      <c r="O71" s="125">
        <f ca="1">IFERROR(__xludf.DUMMYFUNCTION("""COMPUTED_VALUE"""),42808.6666666666)</f>
        <v>42808.666666666599</v>
      </c>
      <c r="P71">
        <f ca="1">IFERROR(__xludf.DUMMYFUNCTION("""COMPUTED_VALUE"""),27.42)</f>
        <v>27.42</v>
      </c>
    </row>
    <row r="72" spans="2:16" ht="12.75">
      <c r="B72" s="125">
        <f ca="1">IFERROR(__xludf.DUMMYFUNCTION("""COMPUTED_VALUE"""),42809.6666666666)</f>
        <v>42809.666666666599</v>
      </c>
      <c r="C72">
        <f ca="1">IFERROR(__xludf.DUMMYFUNCTION("""COMPUTED_VALUE"""),27.68)</f>
        <v>27.68</v>
      </c>
      <c r="D72">
        <v>16.27</v>
      </c>
      <c r="E72">
        <v>25.97</v>
      </c>
      <c r="F72">
        <v>26.72</v>
      </c>
      <c r="G72">
        <v>8.68</v>
      </c>
      <c r="H72">
        <v>151.31</v>
      </c>
      <c r="I72">
        <v>27.21</v>
      </c>
      <c r="J72">
        <v>55.34</v>
      </c>
      <c r="K72">
        <v>113.82</v>
      </c>
      <c r="L72">
        <v>30.33</v>
      </c>
      <c r="M72" s="125">
        <f ca="1">IFERROR(__xludf.DUMMYFUNCTION("""COMPUTED_VALUE"""),43340.6666666666)</f>
        <v>43340.666666666599</v>
      </c>
      <c r="N72">
        <f ca="1">IFERROR(__xludf.DUMMYFUNCTION("""COMPUTED_VALUE"""),27.02)</f>
        <v>27.02</v>
      </c>
      <c r="O72" s="125">
        <f ca="1">IFERROR(__xludf.DUMMYFUNCTION("""COMPUTED_VALUE"""),42809.6666666666)</f>
        <v>42809.666666666599</v>
      </c>
      <c r="P72">
        <f ca="1">IFERROR(__xludf.DUMMYFUNCTION("""COMPUTED_VALUE"""),27.68)</f>
        <v>27.68</v>
      </c>
    </row>
    <row r="73" spans="2:16" ht="12.75">
      <c r="B73" s="125">
        <f ca="1">IFERROR(__xludf.DUMMYFUNCTION("""COMPUTED_VALUE"""),42810.6666666666)</f>
        <v>42810.666666666599</v>
      </c>
      <c r="C73">
        <f ca="1">IFERROR(__xludf.DUMMYFUNCTION("""COMPUTED_VALUE"""),27.98)</f>
        <v>27.98</v>
      </c>
      <c r="D73">
        <v>16.41</v>
      </c>
      <c r="E73">
        <v>25.88</v>
      </c>
      <c r="F73">
        <v>26.87</v>
      </c>
      <c r="G73">
        <v>8.74</v>
      </c>
      <c r="H73">
        <v>150.85</v>
      </c>
      <c r="I73">
        <v>27.29</v>
      </c>
      <c r="J73">
        <v>55.42</v>
      </c>
      <c r="K73">
        <v>112.66</v>
      </c>
      <c r="L73">
        <v>30.55</v>
      </c>
      <c r="M73" s="125">
        <f ca="1">IFERROR(__xludf.DUMMYFUNCTION("""COMPUTED_VALUE"""),43341.6666666666)</f>
        <v>43341.666666666599</v>
      </c>
      <c r="N73">
        <f ca="1">IFERROR(__xludf.DUMMYFUNCTION("""COMPUTED_VALUE"""),27.08)</f>
        <v>27.08</v>
      </c>
      <c r="O73" s="125">
        <f ca="1">IFERROR(__xludf.DUMMYFUNCTION("""COMPUTED_VALUE"""),42810.6666666666)</f>
        <v>42810.666666666599</v>
      </c>
      <c r="P73">
        <f ca="1">IFERROR(__xludf.DUMMYFUNCTION("""COMPUTED_VALUE"""),27.98)</f>
        <v>27.98</v>
      </c>
    </row>
    <row r="74" spans="2:16" ht="12.75">
      <c r="B74" s="125">
        <f ca="1">IFERROR(__xludf.DUMMYFUNCTION("""COMPUTED_VALUE"""),42811.6666666666)</f>
        <v>42811.666666666599</v>
      </c>
      <c r="C74">
        <f ca="1">IFERROR(__xludf.DUMMYFUNCTION("""COMPUTED_VALUE"""),28.12)</f>
        <v>28.12</v>
      </c>
      <c r="D74">
        <v>16.39</v>
      </c>
      <c r="E74">
        <v>25.89</v>
      </c>
      <c r="F74">
        <v>26.89</v>
      </c>
      <c r="G74">
        <v>8.7100000000000009</v>
      </c>
      <c r="H74">
        <v>152.52000000000001</v>
      </c>
      <c r="I74">
        <v>27.28</v>
      </c>
      <c r="J74">
        <v>54.98</v>
      </c>
      <c r="K74">
        <v>113.37</v>
      </c>
      <c r="L74">
        <v>30.74</v>
      </c>
      <c r="M74" s="125">
        <f ca="1">IFERROR(__xludf.DUMMYFUNCTION("""COMPUTED_VALUE"""),43342.6666666666)</f>
        <v>43342.666666666599</v>
      </c>
      <c r="N74">
        <f ca="1">IFERROR(__xludf.DUMMYFUNCTION("""COMPUTED_VALUE"""),26.75)</f>
        <v>26.75</v>
      </c>
      <c r="O74" s="125">
        <f ca="1">IFERROR(__xludf.DUMMYFUNCTION("""COMPUTED_VALUE"""),42811.6666666666)</f>
        <v>42811.666666666599</v>
      </c>
      <c r="P74">
        <f ca="1">IFERROR(__xludf.DUMMYFUNCTION("""COMPUTED_VALUE"""),28.12)</f>
        <v>28.12</v>
      </c>
    </row>
    <row r="75" spans="2:16" ht="12.75">
      <c r="B75" s="125">
        <f ca="1">IFERROR(__xludf.DUMMYFUNCTION("""COMPUTED_VALUE"""),42814.6666666666)</f>
        <v>42814.666666666599</v>
      </c>
      <c r="C75">
        <f ca="1">IFERROR(__xludf.DUMMYFUNCTION("""COMPUTED_VALUE"""),28.25)</f>
        <v>28.25</v>
      </c>
      <c r="D75">
        <v>16.28</v>
      </c>
      <c r="E75">
        <v>25.9</v>
      </c>
      <c r="F75">
        <v>26.85</v>
      </c>
      <c r="G75">
        <v>8.68</v>
      </c>
      <c r="H75">
        <v>151.93</v>
      </c>
      <c r="I75">
        <v>27.23</v>
      </c>
      <c r="J75">
        <v>55.08</v>
      </c>
      <c r="K75">
        <v>112.56</v>
      </c>
      <c r="L75">
        <v>30.44</v>
      </c>
      <c r="M75" s="125">
        <f ca="1">IFERROR(__xludf.DUMMYFUNCTION("""COMPUTED_VALUE"""),43343.6666666666)</f>
        <v>43343.666666666599</v>
      </c>
      <c r="N75">
        <f ca="1">IFERROR(__xludf.DUMMYFUNCTION("""COMPUTED_VALUE"""),26.9)</f>
        <v>26.9</v>
      </c>
      <c r="O75" s="125">
        <f ca="1">IFERROR(__xludf.DUMMYFUNCTION("""COMPUTED_VALUE"""),42814.6666666666)</f>
        <v>42814.666666666599</v>
      </c>
      <c r="P75">
        <f ca="1">IFERROR(__xludf.DUMMYFUNCTION("""COMPUTED_VALUE"""),28.25)</f>
        <v>28.25</v>
      </c>
    </row>
    <row r="76" spans="2:16" ht="12.75">
      <c r="B76" s="125">
        <f ca="1">IFERROR(__xludf.DUMMYFUNCTION("""COMPUTED_VALUE"""),42815.6666666666)</f>
        <v>42815.666666666599</v>
      </c>
      <c r="C76">
        <f ca="1">IFERROR(__xludf.DUMMYFUNCTION("""COMPUTED_VALUE"""),27.54)</f>
        <v>27.54</v>
      </c>
      <c r="D76">
        <v>15.95</v>
      </c>
      <c r="E76">
        <v>25.74</v>
      </c>
      <c r="F76">
        <v>26.85</v>
      </c>
      <c r="G76">
        <v>8.51</v>
      </c>
      <c r="H76">
        <v>148.84</v>
      </c>
      <c r="I76">
        <v>26.91</v>
      </c>
      <c r="J76">
        <v>55.04</v>
      </c>
      <c r="K76">
        <v>113.95</v>
      </c>
      <c r="L76">
        <v>30.54</v>
      </c>
      <c r="M76" s="125">
        <f ca="1">IFERROR(__xludf.DUMMYFUNCTION("""COMPUTED_VALUE"""),43347.6666666666)</f>
        <v>43347.666666666599</v>
      </c>
      <c r="N76">
        <f ca="1">IFERROR(__xludf.DUMMYFUNCTION("""COMPUTED_VALUE"""),26.65)</f>
        <v>26.65</v>
      </c>
      <c r="O76" s="125">
        <f ca="1">IFERROR(__xludf.DUMMYFUNCTION("""COMPUTED_VALUE"""),42815.6666666666)</f>
        <v>42815.666666666599</v>
      </c>
      <c r="P76">
        <f ca="1">IFERROR(__xludf.DUMMYFUNCTION("""COMPUTED_VALUE"""),27.54)</f>
        <v>27.54</v>
      </c>
    </row>
    <row r="77" spans="2:16" ht="12.75">
      <c r="B77" s="125">
        <f ca="1">IFERROR(__xludf.DUMMYFUNCTION("""COMPUTED_VALUE"""),42816.6666666666)</f>
        <v>42816.666666666599</v>
      </c>
      <c r="C77">
        <f ca="1">IFERROR(__xludf.DUMMYFUNCTION("""COMPUTED_VALUE"""),27.66)</f>
        <v>27.66</v>
      </c>
      <c r="D77">
        <v>15.89</v>
      </c>
      <c r="E77">
        <v>25.72</v>
      </c>
      <c r="F77">
        <v>26.72</v>
      </c>
      <c r="G77">
        <v>8.48</v>
      </c>
      <c r="H77">
        <v>148.79</v>
      </c>
      <c r="I77">
        <v>26.97</v>
      </c>
      <c r="J77">
        <v>54.93</v>
      </c>
      <c r="K77">
        <v>114.38</v>
      </c>
      <c r="L77">
        <v>30.58</v>
      </c>
      <c r="M77" s="125">
        <f ca="1">IFERROR(__xludf.DUMMYFUNCTION("""COMPUTED_VALUE"""),43348.6666666666)</f>
        <v>43348.666666666599</v>
      </c>
      <c r="N77">
        <f ca="1">IFERROR(__xludf.DUMMYFUNCTION("""COMPUTED_VALUE"""),26.78)</f>
        <v>26.78</v>
      </c>
      <c r="O77" s="125">
        <f ca="1">IFERROR(__xludf.DUMMYFUNCTION("""COMPUTED_VALUE"""),42816.6666666666)</f>
        <v>42816.666666666599</v>
      </c>
      <c r="P77">
        <f ca="1">IFERROR(__xludf.DUMMYFUNCTION("""COMPUTED_VALUE"""),27.66)</f>
        <v>27.66</v>
      </c>
    </row>
    <row r="78" spans="2:16" ht="12.75">
      <c r="B78" s="125">
        <f ca="1">IFERROR(__xludf.DUMMYFUNCTION("""COMPUTED_VALUE"""),42817.6666666666)</f>
        <v>42817.666666666599</v>
      </c>
      <c r="C78">
        <f ca="1">IFERROR(__xludf.DUMMYFUNCTION("""COMPUTED_VALUE"""),27.78)</f>
        <v>27.78</v>
      </c>
      <c r="D78">
        <v>16.04</v>
      </c>
      <c r="E78">
        <v>25.75</v>
      </c>
      <c r="F78">
        <v>26.79</v>
      </c>
      <c r="G78">
        <v>8.48</v>
      </c>
      <c r="H78">
        <v>148.86000000000001</v>
      </c>
      <c r="I78">
        <v>27.16</v>
      </c>
      <c r="J78">
        <v>54.81</v>
      </c>
      <c r="K78">
        <v>114.18</v>
      </c>
      <c r="L78">
        <v>30.67</v>
      </c>
      <c r="M78" s="125">
        <f ca="1">IFERROR(__xludf.DUMMYFUNCTION("""COMPUTED_VALUE"""),43349.6666666666)</f>
        <v>43349.666666666599</v>
      </c>
      <c r="N78">
        <f ca="1">IFERROR(__xludf.DUMMYFUNCTION("""COMPUTED_VALUE"""),26.77)</f>
        <v>26.77</v>
      </c>
      <c r="O78" s="125">
        <f ca="1">IFERROR(__xludf.DUMMYFUNCTION("""COMPUTED_VALUE"""),42817.6666666666)</f>
        <v>42817.666666666599</v>
      </c>
      <c r="P78">
        <f ca="1">IFERROR(__xludf.DUMMYFUNCTION("""COMPUTED_VALUE"""),27.78)</f>
        <v>27.78</v>
      </c>
    </row>
    <row r="79" spans="2:16" ht="12.75">
      <c r="B79" s="125">
        <f ca="1">IFERROR(__xludf.DUMMYFUNCTION("""COMPUTED_VALUE"""),42818.6666666666)</f>
        <v>42818.666666666599</v>
      </c>
      <c r="C79">
        <f ca="1">IFERROR(__xludf.DUMMYFUNCTION("""COMPUTED_VALUE"""),28)</f>
        <v>28</v>
      </c>
      <c r="D79">
        <v>16.11</v>
      </c>
      <c r="E79">
        <v>25.74</v>
      </c>
      <c r="F79">
        <v>26.86</v>
      </c>
      <c r="G79">
        <v>8.5</v>
      </c>
      <c r="H79">
        <v>147.22</v>
      </c>
      <c r="I79">
        <v>27.3</v>
      </c>
      <c r="J79">
        <v>54.7</v>
      </c>
      <c r="K79">
        <v>113.75</v>
      </c>
      <c r="L79">
        <v>30.77</v>
      </c>
      <c r="M79" s="125">
        <f ca="1">IFERROR(__xludf.DUMMYFUNCTION("""COMPUTED_VALUE"""),43350.6666666666)</f>
        <v>43350.666666666599</v>
      </c>
      <c r="N79">
        <f ca="1">IFERROR(__xludf.DUMMYFUNCTION("""COMPUTED_VALUE"""),26.72)</f>
        <v>26.72</v>
      </c>
      <c r="O79" s="125">
        <f ca="1">IFERROR(__xludf.DUMMYFUNCTION("""COMPUTED_VALUE"""),42818.6666666666)</f>
        <v>42818.666666666599</v>
      </c>
      <c r="P79">
        <f ca="1">IFERROR(__xludf.DUMMYFUNCTION("""COMPUTED_VALUE"""),28)</f>
        <v>28</v>
      </c>
    </row>
    <row r="80" spans="2:16" ht="12.75">
      <c r="B80" s="125">
        <f ca="1">IFERROR(__xludf.DUMMYFUNCTION("""COMPUTED_VALUE"""),42821.6666666666)</f>
        <v>42821.666666666599</v>
      </c>
      <c r="C80">
        <f ca="1">IFERROR(__xludf.DUMMYFUNCTION("""COMPUTED_VALUE"""),27.9)</f>
        <v>27.9</v>
      </c>
      <c r="D80">
        <v>16.079999999999998</v>
      </c>
      <c r="E80">
        <v>25.6</v>
      </c>
      <c r="F80">
        <v>27.01</v>
      </c>
      <c r="G80">
        <v>8.48</v>
      </c>
      <c r="H80">
        <v>146.99</v>
      </c>
      <c r="I80">
        <v>27.17</v>
      </c>
      <c r="J80">
        <v>54.65</v>
      </c>
      <c r="K80">
        <v>113.26</v>
      </c>
      <c r="L80">
        <v>30.92</v>
      </c>
      <c r="M80" s="125">
        <f ca="1">IFERROR(__xludf.DUMMYFUNCTION("""COMPUTED_VALUE"""),43353.6666666666)</f>
        <v>43353.666666666599</v>
      </c>
      <c r="N80">
        <f ca="1">IFERROR(__xludf.DUMMYFUNCTION("""COMPUTED_VALUE"""),26.67)</f>
        <v>26.67</v>
      </c>
      <c r="O80" s="125">
        <f ca="1">IFERROR(__xludf.DUMMYFUNCTION("""COMPUTED_VALUE"""),42821.6666666666)</f>
        <v>42821.666666666599</v>
      </c>
      <c r="P80">
        <f ca="1">IFERROR(__xludf.DUMMYFUNCTION("""COMPUTED_VALUE"""),27.9)</f>
        <v>27.9</v>
      </c>
    </row>
    <row r="81" spans="2:16" ht="12.75">
      <c r="B81" s="125">
        <f ca="1">IFERROR(__xludf.DUMMYFUNCTION("""COMPUTED_VALUE"""),42822.6666666666)</f>
        <v>42822.666666666599</v>
      </c>
      <c r="C81">
        <f ca="1">IFERROR(__xludf.DUMMYFUNCTION("""COMPUTED_VALUE"""),27.99)</f>
        <v>27.99</v>
      </c>
      <c r="D81">
        <v>16.18</v>
      </c>
      <c r="E81">
        <v>25.74</v>
      </c>
      <c r="F81">
        <v>27.02</v>
      </c>
      <c r="G81">
        <v>8.5500000000000007</v>
      </c>
      <c r="H81">
        <v>148.59</v>
      </c>
      <c r="I81">
        <v>27.51</v>
      </c>
      <c r="J81">
        <v>54.75</v>
      </c>
      <c r="K81">
        <v>113.37</v>
      </c>
      <c r="L81">
        <v>30.74</v>
      </c>
      <c r="M81" s="125">
        <f ca="1">IFERROR(__xludf.DUMMYFUNCTION("""COMPUTED_VALUE"""),43354.6666666666)</f>
        <v>43354.666666666599</v>
      </c>
      <c r="N81">
        <f ca="1">IFERROR(__xludf.DUMMYFUNCTION("""COMPUTED_VALUE"""),26.58)</f>
        <v>26.58</v>
      </c>
      <c r="O81" s="125">
        <f ca="1">IFERROR(__xludf.DUMMYFUNCTION("""COMPUTED_VALUE"""),42822.6666666666)</f>
        <v>42822.666666666599</v>
      </c>
      <c r="P81">
        <f ca="1">IFERROR(__xludf.DUMMYFUNCTION("""COMPUTED_VALUE"""),27.99)</f>
        <v>27.99</v>
      </c>
    </row>
    <row r="82" spans="2:16" ht="12.75">
      <c r="B82" s="125">
        <f ca="1">IFERROR(__xludf.DUMMYFUNCTION("""COMPUTED_VALUE"""),42823.6666666666)</f>
        <v>42823.666666666599</v>
      </c>
      <c r="C82">
        <f ca="1">IFERROR(__xludf.DUMMYFUNCTION("""COMPUTED_VALUE"""),28.12)</f>
        <v>28.12</v>
      </c>
      <c r="D82">
        <v>16.190000000000001</v>
      </c>
      <c r="E82">
        <v>25.79</v>
      </c>
      <c r="F82">
        <v>26.92</v>
      </c>
      <c r="G82">
        <v>8.58</v>
      </c>
      <c r="H82">
        <v>148.41</v>
      </c>
      <c r="I82">
        <v>27.55</v>
      </c>
      <c r="J82">
        <v>54.85</v>
      </c>
      <c r="K82">
        <v>112.98</v>
      </c>
      <c r="L82">
        <v>30.68</v>
      </c>
      <c r="M82" s="125">
        <f ca="1">IFERROR(__xludf.DUMMYFUNCTION("""COMPUTED_VALUE"""),43355.6666666666)</f>
        <v>43355.666666666599</v>
      </c>
      <c r="N82">
        <f ca="1">IFERROR(__xludf.DUMMYFUNCTION("""COMPUTED_VALUE"""),26.74)</f>
        <v>26.74</v>
      </c>
      <c r="O82" s="125">
        <f ca="1">IFERROR(__xludf.DUMMYFUNCTION("""COMPUTED_VALUE"""),42823.6666666666)</f>
        <v>42823.666666666599</v>
      </c>
      <c r="P82">
        <f ca="1">IFERROR(__xludf.DUMMYFUNCTION("""COMPUTED_VALUE"""),28.12)</f>
        <v>28.12</v>
      </c>
    </row>
    <row r="83" spans="2:16" ht="12.75">
      <c r="B83" s="125">
        <f ca="1">IFERROR(__xludf.DUMMYFUNCTION("""COMPUTED_VALUE"""),42824.6666666666)</f>
        <v>42824.666666666599</v>
      </c>
      <c r="C83">
        <f ca="1">IFERROR(__xludf.DUMMYFUNCTION("""COMPUTED_VALUE"""),27.92)</f>
        <v>27.92</v>
      </c>
      <c r="D83">
        <v>16.260000000000002</v>
      </c>
      <c r="E83">
        <v>25.96</v>
      </c>
      <c r="F83">
        <v>26.78</v>
      </c>
      <c r="G83">
        <v>8.5</v>
      </c>
      <c r="H83">
        <v>149.34</v>
      </c>
      <c r="I83">
        <v>27.68</v>
      </c>
      <c r="J83">
        <v>54.74</v>
      </c>
      <c r="K83">
        <v>112.27</v>
      </c>
      <c r="L83">
        <v>30.3</v>
      </c>
      <c r="M83" s="125">
        <f ca="1">IFERROR(__xludf.DUMMYFUNCTION("""COMPUTED_VALUE"""),43356.6666666666)</f>
        <v>43356.666666666599</v>
      </c>
      <c r="N83">
        <f ca="1">IFERROR(__xludf.DUMMYFUNCTION("""COMPUTED_VALUE"""),27.04)</f>
        <v>27.04</v>
      </c>
      <c r="O83" s="125">
        <f ca="1">IFERROR(__xludf.DUMMYFUNCTION("""COMPUTED_VALUE"""),42824.6666666666)</f>
        <v>42824.666666666599</v>
      </c>
      <c r="P83">
        <f ca="1">IFERROR(__xludf.DUMMYFUNCTION("""COMPUTED_VALUE"""),27.92)</f>
        <v>27.92</v>
      </c>
    </row>
    <row r="84" spans="2:16" ht="12.75">
      <c r="B84" s="125">
        <f ca="1">IFERROR(__xludf.DUMMYFUNCTION("""COMPUTED_VALUE"""),42825.6666666666)</f>
        <v>42825.666666666599</v>
      </c>
      <c r="C84">
        <f ca="1">IFERROR(__xludf.DUMMYFUNCTION("""COMPUTED_VALUE"""),27.81)</f>
        <v>27.81</v>
      </c>
      <c r="D84">
        <v>16.28</v>
      </c>
      <c r="E84">
        <v>25.95</v>
      </c>
      <c r="F84">
        <v>26.81</v>
      </c>
      <c r="G84">
        <v>8.56</v>
      </c>
      <c r="H84">
        <v>148.72</v>
      </c>
      <c r="I84">
        <v>27.83</v>
      </c>
      <c r="J84">
        <v>54.58</v>
      </c>
      <c r="K84">
        <v>112.63</v>
      </c>
      <c r="L84">
        <v>30.54</v>
      </c>
      <c r="M84" s="125">
        <f ca="1">IFERROR(__xludf.DUMMYFUNCTION("""COMPUTED_VALUE"""),43357.6666666666)</f>
        <v>43357.666666666599</v>
      </c>
      <c r="N84">
        <f ca="1">IFERROR(__xludf.DUMMYFUNCTION("""COMPUTED_VALUE"""),26.96)</f>
        <v>26.96</v>
      </c>
      <c r="O84" s="125">
        <f ca="1">IFERROR(__xludf.DUMMYFUNCTION("""COMPUTED_VALUE"""),42825.6666666666)</f>
        <v>42825.666666666599</v>
      </c>
      <c r="P84">
        <f ca="1">IFERROR(__xludf.DUMMYFUNCTION("""COMPUTED_VALUE"""),27.81)</f>
        <v>27.81</v>
      </c>
    </row>
    <row r="85" spans="2:16" ht="12.75">
      <c r="B85" s="125">
        <f ca="1">IFERROR(__xludf.DUMMYFUNCTION("""COMPUTED_VALUE"""),42828.6666666666)</f>
        <v>42828.666666666599</v>
      </c>
      <c r="C85">
        <f ca="1">IFERROR(__xludf.DUMMYFUNCTION("""COMPUTED_VALUE"""),28.15)</f>
        <v>28.15</v>
      </c>
      <c r="D85">
        <v>16.149999999999999</v>
      </c>
      <c r="E85">
        <v>25.95</v>
      </c>
      <c r="F85">
        <v>26.8</v>
      </c>
      <c r="G85">
        <v>8.5500000000000007</v>
      </c>
      <c r="H85">
        <v>148.16999999999999</v>
      </c>
      <c r="I85">
        <v>27.74</v>
      </c>
      <c r="J85">
        <v>54.49</v>
      </c>
      <c r="K85">
        <v>112.56</v>
      </c>
      <c r="L85">
        <v>30.16</v>
      </c>
      <c r="M85" s="125">
        <f ca="1">IFERROR(__xludf.DUMMYFUNCTION("""COMPUTED_VALUE"""),43360.6666666666)</f>
        <v>43360.666666666599</v>
      </c>
      <c r="N85">
        <f ca="1">IFERROR(__xludf.DUMMYFUNCTION("""COMPUTED_VALUE"""),27)</f>
        <v>27</v>
      </c>
      <c r="O85" s="125">
        <f ca="1">IFERROR(__xludf.DUMMYFUNCTION("""COMPUTED_VALUE"""),42828.6666666666)</f>
        <v>42828.666666666599</v>
      </c>
      <c r="P85">
        <f ca="1">IFERROR(__xludf.DUMMYFUNCTION("""COMPUTED_VALUE"""),28.15)</f>
        <v>28.15</v>
      </c>
    </row>
    <row r="86" spans="2:16" ht="12.75">
      <c r="B86" s="125">
        <f ca="1">IFERROR(__xludf.DUMMYFUNCTION("""COMPUTED_VALUE"""),42829.6666666666)</f>
        <v>42829.666666666599</v>
      </c>
      <c r="C86">
        <f ca="1">IFERROR(__xludf.DUMMYFUNCTION("""COMPUTED_VALUE"""),27.97)</f>
        <v>27.97</v>
      </c>
      <c r="D86">
        <v>16.149999999999999</v>
      </c>
      <c r="E86">
        <v>25.98</v>
      </c>
      <c r="F86">
        <v>26.8</v>
      </c>
      <c r="G86">
        <v>8.59</v>
      </c>
      <c r="H86">
        <v>148.75</v>
      </c>
      <c r="I86">
        <v>27.82</v>
      </c>
      <c r="J86">
        <v>54.65</v>
      </c>
      <c r="K86">
        <v>112.92</v>
      </c>
      <c r="L86">
        <v>29.93</v>
      </c>
      <c r="M86" s="125">
        <f ca="1">IFERROR(__xludf.DUMMYFUNCTION("""COMPUTED_VALUE"""),43361.6666666666)</f>
        <v>43361.666666666599</v>
      </c>
      <c r="N86">
        <f ca="1">IFERROR(__xludf.DUMMYFUNCTION("""COMPUTED_VALUE"""),26.94)</f>
        <v>26.94</v>
      </c>
      <c r="O86" s="125">
        <f ca="1">IFERROR(__xludf.DUMMYFUNCTION("""COMPUTED_VALUE"""),42829.6666666666)</f>
        <v>42829.666666666599</v>
      </c>
      <c r="P86">
        <f ca="1">IFERROR(__xludf.DUMMYFUNCTION("""COMPUTED_VALUE"""),27.97)</f>
        <v>27.97</v>
      </c>
    </row>
    <row r="87" spans="2:16" ht="12.75">
      <c r="B87" s="125">
        <f ca="1">IFERROR(__xludf.DUMMYFUNCTION("""COMPUTED_VALUE"""),42830.6666666666)</f>
        <v>42830.666666666599</v>
      </c>
      <c r="C87">
        <f ca="1">IFERROR(__xludf.DUMMYFUNCTION("""COMPUTED_VALUE"""),27.95)</f>
        <v>27.95</v>
      </c>
      <c r="D87">
        <v>16.100000000000001</v>
      </c>
      <c r="E87">
        <v>25.97</v>
      </c>
      <c r="F87">
        <v>26.7</v>
      </c>
      <c r="G87">
        <v>8.5</v>
      </c>
      <c r="H87">
        <v>147.4</v>
      </c>
      <c r="I87">
        <v>27.58</v>
      </c>
      <c r="J87">
        <v>54.55</v>
      </c>
      <c r="K87">
        <v>113.57</v>
      </c>
      <c r="L87">
        <v>29.28</v>
      </c>
      <c r="M87" s="125">
        <f ca="1">IFERROR(__xludf.DUMMYFUNCTION("""COMPUTED_VALUE"""),43362.6666666666)</f>
        <v>43362.666666666599</v>
      </c>
      <c r="N87">
        <f ca="1">IFERROR(__xludf.DUMMYFUNCTION("""COMPUTED_VALUE"""),26.8)</f>
        <v>26.8</v>
      </c>
      <c r="O87" s="125">
        <f ca="1">IFERROR(__xludf.DUMMYFUNCTION("""COMPUTED_VALUE"""),42830.6666666666)</f>
        <v>42830.666666666599</v>
      </c>
      <c r="P87">
        <f ca="1">IFERROR(__xludf.DUMMYFUNCTION("""COMPUTED_VALUE"""),27.95)</f>
        <v>27.95</v>
      </c>
    </row>
    <row r="88" spans="2:16" ht="12.75">
      <c r="B88" s="125">
        <f ca="1">IFERROR(__xludf.DUMMYFUNCTION("""COMPUTED_VALUE"""),42831.6666666666)</f>
        <v>42831.666666666599</v>
      </c>
      <c r="C88">
        <f ca="1">IFERROR(__xludf.DUMMYFUNCTION("""COMPUTED_VALUE"""),28.07)</f>
        <v>28.07</v>
      </c>
      <c r="D88">
        <v>16.11</v>
      </c>
      <c r="E88">
        <v>26.03</v>
      </c>
      <c r="F88">
        <v>26.72</v>
      </c>
      <c r="G88">
        <v>8.5</v>
      </c>
      <c r="H88">
        <v>148.41</v>
      </c>
      <c r="I88">
        <v>27.67</v>
      </c>
      <c r="J88">
        <v>54.55</v>
      </c>
      <c r="K88">
        <v>113.44</v>
      </c>
      <c r="L88">
        <v>29.42</v>
      </c>
      <c r="M88" s="125">
        <f ca="1">IFERROR(__xludf.DUMMYFUNCTION("""COMPUTED_VALUE"""),43363.6666666666)</f>
        <v>43363.666666666599</v>
      </c>
      <c r="N88">
        <f ca="1">IFERROR(__xludf.DUMMYFUNCTION("""COMPUTED_VALUE"""),27)</f>
        <v>27</v>
      </c>
      <c r="O88" s="125">
        <f ca="1">IFERROR(__xludf.DUMMYFUNCTION("""COMPUTED_VALUE"""),42831.6666666666)</f>
        <v>42831.666666666599</v>
      </c>
      <c r="P88">
        <f ca="1">IFERROR(__xludf.DUMMYFUNCTION("""COMPUTED_VALUE"""),28.07)</f>
        <v>28.07</v>
      </c>
    </row>
    <row r="89" spans="2:16" ht="12.75">
      <c r="B89" s="125">
        <f ca="1">IFERROR(__xludf.DUMMYFUNCTION("""COMPUTED_VALUE"""),42832.6666666666)</f>
        <v>42832.666666666599</v>
      </c>
      <c r="C89">
        <f ca="1">IFERROR(__xludf.DUMMYFUNCTION("""COMPUTED_VALUE"""),28.07)</f>
        <v>28.07</v>
      </c>
      <c r="D89">
        <v>16.16</v>
      </c>
      <c r="E89">
        <v>26.15</v>
      </c>
      <c r="F89">
        <v>26.76</v>
      </c>
      <c r="G89">
        <v>8.5</v>
      </c>
      <c r="H89">
        <v>149.58000000000001</v>
      </c>
      <c r="I89">
        <v>27.7</v>
      </c>
      <c r="J89">
        <v>54.7</v>
      </c>
      <c r="K89">
        <v>112.89</v>
      </c>
      <c r="L89">
        <v>29.12</v>
      </c>
      <c r="M89" s="125">
        <f ca="1">IFERROR(__xludf.DUMMYFUNCTION("""COMPUTED_VALUE"""),43364.6666666666)</f>
        <v>43364.666666666599</v>
      </c>
      <c r="N89">
        <f ca="1">IFERROR(__xludf.DUMMYFUNCTION("""COMPUTED_VALUE"""),26.98)</f>
        <v>26.98</v>
      </c>
      <c r="O89" s="125">
        <f ca="1">IFERROR(__xludf.DUMMYFUNCTION("""COMPUTED_VALUE"""),42832.6666666666)</f>
        <v>42832.666666666599</v>
      </c>
      <c r="P89">
        <f ca="1">IFERROR(__xludf.DUMMYFUNCTION("""COMPUTED_VALUE"""),28.07)</f>
        <v>28.07</v>
      </c>
    </row>
    <row r="90" spans="2:16" ht="12.75">
      <c r="B90" s="125">
        <f ca="1">IFERROR(__xludf.DUMMYFUNCTION("""COMPUTED_VALUE"""),42835.6666666666)</f>
        <v>42835.666666666599</v>
      </c>
      <c r="C90">
        <f ca="1">IFERROR(__xludf.DUMMYFUNCTION("""COMPUTED_VALUE"""),28.18)</f>
        <v>28.18</v>
      </c>
      <c r="D90">
        <v>16.25</v>
      </c>
      <c r="E90">
        <v>26.1</v>
      </c>
      <c r="F90">
        <v>26.76</v>
      </c>
      <c r="G90">
        <v>8.56</v>
      </c>
      <c r="H90">
        <v>149.72999999999999</v>
      </c>
      <c r="I90">
        <v>27.62</v>
      </c>
      <c r="J90">
        <v>54.86</v>
      </c>
      <c r="K90">
        <v>113.05</v>
      </c>
      <c r="L90">
        <v>29.17</v>
      </c>
      <c r="M90" s="125">
        <f ca="1">IFERROR(__xludf.DUMMYFUNCTION("""COMPUTED_VALUE"""),43367.6666666666)</f>
        <v>43367.666666666599</v>
      </c>
      <c r="N90">
        <f ca="1">IFERROR(__xludf.DUMMYFUNCTION("""COMPUTED_VALUE"""),26.42)</f>
        <v>26.42</v>
      </c>
      <c r="O90" s="125">
        <f ca="1">IFERROR(__xludf.DUMMYFUNCTION("""COMPUTED_VALUE"""),42835.6666666666)</f>
        <v>42835.666666666599</v>
      </c>
      <c r="P90">
        <f ca="1">IFERROR(__xludf.DUMMYFUNCTION("""COMPUTED_VALUE"""),28.18)</f>
        <v>28.18</v>
      </c>
    </row>
    <row r="91" spans="2:16" ht="12.75">
      <c r="B91" s="125">
        <f ca="1">IFERROR(__xludf.DUMMYFUNCTION("""COMPUTED_VALUE"""),42836.6666666666)</f>
        <v>42836.666666666599</v>
      </c>
      <c r="C91">
        <f ca="1">IFERROR(__xludf.DUMMYFUNCTION("""COMPUTED_VALUE"""),27.9)</f>
        <v>27.9</v>
      </c>
      <c r="D91">
        <v>16.239999999999998</v>
      </c>
      <c r="E91">
        <v>26.02</v>
      </c>
      <c r="F91">
        <v>26.81</v>
      </c>
      <c r="G91">
        <v>8.5500000000000007</v>
      </c>
      <c r="H91">
        <v>150.74</v>
      </c>
      <c r="I91">
        <v>27.59</v>
      </c>
      <c r="J91">
        <v>54.88</v>
      </c>
      <c r="K91">
        <v>113.07</v>
      </c>
      <c r="L91">
        <v>29.38</v>
      </c>
      <c r="M91" s="125">
        <f ca="1">IFERROR(__xludf.DUMMYFUNCTION("""COMPUTED_VALUE"""),43368.6666666666)</f>
        <v>43368.666666666599</v>
      </c>
      <c r="N91">
        <f ca="1">IFERROR(__xludf.DUMMYFUNCTION("""COMPUTED_VALUE"""),26.13)</f>
        <v>26.13</v>
      </c>
      <c r="O91" s="125">
        <f ca="1">IFERROR(__xludf.DUMMYFUNCTION("""COMPUTED_VALUE"""),42836.6666666666)</f>
        <v>42836.666666666599</v>
      </c>
      <c r="P91">
        <f ca="1">IFERROR(__xludf.DUMMYFUNCTION("""COMPUTED_VALUE"""),27.9)</f>
        <v>27.9</v>
      </c>
    </row>
    <row r="92" spans="2:16" ht="12.75">
      <c r="B92" s="125">
        <f ca="1">IFERROR(__xludf.DUMMYFUNCTION("""COMPUTED_VALUE"""),42837.6666666666)</f>
        <v>42837.666666666599</v>
      </c>
      <c r="C92">
        <f ca="1">IFERROR(__xludf.DUMMYFUNCTION("""COMPUTED_VALUE"""),28.1)</f>
        <v>28.1</v>
      </c>
      <c r="D92">
        <v>16.2</v>
      </c>
      <c r="E92">
        <v>25.89</v>
      </c>
      <c r="F92">
        <v>26.86</v>
      </c>
      <c r="G92">
        <v>8.5299999999999994</v>
      </c>
      <c r="H92">
        <v>148.56</v>
      </c>
      <c r="I92">
        <v>27.5</v>
      </c>
      <c r="J92">
        <v>55.09</v>
      </c>
      <c r="K92">
        <v>113.85</v>
      </c>
      <c r="L92">
        <v>29.36</v>
      </c>
      <c r="M92" s="125">
        <f ca="1">IFERROR(__xludf.DUMMYFUNCTION("""COMPUTED_VALUE"""),43369.6666666666)</f>
        <v>43369.666666666599</v>
      </c>
      <c r="N92">
        <f ca="1">IFERROR(__xludf.DUMMYFUNCTION("""COMPUTED_VALUE"""),25.82)</f>
        <v>25.82</v>
      </c>
      <c r="O92" s="125">
        <f ca="1">IFERROR(__xludf.DUMMYFUNCTION("""COMPUTED_VALUE"""),42837.6666666666)</f>
        <v>42837.666666666599</v>
      </c>
      <c r="P92">
        <f ca="1">IFERROR(__xludf.DUMMYFUNCTION("""COMPUTED_VALUE"""),28.1)</f>
        <v>28.1</v>
      </c>
    </row>
    <row r="93" spans="2:16" ht="12.75">
      <c r="B93" s="125">
        <f ca="1">IFERROR(__xludf.DUMMYFUNCTION("""COMPUTED_VALUE"""),42838.6666666666)</f>
        <v>42838.666666666599</v>
      </c>
      <c r="C93">
        <f ca="1">IFERROR(__xludf.DUMMYFUNCTION("""COMPUTED_VALUE"""),28.18)</f>
        <v>28.18</v>
      </c>
      <c r="D93">
        <v>16.170000000000002</v>
      </c>
      <c r="E93">
        <v>25.98</v>
      </c>
      <c r="F93">
        <v>26.73</v>
      </c>
      <c r="G93">
        <v>8.4600000000000009</v>
      </c>
      <c r="H93">
        <v>147.71</v>
      </c>
      <c r="I93">
        <v>27.39</v>
      </c>
      <c r="J93">
        <v>54.84</v>
      </c>
      <c r="K93">
        <v>113.37</v>
      </c>
      <c r="L93">
        <v>29.31</v>
      </c>
      <c r="M93" s="125">
        <f ca="1">IFERROR(__xludf.DUMMYFUNCTION("""COMPUTED_VALUE"""),43370.6666666666)</f>
        <v>43370.666666666599</v>
      </c>
      <c r="N93">
        <f ca="1">IFERROR(__xludf.DUMMYFUNCTION("""COMPUTED_VALUE"""),26.03)</f>
        <v>26.03</v>
      </c>
      <c r="O93" s="125">
        <f ca="1">IFERROR(__xludf.DUMMYFUNCTION("""COMPUTED_VALUE"""),42838.6666666666)</f>
        <v>42838.666666666599</v>
      </c>
      <c r="P93">
        <f ca="1">IFERROR(__xludf.DUMMYFUNCTION("""COMPUTED_VALUE"""),28.18)</f>
        <v>28.18</v>
      </c>
    </row>
    <row r="94" spans="2:16" ht="12.75">
      <c r="B94" s="125">
        <f ca="1">IFERROR(__xludf.DUMMYFUNCTION("""COMPUTED_VALUE"""),42842.6666666666)</f>
        <v>42842.666666666599</v>
      </c>
      <c r="C94">
        <f ca="1">IFERROR(__xludf.DUMMYFUNCTION("""COMPUTED_VALUE"""),28.49)</f>
        <v>28.49</v>
      </c>
      <c r="D94">
        <v>16.190000000000001</v>
      </c>
      <c r="E94">
        <v>25.91</v>
      </c>
      <c r="F94">
        <v>26.92</v>
      </c>
      <c r="G94">
        <v>8.58</v>
      </c>
      <c r="H94">
        <v>149.63</v>
      </c>
      <c r="I94">
        <v>27.46</v>
      </c>
      <c r="J94">
        <v>55.23</v>
      </c>
      <c r="K94">
        <v>113.98</v>
      </c>
      <c r="L94">
        <v>29.39</v>
      </c>
      <c r="M94" s="125">
        <f ca="1">IFERROR(__xludf.DUMMYFUNCTION("""COMPUTED_VALUE"""),43371.6666666666)</f>
        <v>43371.666666666599</v>
      </c>
      <c r="N94">
        <f ca="1">IFERROR(__xludf.DUMMYFUNCTION("""COMPUTED_VALUE"""),26.23)</f>
        <v>26.23</v>
      </c>
      <c r="O94" s="125">
        <f ca="1">IFERROR(__xludf.DUMMYFUNCTION("""COMPUTED_VALUE"""),42842.6666666666)</f>
        <v>42842.666666666599</v>
      </c>
      <c r="P94">
        <f ca="1">IFERROR(__xludf.DUMMYFUNCTION("""COMPUTED_VALUE"""),28.49)</f>
        <v>28.49</v>
      </c>
    </row>
    <row r="95" spans="2:16" ht="12.75">
      <c r="B95" s="125">
        <f ca="1">IFERROR(__xludf.DUMMYFUNCTION("""COMPUTED_VALUE"""),42843.6666666666)</f>
        <v>42843.666666666599</v>
      </c>
      <c r="C95">
        <f ca="1">IFERROR(__xludf.DUMMYFUNCTION("""COMPUTED_VALUE"""),28.25)</f>
        <v>28.25</v>
      </c>
      <c r="D95">
        <v>16.3</v>
      </c>
      <c r="E95">
        <v>25.69</v>
      </c>
      <c r="F95">
        <v>26.82</v>
      </c>
      <c r="G95">
        <v>8.5</v>
      </c>
      <c r="H95">
        <v>149.34</v>
      </c>
      <c r="I95">
        <v>27.19</v>
      </c>
      <c r="J95">
        <v>55.48</v>
      </c>
      <c r="K95">
        <v>114.16</v>
      </c>
      <c r="L95">
        <v>29.68</v>
      </c>
      <c r="M95" s="125">
        <f ca="1">IFERROR(__xludf.DUMMYFUNCTION("""COMPUTED_VALUE"""),43374.6666666666)</f>
        <v>43374.666666666599</v>
      </c>
      <c r="N95">
        <f ca="1">IFERROR(__xludf.DUMMYFUNCTION("""COMPUTED_VALUE"""),26.15)</f>
        <v>26.15</v>
      </c>
      <c r="O95" s="125">
        <f ca="1">IFERROR(__xludf.DUMMYFUNCTION("""COMPUTED_VALUE"""),42843.6666666666)</f>
        <v>42843.666666666599</v>
      </c>
      <c r="P95">
        <f ca="1">IFERROR(__xludf.DUMMYFUNCTION("""COMPUTED_VALUE"""),28.25)</f>
        <v>28.25</v>
      </c>
    </row>
    <row r="96" spans="2:16" ht="12.75">
      <c r="B96" s="125">
        <f ca="1">IFERROR(__xludf.DUMMYFUNCTION("""COMPUTED_VALUE"""),42844.6666666666)</f>
        <v>42844.666666666599</v>
      </c>
      <c r="C96">
        <f ca="1">IFERROR(__xludf.DUMMYFUNCTION("""COMPUTED_VALUE"""),28.21)</f>
        <v>28.21</v>
      </c>
      <c r="D96" t="e">
        <v>#N/A</v>
      </c>
      <c r="E96">
        <v>25.78</v>
      </c>
      <c r="F96">
        <v>26.88</v>
      </c>
      <c r="G96">
        <v>8.4499999999999993</v>
      </c>
      <c r="H96">
        <v>149.46</v>
      </c>
      <c r="I96">
        <v>27.15</v>
      </c>
      <c r="J96">
        <v>55.27</v>
      </c>
      <c r="K96">
        <v>113.35</v>
      </c>
      <c r="L96">
        <v>30.04</v>
      </c>
      <c r="M96" s="125">
        <f ca="1">IFERROR(__xludf.DUMMYFUNCTION("""COMPUTED_VALUE"""),43375.6666666666)</f>
        <v>43375.666666666599</v>
      </c>
      <c r="N96">
        <f ca="1">IFERROR(__xludf.DUMMYFUNCTION("""COMPUTED_VALUE"""),25.9)</f>
        <v>25.9</v>
      </c>
      <c r="O96" s="125">
        <f ca="1">IFERROR(__xludf.DUMMYFUNCTION("""COMPUTED_VALUE"""),42844.6666666666)</f>
        <v>42844.666666666599</v>
      </c>
      <c r="P96">
        <f ca="1">IFERROR(__xludf.DUMMYFUNCTION("""COMPUTED_VALUE"""),28.21)</f>
        <v>28.21</v>
      </c>
    </row>
    <row r="97" spans="2:16" ht="12.75">
      <c r="B97" s="125">
        <f ca="1">IFERROR(__xludf.DUMMYFUNCTION("""COMPUTED_VALUE"""),42845.6666666666)</f>
        <v>42845.666666666599</v>
      </c>
      <c r="C97">
        <f ca="1">IFERROR(__xludf.DUMMYFUNCTION("""COMPUTED_VALUE"""),28.81)</f>
        <v>28.81</v>
      </c>
      <c r="D97">
        <v>16.440000000000001</v>
      </c>
      <c r="E97">
        <v>25.79</v>
      </c>
      <c r="F97">
        <v>27.07</v>
      </c>
      <c r="G97">
        <v>8.4700000000000006</v>
      </c>
      <c r="H97">
        <v>150.59</v>
      </c>
      <c r="I97">
        <v>27.3</v>
      </c>
      <c r="J97">
        <v>55.16</v>
      </c>
      <c r="K97">
        <v>112.87</v>
      </c>
      <c r="L97">
        <v>30.23</v>
      </c>
      <c r="M97" s="125">
        <f ca="1">IFERROR(__xludf.DUMMYFUNCTION("""COMPUTED_VALUE"""),43376.6666666666)</f>
        <v>43376.666666666599</v>
      </c>
      <c r="N97">
        <f ca="1">IFERROR(__xludf.DUMMYFUNCTION("""COMPUTED_VALUE"""),25.54)</f>
        <v>25.54</v>
      </c>
      <c r="O97" s="125">
        <f ca="1">IFERROR(__xludf.DUMMYFUNCTION("""COMPUTED_VALUE"""),42845.6666666666)</f>
        <v>42845.666666666599</v>
      </c>
      <c r="P97">
        <f ca="1">IFERROR(__xludf.DUMMYFUNCTION("""COMPUTED_VALUE"""),28.81)</f>
        <v>28.81</v>
      </c>
    </row>
    <row r="98" spans="2:16" ht="12.75">
      <c r="B98" s="125">
        <f ca="1">IFERROR(__xludf.DUMMYFUNCTION("""COMPUTED_VALUE"""),42846.6666666666)</f>
        <v>42846.666666666599</v>
      </c>
      <c r="C98">
        <f ca="1">IFERROR(__xludf.DUMMYFUNCTION("""COMPUTED_VALUE"""),28.88)</f>
        <v>28.88</v>
      </c>
      <c r="D98">
        <v>16.54</v>
      </c>
      <c r="E98">
        <v>25.81</v>
      </c>
      <c r="F98">
        <v>27.06</v>
      </c>
      <c r="G98">
        <v>8.43</v>
      </c>
      <c r="H98">
        <v>151.37</v>
      </c>
      <c r="I98">
        <v>27.37</v>
      </c>
      <c r="J98">
        <v>55</v>
      </c>
      <c r="K98">
        <v>113.44</v>
      </c>
      <c r="L98">
        <v>29.84</v>
      </c>
      <c r="M98" s="125">
        <f ca="1">IFERROR(__xludf.DUMMYFUNCTION("""COMPUTED_VALUE"""),43377.6666666666)</f>
        <v>43377.666666666599</v>
      </c>
      <c r="N98">
        <f ca="1">IFERROR(__xludf.DUMMYFUNCTION("""COMPUTED_VALUE"""),25.35)</f>
        <v>25.35</v>
      </c>
      <c r="O98" s="125">
        <f ca="1">IFERROR(__xludf.DUMMYFUNCTION("""COMPUTED_VALUE"""),42846.6666666666)</f>
        <v>42846.666666666599</v>
      </c>
      <c r="P98">
        <f ca="1">IFERROR(__xludf.DUMMYFUNCTION("""COMPUTED_VALUE"""),28.88)</f>
        <v>28.88</v>
      </c>
    </row>
    <row r="99" spans="2:16" ht="12.75">
      <c r="B99" s="125">
        <f ca="1">IFERROR(__xludf.DUMMYFUNCTION("""COMPUTED_VALUE"""),42849.6666666666)</f>
        <v>42849.666666666599</v>
      </c>
      <c r="C99">
        <f ca="1">IFERROR(__xludf.DUMMYFUNCTION("""COMPUTED_VALUE"""),29.18)</f>
        <v>29.18</v>
      </c>
      <c r="D99">
        <v>16.8</v>
      </c>
      <c r="E99">
        <v>25.57</v>
      </c>
      <c r="F99">
        <v>28.11</v>
      </c>
      <c r="G99">
        <v>8.5299999999999994</v>
      </c>
      <c r="H99">
        <v>153.38</v>
      </c>
      <c r="I99">
        <v>28.21</v>
      </c>
      <c r="J99">
        <v>55.5</v>
      </c>
      <c r="K99">
        <v>113.99</v>
      </c>
      <c r="L99">
        <v>30.22</v>
      </c>
      <c r="M99" s="125">
        <f ca="1">IFERROR(__xludf.DUMMYFUNCTION("""COMPUTED_VALUE"""),43378.6666666666)</f>
        <v>43378.666666666599</v>
      </c>
      <c r="N99">
        <f ca="1">IFERROR(__xludf.DUMMYFUNCTION("""COMPUTED_VALUE"""),25.35)</f>
        <v>25.35</v>
      </c>
      <c r="O99" s="125">
        <f ca="1">IFERROR(__xludf.DUMMYFUNCTION("""COMPUTED_VALUE"""),42849.6666666666)</f>
        <v>42849.666666666599</v>
      </c>
      <c r="P99">
        <f ca="1">IFERROR(__xludf.DUMMYFUNCTION("""COMPUTED_VALUE"""),29.18)</f>
        <v>29.18</v>
      </c>
    </row>
    <row r="100" spans="2:16" ht="12.75">
      <c r="B100" s="125">
        <f ca="1">IFERROR(__xludf.DUMMYFUNCTION("""COMPUTED_VALUE"""),42850.6666666666)</f>
        <v>42850.666666666599</v>
      </c>
      <c r="C100">
        <f ca="1">IFERROR(__xludf.DUMMYFUNCTION("""COMPUTED_VALUE"""),29.6)</f>
        <v>29.6</v>
      </c>
      <c r="D100">
        <v>16.940000000000001</v>
      </c>
      <c r="E100">
        <v>25.5</v>
      </c>
      <c r="F100">
        <v>28.25</v>
      </c>
      <c r="G100">
        <v>8.56</v>
      </c>
      <c r="H100">
        <v>153.72</v>
      </c>
      <c r="I100">
        <v>28.28</v>
      </c>
      <c r="J100">
        <v>55.72</v>
      </c>
      <c r="K100">
        <v>113.95</v>
      </c>
      <c r="L100">
        <v>30.33</v>
      </c>
      <c r="M100" s="125">
        <f ca="1">IFERROR(__xludf.DUMMYFUNCTION("""COMPUTED_VALUE"""),43381.6666666666)</f>
        <v>43381.666666666599</v>
      </c>
      <c r="N100">
        <f ca="1">IFERROR(__xludf.DUMMYFUNCTION("""COMPUTED_VALUE"""),25.4)</f>
        <v>25.4</v>
      </c>
      <c r="O100" s="125">
        <f ca="1">IFERROR(__xludf.DUMMYFUNCTION("""COMPUTED_VALUE"""),42850.6666666666)</f>
        <v>42850.666666666599</v>
      </c>
      <c r="P100">
        <f ca="1">IFERROR(__xludf.DUMMYFUNCTION("""COMPUTED_VALUE"""),29.6)</f>
        <v>29.6</v>
      </c>
    </row>
    <row r="101" spans="2:16" ht="12.75">
      <c r="B101" s="125">
        <f ca="1">IFERROR(__xludf.DUMMYFUNCTION("""COMPUTED_VALUE"""),42851.6666666666)</f>
        <v>42851.666666666599</v>
      </c>
      <c r="C101">
        <f ca="1">IFERROR(__xludf.DUMMYFUNCTION("""COMPUTED_VALUE"""),29.52)</f>
        <v>29.52</v>
      </c>
      <c r="D101">
        <v>16.91</v>
      </c>
      <c r="E101">
        <v>25.56</v>
      </c>
      <c r="F101">
        <v>28.09</v>
      </c>
      <c r="G101">
        <v>8.52</v>
      </c>
      <c r="H101">
        <v>154.05000000000001</v>
      </c>
      <c r="I101">
        <v>28.17</v>
      </c>
      <c r="J101">
        <v>55.27</v>
      </c>
      <c r="K101">
        <v>113.69</v>
      </c>
      <c r="L101">
        <v>30.21</v>
      </c>
      <c r="M101" s="125">
        <f ca="1">IFERROR(__xludf.DUMMYFUNCTION("""COMPUTED_VALUE"""),43382.6666666666)</f>
        <v>43382.666666666599</v>
      </c>
      <c r="N101">
        <f ca="1">IFERROR(__xludf.DUMMYFUNCTION("""COMPUTED_VALUE"""),25.48)</f>
        <v>25.48</v>
      </c>
      <c r="O101" s="125">
        <f ca="1">IFERROR(__xludf.DUMMYFUNCTION("""COMPUTED_VALUE"""),42851.6666666666)</f>
        <v>42851.666666666599</v>
      </c>
      <c r="P101">
        <f ca="1">IFERROR(__xludf.DUMMYFUNCTION("""COMPUTED_VALUE"""),29.52)</f>
        <v>29.52</v>
      </c>
    </row>
    <row r="102" spans="2:16" ht="12.75">
      <c r="B102" s="125">
        <f ca="1">IFERROR(__xludf.DUMMYFUNCTION("""COMPUTED_VALUE"""),42852.6666666666)</f>
        <v>42852.666666666599</v>
      </c>
      <c r="C102">
        <f ca="1">IFERROR(__xludf.DUMMYFUNCTION("""COMPUTED_VALUE"""),29.73)</f>
        <v>29.73</v>
      </c>
      <c r="D102">
        <v>17.18</v>
      </c>
      <c r="E102">
        <v>25.6</v>
      </c>
      <c r="F102">
        <v>28.07</v>
      </c>
      <c r="G102">
        <v>8.48</v>
      </c>
      <c r="H102">
        <v>154.35</v>
      </c>
      <c r="I102">
        <v>28.19</v>
      </c>
      <c r="J102">
        <v>55.2</v>
      </c>
      <c r="K102">
        <v>113.97</v>
      </c>
      <c r="L102">
        <v>30.54</v>
      </c>
      <c r="M102" s="125">
        <f ca="1">IFERROR(__xludf.DUMMYFUNCTION("""COMPUTED_VALUE"""),43383.6666666666)</f>
        <v>43383.666666666599</v>
      </c>
      <c r="N102">
        <f ca="1">IFERROR(__xludf.DUMMYFUNCTION("""COMPUTED_VALUE"""),25.38)</f>
        <v>25.38</v>
      </c>
      <c r="O102" s="125">
        <f ca="1">IFERROR(__xludf.DUMMYFUNCTION("""COMPUTED_VALUE"""),42852.6666666666)</f>
        <v>42852.666666666599</v>
      </c>
      <c r="P102">
        <f ca="1">IFERROR(__xludf.DUMMYFUNCTION("""COMPUTED_VALUE"""),29.73)</f>
        <v>29.73</v>
      </c>
    </row>
    <row r="103" spans="2:16" ht="12.75">
      <c r="B103" s="125">
        <f ca="1">IFERROR(__xludf.DUMMYFUNCTION("""COMPUTED_VALUE"""),42853.6666666666)</f>
        <v>42853.666666666599</v>
      </c>
      <c r="C103">
        <f ca="1">IFERROR(__xludf.DUMMYFUNCTION("""COMPUTED_VALUE"""),29.77)</f>
        <v>29.77</v>
      </c>
      <c r="D103">
        <v>17.100000000000001</v>
      </c>
      <c r="E103">
        <v>25.57</v>
      </c>
      <c r="F103">
        <v>28.08</v>
      </c>
      <c r="G103">
        <v>8.48</v>
      </c>
      <c r="H103">
        <v>153.76</v>
      </c>
      <c r="I103">
        <v>28.16</v>
      </c>
      <c r="J103">
        <v>55.18</v>
      </c>
      <c r="K103">
        <v>113.38</v>
      </c>
      <c r="L103">
        <v>30.63</v>
      </c>
      <c r="M103" s="125">
        <f ca="1">IFERROR(__xludf.DUMMYFUNCTION("""COMPUTED_VALUE"""),43384.6666666666)</f>
        <v>43384.666666666599</v>
      </c>
      <c r="N103">
        <f ca="1">IFERROR(__xludf.DUMMYFUNCTION("""COMPUTED_VALUE"""),24.41)</f>
        <v>24.41</v>
      </c>
      <c r="O103" s="125">
        <f ca="1">IFERROR(__xludf.DUMMYFUNCTION("""COMPUTED_VALUE"""),42853.6666666666)</f>
        <v>42853.666666666599</v>
      </c>
      <c r="P103">
        <f ca="1">IFERROR(__xludf.DUMMYFUNCTION("""COMPUTED_VALUE"""),29.77)</f>
        <v>29.77</v>
      </c>
    </row>
    <row r="104" spans="2:16" ht="12.75">
      <c r="B104" s="125">
        <f ca="1">IFERROR(__xludf.DUMMYFUNCTION("""COMPUTED_VALUE"""),42856.6666666666)</f>
        <v>42856.666666666599</v>
      </c>
      <c r="C104">
        <f ca="1">IFERROR(__xludf.DUMMYFUNCTION("""COMPUTED_VALUE"""),30.11)</f>
        <v>30.11</v>
      </c>
      <c r="D104">
        <v>17.239999999999998</v>
      </c>
      <c r="E104">
        <v>25.59</v>
      </c>
      <c r="F104">
        <v>28.25</v>
      </c>
      <c r="G104">
        <v>8.5500000000000007</v>
      </c>
      <c r="H104">
        <v>153.12</v>
      </c>
      <c r="I104">
        <v>28.33</v>
      </c>
      <c r="J104">
        <v>54.97</v>
      </c>
      <c r="K104">
        <v>112.82</v>
      </c>
      <c r="L104">
        <v>30.58</v>
      </c>
      <c r="M104" s="125">
        <f ca="1">IFERROR(__xludf.DUMMYFUNCTION("""COMPUTED_VALUE"""),43385.6666666666)</f>
        <v>43385.666666666599</v>
      </c>
      <c r="N104">
        <f ca="1">IFERROR(__xludf.DUMMYFUNCTION("""COMPUTED_VALUE"""),24.13)</f>
        <v>24.13</v>
      </c>
      <c r="O104" s="125">
        <f ca="1">IFERROR(__xludf.DUMMYFUNCTION("""COMPUTED_VALUE"""),42856.6666666666)</f>
        <v>42856.666666666599</v>
      </c>
      <c r="P104">
        <f ca="1">IFERROR(__xludf.DUMMYFUNCTION("""COMPUTED_VALUE"""),30.11)</f>
        <v>30.11</v>
      </c>
    </row>
    <row r="105" spans="2:16" ht="12.75">
      <c r="B105" s="125">
        <f ca="1">IFERROR(__xludf.DUMMYFUNCTION("""COMPUTED_VALUE"""),42857.6666666666)</f>
        <v>42857.666666666599</v>
      </c>
      <c r="C105">
        <f ca="1">IFERROR(__xludf.DUMMYFUNCTION("""COMPUTED_VALUE"""),30.23)</f>
        <v>30.23</v>
      </c>
      <c r="D105">
        <v>17.28</v>
      </c>
      <c r="E105">
        <v>25.55</v>
      </c>
      <c r="F105">
        <v>28.48</v>
      </c>
      <c r="G105">
        <v>8.65</v>
      </c>
      <c r="H105">
        <v>153.47</v>
      </c>
      <c r="I105">
        <v>28.37</v>
      </c>
      <c r="J105">
        <v>54.6</v>
      </c>
      <c r="K105">
        <v>112.91</v>
      </c>
      <c r="L105">
        <v>30.49</v>
      </c>
      <c r="M105" s="125">
        <f ca="1">IFERROR(__xludf.DUMMYFUNCTION("""COMPUTED_VALUE"""),43388.6666666666)</f>
        <v>43388.666666666599</v>
      </c>
      <c r="N105">
        <f ca="1">IFERROR(__xludf.DUMMYFUNCTION("""COMPUTED_VALUE"""),24.52)</f>
        <v>24.52</v>
      </c>
      <c r="O105" s="125">
        <f ca="1">IFERROR(__xludf.DUMMYFUNCTION("""COMPUTED_VALUE"""),42857.6666666666)</f>
        <v>42857.666666666599</v>
      </c>
      <c r="P105">
        <f ca="1">IFERROR(__xludf.DUMMYFUNCTION("""COMPUTED_VALUE"""),30.23)</f>
        <v>30.23</v>
      </c>
    </row>
    <row r="106" spans="2:16" ht="12.75">
      <c r="B106" s="125">
        <f ca="1">IFERROR(__xludf.DUMMYFUNCTION("""COMPUTED_VALUE"""),42858.6666666666)</f>
        <v>42858.666666666599</v>
      </c>
      <c r="C106">
        <f ca="1">IFERROR(__xludf.DUMMYFUNCTION("""COMPUTED_VALUE"""),30.1)</f>
        <v>30.1</v>
      </c>
      <c r="D106">
        <v>17.100000000000001</v>
      </c>
      <c r="E106">
        <v>25.65</v>
      </c>
      <c r="F106">
        <v>28.47</v>
      </c>
      <c r="G106">
        <v>8.6199999999999992</v>
      </c>
      <c r="H106">
        <v>152.91999999999999</v>
      </c>
      <c r="I106">
        <v>28.4</v>
      </c>
      <c r="J106">
        <v>54.65</v>
      </c>
      <c r="K106">
        <v>112.46</v>
      </c>
      <c r="L106">
        <v>30.38</v>
      </c>
      <c r="M106" s="125">
        <f ca="1">IFERROR(__xludf.DUMMYFUNCTION("""COMPUTED_VALUE"""),43389.6666666666)</f>
        <v>43389.666666666599</v>
      </c>
      <c r="N106">
        <f ca="1">IFERROR(__xludf.DUMMYFUNCTION("""COMPUTED_VALUE"""),24.92)</f>
        <v>24.92</v>
      </c>
      <c r="O106" s="125">
        <f ca="1">IFERROR(__xludf.DUMMYFUNCTION("""COMPUTED_VALUE"""),42858.6666666666)</f>
        <v>42858.666666666599</v>
      </c>
      <c r="P106">
        <f ca="1">IFERROR(__xludf.DUMMYFUNCTION("""COMPUTED_VALUE"""),30.1)</f>
        <v>30.1</v>
      </c>
    </row>
    <row r="107" spans="2:16" ht="12.75">
      <c r="B107" s="125">
        <f ca="1">IFERROR(__xludf.DUMMYFUNCTION("""COMPUTED_VALUE"""),42859.6666666666)</f>
        <v>42859.666666666599</v>
      </c>
      <c r="C107">
        <f ca="1">IFERROR(__xludf.DUMMYFUNCTION("""COMPUTED_VALUE"""),30.02)</f>
        <v>30.02</v>
      </c>
      <c r="D107">
        <v>17.350000000000001</v>
      </c>
      <c r="E107">
        <v>25.49</v>
      </c>
      <c r="F107">
        <v>28.91</v>
      </c>
      <c r="G107">
        <v>8.59</v>
      </c>
      <c r="H107">
        <v>153.08000000000001</v>
      </c>
      <c r="I107">
        <v>28.66</v>
      </c>
      <c r="J107">
        <v>55.07</v>
      </c>
      <c r="K107">
        <v>112.79</v>
      </c>
      <c r="L107">
        <v>30.17</v>
      </c>
      <c r="M107" s="125">
        <f ca="1">IFERROR(__xludf.DUMMYFUNCTION("""COMPUTED_VALUE"""),43390.6666666666)</f>
        <v>43390.666666666599</v>
      </c>
      <c r="N107">
        <f ca="1">IFERROR(__xludf.DUMMYFUNCTION("""COMPUTED_VALUE"""),24.91)</f>
        <v>24.91</v>
      </c>
      <c r="O107" s="125">
        <f ca="1">IFERROR(__xludf.DUMMYFUNCTION("""COMPUTED_VALUE"""),42859.6666666666)</f>
        <v>42859.666666666599</v>
      </c>
      <c r="P107">
        <f ca="1">IFERROR(__xludf.DUMMYFUNCTION("""COMPUTED_VALUE"""),30.02)</f>
        <v>30.02</v>
      </c>
    </row>
    <row r="108" spans="2:16" ht="12.75">
      <c r="B108" s="125">
        <f ca="1">IFERROR(__xludf.DUMMYFUNCTION("""COMPUTED_VALUE"""),42860.6666666666)</f>
        <v>42860.666666666599</v>
      </c>
      <c r="C108">
        <f ca="1">IFERROR(__xludf.DUMMYFUNCTION("""COMPUTED_VALUE"""),30.53)</f>
        <v>30.53</v>
      </c>
      <c r="D108">
        <v>17.41</v>
      </c>
      <c r="E108">
        <v>25.45</v>
      </c>
      <c r="F108">
        <v>29.15</v>
      </c>
      <c r="G108">
        <v>8.74</v>
      </c>
      <c r="H108">
        <v>154.46</v>
      </c>
      <c r="I108">
        <v>29.04</v>
      </c>
      <c r="J108">
        <v>55.22</v>
      </c>
      <c r="K108">
        <v>113.48</v>
      </c>
      <c r="L108">
        <v>30.61</v>
      </c>
      <c r="M108" s="125">
        <f ca="1">IFERROR(__xludf.DUMMYFUNCTION("""COMPUTED_VALUE"""),43391.6666666666)</f>
        <v>43391.666666666599</v>
      </c>
      <c r="N108">
        <f ca="1">IFERROR(__xludf.DUMMYFUNCTION("""COMPUTED_VALUE"""),24.68)</f>
        <v>24.68</v>
      </c>
      <c r="O108" s="125">
        <f ca="1">IFERROR(__xludf.DUMMYFUNCTION("""COMPUTED_VALUE"""),42860.6666666666)</f>
        <v>42860.666666666599</v>
      </c>
      <c r="P108">
        <f ca="1">IFERROR(__xludf.DUMMYFUNCTION("""COMPUTED_VALUE"""),30.53)</f>
        <v>30.53</v>
      </c>
    </row>
    <row r="109" spans="2:16" ht="12.75">
      <c r="B109" s="125">
        <f ca="1">IFERROR(__xludf.DUMMYFUNCTION("""COMPUTED_VALUE"""),42863.6666666666)</f>
        <v>42863.666666666599</v>
      </c>
      <c r="C109">
        <f ca="1">IFERROR(__xludf.DUMMYFUNCTION("""COMPUTED_VALUE"""),30.68)</f>
        <v>30.68</v>
      </c>
      <c r="D109">
        <v>17.36</v>
      </c>
      <c r="E109">
        <v>25.59</v>
      </c>
      <c r="F109">
        <v>28.94</v>
      </c>
      <c r="G109">
        <v>8.59</v>
      </c>
      <c r="H109">
        <v>154.22999999999999</v>
      </c>
      <c r="I109">
        <v>28.76</v>
      </c>
      <c r="J109">
        <v>55.2</v>
      </c>
      <c r="K109">
        <v>113.39</v>
      </c>
      <c r="L109">
        <v>30.86</v>
      </c>
      <c r="M109" s="125">
        <f ca="1">IFERROR(__xludf.DUMMYFUNCTION("""COMPUTED_VALUE"""),43392.6666666666)</f>
        <v>43392.666666666599</v>
      </c>
      <c r="N109">
        <f ca="1">IFERROR(__xludf.DUMMYFUNCTION("""COMPUTED_VALUE"""),24.99)</f>
        <v>24.99</v>
      </c>
      <c r="O109" s="125">
        <f ca="1">IFERROR(__xludf.DUMMYFUNCTION("""COMPUTED_VALUE"""),42863.6666666666)</f>
        <v>42863.666666666599</v>
      </c>
      <c r="P109">
        <f ca="1">IFERROR(__xludf.DUMMYFUNCTION("""COMPUTED_VALUE"""),30.68)</f>
        <v>30.68</v>
      </c>
    </row>
    <row r="110" spans="2:16" ht="12.75">
      <c r="B110" s="125">
        <f ca="1">IFERROR(__xludf.DUMMYFUNCTION("""COMPUTED_VALUE"""),42864.6666666666)</f>
        <v>42864.666666666599</v>
      </c>
      <c r="C110">
        <f ca="1">IFERROR(__xludf.DUMMYFUNCTION("""COMPUTED_VALUE"""),31.33)</f>
        <v>31.33</v>
      </c>
      <c r="D110">
        <v>17.34</v>
      </c>
      <c r="E110">
        <v>25.72</v>
      </c>
      <c r="F110">
        <v>28.86</v>
      </c>
      <c r="G110">
        <v>8.69</v>
      </c>
      <c r="H110">
        <v>154.31</v>
      </c>
      <c r="I110">
        <v>28.86</v>
      </c>
      <c r="J110">
        <v>55</v>
      </c>
      <c r="K110">
        <v>112.4</v>
      </c>
      <c r="L110">
        <v>30.51</v>
      </c>
      <c r="M110" s="125">
        <f ca="1">IFERROR(__xludf.DUMMYFUNCTION("""COMPUTED_VALUE"""),43395.6666666666)</f>
        <v>43395.666666666599</v>
      </c>
      <c r="N110">
        <f ca="1">IFERROR(__xludf.DUMMYFUNCTION("""COMPUTED_VALUE"""),24.9)</f>
        <v>24.9</v>
      </c>
      <c r="O110" s="125">
        <f ca="1">IFERROR(__xludf.DUMMYFUNCTION("""COMPUTED_VALUE"""),42864.6666666666)</f>
        <v>42864.666666666599</v>
      </c>
      <c r="P110">
        <f ca="1">IFERROR(__xludf.DUMMYFUNCTION("""COMPUTED_VALUE"""),31.33)</f>
        <v>31.33</v>
      </c>
    </row>
    <row r="111" spans="2:16" ht="12.75">
      <c r="B111" s="125">
        <f ca="1">IFERROR(__xludf.DUMMYFUNCTION("""COMPUTED_VALUE"""),42865.6666666666)</f>
        <v>42865.666666666599</v>
      </c>
      <c r="C111">
        <f ca="1">IFERROR(__xludf.DUMMYFUNCTION("""COMPUTED_VALUE"""),31.48)</f>
        <v>31.48</v>
      </c>
      <c r="D111">
        <v>17.440000000000001</v>
      </c>
      <c r="E111">
        <v>25.73</v>
      </c>
      <c r="F111">
        <v>28.83</v>
      </c>
      <c r="G111">
        <v>8.6999999999999993</v>
      </c>
      <c r="H111">
        <v>153.69999999999999</v>
      </c>
      <c r="I111">
        <v>28.88</v>
      </c>
      <c r="J111">
        <v>55.04</v>
      </c>
      <c r="K111">
        <v>112.72</v>
      </c>
      <c r="L111">
        <v>30</v>
      </c>
      <c r="M111" s="125">
        <f ca="1">IFERROR(__xludf.DUMMYFUNCTION("""COMPUTED_VALUE"""),43396.6666666666)</f>
        <v>43396.666666666599</v>
      </c>
      <c r="N111">
        <f ca="1">IFERROR(__xludf.DUMMYFUNCTION("""COMPUTED_VALUE"""),24.98)</f>
        <v>24.98</v>
      </c>
      <c r="O111" s="125">
        <f ca="1">IFERROR(__xludf.DUMMYFUNCTION("""COMPUTED_VALUE"""),42865.6666666666)</f>
        <v>42865.666666666599</v>
      </c>
      <c r="P111">
        <f ca="1">IFERROR(__xludf.DUMMYFUNCTION("""COMPUTED_VALUE"""),31.48)</f>
        <v>31.48</v>
      </c>
    </row>
    <row r="112" spans="2:16" ht="12.75">
      <c r="B112" s="125">
        <f ca="1">IFERROR(__xludf.DUMMYFUNCTION("""COMPUTED_VALUE"""),42866.6666666666)</f>
        <v>42866.666666666599</v>
      </c>
      <c r="C112">
        <f ca="1">IFERROR(__xludf.DUMMYFUNCTION("""COMPUTED_VALUE"""),31.54)</f>
        <v>31.54</v>
      </c>
      <c r="D112">
        <v>17.350000000000001</v>
      </c>
      <c r="E112">
        <v>25.74</v>
      </c>
      <c r="F112">
        <v>28.78</v>
      </c>
      <c r="G112">
        <v>8.6199999999999992</v>
      </c>
      <c r="H112">
        <v>153.63</v>
      </c>
      <c r="I112">
        <v>28.81</v>
      </c>
      <c r="J112">
        <v>55.12</v>
      </c>
      <c r="K112">
        <v>112.88</v>
      </c>
      <c r="L112">
        <v>30.2</v>
      </c>
      <c r="M112" s="125">
        <f ca="1">IFERROR(__xludf.DUMMYFUNCTION("""COMPUTED_VALUE"""),43397.6666666666)</f>
        <v>43397.666666666599</v>
      </c>
      <c r="N112">
        <f ca="1">IFERROR(__xludf.DUMMYFUNCTION("""COMPUTED_VALUE"""),25.01)</f>
        <v>25.01</v>
      </c>
      <c r="O112" s="125">
        <f ca="1">IFERROR(__xludf.DUMMYFUNCTION("""COMPUTED_VALUE"""),42866.6666666666)</f>
        <v>42866.666666666599</v>
      </c>
      <c r="P112">
        <f ca="1">IFERROR(__xludf.DUMMYFUNCTION("""COMPUTED_VALUE"""),31.54)</f>
        <v>31.54</v>
      </c>
    </row>
    <row r="113" spans="2:16" ht="12.75">
      <c r="B113" s="125">
        <f ca="1">IFERROR(__xludf.DUMMYFUNCTION("""COMPUTED_VALUE"""),42867.6666666666)</f>
        <v>42867.666666666599</v>
      </c>
      <c r="C113">
        <f ca="1">IFERROR(__xludf.DUMMYFUNCTION("""COMPUTED_VALUE"""),31.76)</f>
        <v>31.76</v>
      </c>
      <c r="D113">
        <v>17.329999999999998</v>
      </c>
      <c r="E113">
        <v>25.61</v>
      </c>
      <c r="F113">
        <v>28.97</v>
      </c>
      <c r="G113">
        <v>8.67</v>
      </c>
      <c r="H113">
        <v>152.88</v>
      </c>
      <c r="I113">
        <v>28.92</v>
      </c>
      <c r="J113">
        <v>54.96</v>
      </c>
      <c r="K113">
        <v>113.41</v>
      </c>
      <c r="L113">
        <v>30.31</v>
      </c>
      <c r="M113" s="125">
        <f ca="1">IFERROR(__xludf.DUMMYFUNCTION("""COMPUTED_VALUE"""),43398.6666666666)</f>
        <v>43398.666666666599</v>
      </c>
      <c r="N113">
        <f ca="1">IFERROR(__xludf.DUMMYFUNCTION("""COMPUTED_VALUE"""),25.14)</f>
        <v>25.14</v>
      </c>
      <c r="O113" s="125">
        <f ca="1">IFERROR(__xludf.DUMMYFUNCTION("""COMPUTED_VALUE"""),42867.6666666666)</f>
        <v>42867.666666666599</v>
      </c>
      <c r="P113">
        <f ca="1">IFERROR(__xludf.DUMMYFUNCTION("""COMPUTED_VALUE"""),31.76)</f>
        <v>31.76</v>
      </c>
    </row>
    <row r="114" spans="2:16" ht="12.75">
      <c r="B114" s="125">
        <f ca="1">IFERROR(__xludf.DUMMYFUNCTION("""COMPUTED_VALUE"""),42870.6666666666)</f>
        <v>42870.666666666599</v>
      </c>
      <c r="C114">
        <f ca="1">IFERROR(__xludf.DUMMYFUNCTION("""COMPUTED_VALUE"""),32.05)</f>
        <v>32.049999999999997</v>
      </c>
      <c r="D114">
        <v>17.52</v>
      </c>
      <c r="E114">
        <v>25.54</v>
      </c>
      <c r="F114">
        <v>29.13</v>
      </c>
      <c r="G114">
        <v>8.77</v>
      </c>
      <c r="H114">
        <v>153.74</v>
      </c>
      <c r="I114">
        <v>28.98</v>
      </c>
      <c r="J114">
        <v>55.14</v>
      </c>
      <c r="K114">
        <v>113.91</v>
      </c>
      <c r="L114">
        <v>30.56</v>
      </c>
      <c r="M114" s="125">
        <f ca="1">IFERROR(__xludf.DUMMYFUNCTION("""COMPUTED_VALUE"""),43399.6666666666)</f>
        <v>43399.666666666599</v>
      </c>
      <c r="N114">
        <f ca="1">IFERROR(__xludf.DUMMYFUNCTION("""COMPUTED_VALUE"""),23.98)</f>
        <v>23.98</v>
      </c>
      <c r="O114" s="125">
        <f ca="1">IFERROR(__xludf.DUMMYFUNCTION("""COMPUTED_VALUE"""),42870.6666666666)</f>
        <v>42870.666666666599</v>
      </c>
      <c r="P114">
        <f ca="1">IFERROR(__xludf.DUMMYFUNCTION("""COMPUTED_VALUE"""),32.05)</f>
        <v>32.049999999999997</v>
      </c>
    </row>
    <row r="115" spans="2:16" ht="12.75">
      <c r="B115" s="125">
        <f ca="1">IFERROR(__xludf.DUMMYFUNCTION("""COMPUTED_VALUE"""),42871.6666666666)</f>
        <v>42871.666666666599</v>
      </c>
      <c r="C115">
        <f ca="1">IFERROR(__xludf.DUMMYFUNCTION("""COMPUTED_VALUE"""),32.65)</f>
        <v>32.65</v>
      </c>
      <c r="D115">
        <v>17.63</v>
      </c>
      <c r="E115">
        <v>25.35</v>
      </c>
      <c r="F115">
        <v>29.38</v>
      </c>
      <c r="G115">
        <v>8.73</v>
      </c>
      <c r="H115">
        <v>153.87</v>
      </c>
      <c r="I115">
        <v>28.98</v>
      </c>
      <c r="J115">
        <v>55.09</v>
      </c>
      <c r="K115">
        <v>112.95</v>
      </c>
      <c r="L115">
        <v>30.47</v>
      </c>
      <c r="M115" s="125">
        <f ca="1">IFERROR(__xludf.DUMMYFUNCTION("""COMPUTED_VALUE"""),43402.6666666666)</f>
        <v>43402.666666666599</v>
      </c>
      <c r="N115">
        <f ca="1">IFERROR(__xludf.DUMMYFUNCTION("""COMPUTED_VALUE"""),24.06)</f>
        <v>24.06</v>
      </c>
      <c r="O115" s="125">
        <f ca="1">IFERROR(__xludf.DUMMYFUNCTION("""COMPUTED_VALUE"""),42871.6666666666)</f>
        <v>42871.666666666599</v>
      </c>
      <c r="P115">
        <f ca="1">IFERROR(__xludf.DUMMYFUNCTION("""COMPUTED_VALUE"""),32.65)</f>
        <v>32.65</v>
      </c>
    </row>
    <row r="116" spans="2:16" ht="12.75">
      <c r="B116" s="125">
        <f ca="1">IFERROR(__xludf.DUMMYFUNCTION("""COMPUTED_VALUE"""),42872.6666666666)</f>
        <v>42872.666666666599</v>
      </c>
      <c r="C116">
        <f ca="1">IFERROR(__xludf.DUMMYFUNCTION("""COMPUTED_VALUE"""),31.93)</f>
        <v>31.93</v>
      </c>
      <c r="D116">
        <v>17.14</v>
      </c>
      <c r="E116">
        <v>25.18</v>
      </c>
      <c r="F116">
        <v>28.95</v>
      </c>
      <c r="G116">
        <v>8.6300000000000008</v>
      </c>
      <c r="H116">
        <v>151.02000000000001</v>
      </c>
      <c r="I116">
        <v>28.37</v>
      </c>
      <c r="J116">
        <v>55.01</v>
      </c>
      <c r="K116">
        <v>113.32</v>
      </c>
      <c r="L116">
        <v>30.65</v>
      </c>
      <c r="M116" s="125">
        <f ca="1">IFERROR(__xludf.DUMMYFUNCTION("""COMPUTED_VALUE"""),43403.6666666666)</f>
        <v>43403.666666666599</v>
      </c>
      <c r="N116">
        <f ca="1">IFERROR(__xludf.DUMMYFUNCTION("""COMPUTED_VALUE"""),24.38)</f>
        <v>24.38</v>
      </c>
      <c r="O116" s="125">
        <f ca="1">IFERROR(__xludf.DUMMYFUNCTION("""COMPUTED_VALUE"""),42872.6666666666)</f>
        <v>42872.666666666599</v>
      </c>
      <c r="P116">
        <f ca="1">IFERROR(__xludf.DUMMYFUNCTION("""COMPUTED_VALUE"""),31.93)</f>
        <v>31.93</v>
      </c>
    </row>
    <row r="117" spans="2:16" ht="12.75">
      <c r="B117" s="125">
        <f ca="1">IFERROR(__xludf.DUMMYFUNCTION("""COMPUTED_VALUE"""),42873.6666666666)</f>
        <v>42873.666666666599</v>
      </c>
      <c r="C117">
        <f ca="1">IFERROR(__xludf.DUMMYFUNCTION("""COMPUTED_VALUE"""),31.95)</f>
        <v>31.95</v>
      </c>
      <c r="D117">
        <v>17.21</v>
      </c>
      <c r="E117">
        <v>25.27</v>
      </c>
      <c r="F117">
        <v>29.02</v>
      </c>
      <c r="G117">
        <v>8.4600000000000009</v>
      </c>
      <c r="H117">
        <v>150.83000000000001</v>
      </c>
      <c r="I117">
        <v>28.5</v>
      </c>
      <c r="J117">
        <v>55.05</v>
      </c>
      <c r="K117">
        <v>113.64</v>
      </c>
      <c r="L117">
        <v>30.8</v>
      </c>
      <c r="M117" s="125">
        <f ca="1">IFERROR(__xludf.DUMMYFUNCTION("""COMPUTED_VALUE"""),43404.6666666666)</f>
        <v>43404.666666666599</v>
      </c>
      <c r="N117">
        <f ca="1">IFERROR(__xludf.DUMMYFUNCTION("""COMPUTED_VALUE"""),24.52)</f>
        <v>24.52</v>
      </c>
      <c r="O117" s="125">
        <f ca="1">IFERROR(__xludf.DUMMYFUNCTION("""COMPUTED_VALUE"""),42873.6666666666)</f>
        <v>42873.666666666599</v>
      </c>
      <c r="P117">
        <f ca="1">IFERROR(__xludf.DUMMYFUNCTION("""COMPUTED_VALUE"""),31.95)</f>
        <v>31.95</v>
      </c>
    </row>
    <row r="118" spans="2:16" ht="12.75">
      <c r="B118" s="125">
        <f ca="1">IFERROR(__xludf.DUMMYFUNCTION("""COMPUTED_VALUE"""),42874.6666666666)</f>
        <v>42874.666666666599</v>
      </c>
      <c r="C118">
        <f ca="1">IFERROR(__xludf.DUMMYFUNCTION("""COMPUTED_VALUE"""),32.65)</f>
        <v>32.65</v>
      </c>
      <c r="D118">
        <v>17.510000000000002</v>
      </c>
      <c r="E118">
        <v>25.09</v>
      </c>
      <c r="F118">
        <v>29.34</v>
      </c>
      <c r="G118">
        <v>8.59</v>
      </c>
      <c r="H118">
        <v>153.15</v>
      </c>
      <c r="I118">
        <v>28.61</v>
      </c>
      <c r="J118">
        <v>55.35</v>
      </c>
      <c r="K118">
        <v>114.07</v>
      </c>
      <c r="L118">
        <v>30.98</v>
      </c>
      <c r="M118" s="125">
        <f ca="1">IFERROR(__xludf.DUMMYFUNCTION("""COMPUTED_VALUE"""),43405.6666666666)</f>
        <v>43405.666666666599</v>
      </c>
      <c r="N118">
        <f ca="1">IFERROR(__xludf.DUMMYFUNCTION("""COMPUTED_VALUE"""),24.63)</f>
        <v>24.63</v>
      </c>
      <c r="O118" s="125">
        <f ca="1">IFERROR(__xludf.DUMMYFUNCTION("""COMPUTED_VALUE"""),42874.6666666666)</f>
        <v>42874.666666666599</v>
      </c>
      <c r="P118">
        <f ca="1">IFERROR(__xludf.DUMMYFUNCTION("""COMPUTED_VALUE"""),32.65)</f>
        <v>32.65</v>
      </c>
    </row>
    <row r="119" spans="2:16" ht="12.75">
      <c r="B119" s="125">
        <f ca="1">IFERROR(__xludf.DUMMYFUNCTION("""COMPUTED_VALUE"""),42877.6666666666)</f>
        <v>42877.666666666599</v>
      </c>
      <c r="C119">
        <f ca="1">IFERROR(__xludf.DUMMYFUNCTION("""COMPUTED_VALUE"""),33.05)</f>
        <v>33.049999999999997</v>
      </c>
      <c r="D119">
        <v>17.649999999999999</v>
      </c>
      <c r="E119">
        <v>25.05</v>
      </c>
      <c r="F119">
        <v>29.54</v>
      </c>
      <c r="G119">
        <v>8.58</v>
      </c>
      <c r="H119">
        <v>154.47999999999999</v>
      </c>
      <c r="I119">
        <v>28.57</v>
      </c>
      <c r="J119">
        <v>55.66</v>
      </c>
      <c r="K119">
        <v>115.11</v>
      </c>
      <c r="L119">
        <v>31.19</v>
      </c>
      <c r="M119" s="125">
        <f ca="1">IFERROR(__xludf.DUMMYFUNCTION("""COMPUTED_VALUE"""),43406.6666666666)</f>
        <v>43406.666666666599</v>
      </c>
      <c r="N119">
        <f ca="1">IFERROR(__xludf.DUMMYFUNCTION("""COMPUTED_VALUE"""),24.66)</f>
        <v>24.66</v>
      </c>
      <c r="O119" s="125">
        <f ca="1">IFERROR(__xludf.DUMMYFUNCTION("""COMPUTED_VALUE"""),42877.6666666666)</f>
        <v>42877.666666666599</v>
      </c>
      <c r="P119">
        <f ca="1">IFERROR(__xludf.DUMMYFUNCTION("""COMPUTED_VALUE"""),33.05)</f>
        <v>33.049999999999997</v>
      </c>
    </row>
    <row r="120" spans="2:16" ht="12.75">
      <c r="B120" s="125">
        <f ca="1">IFERROR(__xludf.DUMMYFUNCTION("""COMPUTED_VALUE"""),42878.6666666666)</f>
        <v>42878.666666666599</v>
      </c>
      <c r="C120">
        <f ca="1">IFERROR(__xludf.DUMMYFUNCTION("""COMPUTED_VALUE"""),32.75)</f>
        <v>32.75</v>
      </c>
      <c r="D120">
        <v>17.68</v>
      </c>
      <c r="E120">
        <v>25.16</v>
      </c>
      <c r="F120">
        <v>29.46</v>
      </c>
      <c r="G120">
        <v>8.66</v>
      </c>
      <c r="H120">
        <v>155.07</v>
      </c>
      <c r="I120">
        <v>28.68</v>
      </c>
      <c r="J120">
        <v>55.72</v>
      </c>
      <c r="K120">
        <v>115.43</v>
      </c>
      <c r="L120">
        <v>30.93</v>
      </c>
      <c r="M120" s="125">
        <f ca="1">IFERROR(__xludf.DUMMYFUNCTION("""COMPUTED_VALUE"""),43409.6666666666)</f>
        <v>43409.666666666599</v>
      </c>
      <c r="N120">
        <f ca="1">IFERROR(__xludf.DUMMYFUNCTION("""COMPUTED_VALUE"""),24.97)</f>
        <v>24.97</v>
      </c>
      <c r="O120" s="125">
        <f ca="1">IFERROR(__xludf.DUMMYFUNCTION("""COMPUTED_VALUE"""),42878.6666666666)</f>
        <v>42878.666666666599</v>
      </c>
      <c r="P120">
        <f ca="1">IFERROR(__xludf.DUMMYFUNCTION("""COMPUTED_VALUE"""),32.75)</f>
        <v>32.75</v>
      </c>
    </row>
    <row r="121" spans="2:16" ht="12.75">
      <c r="B121" s="125">
        <f ca="1">IFERROR(__xludf.DUMMYFUNCTION("""COMPUTED_VALUE"""),42879.6666666666)</f>
        <v>42879.666666666599</v>
      </c>
      <c r="C121">
        <f ca="1">IFERROR(__xludf.DUMMYFUNCTION("""COMPUTED_VALUE"""),32.54)</f>
        <v>32.54</v>
      </c>
      <c r="D121">
        <v>17.87</v>
      </c>
      <c r="E121">
        <v>25.08</v>
      </c>
      <c r="F121">
        <v>29.5</v>
      </c>
      <c r="G121">
        <v>8.68</v>
      </c>
      <c r="H121">
        <v>156.08000000000001</v>
      </c>
      <c r="I121">
        <v>28.61</v>
      </c>
      <c r="J121">
        <v>55.94</v>
      </c>
      <c r="K121">
        <v>116.18</v>
      </c>
      <c r="L121">
        <v>30.77</v>
      </c>
      <c r="M121" s="125">
        <f ca="1">IFERROR(__xludf.DUMMYFUNCTION("""COMPUTED_VALUE"""),43410.6666666666)</f>
        <v>43410.666666666599</v>
      </c>
      <c r="N121">
        <f ca="1">IFERROR(__xludf.DUMMYFUNCTION("""COMPUTED_VALUE"""),24.96)</f>
        <v>24.96</v>
      </c>
      <c r="O121" s="125">
        <f ca="1">IFERROR(__xludf.DUMMYFUNCTION("""COMPUTED_VALUE"""),42879.6666666666)</f>
        <v>42879.666666666599</v>
      </c>
      <c r="P121">
        <f ca="1">IFERROR(__xludf.DUMMYFUNCTION("""COMPUTED_VALUE"""),32.54)</f>
        <v>32.54</v>
      </c>
    </row>
    <row r="122" spans="2:16" ht="12.75">
      <c r="B122" s="125">
        <f ca="1">IFERROR(__xludf.DUMMYFUNCTION("""COMPUTED_VALUE"""),42880.6666666666)</f>
        <v>42880.666666666599</v>
      </c>
      <c r="C122">
        <f ca="1">IFERROR(__xludf.DUMMYFUNCTION("""COMPUTED_VALUE"""),32.8)</f>
        <v>32.799999999999997</v>
      </c>
      <c r="D122">
        <v>17.989999999999998</v>
      </c>
      <c r="E122">
        <v>25.11</v>
      </c>
      <c r="F122">
        <v>29.53</v>
      </c>
      <c r="G122">
        <v>8.74</v>
      </c>
      <c r="H122">
        <v>157.57</v>
      </c>
      <c r="I122">
        <v>28.58</v>
      </c>
      <c r="J122">
        <v>56.29</v>
      </c>
      <c r="K122">
        <v>117.16</v>
      </c>
      <c r="L122">
        <v>30.93</v>
      </c>
      <c r="M122" s="125">
        <f ca="1">IFERROR(__xludf.DUMMYFUNCTION("""COMPUTED_VALUE"""),43411.6666666666)</f>
        <v>43411.666666666599</v>
      </c>
      <c r="N122">
        <f ca="1">IFERROR(__xludf.DUMMYFUNCTION("""COMPUTED_VALUE"""),25.2)</f>
        <v>25.2</v>
      </c>
      <c r="O122" s="125">
        <f ca="1">IFERROR(__xludf.DUMMYFUNCTION("""COMPUTED_VALUE"""),42880.6666666666)</f>
        <v>42880.666666666599</v>
      </c>
      <c r="P122">
        <f ca="1">IFERROR(__xludf.DUMMYFUNCTION("""COMPUTED_VALUE"""),32.8)</f>
        <v>32.799999999999997</v>
      </c>
    </row>
    <row r="123" spans="2:16" ht="12.75">
      <c r="B123" s="125">
        <f ca="1">IFERROR(__xludf.DUMMYFUNCTION("""COMPUTED_VALUE"""),42881.6666666666)</f>
        <v>42881.666666666599</v>
      </c>
      <c r="C123">
        <f ca="1">IFERROR(__xludf.DUMMYFUNCTION("""COMPUTED_VALUE"""),32.81)</f>
        <v>32.81</v>
      </c>
      <c r="D123">
        <v>17.93</v>
      </c>
      <c r="E123">
        <v>25.17</v>
      </c>
      <c r="F123">
        <v>29.46</v>
      </c>
      <c r="G123">
        <v>8.73</v>
      </c>
      <c r="H123">
        <v>157.57</v>
      </c>
      <c r="I123">
        <v>28.54</v>
      </c>
      <c r="J123">
        <v>56.5</v>
      </c>
      <c r="K123">
        <v>117.07</v>
      </c>
      <c r="L123">
        <v>30.57</v>
      </c>
      <c r="M123" s="125">
        <f ca="1">IFERROR(__xludf.DUMMYFUNCTION("""COMPUTED_VALUE"""),43412.6666666666)</f>
        <v>43412.666666666599</v>
      </c>
      <c r="N123">
        <f ca="1">IFERROR(__xludf.DUMMYFUNCTION("""COMPUTED_VALUE"""),25.13)</f>
        <v>25.13</v>
      </c>
      <c r="O123" s="125">
        <f ca="1">IFERROR(__xludf.DUMMYFUNCTION("""COMPUTED_VALUE"""),42881.6666666666)</f>
        <v>42881.666666666599</v>
      </c>
      <c r="P123">
        <f ca="1">IFERROR(__xludf.DUMMYFUNCTION("""COMPUTED_VALUE"""),32.81)</f>
        <v>32.81</v>
      </c>
    </row>
    <row r="124" spans="2:16" ht="12.75">
      <c r="B124" s="125">
        <f ca="1">IFERROR(__xludf.DUMMYFUNCTION("""COMPUTED_VALUE"""),42885.6666666666)</f>
        <v>42885.666666666599</v>
      </c>
      <c r="C124">
        <f ca="1">IFERROR(__xludf.DUMMYFUNCTION("""COMPUTED_VALUE"""),32.36)</f>
        <v>32.36</v>
      </c>
      <c r="D124">
        <v>17.95</v>
      </c>
      <c r="E124">
        <v>25.14</v>
      </c>
      <c r="F124">
        <v>29.36</v>
      </c>
      <c r="G124">
        <v>8.7200000000000006</v>
      </c>
      <c r="H124">
        <v>156.91</v>
      </c>
      <c r="I124">
        <v>28.52</v>
      </c>
      <c r="J124">
        <v>56.48</v>
      </c>
      <c r="K124">
        <v>117.35</v>
      </c>
      <c r="L124">
        <v>30.69</v>
      </c>
      <c r="M124" s="125">
        <f ca="1">IFERROR(__xludf.DUMMYFUNCTION("""COMPUTED_VALUE"""),43413.6666666666)</f>
        <v>43413.666666666599</v>
      </c>
      <c r="N124">
        <f ca="1">IFERROR(__xludf.DUMMYFUNCTION("""COMPUTED_VALUE"""),24.93)</f>
        <v>24.93</v>
      </c>
      <c r="O124" s="125">
        <f ca="1">IFERROR(__xludf.DUMMYFUNCTION("""COMPUTED_VALUE"""),42885.6666666666)</f>
        <v>42885.666666666599</v>
      </c>
      <c r="P124">
        <f ca="1">IFERROR(__xludf.DUMMYFUNCTION("""COMPUTED_VALUE"""),32.36)</f>
        <v>32.36</v>
      </c>
    </row>
    <row r="125" spans="2:16" ht="12.75">
      <c r="B125" s="125">
        <f ca="1">IFERROR(__xludf.DUMMYFUNCTION("""COMPUTED_VALUE"""),42886.6666666666)</f>
        <v>42886.666666666599</v>
      </c>
      <c r="C125">
        <f ca="1">IFERROR(__xludf.DUMMYFUNCTION("""COMPUTED_VALUE"""),31.85)</f>
        <v>31.85</v>
      </c>
      <c r="D125">
        <v>18.09</v>
      </c>
      <c r="E125">
        <v>25.08</v>
      </c>
      <c r="F125">
        <v>29.45</v>
      </c>
      <c r="G125">
        <v>8.69</v>
      </c>
      <c r="H125">
        <v>157.81</v>
      </c>
      <c r="I125">
        <v>28.6</v>
      </c>
      <c r="J125">
        <v>56.64</v>
      </c>
      <c r="K125">
        <v>117.92</v>
      </c>
      <c r="L125">
        <v>30.84</v>
      </c>
      <c r="M125" s="125">
        <f ca="1">IFERROR(__xludf.DUMMYFUNCTION("""COMPUTED_VALUE"""),43416.6666666666)</f>
        <v>43416.666666666599</v>
      </c>
      <c r="N125">
        <f ca="1">IFERROR(__xludf.DUMMYFUNCTION("""COMPUTED_VALUE"""),25)</f>
        <v>25</v>
      </c>
      <c r="O125" s="125">
        <f ca="1">IFERROR(__xludf.DUMMYFUNCTION("""COMPUTED_VALUE"""),42886.6666666666)</f>
        <v>42886.666666666599</v>
      </c>
      <c r="P125">
        <f ca="1">IFERROR(__xludf.DUMMYFUNCTION("""COMPUTED_VALUE"""),31.85)</f>
        <v>31.85</v>
      </c>
    </row>
    <row r="126" spans="2:16" ht="12.75">
      <c r="B126" s="125">
        <f ca="1">IFERROR(__xludf.DUMMYFUNCTION("""COMPUTED_VALUE"""),42887.6666666666)</f>
        <v>42887.666666666599</v>
      </c>
      <c r="C126">
        <f ca="1">IFERROR(__xludf.DUMMYFUNCTION("""COMPUTED_VALUE"""),32.21)</f>
        <v>32.21</v>
      </c>
      <c r="D126">
        <v>18.38</v>
      </c>
      <c r="E126">
        <v>25.11</v>
      </c>
      <c r="F126">
        <v>29.69</v>
      </c>
      <c r="G126">
        <v>8.7100000000000009</v>
      </c>
      <c r="H126">
        <v>158.47999999999999</v>
      </c>
      <c r="I126">
        <v>28.78</v>
      </c>
      <c r="J126">
        <v>57.1</v>
      </c>
      <c r="K126">
        <v>118.83</v>
      </c>
      <c r="L126">
        <v>30.97</v>
      </c>
      <c r="M126" s="125">
        <f ca="1">IFERROR(__xludf.DUMMYFUNCTION("""COMPUTED_VALUE"""),43417.6666666666)</f>
        <v>43417.666666666599</v>
      </c>
      <c r="N126">
        <f ca="1">IFERROR(__xludf.DUMMYFUNCTION("""COMPUTED_VALUE"""),25.19)</f>
        <v>25.19</v>
      </c>
      <c r="O126" s="125">
        <f ca="1">IFERROR(__xludf.DUMMYFUNCTION("""COMPUTED_VALUE"""),42887.6666666666)</f>
        <v>42887.666666666599</v>
      </c>
      <c r="P126">
        <f ca="1">IFERROR(__xludf.DUMMYFUNCTION("""COMPUTED_VALUE"""),32.21)</f>
        <v>32.21</v>
      </c>
    </row>
    <row r="127" spans="2:16" ht="12.75">
      <c r="B127" s="125">
        <f ca="1">IFERROR(__xludf.DUMMYFUNCTION("""COMPUTED_VALUE"""),42888.6666666666)</f>
        <v>42888.666666666599</v>
      </c>
      <c r="C127">
        <f ca="1">IFERROR(__xludf.DUMMYFUNCTION("""COMPUTED_VALUE"""),32.24)</f>
        <v>32.24</v>
      </c>
      <c r="D127">
        <v>18.510000000000002</v>
      </c>
      <c r="E127">
        <v>24.99</v>
      </c>
      <c r="F127">
        <v>29.87</v>
      </c>
      <c r="G127">
        <v>8.7100000000000009</v>
      </c>
      <c r="H127">
        <v>159.51</v>
      </c>
      <c r="I127">
        <v>29.09</v>
      </c>
      <c r="J127">
        <v>57.27</v>
      </c>
      <c r="K127">
        <v>119.08</v>
      </c>
      <c r="L127">
        <v>31.25</v>
      </c>
      <c r="M127" s="125">
        <f ca="1">IFERROR(__xludf.DUMMYFUNCTION("""COMPUTED_VALUE"""),43418.6666666666)</f>
        <v>43418.666666666599</v>
      </c>
      <c r="N127">
        <f ca="1">IFERROR(__xludf.DUMMYFUNCTION("""COMPUTED_VALUE"""),25.15)</f>
        <v>25.15</v>
      </c>
      <c r="O127" s="125">
        <f ca="1">IFERROR(__xludf.DUMMYFUNCTION("""COMPUTED_VALUE"""),42888.6666666666)</f>
        <v>42888.666666666599</v>
      </c>
      <c r="P127">
        <f ca="1">IFERROR(__xludf.DUMMYFUNCTION("""COMPUTED_VALUE"""),32.24)</f>
        <v>32.24</v>
      </c>
    </row>
    <row r="128" spans="2:16" ht="12.75">
      <c r="B128" s="125">
        <f ca="1">IFERROR(__xludf.DUMMYFUNCTION("""COMPUTED_VALUE"""),42891.6666666666)</f>
        <v>42891.666666666599</v>
      </c>
      <c r="C128">
        <f ca="1">IFERROR(__xludf.DUMMYFUNCTION("""COMPUTED_VALUE"""),32.56)</f>
        <v>32.56</v>
      </c>
      <c r="D128">
        <v>18.559999999999999</v>
      </c>
      <c r="E128">
        <v>25.01</v>
      </c>
      <c r="F128">
        <v>29.63</v>
      </c>
      <c r="G128">
        <v>8.7100000000000009</v>
      </c>
      <c r="H128">
        <v>158.05000000000001</v>
      </c>
      <c r="I128">
        <v>29.02</v>
      </c>
      <c r="J128">
        <v>57.33</v>
      </c>
      <c r="K128">
        <v>118.48</v>
      </c>
      <c r="L128">
        <v>31.4</v>
      </c>
      <c r="M128" s="125">
        <f ca="1">IFERROR(__xludf.DUMMYFUNCTION("""COMPUTED_VALUE"""),43419.6666666666)</f>
        <v>43419.666666666599</v>
      </c>
      <c r="N128">
        <f ca="1">IFERROR(__xludf.DUMMYFUNCTION("""COMPUTED_VALUE"""),24.98)</f>
        <v>24.98</v>
      </c>
      <c r="O128" s="125">
        <f ca="1">IFERROR(__xludf.DUMMYFUNCTION("""COMPUTED_VALUE"""),42891.6666666666)</f>
        <v>42891.666666666599</v>
      </c>
      <c r="P128">
        <f ca="1">IFERROR(__xludf.DUMMYFUNCTION("""COMPUTED_VALUE"""),32.56)</f>
        <v>32.56</v>
      </c>
    </row>
    <row r="129" spans="2:16" ht="12.75">
      <c r="B129" s="125">
        <f ca="1">IFERROR(__xludf.DUMMYFUNCTION("""COMPUTED_VALUE"""),42892.6666666666)</f>
        <v>42892.666666666599</v>
      </c>
      <c r="C129">
        <f ca="1">IFERROR(__xludf.DUMMYFUNCTION("""COMPUTED_VALUE"""),32.63)</f>
        <v>32.630000000000003</v>
      </c>
      <c r="D129">
        <v>18.510000000000002</v>
      </c>
      <c r="E129">
        <v>24.95</v>
      </c>
      <c r="F129">
        <v>29.5</v>
      </c>
      <c r="G129">
        <v>8.6999999999999993</v>
      </c>
      <c r="H129">
        <v>156.69</v>
      </c>
      <c r="I129">
        <v>28.72</v>
      </c>
      <c r="J129">
        <v>57.19</v>
      </c>
      <c r="K129">
        <v>118.25</v>
      </c>
      <c r="L129">
        <v>31.36</v>
      </c>
      <c r="M129" s="125">
        <f ca="1">IFERROR(__xludf.DUMMYFUNCTION("""COMPUTED_VALUE"""),43420.6666666666)</f>
        <v>43420.666666666599</v>
      </c>
      <c r="N129">
        <f ca="1">IFERROR(__xludf.DUMMYFUNCTION("""COMPUTED_VALUE"""),25.37)</f>
        <v>25.37</v>
      </c>
      <c r="O129" s="125">
        <f ca="1">IFERROR(__xludf.DUMMYFUNCTION("""COMPUTED_VALUE"""),42892.6666666666)</f>
        <v>42892.666666666599</v>
      </c>
      <c r="P129">
        <f ca="1">IFERROR(__xludf.DUMMYFUNCTION("""COMPUTED_VALUE"""),32.63)</f>
        <v>32.630000000000003</v>
      </c>
    </row>
    <row r="130" spans="2:16" ht="12.75">
      <c r="B130" s="125">
        <f ca="1">IFERROR(__xludf.DUMMYFUNCTION("""COMPUTED_VALUE"""),42893.6666666666)</f>
        <v>42893.666666666599</v>
      </c>
      <c r="C130">
        <f ca="1">IFERROR(__xludf.DUMMYFUNCTION("""COMPUTED_VALUE"""),32.92)</f>
        <v>32.92</v>
      </c>
      <c r="D130">
        <v>18.579999999999998</v>
      </c>
      <c r="E130">
        <v>24.98</v>
      </c>
      <c r="F130">
        <v>29.65</v>
      </c>
      <c r="G130">
        <v>8.64</v>
      </c>
      <c r="H130">
        <v>156.49</v>
      </c>
      <c r="I130">
        <v>28.76</v>
      </c>
      <c r="J130">
        <v>57.17</v>
      </c>
      <c r="K130">
        <v>118.6</v>
      </c>
      <c r="L130">
        <v>31.75</v>
      </c>
      <c r="M130" s="125">
        <f ca="1">IFERROR(__xludf.DUMMYFUNCTION("""COMPUTED_VALUE"""),43423.6666666666)</f>
        <v>43423.666666666599</v>
      </c>
      <c r="N130">
        <f ca="1">IFERROR(__xludf.DUMMYFUNCTION("""COMPUTED_VALUE"""),25.23)</f>
        <v>25.23</v>
      </c>
      <c r="O130" s="125">
        <f ca="1">IFERROR(__xludf.DUMMYFUNCTION("""COMPUTED_VALUE"""),42893.6666666666)</f>
        <v>42893.666666666599</v>
      </c>
      <c r="P130">
        <f ca="1">IFERROR(__xludf.DUMMYFUNCTION("""COMPUTED_VALUE"""),32.92)</f>
        <v>32.92</v>
      </c>
    </row>
    <row r="131" spans="2:16" ht="12.75">
      <c r="B131" s="125">
        <f ca="1">IFERROR(__xludf.DUMMYFUNCTION("""COMPUTED_VALUE"""),42894.6666666666)</f>
        <v>42894.666666666599</v>
      </c>
      <c r="C131">
        <f ca="1">IFERROR(__xludf.DUMMYFUNCTION("""COMPUTED_VALUE"""),33.31)</f>
        <v>33.31</v>
      </c>
      <c r="D131">
        <v>18.63</v>
      </c>
      <c r="E131">
        <v>25.07</v>
      </c>
      <c r="F131">
        <v>29.58</v>
      </c>
      <c r="G131">
        <v>8.66</v>
      </c>
      <c r="H131">
        <v>157.79</v>
      </c>
      <c r="I131">
        <v>28.82</v>
      </c>
      <c r="J131">
        <v>56.74</v>
      </c>
      <c r="K131">
        <v>117.82</v>
      </c>
      <c r="L131">
        <v>32.08</v>
      </c>
      <c r="M131" s="125">
        <f ca="1">IFERROR(__xludf.DUMMYFUNCTION("""COMPUTED_VALUE"""),43424.6666666666)</f>
        <v>43424.666666666599</v>
      </c>
      <c r="N131">
        <f ca="1">IFERROR(__xludf.DUMMYFUNCTION("""COMPUTED_VALUE"""),24.72)</f>
        <v>24.72</v>
      </c>
      <c r="O131" s="125">
        <f ca="1">IFERROR(__xludf.DUMMYFUNCTION("""COMPUTED_VALUE"""),42894.6666666666)</f>
        <v>42894.666666666599</v>
      </c>
      <c r="P131">
        <f ca="1">IFERROR(__xludf.DUMMYFUNCTION("""COMPUTED_VALUE"""),33.31)</f>
        <v>33.31</v>
      </c>
    </row>
    <row r="132" spans="2:16" ht="12.75">
      <c r="B132" s="125">
        <f ca="1">IFERROR(__xludf.DUMMYFUNCTION("""COMPUTED_VALUE"""),42895.6666666666)</f>
        <v>42895.666666666599</v>
      </c>
      <c r="C132">
        <f ca="1">IFERROR(__xludf.DUMMYFUNCTION("""COMPUTED_VALUE"""),32.75)</f>
        <v>32.75</v>
      </c>
      <c r="D132">
        <v>18.350000000000001</v>
      </c>
      <c r="E132">
        <v>25.15</v>
      </c>
      <c r="F132">
        <v>29.53</v>
      </c>
      <c r="G132">
        <v>8.58</v>
      </c>
      <c r="H132">
        <v>158.05000000000001</v>
      </c>
      <c r="I132">
        <v>28.93</v>
      </c>
      <c r="J132">
        <v>56.67</v>
      </c>
      <c r="K132">
        <v>117.88</v>
      </c>
      <c r="L132">
        <v>32.409999999999997</v>
      </c>
      <c r="M132" s="125">
        <f ca="1">IFERROR(__xludf.DUMMYFUNCTION("""COMPUTED_VALUE"""),43425.6666666666)</f>
        <v>43425.666666666599</v>
      </c>
      <c r="N132">
        <f ca="1">IFERROR(__xludf.DUMMYFUNCTION("""COMPUTED_VALUE"""),24.85)</f>
        <v>24.85</v>
      </c>
      <c r="O132" s="125">
        <f ca="1">IFERROR(__xludf.DUMMYFUNCTION("""COMPUTED_VALUE"""),42895.6666666666)</f>
        <v>42895.666666666599</v>
      </c>
      <c r="P132">
        <f ca="1">IFERROR(__xludf.DUMMYFUNCTION("""COMPUTED_VALUE"""),32.75)</f>
        <v>32.75</v>
      </c>
    </row>
    <row r="133" spans="2:16" ht="12.75">
      <c r="B133" s="125">
        <f ca="1">IFERROR(__xludf.DUMMYFUNCTION("""COMPUTED_VALUE"""),42898.6666666666)</f>
        <v>42898.666666666599</v>
      </c>
      <c r="C133">
        <f ca="1">IFERROR(__xludf.DUMMYFUNCTION("""COMPUTED_VALUE"""),32.27)</f>
        <v>32.270000000000003</v>
      </c>
      <c r="D133">
        <v>18.07</v>
      </c>
      <c r="E133">
        <v>25.11</v>
      </c>
      <c r="F133">
        <v>29.27</v>
      </c>
      <c r="G133">
        <v>8.58</v>
      </c>
      <c r="H133">
        <v>157.41</v>
      </c>
      <c r="I133">
        <v>28.79</v>
      </c>
      <c r="J133">
        <v>56.66</v>
      </c>
      <c r="K133">
        <v>117.67</v>
      </c>
      <c r="L133">
        <v>32.630000000000003</v>
      </c>
      <c r="M133" s="125">
        <f ca="1">IFERROR(__xludf.DUMMYFUNCTION("""COMPUTED_VALUE"""),43427.5416666666)</f>
        <v>43427.541666666599</v>
      </c>
      <c r="N133">
        <f ca="1">IFERROR(__xludf.DUMMYFUNCTION("""COMPUTED_VALUE"""),24.8)</f>
        <v>24.8</v>
      </c>
      <c r="O133" s="125">
        <f ca="1">IFERROR(__xludf.DUMMYFUNCTION("""COMPUTED_VALUE"""),42898.6666666666)</f>
        <v>42898.666666666599</v>
      </c>
      <c r="P133">
        <f ca="1">IFERROR(__xludf.DUMMYFUNCTION("""COMPUTED_VALUE"""),32.27)</f>
        <v>32.270000000000003</v>
      </c>
    </row>
    <row r="134" spans="2:16" ht="12.75">
      <c r="B134" s="125">
        <f ca="1">IFERROR(__xludf.DUMMYFUNCTION("""COMPUTED_VALUE"""),42899.6666666666)</f>
        <v>42899.666666666599</v>
      </c>
      <c r="C134">
        <f ca="1">IFERROR(__xludf.DUMMYFUNCTION("""COMPUTED_VALUE"""),32.27)</f>
        <v>32.270000000000003</v>
      </c>
      <c r="D134">
        <v>18.32</v>
      </c>
      <c r="E134">
        <v>25.08</v>
      </c>
      <c r="F134">
        <v>29.44</v>
      </c>
      <c r="G134">
        <v>8.58</v>
      </c>
      <c r="H134">
        <v>158.33000000000001</v>
      </c>
      <c r="I134">
        <v>28.99</v>
      </c>
      <c r="J134">
        <v>56.75</v>
      </c>
      <c r="K134">
        <v>117.88</v>
      </c>
      <c r="L134">
        <v>32.5</v>
      </c>
      <c r="M134" s="125">
        <f ca="1">IFERROR(__xludf.DUMMYFUNCTION("""COMPUTED_VALUE"""),43430.6666666666)</f>
        <v>43430.666666666599</v>
      </c>
      <c r="N134">
        <f ca="1">IFERROR(__xludf.DUMMYFUNCTION("""COMPUTED_VALUE"""),24.95)</f>
        <v>24.95</v>
      </c>
      <c r="O134" s="125">
        <f ca="1">IFERROR(__xludf.DUMMYFUNCTION("""COMPUTED_VALUE"""),42899.6666666666)</f>
        <v>42899.666666666599</v>
      </c>
      <c r="P134">
        <f ca="1">IFERROR(__xludf.DUMMYFUNCTION("""COMPUTED_VALUE"""),32.27)</f>
        <v>32.270000000000003</v>
      </c>
    </row>
    <row r="135" spans="2:16" ht="12.75">
      <c r="B135" s="125">
        <f ca="1">IFERROR(__xludf.DUMMYFUNCTION("""COMPUTED_VALUE"""),42900.6666666666)</f>
        <v>42900.666666666599</v>
      </c>
      <c r="C135">
        <f ca="1">IFERROR(__xludf.DUMMYFUNCTION("""COMPUTED_VALUE"""),31.94)</f>
        <v>31.94</v>
      </c>
      <c r="D135">
        <v>18.38</v>
      </c>
      <c r="E135">
        <v>25.06</v>
      </c>
      <c r="F135">
        <v>29.47</v>
      </c>
      <c r="G135">
        <v>8.58</v>
      </c>
      <c r="H135">
        <v>158.46</v>
      </c>
      <c r="I135">
        <v>29.04</v>
      </c>
      <c r="J135">
        <v>57.11</v>
      </c>
      <c r="K135">
        <v>118.54</v>
      </c>
      <c r="L135">
        <v>32.53</v>
      </c>
      <c r="M135" s="125">
        <f ca="1">IFERROR(__xludf.DUMMYFUNCTION("""COMPUTED_VALUE"""),43431.6666666666)</f>
        <v>43431.666666666599</v>
      </c>
      <c r="N135">
        <f ca="1">IFERROR(__xludf.DUMMYFUNCTION("""COMPUTED_VALUE"""),24.9)</f>
        <v>24.9</v>
      </c>
      <c r="O135" s="125">
        <f ca="1">IFERROR(__xludf.DUMMYFUNCTION("""COMPUTED_VALUE"""),42900.6666666666)</f>
        <v>42900.666666666599</v>
      </c>
      <c r="P135">
        <f ca="1">IFERROR(__xludf.DUMMYFUNCTION("""COMPUTED_VALUE"""),31.94)</f>
        <v>31.94</v>
      </c>
    </row>
    <row r="136" spans="2:16" ht="12.75">
      <c r="B136" s="125">
        <f ca="1">IFERROR(__xludf.DUMMYFUNCTION("""COMPUTED_VALUE"""),42901.6666666666)</f>
        <v>42901.666666666599</v>
      </c>
      <c r="C136">
        <f ca="1">IFERROR(__xludf.DUMMYFUNCTION("""COMPUTED_VALUE"""),31.52)</f>
        <v>31.52</v>
      </c>
      <c r="D136">
        <v>18.32</v>
      </c>
      <c r="E136">
        <v>25.21</v>
      </c>
      <c r="F136">
        <v>29.08</v>
      </c>
      <c r="G136">
        <v>8.5</v>
      </c>
      <c r="H136">
        <v>158.79</v>
      </c>
      <c r="I136">
        <v>28.75</v>
      </c>
      <c r="J136">
        <v>56.98</v>
      </c>
      <c r="K136">
        <v>119.22</v>
      </c>
      <c r="L136">
        <v>32.369999999999997</v>
      </c>
      <c r="M136" s="125">
        <f ca="1">IFERROR(__xludf.DUMMYFUNCTION("""COMPUTED_VALUE"""),43432.6666666666)</f>
        <v>43432.666666666599</v>
      </c>
      <c r="N136">
        <f ca="1">IFERROR(__xludf.DUMMYFUNCTION("""COMPUTED_VALUE"""),25.28)</f>
        <v>25.28</v>
      </c>
      <c r="O136" s="125">
        <f ca="1">IFERROR(__xludf.DUMMYFUNCTION("""COMPUTED_VALUE"""),42901.6666666666)</f>
        <v>42901.666666666599</v>
      </c>
      <c r="P136">
        <f ca="1">IFERROR(__xludf.DUMMYFUNCTION("""COMPUTED_VALUE"""),31.52)</f>
        <v>31.52</v>
      </c>
    </row>
    <row r="137" spans="2:16" ht="12.75">
      <c r="B137" s="125">
        <f ca="1">IFERROR(__xludf.DUMMYFUNCTION("""COMPUTED_VALUE"""),42902.6666666666)</f>
        <v>42902.666666666599</v>
      </c>
      <c r="C137">
        <f ca="1">IFERROR(__xludf.DUMMYFUNCTION("""COMPUTED_VALUE"""),31.51)</f>
        <v>31.51</v>
      </c>
      <c r="D137">
        <v>18.350000000000001</v>
      </c>
      <c r="E137">
        <v>25.12</v>
      </c>
      <c r="F137">
        <v>29.34</v>
      </c>
      <c r="G137">
        <v>8.5500000000000007</v>
      </c>
      <c r="H137">
        <v>158.4</v>
      </c>
      <c r="I137">
        <v>28.89</v>
      </c>
      <c r="J137">
        <v>55.95</v>
      </c>
      <c r="K137">
        <v>119.78</v>
      </c>
      <c r="L137">
        <v>31.98</v>
      </c>
      <c r="M137" s="125">
        <f ca="1">IFERROR(__xludf.DUMMYFUNCTION("""COMPUTED_VALUE"""),43433.6666666666)</f>
        <v>43433.666666666599</v>
      </c>
      <c r="N137">
        <f ca="1">IFERROR(__xludf.DUMMYFUNCTION("""COMPUTED_VALUE"""),25.5)</f>
        <v>25.5</v>
      </c>
      <c r="O137" s="125">
        <f ca="1">IFERROR(__xludf.DUMMYFUNCTION("""COMPUTED_VALUE"""),42902.6666666666)</f>
        <v>42902.666666666599</v>
      </c>
      <c r="P137">
        <f ca="1">IFERROR(__xludf.DUMMYFUNCTION("""COMPUTED_VALUE"""),31.51)</f>
        <v>31.51</v>
      </c>
    </row>
    <row r="138" spans="2:16" ht="12.75">
      <c r="B138" s="125">
        <f ca="1">IFERROR(__xludf.DUMMYFUNCTION("""COMPUTED_VALUE"""),42905.6666666666)</f>
        <v>42905.666666666599</v>
      </c>
      <c r="C138">
        <f ca="1">IFERROR(__xludf.DUMMYFUNCTION("""COMPUTED_VALUE"""),32.3)</f>
        <v>32.299999999999997</v>
      </c>
      <c r="D138">
        <v>18.579999999999998</v>
      </c>
      <c r="E138">
        <v>25.23</v>
      </c>
      <c r="F138">
        <v>29.52</v>
      </c>
      <c r="G138">
        <v>8.58</v>
      </c>
      <c r="H138">
        <v>159.61000000000001</v>
      </c>
      <c r="I138">
        <v>29.24</v>
      </c>
      <c r="J138">
        <v>56.22</v>
      </c>
      <c r="K138">
        <v>119.3</v>
      </c>
      <c r="L138">
        <v>32.06</v>
      </c>
      <c r="M138" s="125">
        <f ca="1">IFERROR(__xludf.DUMMYFUNCTION("""COMPUTED_VALUE"""),43434.6666666666)</f>
        <v>43434.666666666599</v>
      </c>
      <c r="N138">
        <f ca="1">IFERROR(__xludf.DUMMYFUNCTION("""COMPUTED_VALUE"""),25.39)</f>
        <v>25.39</v>
      </c>
      <c r="O138" s="125">
        <f ca="1">IFERROR(__xludf.DUMMYFUNCTION("""COMPUTED_VALUE"""),42905.6666666666)</f>
        <v>42905.666666666599</v>
      </c>
      <c r="P138">
        <f ca="1">IFERROR(__xludf.DUMMYFUNCTION("""COMPUTED_VALUE"""),32.3)</f>
        <v>32.299999999999997</v>
      </c>
    </row>
    <row r="139" spans="2:16" ht="12.75">
      <c r="B139" s="125">
        <f ca="1">IFERROR(__xludf.DUMMYFUNCTION("""COMPUTED_VALUE"""),42906.6666666666)</f>
        <v>42906.666666666599</v>
      </c>
      <c r="C139">
        <f ca="1">IFERROR(__xludf.DUMMYFUNCTION("""COMPUTED_VALUE"""),31.89)</f>
        <v>31.89</v>
      </c>
      <c r="D139">
        <v>18.45</v>
      </c>
      <c r="E139">
        <v>25.27</v>
      </c>
      <c r="F139">
        <v>28.78</v>
      </c>
      <c r="G139">
        <v>8.31</v>
      </c>
      <c r="H139">
        <v>158.34</v>
      </c>
      <c r="I139">
        <v>29.03</v>
      </c>
      <c r="J139">
        <v>56</v>
      </c>
      <c r="K139">
        <v>119.29</v>
      </c>
      <c r="L139">
        <v>31.9</v>
      </c>
      <c r="M139" s="125">
        <f ca="1">IFERROR(__xludf.DUMMYFUNCTION("""COMPUTED_VALUE"""),43437.6666666666)</f>
        <v>43437.666666666599</v>
      </c>
      <c r="N139">
        <f ca="1">IFERROR(__xludf.DUMMYFUNCTION("""COMPUTED_VALUE"""),25.72)</f>
        <v>25.72</v>
      </c>
      <c r="O139" s="125">
        <f ca="1">IFERROR(__xludf.DUMMYFUNCTION("""COMPUTED_VALUE"""),42906.6666666666)</f>
        <v>42906.666666666599</v>
      </c>
      <c r="P139">
        <f ca="1">IFERROR(__xludf.DUMMYFUNCTION("""COMPUTED_VALUE"""),31.89)</f>
        <v>31.89</v>
      </c>
    </row>
    <row r="140" spans="2:16" ht="12.75">
      <c r="B140" s="125">
        <f ca="1">IFERROR(__xludf.DUMMYFUNCTION("""COMPUTED_VALUE"""),42907.6666666666)</f>
        <v>42907.666666666599</v>
      </c>
      <c r="C140">
        <f ca="1">IFERROR(__xludf.DUMMYFUNCTION("""COMPUTED_VALUE"""),32.44)</f>
        <v>32.44</v>
      </c>
      <c r="D140">
        <v>18.53</v>
      </c>
      <c r="E140">
        <v>25.22</v>
      </c>
      <c r="F140">
        <v>28.91</v>
      </c>
      <c r="G140">
        <v>8.34</v>
      </c>
      <c r="H140">
        <v>157.72</v>
      </c>
      <c r="I140">
        <v>28.91</v>
      </c>
      <c r="J140">
        <v>55.84</v>
      </c>
      <c r="K140">
        <v>118.53</v>
      </c>
      <c r="L140">
        <v>32.18</v>
      </c>
      <c r="M140" s="125">
        <f ca="1">IFERROR(__xludf.DUMMYFUNCTION("""COMPUTED_VALUE"""),43438.6666666666)</f>
        <v>43438.666666666599</v>
      </c>
      <c r="N140">
        <f ca="1">IFERROR(__xludf.DUMMYFUNCTION("""COMPUTED_VALUE"""),25.37)</f>
        <v>25.37</v>
      </c>
      <c r="O140" s="125">
        <f ca="1">IFERROR(__xludf.DUMMYFUNCTION("""COMPUTED_VALUE"""),42907.6666666666)</f>
        <v>42907.666666666599</v>
      </c>
      <c r="P140">
        <f ca="1">IFERROR(__xludf.DUMMYFUNCTION("""COMPUTED_VALUE"""),32.44)</f>
        <v>32.44</v>
      </c>
    </row>
    <row r="141" spans="2:16" ht="12.75">
      <c r="B141" s="125">
        <f ca="1">IFERROR(__xludf.DUMMYFUNCTION("""COMPUTED_VALUE"""),42908.6666666666)</f>
        <v>42908.666666666599</v>
      </c>
      <c r="C141">
        <f ca="1">IFERROR(__xludf.DUMMYFUNCTION("""COMPUTED_VALUE"""),32.35)</f>
        <v>32.35</v>
      </c>
      <c r="D141">
        <v>18.62</v>
      </c>
      <c r="E141">
        <v>25.23</v>
      </c>
      <c r="F141">
        <v>28.82</v>
      </c>
      <c r="G141">
        <v>8.4499999999999993</v>
      </c>
      <c r="H141">
        <v>157.01</v>
      </c>
      <c r="I141">
        <v>28.94</v>
      </c>
      <c r="J141">
        <v>55.47</v>
      </c>
      <c r="K141">
        <v>118.03</v>
      </c>
      <c r="L141">
        <v>32.29</v>
      </c>
      <c r="M141" s="125">
        <f ca="1">IFERROR(__xludf.DUMMYFUNCTION("""COMPUTED_VALUE"""),43440.6666666666)</f>
        <v>43440.666666666599</v>
      </c>
      <c r="N141">
        <f ca="1">IFERROR(__xludf.DUMMYFUNCTION("""COMPUTED_VALUE"""),25.34)</f>
        <v>25.34</v>
      </c>
      <c r="O141" s="125">
        <f ca="1">IFERROR(__xludf.DUMMYFUNCTION("""COMPUTED_VALUE"""),42908.6666666666)</f>
        <v>42908.666666666599</v>
      </c>
      <c r="P141">
        <f ca="1">IFERROR(__xludf.DUMMYFUNCTION("""COMPUTED_VALUE"""),32.35)</f>
        <v>32.35</v>
      </c>
    </row>
    <row r="142" spans="2:16" ht="12.75">
      <c r="B142" s="125">
        <f ca="1">IFERROR(__xludf.DUMMYFUNCTION("""COMPUTED_VALUE"""),42909.6666666666)</f>
        <v>42909.666666666599</v>
      </c>
      <c r="C142">
        <f ca="1">IFERROR(__xludf.DUMMYFUNCTION("""COMPUTED_VALUE"""),32.82)</f>
        <v>32.82</v>
      </c>
      <c r="D142">
        <v>18.68</v>
      </c>
      <c r="E142">
        <v>25.15</v>
      </c>
      <c r="F142">
        <v>28.93</v>
      </c>
      <c r="G142">
        <v>8.49</v>
      </c>
      <c r="H142">
        <v>157.66999999999999</v>
      </c>
      <c r="I142">
        <v>28.82</v>
      </c>
      <c r="J142">
        <v>55.49</v>
      </c>
      <c r="K142">
        <v>117.64</v>
      </c>
      <c r="L142">
        <v>32.47</v>
      </c>
      <c r="M142" s="125">
        <f ca="1">IFERROR(__xludf.DUMMYFUNCTION("""COMPUTED_VALUE"""),43441.6666666666)</f>
        <v>43441.666666666599</v>
      </c>
      <c r="N142">
        <f ca="1">IFERROR(__xludf.DUMMYFUNCTION("""COMPUTED_VALUE"""),25.47)</f>
        <v>25.47</v>
      </c>
      <c r="O142" s="125">
        <f ca="1">IFERROR(__xludf.DUMMYFUNCTION("""COMPUTED_VALUE"""),42909.6666666666)</f>
        <v>42909.666666666599</v>
      </c>
      <c r="P142">
        <f ca="1">IFERROR(__xludf.DUMMYFUNCTION("""COMPUTED_VALUE"""),32.82)</f>
        <v>32.82</v>
      </c>
    </row>
    <row r="143" spans="2:16" ht="12.75">
      <c r="B143" s="125">
        <f ca="1">IFERROR(__xludf.DUMMYFUNCTION("""COMPUTED_VALUE"""),42912.6666666666)</f>
        <v>42912.666666666599</v>
      </c>
      <c r="C143">
        <f ca="1">IFERROR(__xludf.DUMMYFUNCTION("""COMPUTED_VALUE"""),32.71)</f>
        <v>32.71</v>
      </c>
      <c r="D143">
        <v>18.64</v>
      </c>
      <c r="E143">
        <v>25.19</v>
      </c>
      <c r="F143">
        <v>29.04</v>
      </c>
      <c r="G143">
        <v>8.56</v>
      </c>
      <c r="H143">
        <v>156.79</v>
      </c>
      <c r="I143">
        <v>28.91</v>
      </c>
      <c r="J143">
        <v>55.71</v>
      </c>
      <c r="K143">
        <v>118.5</v>
      </c>
      <c r="L143">
        <v>32.590000000000003</v>
      </c>
      <c r="M143" s="125">
        <f ca="1">IFERROR(__xludf.DUMMYFUNCTION("""COMPUTED_VALUE"""),43444.6666666666)</f>
        <v>43444.666666666599</v>
      </c>
      <c r="N143">
        <f ca="1">IFERROR(__xludf.DUMMYFUNCTION("""COMPUTED_VALUE"""),25.48)</f>
        <v>25.48</v>
      </c>
      <c r="O143" s="125">
        <f ca="1">IFERROR(__xludf.DUMMYFUNCTION("""COMPUTED_VALUE"""),42912.6666666666)</f>
        <v>42912.666666666599</v>
      </c>
      <c r="P143">
        <f ca="1">IFERROR(__xludf.DUMMYFUNCTION("""COMPUTED_VALUE"""),32.71)</f>
        <v>32.71</v>
      </c>
    </row>
    <row r="144" spans="2:16" ht="12.75">
      <c r="B144" s="125">
        <f ca="1">IFERROR(__xludf.DUMMYFUNCTION("""COMPUTED_VALUE"""),42913.6666666666)</f>
        <v>42913.666666666599</v>
      </c>
      <c r="C144">
        <f ca="1">IFERROR(__xludf.DUMMYFUNCTION("""COMPUTED_VALUE"""),32.06)</f>
        <v>32.06</v>
      </c>
      <c r="D144">
        <v>18.38</v>
      </c>
      <c r="E144">
        <v>24.91</v>
      </c>
      <c r="F144">
        <v>29.05</v>
      </c>
      <c r="G144">
        <v>8.5299999999999994</v>
      </c>
      <c r="H144">
        <v>155.47</v>
      </c>
      <c r="I144">
        <v>28.5</v>
      </c>
      <c r="J144">
        <v>55.23</v>
      </c>
      <c r="K144">
        <v>117.19</v>
      </c>
      <c r="L144">
        <v>32.78</v>
      </c>
      <c r="M144" s="125">
        <f ca="1">IFERROR(__xludf.DUMMYFUNCTION("""COMPUTED_VALUE"""),43445.6666666666)</f>
        <v>43445.666666666599</v>
      </c>
      <c r="N144">
        <f ca="1">IFERROR(__xludf.DUMMYFUNCTION("""COMPUTED_VALUE"""),25.52)</f>
        <v>25.52</v>
      </c>
      <c r="O144" s="125">
        <f ca="1">IFERROR(__xludf.DUMMYFUNCTION("""COMPUTED_VALUE"""),42913.6666666666)</f>
        <v>42913.666666666599</v>
      </c>
      <c r="P144">
        <f ca="1">IFERROR(__xludf.DUMMYFUNCTION("""COMPUTED_VALUE"""),32.06)</f>
        <v>32.06</v>
      </c>
    </row>
    <row r="145" spans="2:16" ht="12.75">
      <c r="B145" s="125">
        <f ca="1">IFERROR(__xludf.DUMMYFUNCTION("""COMPUTED_VALUE"""),42914.6666666666)</f>
        <v>42914.666666666599</v>
      </c>
      <c r="C145">
        <f ca="1">IFERROR(__xludf.DUMMYFUNCTION("""COMPUTED_VALUE"""),32.36)</f>
        <v>32.36</v>
      </c>
      <c r="D145">
        <v>18.62</v>
      </c>
      <c r="E145">
        <v>24.83</v>
      </c>
      <c r="F145">
        <v>29.22</v>
      </c>
      <c r="G145">
        <v>8.64</v>
      </c>
      <c r="H145">
        <v>157.71</v>
      </c>
      <c r="I145">
        <v>28.66</v>
      </c>
      <c r="J145">
        <v>55.43</v>
      </c>
      <c r="K145">
        <v>115.3</v>
      </c>
      <c r="L145">
        <v>32.32</v>
      </c>
      <c r="M145" s="125">
        <f ca="1">IFERROR(__xludf.DUMMYFUNCTION("""COMPUTED_VALUE"""),43446.6666666666)</f>
        <v>43446.666666666599</v>
      </c>
      <c r="N145">
        <f ca="1">IFERROR(__xludf.DUMMYFUNCTION("""COMPUTED_VALUE"""),25.25)</f>
        <v>25.25</v>
      </c>
      <c r="O145" s="125">
        <f ca="1">IFERROR(__xludf.DUMMYFUNCTION("""COMPUTED_VALUE"""),42914.6666666666)</f>
        <v>42914.666666666599</v>
      </c>
      <c r="P145">
        <f ca="1">IFERROR(__xludf.DUMMYFUNCTION("""COMPUTED_VALUE"""),32.36)</f>
        <v>32.36</v>
      </c>
    </row>
    <row r="146" spans="2:16" ht="12.75">
      <c r="B146" s="125">
        <f ca="1">IFERROR(__xludf.DUMMYFUNCTION("""COMPUTED_VALUE"""),42915.6666666666)</f>
        <v>42915.666666666599</v>
      </c>
      <c r="C146">
        <f ca="1">IFERROR(__xludf.DUMMYFUNCTION("""COMPUTED_VALUE"""),31.73)</f>
        <v>31.73</v>
      </c>
      <c r="D146">
        <v>18.37</v>
      </c>
      <c r="E146">
        <v>24.71</v>
      </c>
      <c r="F146">
        <v>28.82</v>
      </c>
      <c r="G146">
        <v>8.49</v>
      </c>
      <c r="H146">
        <v>156.31</v>
      </c>
      <c r="I146">
        <v>28.03</v>
      </c>
      <c r="J146">
        <v>54.84</v>
      </c>
      <c r="K146">
        <v>114.41</v>
      </c>
      <c r="L146">
        <v>32.54</v>
      </c>
      <c r="M146" s="125">
        <f ca="1">IFERROR(__xludf.DUMMYFUNCTION("""COMPUTED_VALUE"""),43447.6666666666)</f>
        <v>43447.666666666599</v>
      </c>
      <c r="N146">
        <f ca="1">IFERROR(__xludf.DUMMYFUNCTION("""COMPUTED_VALUE"""),25.39)</f>
        <v>25.39</v>
      </c>
      <c r="O146" s="125">
        <f ca="1">IFERROR(__xludf.DUMMYFUNCTION("""COMPUTED_VALUE"""),42915.6666666666)</f>
        <v>42915.666666666599</v>
      </c>
      <c r="P146">
        <f ca="1">IFERROR(__xludf.DUMMYFUNCTION("""COMPUTED_VALUE"""),31.73)</f>
        <v>31.73</v>
      </c>
    </row>
    <row r="147" spans="2:16" ht="12.75">
      <c r="B147" s="125">
        <f ca="1">IFERROR(__xludf.DUMMYFUNCTION("""COMPUTED_VALUE"""),42916.6666666666)</f>
        <v>42916.666666666599</v>
      </c>
      <c r="C147">
        <f ca="1">IFERROR(__xludf.DUMMYFUNCTION("""COMPUTED_VALUE"""),31.7)</f>
        <v>31.7</v>
      </c>
      <c r="D147">
        <v>18.48</v>
      </c>
      <c r="E147">
        <v>24.75</v>
      </c>
      <c r="F147">
        <v>28.93</v>
      </c>
      <c r="G147">
        <v>8.56</v>
      </c>
      <c r="H147">
        <v>157.35</v>
      </c>
      <c r="I147">
        <v>27.99</v>
      </c>
      <c r="J147">
        <v>54.94</v>
      </c>
      <c r="K147">
        <v>114.26</v>
      </c>
      <c r="L147">
        <v>32.5</v>
      </c>
      <c r="M147" s="125">
        <f ca="1">IFERROR(__xludf.DUMMYFUNCTION("""COMPUTED_VALUE"""),43448.6666666666)</f>
        <v>43448.666666666599</v>
      </c>
      <c r="N147">
        <f ca="1">IFERROR(__xludf.DUMMYFUNCTION("""COMPUTED_VALUE"""),25.18)</f>
        <v>25.18</v>
      </c>
      <c r="O147" s="125">
        <f ca="1">IFERROR(__xludf.DUMMYFUNCTION("""COMPUTED_VALUE"""),42916.6666666666)</f>
        <v>42916.666666666599</v>
      </c>
      <c r="P147">
        <f ca="1">IFERROR(__xludf.DUMMYFUNCTION("""COMPUTED_VALUE"""),31.7)</f>
        <v>31.7</v>
      </c>
    </row>
    <row r="148" spans="2:16" ht="12.75">
      <c r="B148" s="125">
        <f ca="1">IFERROR(__xludf.DUMMYFUNCTION("""COMPUTED_VALUE"""),42919.6666666666)</f>
        <v>42919.666666666599</v>
      </c>
      <c r="C148">
        <f ca="1">IFERROR(__xludf.DUMMYFUNCTION("""COMPUTED_VALUE"""),31.67)</f>
        <v>31.67</v>
      </c>
      <c r="D148">
        <v>18.440000000000001</v>
      </c>
      <c r="E148">
        <v>24.9</v>
      </c>
      <c r="F148">
        <v>28.88</v>
      </c>
      <c r="G148">
        <v>8.6</v>
      </c>
      <c r="H148">
        <v>158.35</v>
      </c>
      <c r="I148">
        <v>28.19</v>
      </c>
      <c r="J148">
        <v>54.89</v>
      </c>
      <c r="K148">
        <v>113.69</v>
      </c>
      <c r="L148">
        <v>32.65</v>
      </c>
      <c r="M148" s="125">
        <f ca="1">IFERROR(__xludf.DUMMYFUNCTION("""COMPUTED_VALUE"""),43451.6666666666)</f>
        <v>43451.666666666599</v>
      </c>
      <c r="N148">
        <f ca="1">IFERROR(__xludf.DUMMYFUNCTION("""COMPUTED_VALUE"""),24.23)</f>
        <v>24.23</v>
      </c>
      <c r="O148" s="125">
        <f ca="1">IFERROR(__xludf.DUMMYFUNCTION("""COMPUTED_VALUE"""),42919.6666666666)</f>
        <v>42919.666666666599</v>
      </c>
      <c r="P148">
        <f ca="1">IFERROR(__xludf.DUMMYFUNCTION("""COMPUTED_VALUE"""),31.67)</f>
        <v>31.67</v>
      </c>
    </row>
    <row r="149" spans="2:16" ht="12.75">
      <c r="B149" s="125">
        <f ca="1">IFERROR(__xludf.DUMMYFUNCTION("""COMPUTED_VALUE"""),42921.6666666666)</f>
        <v>42921.666666666599</v>
      </c>
      <c r="C149">
        <f ca="1">IFERROR(__xludf.DUMMYFUNCTION("""COMPUTED_VALUE"""),31.7)</f>
        <v>31.7</v>
      </c>
      <c r="D149">
        <v>18.690000000000001</v>
      </c>
      <c r="E149">
        <v>24.91</v>
      </c>
      <c r="F149">
        <v>28.94</v>
      </c>
      <c r="G149">
        <v>8.52</v>
      </c>
      <c r="H149">
        <v>159.94</v>
      </c>
      <c r="I149">
        <v>28.23</v>
      </c>
      <c r="J149">
        <v>54.85</v>
      </c>
      <c r="K149">
        <v>113.28</v>
      </c>
      <c r="L149">
        <v>32.44</v>
      </c>
      <c r="M149" s="125">
        <f ca="1">IFERROR(__xludf.DUMMYFUNCTION("""COMPUTED_VALUE"""),43452.6666666666)</f>
        <v>43452.666666666599</v>
      </c>
      <c r="N149">
        <f ca="1">IFERROR(__xludf.DUMMYFUNCTION("""COMPUTED_VALUE"""),24.38)</f>
        <v>24.38</v>
      </c>
      <c r="O149" s="125">
        <f ca="1">IFERROR(__xludf.DUMMYFUNCTION("""COMPUTED_VALUE"""),42921.6666666666)</f>
        <v>42921.666666666599</v>
      </c>
      <c r="P149">
        <f ca="1">IFERROR(__xludf.DUMMYFUNCTION("""COMPUTED_VALUE"""),31.7)</f>
        <v>31.7</v>
      </c>
    </row>
    <row r="150" spans="2:16" ht="12.75">
      <c r="B150" s="125">
        <f ca="1">IFERROR(__xludf.DUMMYFUNCTION("""COMPUTED_VALUE"""),42922.6666666666)</f>
        <v>42922.666666666599</v>
      </c>
      <c r="C150">
        <f ca="1">IFERROR(__xludf.DUMMYFUNCTION("""COMPUTED_VALUE"""),31.45)</f>
        <v>31.45</v>
      </c>
      <c r="D150">
        <v>18.52</v>
      </c>
      <c r="E150">
        <v>24.8</v>
      </c>
      <c r="F150">
        <v>28.9</v>
      </c>
      <c r="G150">
        <v>8.5500000000000007</v>
      </c>
      <c r="H150">
        <v>158.68</v>
      </c>
      <c r="I150">
        <v>27.37</v>
      </c>
      <c r="J150">
        <v>54.54</v>
      </c>
      <c r="K150">
        <v>113.03</v>
      </c>
      <c r="L150">
        <v>32.380000000000003</v>
      </c>
      <c r="M150" s="125">
        <f ca="1">IFERROR(__xludf.DUMMYFUNCTION("""COMPUTED_VALUE"""),43453.6666666666)</f>
        <v>43453.666666666599</v>
      </c>
      <c r="N150">
        <f ca="1">IFERROR(__xludf.DUMMYFUNCTION("""COMPUTED_VALUE"""),24.11)</f>
        <v>24.11</v>
      </c>
      <c r="O150" s="125">
        <f ca="1">IFERROR(__xludf.DUMMYFUNCTION("""COMPUTED_VALUE"""),42922.6666666666)</f>
        <v>42922.666666666599</v>
      </c>
      <c r="P150">
        <f ca="1">IFERROR(__xludf.DUMMYFUNCTION("""COMPUTED_VALUE"""),31.45)</f>
        <v>31.45</v>
      </c>
    </row>
    <row r="151" spans="2:16" ht="12.75">
      <c r="B151" s="125">
        <f ca="1">IFERROR(__xludf.DUMMYFUNCTION("""COMPUTED_VALUE"""),42923.6666666666)</f>
        <v>42923.666666666599</v>
      </c>
      <c r="C151">
        <f ca="1">IFERROR(__xludf.DUMMYFUNCTION("""COMPUTED_VALUE"""),31.68)</f>
        <v>31.68</v>
      </c>
      <c r="D151">
        <v>18.72</v>
      </c>
      <c r="E151">
        <v>24.84</v>
      </c>
      <c r="F151">
        <v>28.99</v>
      </c>
      <c r="G151">
        <v>8.57</v>
      </c>
      <c r="H151">
        <v>160.43</v>
      </c>
      <c r="I151">
        <v>27.52</v>
      </c>
      <c r="J151">
        <v>54.51</v>
      </c>
      <c r="K151">
        <v>113.31</v>
      </c>
      <c r="L151">
        <v>32.270000000000003</v>
      </c>
      <c r="M151" s="125">
        <f ca="1">IFERROR(__xludf.DUMMYFUNCTION("""COMPUTED_VALUE"""),43454.6666666666)</f>
        <v>43454.666666666599</v>
      </c>
      <c r="N151">
        <f ca="1">IFERROR(__xludf.DUMMYFUNCTION("""COMPUTED_VALUE"""),23.67)</f>
        <v>23.67</v>
      </c>
      <c r="O151" s="125">
        <f ca="1">IFERROR(__xludf.DUMMYFUNCTION("""COMPUTED_VALUE"""),42923.6666666666)</f>
        <v>42923.666666666599</v>
      </c>
      <c r="P151">
        <f ca="1">IFERROR(__xludf.DUMMYFUNCTION("""COMPUTED_VALUE"""),31.68)</f>
        <v>31.68</v>
      </c>
    </row>
    <row r="152" spans="2:16" ht="12.75">
      <c r="B152" s="125">
        <f ca="1">IFERROR(__xludf.DUMMYFUNCTION("""COMPUTED_VALUE"""),42926.6666666666)</f>
        <v>42926.666666666599</v>
      </c>
      <c r="C152">
        <f ca="1">IFERROR(__xludf.DUMMYFUNCTION("""COMPUTED_VALUE"""),31.95)</f>
        <v>31.95</v>
      </c>
      <c r="D152">
        <v>18.77</v>
      </c>
      <c r="E152">
        <v>24.85</v>
      </c>
      <c r="F152">
        <v>29.14</v>
      </c>
      <c r="G152">
        <v>8.58</v>
      </c>
      <c r="H152">
        <v>160.79</v>
      </c>
      <c r="I152">
        <v>27.6</v>
      </c>
      <c r="J152">
        <v>54.13</v>
      </c>
      <c r="K152">
        <v>113.03</v>
      </c>
      <c r="L152">
        <v>32.270000000000003</v>
      </c>
      <c r="M152" s="125">
        <f ca="1">IFERROR(__xludf.DUMMYFUNCTION("""COMPUTED_VALUE"""),43455.6666666666)</f>
        <v>43455.666666666599</v>
      </c>
      <c r="N152">
        <f ca="1">IFERROR(__xludf.DUMMYFUNCTION("""COMPUTED_VALUE"""),23.24)</f>
        <v>23.24</v>
      </c>
      <c r="O152" s="125">
        <f ca="1">IFERROR(__xludf.DUMMYFUNCTION("""COMPUTED_VALUE"""),42926.6666666666)</f>
        <v>42926.666666666599</v>
      </c>
      <c r="P152">
        <f ca="1">IFERROR(__xludf.DUMMYFUNCTION("""COMPUTED_VALUE"""),31.95)</f>
        <v>31.95</v>
      </c>
    </row>
    <row r="153" spans="2:16" ht="12.75">
      <c r="B153" s="125">
        <f ca="1">IFERROR(__xludf.DUMMYFUNCTION("""COMPUTED_VALUE"""),42927.6666666666)</f>
        <v>42927.666666666599</v>
      </c>
      <c r="C153">
        <f ca="1">IFERROR(__xludf.DUMMYFUNCTION("""COMPUTED_VALUE"""),32.26)</f>
        <v>32.26</v>
      </c>
      <c r="D153">
        <v>18.93</v>
      </c>
      <c r="E153">
        <v>24.76</v>
      </c>
      <c r="F153">
        <v>29.27</v>
      </c>
      <c r="G153">
        <v>8.5500000000000007</v>
      </c>
      <c r="H153">
        <v>161.62</v>
      </c>
      <c r="I153">
        <v>27.67</v>
      </c>
      <c r="J153">
        <v>53.98</v>
      </c>
      <c r="K153">
        <v>112.94</v>
      </c>
      <c r="L153">
        <v>32.21</v>
      </c>
      <c r="M153" s="125">
        <f ca="1">IFERROR(__xludf.DUMMYFUNCTION("""COMPUTED_VALUE"""),43458.5416666666)</f>
        <v>43458.541666666599</v>
      </c>
      <c r="N153">
        <f ca="1">IFERROR(__xludf.DUMMYFUNCTION("""COMPUTED_VALUE"""),22.35)</f>
        <v>22.35</v>
      </c>
      <c r="O153" s="125">
        <f ca="1">IFERROR(__xludf.DUMMYFUNCTION("""COMPUTED_VALUE"""),42927.6666666666)</f>
        <v>42927.666666666599</v>
      </c>
      <c r="P153">
        <f ca="1">IFERROR(__xludf.DUMMYFUNCTION("""COMPUTED_VALUE"""),32.26)</f>
        <v>32.26</v>
      </c>
    </row>
    <row r="154" spans="2:16" ht="12.75">
      <c r="B154" s="125">
        <f ca="1">IFERROR(__xludf.DUMMYFUNCTION("""COMPUTED_VALUE"""),42928.6666666666)</f>
        <v>42928.666666666599</v>
      </c>
      <c r="C154">
        <f ca="1">IFERROR(__xludf.DUMMYFUNCTION("""COMPUTED_VALUE"""),32.96)</f>
        <v>32.96</v>
      </c>
      <c r="D154">
        <v>19.18</v>
      </c>
      <c r="E154">
        <v>24.76</v>
      </c>
      <c r="F154">
        <v>29.39</v>
      </c>
      <c r="G154">
        <v>8.68</v>
      </c>
      <c r="H154">
        <v>162.41</v>
      </c>
      <c r="I154">
        <v>28.01</v>
      </c>
      <c r="J154">
        <v>54.28</v>
      </c>
      <c r="K154">
        <v>113.96</v>
      </c>
      <c r="L154">
        <v>32.270000000000003</v>
      </c>
      <c r="M154" s="125">
        <f ca="1">IFERROR(__xludf.DUMMYFUNCTION("""COMPUTED_VALUE"""),43460.6666666666)</f>
        <v>43460.666666666599</v>
      </c>
      <c r="N154">
        <f ca="1">IFERROR(__xludf.DUMMYFUNCTION("""COMPUTED_VALUE"""),23.18)</f>
        <v>23.18</v>
      </c>
      <c r="O154" s="125">
        <f ca="1">IFERROR(__xludf.DUMMYFUNCTION("""COMPUTED_VALUE"""),42928.6666666666)</f>
        <v>42928.666666666599</v>
      </c>
      <c r="P154">
        <f ca="1">IFERROR(__xludf.DUMMYFUNCTION("""COMPUTED_VALUE"""),32.96)</f>
        <v>32.96</v>
      </c>
    </row>
    <row r="155" spans="2:16" ht="12.75">
      <c r="B155" s="125">
        <f ca="1">IFERROR(__xludf.DUMMYFUNCTION("""COMPUTED_VALUE"""),42929.6666666666)</f>
        <v>42929.666666666599</v>
      </c>
      <c r="C155">
        <f ca="1">IFERROR(__xludf.DUMMYFUNCTION("""COMPUTED_VALUE"""),33.25)</f>
        <v>33.25</v>
      </c>
      <c r="D155">
        <v>19.18</v>
      </c>
      <c r="E155">
        <v>24.77</v>
      </c>
      <c r="F155">
        <v>29.48</v>
      </c>
      <c r="G155">
        <v>8.66</v>
      </c>
      <c r="H155">
        <v>162.15</v>
      </c>
      <c r="I155">
        <v>28.05</v>
      </c>
      <c r="J155">
        <v>54.29</v>
      </c>
      <c r="K155">
        <v>113.49</v>
      </c>
      <c r="L155">
        <v>32.1</v>
      </c>
      <c r="M155" s="125">
        <f ca="1">IFERROR(__xludf.DUMMYFUNCTION("""COMPUTED_VALUE"""),43461.6666666666)</f>
        <v>43461.666666666599</v>
      </c>
      <c r="N155">
        <f ca="1">IFERROR(__xludf.DUMMYFUNCTION("""COMPUTED_VALUE"""),23.09)</f>
        <v>23.09</v>
      </c>
      <c r="O155" s="125">
        <f ca="1">IFERROR(__xludf.DUMMYFUNCTION("""COMPUTED_VALUE"""),42929.6666666666)</f>
        <v>42929.666666666599</v>
      </c>
      <c r="P155">
        <f ca="1">IFERROR(__xludf.DUMMYFUNCTION("""COMPUTED_VALUE"""),33.25)</f>
        <v>33.25</v>
      </c>
    </row>
    <row r="156" spans="2:16" ht="12.75">
      <c r="B156" s="125">
        <f ca="1">IFERROR(__xludf.DUMMYFUNCTION("""COMPUTED_VALUE"""),42930.6666666666)</f>
        <v>42930.666666666599</v>
      </c>
      <c r="C156">
        <f ca="1">IFERROR(__xludf.DUMMYFUNCTION("""COMPUTED_VALUE"""),33.74)</f>
        <v>33.74</v>
      </c>
      <c r="D156">
        <v>19.3</v>
      </c>
      <c r="E156">
        <v>24.62</v>
      </c>
      <c r="F156">
        <v>29.8</v>
      </c>
      <c r="G156">
        <v>8.8000000000000007</v>
      </c>
      <c r="H156">
        <v>163.03</v>
      </c>
      <c r="I156">
        <v>28.06</v>
      </c>
      <c r="J156">
        <v>54.72</v>
      </c>
      <c r="K156">
        <v>114.05</v>
      </c>
      <c r="L156">
        <v>31.89</v>
      </c>
      <c r="M156" s="125">
        <f ca="1">IFERROR(__xludf.DUMMYFUNCTION("""COMPUTED_VALUE"""),43462.6666666666)</f>
        <v>43462.666666666599</v>
      </c>
      <c r="N156">
        <f ca="1">IFERROR(__xludf.DUMMYFUNCTION("""COMPUTED_VALUE"""),23.32)</f>
        <v>23.32</v>
      </c>
      <c r="O156" s="125">
        <f ca="1">IFERROR(__xludf.DUMMYFUNCTION("""COMPUTED_VALUE"""),42930.6666666666)</f>
        <v>42930.666666666599</v>
      </c>
      <c r="P156">
        <f ca="1">IFERROR(__xludf.DUMMYFUNCTION("""COMPUTED_VALUE"""),33.74)</f>
        <v>33.74</v>
      </c>
    </row>
    <row r="157" spans="2:16" ht="12.75">
      <c r="B157" s="125">
        <f ca="1">IFERROR(__xludf.DUMMYFUNCTION("""COMPUTED_VALUE"""),42933.6666666666)</f>
        <v>42933.666666666599</v>
      </c>
      <c r="C157">
        <f ca="1">IFERROR(__xludf.DUMMYFUNCTION("""COMPUTED_VALUE"""),33.48)</f>
        <v>33.479999999999997</v>
      </c>
      <c r="D157">
        <v>19.350000000000001</v>
      </c>
      <c r="E157">
        <v>24.62</v>
      </c>
      <c r="F157">
        <v>29.77</v>
      </c>
      <c r="G157">
        <v>8.7899999999999991</v>
      </c>
      <c r="H157">
        <v>163.12</v>
      </c>
      <c r="I157">
        <v>27.92</v>
      </c>
      <c r="J157">
        <v>54.78</v>
      </c>
      <c r="K157">
        <v>114.52</v>
      </c>
      <c r="L157">
        <v>32.020000000000003</v>
      </c>
      <c r="M157" s="125">
        <f ca="1">IFERROR(__xludf.DUMMYFUNCTION("""COMPUTED_VALUE"""),43465.6666666666)</f>
        <v>43465.666666666599</v>
      </c>
      <c r="N157">
        <f ca="1">IFERROR(__xludf.DUMMYFUNCTION("""COMPUTED_VALUE"""),23.34)</f>
        <v>23.34</v>
      </c>
      <c r="O157" s="125">
        <f ca="1">IFERROR(__xludf.DUMMYFUNCTION("""COMPUTED_VALUE"""),42933.6666666666)</f>
        <v>42933.666666666599</v>
      </c>
      <c r="P157">
        <f ca="1">IFERROR(__xludf.DUMMYFUNCTION("""COMPUTED_VALUE"""),33.48)</f>
        <v>33.479999999999997</v>
      </c>
    </row>
    <row r="158" spans="2:16" ht="12.75">
      <c r="B158" s="125">
        <f ca="1">IFERROR(__xludf.DUMMYFUNCTION("""COMPUTED_VALUE"""),42934.6666666666)</f>
        <v>42934.666666666599</v>
      </c>
      <c r="C158">
        <f ca="1">IFERROR(__xludf.DUMMYFUNCTION("""COMPUTED_VALUE"""),33.88)</f>
        <v>33.880000000000003</v>
      </c>
      <c r="D158">
        <v>19.440000000000001</v>
      </c>
      <c r="E158">
        <v>24.49</v>
      </c>
      <c r="F158">
        <v>29.82</v>
      </c>
      <c r="G158">
        <v>8.8699999999999992</v>
      </c>
      <c r="H158">
        <v>162.43</v>
      </c>
      <c r="I158">
        <v>27.62</v>
      </c>
      <c r="J158">
        <v>54.78</v>
      </c>
      <c r="K158">
        <v>114.83</v>
      </c>
      <c r="L158">
        <v>31.25</v>
      </c>
      <c r="M158" s="125">
        <f ca="1">IFERROR(__xludf.DUMMYFUNCTION("""COMPUTED_VALUE"""),43467.6666666666)</f>
        <v>43467.666666666599</v>
      </c>
      <c r="N158">
        <f ca="1">IFERROR(__xludf.DUMMYFUNCTION("""COMPUTED_VALUE"""),23.04)</f>
        <v>23.04</v>
      </c>
      <c r="O158" s="125">
        <f ca="1">IFERROR(__xludf.DUMMYFUNCTION("""COMPUTED_VALUE"""),42934.6666666666)</f>
        <v>42934.666666666599</v>
      </c>
      <c r="P158">
        <f ca="1">IFERROR(__xludf.DUMMYFUNCTION("""COMPUTED_VALUE"""),33.88)</f>
        <v>33.880000000000003</v>
      </c>
    </row>
    <row r="159" spans="2:16" ht="12.75">
      <c r="B159" s="125">
        <f ca="1">IFERROR(__xludf.DUMMYFUNCTION("""COMPUTED_VALUE"""),42935.6666666666)</f>
        <v>42935.666666666599</v>
      </c>
      <c r="C159">
        <f ca="1">IFERROR(__xludf.DUMMYFUNCTION("""COMPUTED_VALUE"""),34.23)</f>
        <v>34.229999999999997</v>
      </c>
      <c r="D159">
        <v>19.48</v>
      </c>
      <c r="E159">
        <v>24.55</v>
      </c>
      <c r="F159">
        <v>30.07</v>
      </c>
      <c r="G159">
        <v>8.99</v>
      </c>
      <c r="H159">
        <v>163.72999999999999</v>
      </c>
      <c r="I159">
        <v>27.73</v>
      </c>
      <c r="J159">
        <v>54.98</v>
      </c>
      <c r="K159">
        <v>115.37</v>
      </c>
      <c r="L159">
        <v>30.8</v>
      </c>
      <c r="M159" s="125">
        <f ca="1">IFERROR(__xludf.DUMMYFUNCTION("""COMPUTED_VALUE"""),43468.6666666666)</f>
        <v>43468.666666666599</v>
      </c>
      <c r="N159">
        <f ca="1">IFERROR(__xludf.DUMMYFUNCTION("""COMPUTED_VALUE"""),23.07)</f>
        <v>23.07</v>
      </c>
      <c r="O159" s="125">
        <f ca="1">IFERROR(__xludf.DUMMYFUNCTION("""COMPUTED_VALUE"""),42935.6666666666)</f>
        <v>42935.666666666599</v>
      </c>
      <c r="P159">
        <f ca="1">IFERROR(__xludf.DUMMYFUNCTION("""COMPUTED_VALUE"""),34.23)</f>
        <v>34.229999999999997</v>
      </c>
    </row>
    <row r="160" spans="2:16" ht="12.75">
      <c r="B160" s="125">
        <f ca="1">IFERROR(__xludf.DUMMYFUNCTION("""COMPUTED_VALUE"""),42936.6666666666)</f>
        <v>42936.666666666599</v>
      </c>
      <c r="C160">
        <f ca="1">IFERROR(__xludf.DUMMYFUNCTION("""COMPUTED_VALUE"""),34.25)</f>
        <v>34.25</v>
      </c>
      <c r="D160">
        <v>19.55</v>
      </c>
      <c r="E160">
        <v>24.4</v>
      </c>
      <c r="F160">
        <v>30.38</v>
      </c>
      <c r="G160">
        <v>9</v>
      </c>
      <c r="H160">
        <v>163.51</v>
      </c>
      <c r="I160">
        <v>27.64</v>
      </c>
      <c r="J160">
        <v>54.99</v>
      </c>
      <c r="K160">
        <v>116.31</v>
      </c>
      <c r="L160">
        <v>30.43</v>
      </c>
      <c r="M160" s="125">
        <f ca="1">IFERROR(__xludf.DUMMYFUNCTION("""COMPUTED_VALUE"""),43469.6666666666)</f>
        <v>43469.666666666599</v>
      </c>
      <c r="N160">
        <f ca="1">IFERROR(__xludf.DUMMYFUNCTION("""COMPUTED_VALUE"""),23.63)</f>
        <v>23.63</v>
      </c>
      <c r="O160" s="125">
        <f ca="1">IFERROR(__xludf.DUMMYFUNCTION("""COMPUTED_VALUE"""),42936.6666666666)</f>
        <v>42936.666666666599</v>
      </c>
      <c r="P160">
        <f ca="1">IFERROR(__xludf.DUMMYFUNCTION("""COMPUTED_VALUE"""),34.25)</f>
        <v>34.25</v>
      </c>
    </row>
    <row r="161" spans="2:16" ht="12.75">
      <c r="B161" s="125">
        <f ca="1">IFERROR(__xludf.DUMMYFUNCTION("""COMPUTED_VALUE"""),42937.6666666666)</f>
        <v>42937.666666666599</v>
      </c>
      <c r="C161">
        <f ca="1">IFERROR(__xludf.DUMMYFUNCTION("""COMPUTED_VALUE"""),34.27)</f>
        <v>34.270000000000003</v>
      </c>
      <c r="D161">
        <v>19.600000000000001</v>
      </c>
      <c r="E161">
        <v>24.32</v>
      </c>
      <c r="F161">
        <v>30.33</v>
      </c>
      <c r="G161">
        <v>8.99</v>
      </c>
      <c r="H161">
        <v>164.02</v>
      </c>
      <c r="I161">
        <v>27.23</v>
      </c>
      <c r="J161">
        <v>55.08</v>
      </c>
      <c r="K161">
        <v>117.24</v>
      </c>
      <c r="L161">
        <v>30.12</v>
      </c>
      <c r="M161" s="125">
        <f ca="1">IFERROR(__xludf.DUMMYFUNCTION("""COMPUTED_VALUE"""),43472.6666666666)</f>
        <v>43472.666666666599</v>
      </c>
      <c r="N161">
        <f ca="1">IFERROR(__xludf.DUMMYFUNCTION("""COMPUTED_VALUE"""),23.82)</f>
        <v>23.82</v>
      </c>
      <c r="O161" s="125">
        <f ca="1">IFERROR(__xludf.DUMMYFUNCTION("""COMPUTED_VALUE"""),42937.6666666666)</f>
        <v>42937.666666666599</v>
      </c>
      <c r="P161">
        <f ca="1">IFERROR(__xludf.DUMMYFUNCTION("""COMPUTED_VALUE"""),34.27)</f>
        <v>34.270000000000003</v>
      </c>
    </row>
    <row r="162" spans="2:16" ht="12.75">
      <c r="B162" s="125">
        <f ca="1">IFERROR(__xludf.DUMMYFUNCTION("""COMPUTED_VALUE"""),42940.6666666666)</f>
        <v>42940.666666666599</v>
      </c>
      <c r="C162">
        <f ca="1">IFERROR(__xludf.DUMMYFUNCTION("""COMPUTED_VALUE"""),34.56)</f>
        <v>34.56</v>
      </c>
      <c r="D162">
        <v>19.64</v>
      </c>
      <c r="E162">
        <v>24.33</v>
      </c>
      <c r="F162">
        <v>30.29</v>
      </c>
      <c r="G162">
        <v>8.98</v>
      </c>
      <c r="H162">
        <v>164.34</v>
      </c>
      <c r="I162">
        <v>27.2</v>
      </c>
      <c r="J162">
        <v>54.9</v>
      </c>
      <c r="K162">
        <v>116.25</v>
      </c>
      <c r="L162">
        <v>28.84</v>
      </c>
      <c r="M162" s="125">
        <f ca="1">IFERROR(__xludf.DUMMYFUNCTION("""COMPUTED_VALUE"""),43473.6666666666)</f>
        <v>43473.666666666599</v>
      </c>
      <c r="N162">
        <f ca="1">IFERROR(__xludf.DUMMYFUNCTION("""COMPUTED_VALUE"""),24.23)</f>
        <v>24.23</v>
      </c>
      <c r="O162" s="125">
        <f ca="1">IFERROR(__xludf.DUMMYFUNCTION("""COMPUTED_VALUE"""),42940.6666666666)</f>
        <v>42940.666666666599</v>
      </c>
      <c r="P162">
        <f ca="1">IFERROR(__xludf.DUMMYFUNCTION("""COMPUTED_VALUE"""),34.56)</f>
        <v>34.56</v>
      </c>
    </row>
    <row r="163" spans="2:16" ht="12.75">
      <c r="B163" s="125">
        <f ca="1">IFERROR(__xludf.DUMMYFUNCTION("""COMPUTED_VALUE"""),42941.6666666666)</f>
        <v>42941.666666666599</v>
      </c>
      <c r="C163">
        <f ca="1">IFERROR(__xludf.DUMMYFUNCTION("""COMPUTED_VALUE"""),34.59)</f>
        <v>34.590000000000003</v>
      </c>
      <c r="D163">
        <v>19.71</v>
      </c>
      <c r="E163">
        <v>24.37</v>
      </c>
      <c r="F163">
        <v>30.33</v>
      </c>
      <c r="G163">
        <v>8.99</v>
      </c>
      <c r="H163">
        <v>164.44</v>
      </c>
      <c r="I163">
        <v>27.25</v>
      </c>
      <c r="J163">
        <v>55.28</v>
      </c>
      <c r="K163">
        <v>115.78</v>
      </c>
      <c r="L163">
        <v>28.61</v>
      </c>
      <c r="M163" s="125">
        <f ca="1">IFERROR(__xludf.DUMMYFUNCTION("""COMPUTED_VALUE"""),43474.6666666666)</f>
        <v>43474.666666666599</v>
      </c>
      <c r="N163">
        <f ca="1">IFERROR(__xludf.DUMMYFUNCTION("""COMPUTED_VALUE"""),23.99)</f>
        <v>23.99</v>
      </c>
      <c r="O163" s="125">
        <f ca="1">IFERROR(__xludf.DUMMYFUNCTION("""COMPUTED_VALUE"""),42941.6666666666)</f>
        <v>42941.666666666599</v>
      </c>
      <c r="P163">
        <f ca="1">IFERROR(__xludf.DUMMYFUNCTION("""COMPUTED_VALUE"""),34.59)</f>
        <v>34.590000000000003</v>
      </c>
    </row>
    <row r="164" spans="2:16" ht="12.75">
      <c r="B164" s="125">
        <f ca="1">IFERROR(__xludf.DUMMYFUNCTION("""COMPUTED_VALUE"""),42942.6666666666)</f>
        <v>42942.666666666599</v>
      </c>
      <c r="C164">
        <f ca="1">IFERROR(__xludf.DUMMYFUNCTION("""COMPUTED_VALUE"""),34.98)</f>
        <v>34.979999999999997</v>
      </c>
      <c r="D164">
        <v>19.829999999999998</v>
      </c>
      <c r="E164">
        <v>24.23</v>
      </c>
      <c r="F164">
        <v>30.6</v>
      </c>
      <c r="G164">
        <v>9.11</v>
      </c>
      <c r="H164">
        <v>164.46</v>
      </c>
      <c r="I164">
        <v>27.24</v>
      </c>
      <c r="J164">
        <v>55.27</v>
      </c>
      <c r="K164">
        <v>116.66</v>
      </c>
      <c r="L164">
        <v>29</v>
      </c>
      <c r="M164" s="125">
        <f ca="1">IFERROR(__xludf.DUMMYFUNCTION("""COMPUTED_VALUE"""),43475.6666666666)</f>
        <v>43475.666666666599</v>
      </c>
      <c r="N164">
        <f ca="1">IFERROR(__xludf.DUMMYFUNCTION("""COMPUTED_VALUE"""),24.47)</f>
        <v>24.47</v>
      </c>
      <c r="O164" s="125">
        <f ca="1">IFERROR(__xludf.DUMMYFUNCTION("""COMPUTED_VALUE"""),42942.6666666666)</f>
        <v>42942.666666666599</v>
      </c>
      <c r="P164">
        <f ca="1">IFERROR(__xludf.DUMMYFUNCTION("""COMPUTED_VALUE"""),34.98)</f>
        <v>34.979999999999997</v>
      </c>
    </row>
    <row r="165" spans="2:16" ht="12.75">
      <c r="B165" s="125">
        <f ca="1">IFERROR(__xludf.DUMMYFUNCTION("""COMPUTED_VALUE"""),42943.6666666666)</f>
        <v>42943.666666666599</v>
      </c>
      <c r="C165">
        <f ca="1">IFERROR(__xludf.DUMMYFUNCTION("""COMPUTED_VALUE"""),34.68)</f>
        <v>34.68</v>
      </c>
      <c r="D165">
        <v>19.760000000000002</v>
      </c>
      <c r="E165">
        <v>24.32</v>
      </c>
      <c r="F165">
        <v>30.58</v>
      </c>
      <c r="G165">
        <v>8.9</v>
      </c>
      <c r="H165">
        <v>164.17</v>
      </c>
      <c r="I165">
        <v>27.11</v>
      </c>
      <c r="J165">
        <v>55.81</v>
      </c>
      <c r="K165">
        <v>116.99</v>
      </c>
      <c r="L165">
        <v>28.88</v>
      </c>
      <c r="M165" s="125">
        <f ca="1">IFERROR(__xludf.DUMMYFUNCTION("""COMPUTED_VALUE"""),43476.6666666666)</f>
        <v>43476.666666666599</v>
      </c>
      <c r="N165">
        <f ca="1">IFERROR(__xludf.DUMMYFUNCTION("""COMPUTED_VALUE"""),24.61)</f>
        <v>24.61</v>
      </c>
      <c r="O165" s="125">
        <f ca="1">IFERROR(__xludf.DUMMYFUNCTION("""COMPUTED_VALUE"""),42943.6666666666)</f>
        <v>42943.666666666599</v>
      </c>
      <c r="P165">
        <f ca="1">IFERROR(__xludf.DUMMYFUNCTION("""COMPUTED_VALUE"""),34.68)</f>
        <v>34.68</v>
      </c>
    </row>
    <row r="166" spans="2:16" ht="12.75">
      <c r="B166" s="125">
        <f ca="1">IFERROR(__xludf.DUMMYFUNCTION("""COMPUTED_VALUE"""),42944.6666666666)</f>
        <v>42944.666666666599</v>
      </c>
      <c r="C166">
        <f ca="1">IFERROR(__xludf.DUMMYFUNCTION("""COMPUTED_VALUE"""),35)</f>
        <v>35</v>
      </c>
      <c r="D166">
        <v>19.59</v>
      </c>
      <c r="E166">
        <v>24.17</v>
      </c>
      <c r="F166">
        <v>30.63</v>
      </c>
      <c r="G166">
        <v>9.01</v>
      </c>
      <c r="H166">
        <v>165.67</v>
      </c>
      <c r="I166">
        <v>27.05</v>
      </c>
      <c r="J166">
        <v>55.34</v>
      </c>
      <c r="K166">
        <v>116.81</v>
      </c>
      <c r="L166">
        <v>29.51</v>
      </c>
      <c r="M166" s="125">
        <f ca="1">IFERROR(__xludf.DUMMYFUNCTION("""COMPUTED_VALUE"""),43479.6666666666)</f>
        <v>43479.666666666599</v>
      </c>
      <c r="N166">
        <f ca="1">IFERROR(__xludf.DUMMYFUNCTION("""COMPUTED_VALUE"""),24.58)</f>
        <v>24.58</v>
      </c>
      <c r="O166" s="125">
        <f ca="1">IFERROR(__xludf.DUMMYFUNCTION("""COMPUTED_VALUE"""),42944.6666666666)</f>
        <v>42944.666666666599</v>
      </c>
      <c r="P166">
        <f ca="1">IFERROR(__xludf.DUMMYFUNCTION("""COMPUTED_VALUE"""),35)</f>
        <v>35</v>
      </c>
    </row>
    <row r="167" spans="2:16" ht="12.75">
      <c r="B167" s="125">
        <f ca="1">IFERROR(__xludf.DUMMYFUNCTION("""COMPUTED_VALUE"""),42947.6666666666)</f>
        <v>42947.666666666599</v>
      </c>
      <c r="C167">
        <f ca="1">IFERROR(__xludf.DUMMYFUNCTION("""COMPUTED_VALUE"""),35.15)</f>
        <v>35.15</v>
      </c>
      <c r="D167">
        <v>19.64</v>
      </c>
      <c r="E167">
        <v>24.07</v>
      </c>
      <c r="F167">
        <v>30.74</v>
      </c>
      <c r="G167">
        <v>9.0299999999999994</v>
      </c>
      <c r="H167">
        <v>164.9</v>
      </c>
      <c r="I167">
        <v>26.87</v>
      </c>
      <c r="J167">
        <v>55.32</v>
      </c>
      <c r="K167">
        <v>117.29</v>
      </c>
      <c r="L167">
        <v>29.53</v>
      </c>
      <c r="M167" s="125">
        <f ca="1">IFERROR(__xludf.DUMMYFUNCTION("""COMPUTED_VALUE"""),43480.6666666666)</f>
        <v>43480.666666666599</v>
      </c>
      <c r="N167">
        <f ca="1">IFERROR(__xludf.DUMMYFUNCTION("""COMPUTED_VALUE"""),24.86)</f>
        <v>24.86</v>
      </c>
      <c r="O167" s="125">
        <f ca="1">IFERROR(__xludf.DUMMYFUNCTION("""COMPUTED_VALUE"""),42947.6666666666)</f>
        <v>42947.666666666599</v>
      </c>
      <c r="P167">
        <f ca="1">IFERROR(__xludf.DUMMYFUNCTION("""COMPUTED_VALUE"""),35.15)</f>
        <v>35.15</v>
      </c>
    </row>
    <row r="168" spans="2:16" ht="12.75">
      <c r="B168" s="125">
        <f ca="1">IFERROR(__xludf.DUMMYFUNCTION("""COMPUTED_VALUE"""),42948.6666666666)</f>
        <v>42948.666666666599</v>
      </c>
      <c r="C168">
        <f ca="1">IFERROR(__xludf.DUMMYFUNCTION("""COMPUTED_VALUE"""),35.21)</f>
        <v>35.21</v>
      </c>
      <c r="D168">
        <v>19.62</v>
      </c>
      <c r="E168">
        <v>24.11</v>
      </c>
      <c r="F168">
        <v>30.83</v>
      </c>
      <c r="G168">
        <v>9.0399999999999991</v>
      </c>
      <c r="H168">
        <v>165.71</v>
      </c>
      <c r="I168">
        <v>27.21</v>
      </c>
      <c r="J168">
        <v>55.26</v>
      </c>
      <c r="K168">
        <v>117.88</v>
      </c>
      <c r="L168">
        <v>28.87</v>
      </c>
      <c r="M168" s="125">
        <f ca="1">IFERROR(__xludf.DUMMYFUNCTION("""COMPUTED_VALUE"""),43481.6666666666)</f>
        <v>43481.666666666599</v>
      </c>
      <c r="N168">
        <f ca="1">IFERROR(__xludf.DUMMYFUNCTION("""COMPUTED_VALUE"""),24.94)</f>
        <v>24.94</v>
      </c>
      <c r="O168" s="125">
        <f ca="1">IFERROR(__xludf.DUMMYFUNCTION("""COMPUTED_VALUE"""),42948.6666666666)</f>
        <v>42948.666666666599</v>
      </c>
      <c r="P168">
        <f ca="1">IFERROR(__xludf.DUMMYFUNCTION("""COMPUTED_VALUE"""),35.21)</f>
        <v>35.21</v>
      </c>
    </row>
    <row r="169" spans="2:16" ht="12.75">
      <c r="B169" s="125">
        <f ca="1">IFERROR(__xludf.DUMMYFUNCTION("""COMPUTED_VALUE"""),42949.6666666666)</f>
        <v>42949.666666666599</v>
      </c>
      <c r="C169">
        <f ca="1">IFERROR(__xludf.DUMMYFUNCTION("""COMPUTED_VALUE"""),34.66)</f>
        <v>34.659999999999997</v>
      </c>
      <c r="D169">
        <v>19.45</v>
      </c>
      <c r="E169">
        <v>24.08</v>
      </c>
      <c r="F169">
        <v>30.86</v>
      </c>
      <c r="G169">
        <v>9.01</v>
      </c>
      <c r="H169">
        <v>166.59</v>
      </c>
      <c r="I169">
        <v>27.07</v>
      </c>
      <c r="J169">
        <v>55.22</v>
      </c>
      <c r="K169">
        <v>118.21</v>
      </c>
      <c r="L169">
        <v>28.72</v>
      </c>
      <c r="M169" s="125">
        <f ca="1">IFERROR(__xludf.DUMMYFUNCTION("""COMPUTED_VALUE"""),43482.6666666666)</f>
        <v>43482.666666666599</v>
      </c>
      <c r="N169">
        <f ca="1">IFERROR(__xludf.DUMMYFUNCTION("""COMPUTED_VALUE"""),25.01)</f>
        <v>25.01</v>
      </c>
      <c r="O169" s="125">
        <f ca="1">IFERROR(__xludf.DUMMYFUNCTION("""COMPUTED_VALUE"""),42949.6666666666)</f>
        <v>42949.666666666599</v>
      </c>
      <c r="P169">
        <f ca="1">IFERROR(__xludf.DUMMYFUNCTION("""COMPUTED_VALUE"""),34.66)</f>
        <v>34.659999999999997</v>
      </c>
    </row>
    <row r="170" spans="2:16" ht="12.75">
      <c r="B170" s="125">
        <f ca="1">IFERROR(__xludf.DUMMYFUNCTION("""COMPUTED_VALUE"""),42950.6666666666)</f>
        <v>42950.666666666599</v>
      </c>
      <c r="C170">
        <f ca="1">IFERROR(__xludf.DUMMYFUNCTION("""COMPUTED_VALUE"""),34.74)</f>
        <v>34.74</v>
      </c>
      <c r="D170">
        <v>19.420000000000002</v>
      </c>
      <c r="E170">
        <v>24.02</v>
      </c>
      <c r="F170">
        <v>30.9</v>
      </c>
      <c r="G170">
        <v>9.0500000000000007</v>
      </c>
      <c r="H170">
        <v>167.81</v>
      </c>
      <c r="I170">
        <v>26.98</v>
      </c>
      <c r="J170">
        <v>55.17</v>
      </c>
      <c r="K170">
        <v>118.62</v>
      </c>
      <c r="L170">
        <v>28.8</v>
      </c>
      <c r="M170" s="125">
        <f ca="1">IFERROR(__xludf.DUMMYFUNCTION("""COMPUTED_VALUE"""),43483.6666666666)</f>
        <v>43483.666666666599</v>
      </c>
      <c r="N170">
        <f ca="1">IFERROR(__xludf.DUMMYFUNCTION("""COMPUTED_VALUE"""),25.06)</f>
        <v>25.06</v>
      </c>
      <c r="O170" s="125">
        <f ca="1">IFERROR(__xludf.DUMMYFUNCTION("""COMPUTED_VALUE"""),42950.6666666666)</f>
        <v>42950.666666666599</v>
      </c>
      <c r="P170">
        <f ca="1">IFERROR(__xludf.DUMMYFUNCTION("""COMPUTED_VALUE"""),34.74)</f>
        <v>34.74</v>
      </c>
    </row>
    <row r="171" spans="2:16" ht="12.75">
      <c r="B171" s="125">
        <f ca="1">IFERROR(__xludf.DUMMYFUNCTION("""COMPUTED_VALUE"""),42951.6666666666)</f>
        <v>42951.666666666599</v>
      </c>
      <c r="C171">
        <f ca="1">IFERROR(__xludf.DUMMYFUNCTION("""COMPUTED_VALUE"""),34.79)</f>
        <v>34.79</v>
      </c>
      <c r="D171">
        <v>19.47</v>
      </c>
      <c r="E171">
        <v>24.23</v>
      </c>
      <c r="F171">
        <v>30.96</v>
      </c>
      <c r="G171">
        <v>9.1</v>
      </c>
      <c r="H171">
        <v>167.96</v>
      </c>
      <c r="I171">
        <v>27.34</v>
      </c>
      <c r="J171">
        <v>55.02</v>
      </c>
      <c r="K171">
        <v>118.3</v>
      </c>
      <c r="L171">
        <v>28.62</v>
      </c>
      <c r="M171" s="125">
        <f ca="1">IFERROR(__xludf.DUMMYFUNCTION("""COMPUTED_VALUE"""),43487.6666666666)</f>
        <v>43487.666666666599</v>
      </c>
      <c r="N171">
        <f ca="1">IFERROR(__xludf.DUMMYFUNCTION("""COMPUTED_VALUE"""),24.86)</f>
        <v>24.86</v>
      </c>
      <c r="O171" s="125">
        <f ca="1">IFERROR(__xludf.DUMMYFUNCTION("""COMPUTED_VALUE"""),42951.6666666666)</f>
        <v>42951.666666666599</v>
      </c>
      <c r="P171">
        <f ca="1">IFERROR(__xludf.DUMMYFUNCTION("""COMPUTED_VALUE"""),34.79)</f>
        <v>34.79</v>
      </c>
    </row>
    <row r="172" spans="2:16" ht="12.75">
      <c r="B172" s="125">
        <f ca="1">IFERROR(__xludf.DUMMYFUNCTION("""COMPUTED_VALUE"""),42954.6666666666)</f>
        <v>42954.666666666599</v>
      </c>
      <c r="C172">
        <f ca="1">IFERROR(__xludf.DUMMYFUNCTION("""COMPUTED_VALUE"""),35.56)</f>
        <v>35.56</v>
      </c>
      <c r="D172">
        <v>19.64</v>
      </c>
      <c r="E172">
        <v>24.22</v>
      </c>
      <c r="F172">
        <v>31.1</v>
      </c>
      <c r="G172">
        <v>9.19</v>
      </c>
      <c r="H172">
        <v>168.55</v>
      </c>
      <c r="I172">
        <v>27.25</v>
      </c>
      <c r="J172">
        <v>55.43</v>
      </c>
      <c r="K172">
        <v>118.63</v>
      </c>
      <c r="L172">
        <v>27.34</v>
      </c>
      <c r="M172" s="125">
        <f ca="1">IFERROR(__xludf.DUMMYFUNCTION("""COMPUTED_VALUE"""),43488.6666666666)</f>
        <v>43488.666666666599</v>
      </c>
      <c r="N172">
        <f ca="1">IFERROR(__xludf.DUMMYFUNCTION("""COMPUTED_VALUE"""),24.87)</f>
        <v>24.87</v>
      </c>
      <c r="O172" s="125">
        <f ca="1">IFERROR(__xludf.DUMMYFUNCTION("""COMPUTED_VALUE"""),42954.6666666666)</f>
        <v>42954.666666666599</v>
      </c>
      <c r="P172">
        <f ca="1">IFERROR(__xludf.DUMMYFUNCTION("""COMPUTED_VALUE"""),35.56)</f>
        <v>35.56</v>
      </c>
    </row>
    <row r="173" spans="2:16" ht="12.75">
      <c r="B173" s="125">
        <f ca="1">IFERROR(__xludf.DUMMYFUNCTION("""COMPUTED_VALUE"""),42955.6666666666)</f>
        <v>42955.666666666599</v>
      </c>
      <c r="C173">
        <f ca="1">IFERROR(__xludf.DUMMYFUNCTION("""COMPUTED_VALUE"""),35.69)</f>
        <v>35.69</v>
      </c>
      <c r="D173">
        <v>19.57</v>
      </c>
      <c r="E173">
        <v>24.26</v>
      </c>
      <c r="F173">
        <v>30.93</v>
      </c>
      <c r="G173">
        <v>9.15</v>
      </c>
      <c r="H173">
        <v>168.35</v>
      </c>
      <c r="I173">
        <v>27.23</v>
      </c>
      <c r="J173">
        <v>55.22</v>
      </c>
      <c r="K173">
        <v>119.09</v>
      </c>
      <c r="L173">
        <v>27.89</v>
      </c>
      <c r="M173" s="125">
        <f ca="1">IFERROR(__xludf.DUMMYFUNCTION("""COMPUTED_VALUE"""),43489.6666666666)</f>
        <v>43489.666666666599</v>
      </c>
      <c r="N173">
        <f ca="1">IFERROR(__xludf.DUMMYFUNCTION("""COMPUTED_VALUE"""),25.09)</f>
        <v>25.09</v>
      </c>
      <c r="O173" s="125">
        <f ca="1">IFERROR(__xludf.DUMMYFUNCTION("""COMPUTED_VALUE"""),42955.6666666666)</f>
        <v>42955.666666666599</v>
      </c>
      <c r="P173">
        <f ca="1">IFERROR(__xludf.DUMMYFUNCTION("""COMPUTED_VALUE"""),35.69)</f>
        <v>35.69</v>
      </c>
    </row>
    <row r="174" spans="2:16" ht="12.75">
      <c r="B174" s="125">
        <f ca="1">IFERROR(__xludf.DUMMYFUNCTION("""COMPUTED_VALUE"""),42956.6666666666)</f>
        <v>42956.666666666599</v>
      </c>
      <c r="C174">
        <f ca="1">IFERROR(__xludf.DUMMYFUNCTION("""COMPUTED_VALUE"""),35.74)</f>
        <v>35.74</v>
      </c>
      <c r="D174">
        <v>19.61</v>
      </c>
      <c r="E174">
        <v>24.24</v>
      </c>
      <c r="F174">
        <v>30.81</v>
      </c>
      <c r="G174">
        <v>9.07</v>
      </c>
      <c r="H174">
        <v>168.45</v>
      </c>
      <c r="I174">
        <v>27.1</v>
      </c>
      <c r="J174">
        <v>55.31</v>
      </c>
      <c r="K174">
        <v>118.48</v>
      </c>
      <c r="L174">
        <v>27.48</v>
      </c>
      <c r="M174" s="125">
        <f ca="1">IFERROR(__xludf.DUMMYFUNCTION("""COMPUTED_VALUE"""),43490.6666666666)</f>
        <v>43490.666666666599</v>
      </c>
      <c r="N174">
        <f ca="1">IFERROR(__xludf.DUMMYFUNCTION("""COMPUTED_VALUE"""),25.17)</f>
        <v>25.17</v>
      </c>
      <c r="O174" s="125">
        <f ca="1">IFERROR(__xludf.DUMMYFUNCTION("""COMPUTED_VALUE"""),42956.6666666666)</f>
        <v>42956.666666666599</v>
      </c>
      <c r="P174">
        <f ca="1">IFERROR(__xludf.DUMMYFUNCTION("""COMPUTED_VALUE"""),35.74)</f>
        <v>35.74</v>
      </c>
    </row>
    <row r="175" spans="2:16" ht="12.75">
      <c r="B175" s="125">
        <f ca="1">IFERROR(__xludf.DUMMYFUNCTION("""COMPUTED_VALUE"""),42957.6666666666)</f>
        <v>42957.666666666599</v>
      </c>
      <c r="C175">
        <f ca="1">IFERROR(__xludf.DUMMYFUNCTION("""COMPUTED_VALUE"""),34.35)</f>
        <v>34.35</v>
      </c>
      <c r="D175">
        <v>19.25</v>
      </c>
      <c r="E175">
        <v>24.2</v>
      </c>
      <c r="F175">
        <v>30.42</v>
      </c>
      <c r="G175">
        <v>8.9499999999999993</v>
      </c>
      <c r="H175">
        <v>166.95</v>
      </c>
      <c r="I175">
        <v>26.59</v>
      </c>
      <c r="J175">
        <v>55.08</v>
      </c>
      <c r="K175">
        <v>118.78</v>
      </c>
      <c r="L175">
        <v>26.98</v>
      </c>
      <c r="M175" s="125">
        <f ca="1">IFERROR(__xludf.DUMMYFUNCTION("""COMPUTED_VALUE"""),43493.6666666666)</f>
        <v>43493.666666666599</v>
      </c>
      <c r="N175">
        <f ca="1">IFERROR(__xludf.DUMMYFUNCTION("""COMPUTED_VALUE"""),25.41)</f>
        <v>25.41</v>
      </c>
      <c r="O175" s="125">
        <f ca="1">IFERROR(__xludf.DUMMYFUNCTION("""COMPUTED_VALUE"""),42957.6666666666)</f>
        <v>42957.666666666599</v>
      </c>
      <c r="P175">
        <f ca="1">IFERROR(__xludf.DUMMYFUNCTION("""COMPUTED_VALUE"""),34.35)</f>
        <v>34.35</v>
      </c>
    </row>
    <row r="176" spans="2:16" ht="12.75">
      <c r="B176" s="125">
        <f ca="1">IFERROR(__xludf.DUMMYFUNCTION("""COMPUTED_VALUE"""),42958.6666666666)</f>
        <v>42958.666666666599</v>
      </c>
      <c r="C176">
        <f ca="1">IFERROR(__xludf.DUMMYFUNCTION("""COMPUTED_VALUE"""),34.31)</f>
        <v>34.31</v>
      </c>
      <c r="D176">
        <v>19.32</v>
      </c>
      <c r="E176">
        <v>24.11</v>
      </c>
      <c r="F176">
        <v>30.38</v>
      </c>
      <c r="G176">
        <v>8.9600000000000009</v>
      </c>
      <c r="H176">
        <v>167.3</v>
      </c>
      <c r="I176">
        <v>26.67</v>
      </c>
      <c r="J176">
        <v>55.12</v>
      </c>
      <c r="K176">
        <v>118.09</v>
      </c>
      <c r="L176">
        <v>27.69</v>
      </c>
      <c r="M176" s="125">
        <f ca="1">IFERROR(__xludf.DUMMYFUNCTION("""COMPUTED_VALUE"""),43494.6666666666)</f>
        <v>43494.666666666599</v>
      </c>
      <c r="N176">
        <f ca="1">IFERROR(__xludf.DUMMYFUNCTION("""COMPUTED_VALUE"""),25.54)</f>
        <v>25.54</v>
      </c>
      <c r="O176" s="125">
        <f ca="1">IFERROR(__xludf.DUMMYFUNCTION("""COMPUTED_VALUE"""),42958.6666666666)</f>
        <v>42958.666666666599</v>
      </c>
      <c r="P176">
        <f ca="1">IFERROR(__xludf.DUMMYFUNCTION("""COMPUTED_VALUE"""),34.31)</f>
        <v>34.31</v>
      </c>
    </row>
    <row r="177" spans="2:16" ht="12.75">
      <c r="B177" s="125">
        <f ca="1">IFERROR(__xludf.DUMMYFUNCTION("""COMPUTED_VALUE"""),42961.6666666666)</f>
        <v>42961.666666666599</v>
      </c>
      <c r="C177">
        <f ca="1">IFERROR(__xludf.DUMMYFUNCTION("""COMPUTED_VALUE"""),34.84)</f>
        <v>34.840000000000003</v>
      </c>
      <c r="D177">
        <v>19.64</v>
      </c>
      <c r="E177">
        <v>24.21</v>
      </c>
      <c r="F177">
        <v>30.56</v>
      </c>
      <c r="G177">
        <v>9.0399999999999991</v>
      </c>
      <c r="H177">
        <v>168.87</v>
      </c>
      <c r="I177">
        <v>27.04</v>
      </c>
      <c r="J177">
        <v>55.39</v>
      </c>
      <c r="K177">
        <v>118.86</v>
      </c>
      <c r="L177">
        <v>28.37</v>
      </c>
      <c r="M177" s="125">
        <f ca="1">IFERROR(__xludf.DUMMYFUNCTION("""COMPUTED_VALUE"""),43495.6666666666)</f>
        <v>43495.666666666599</v>
      </c>
      <c r="N177">
        <f ca="1">IFERROR(__xludf.DUMMYFUNCTION("""COMPUTED_VALUE"""),25.73)</f>
        <v>25.73</v>
      </c>
      <c r="O177" s="125">
        <f ca="1">IFERROR(__xludf.DUMMYFUNCTION("""COMPUTED_VALUE"""),42961.6666666666)</f>
        <v>42961.666666666599</v>
      </c>
      <c r="P177">
        <f ca="1">IFERROR(__xludf.DUMMYFUNCTION("""COMPUTED_VALUE"""),34.84)</f>
        <v>34.840000000000003</v>
      </c>
    </row>
    <row r="178" spans="2:16" ht="12.75">
      <c r="B178" s="125">
        <f ca="1">IFERROR(__xludf.DUMMYFUNCTION("""COMPUTED_VALUE"""),42962.6666666666)</f>
        <v>42962.666666666599</v>
      </c>
      <c r="C178">
        <f ca="1">IFERROR(__xludf.DUMMYFUNCTION("""COMPUTED_VALUE"""),34.73)</f>
        <v>34.729999999999997</v>
      </c>
      <c r="D178">
        <v>19.57</v>
      </c>
      <c r="E178">
        <v>24.32</v>
      </c>
      <c r="F178">
        <v>30.56</v>
      </c>
      <c r="G178">
        <v>9.06</v>
      </c>
      <c r="H178">
        <v>168.26</v>
      </c>
      <c r="I178">
        <v>27.12</v>
      </c>
      <c r="J178">
        <v>55.67</v>
      </c>
      <c r="K178">
        <v>119.35</v>
      </c>
      <c r="L178">
        <v>28.98</v>
      </c>
      <c r="M178" s="125">
        <f ca="1">IFERROR(__xludf.DUMMYFUNCTION("""COMPUTED_VALUE"""),43496.6666666666)</f>
        <v>43496.666666666599</v>
      </c>
      <c r="N178">
        <f ca="1">IFERROR(__xludf.DUMMYFUNCTION("""COMPUTED_VALUE"""),26.12)</f>
        <v>26.12</v>
      </c>
      <c r="O178" s="125">
        <f ca="1">IFERROR(__xludf.DUMMYFUNCTION("""COMPUTED_VALUE"""),42962.6666666666)</f>
        <v>42962.666666666599</v>
      </c>
      <c r="P178">
        <f ca="1">IFERROR(__xludf.DUMMYFUNCTION("""COMPUTED_VALUE"""),34.73)</f>
        <v>34.729999999999997</v>
      </c>
    </row>
    <row r="179" spans="2:16" ht="12.75">
      <c r="B179" s="125">
        <f ca="1">IFERROR(__xludf.DUMMYFUNCTION("""COMPUTED_VALUE"""),42963.6666666666)</f>
        <v>42963.666666666599</v>
      </c>
      <c r="C179">
        <f ca="1">IFERROR(__xludf.DUMMYFUNCTION("""COMPUTED_VALUE"""),35.19)</f>
        <v>35.19</v>
      </c>
      <c r="D179">
        <v>19.670000000000002</v>
      </c>
      <c r="E179">
        <v>24.24</v>
      </c>
      <c r="F179">
        <v>30.75</v>
      </c>
      <c r="G179">
        <v>9.1199999999999992</v>
      </c>
      <c r="H179">
        <v>168.16</v>
      </c>
      <c r="I179">
        <v>27.19</v>
      </c>
      <c r="J179">
        <v>55.86</v>
      </c>
      <c r="K179">
        <v>119.86</v>
      </c>
      <c r="L179">
        <v>29.01</v>
      </c>
      <c r="M179" s="125">
        <f ca="1">IFERROR(__xludf.DUMMYFUNCTION("""COMPUTED_VALUE"""),43497.6666666666)</f>
        <v>43497.666666666599</v>
      </c>
      <c r="N179">
        <f ca="1">IFERROR(__xludf.DUMMYFUNCTION("""COMPUTED_VALUE"""),26.11)</f>
        <v>26.11</v>
      </c>
      <c r="O179" s="125">
        <f ca="1">IFERROR(__xludf.DUMMYFUNCTION("""COMPUTED_VALUE"""),42963.6666666666)</f>
        <v>42963.666666666599</v>
      </c>
      <c r="P179">
        <f ca="1">IFERROR(__xludf.DUMMYFUNCTION("""COMPUTED_VALUE"""),35.19)</f>
        <v>35.19</v>
      </c>
    </row>
    <row r="180" spans="2:16" ht="12.75">
      <c r="B180" s="125">
        <f ca="1">IFERROR(__xludf.DUMMYFUNCTION("""COMPUTED_VALUE"""),42964.6666666666)</f>
        <v>42964.666666666599</v>
      </c>
      <c r="C180">
        <f ca="1">IFERROR(__xludf.DUMMYFUNCTION("""COMPUTED_VALUE"""),34.61)</f>
        <v>34.61</v>
      </c>
      <c r="D180">
        <v>19.38</v>
      </c>
      <c r="E180">
        <v>24.29</v>
      </c>
      <c r="F180">
        <v>30.42</v>
      </c>
      <c r="G180">
        <v>8.91</v>
      </c>
      <c r="H180">
        <v>165.76</v>
      </c>
      <c r="I180">
        <v>26.94</v>
      </c>
      <c r="J180">
        <v>55.35</v>
      </c>
      <c r="K180">
        <v>118.93</v>
      </c>
      <c r="L180">
        <v>28.88</v>
      </c>
      <c r="M180" s="125">
        <f ca="1">IFERROR(__xludf.DUMMYFUNCTION("""COMPUTED_VALUE"""),43500.6666666666)</f>
        <v>43500.666666666599</v>
      </c>
      <c r="N180">
        <f ca="1">IFERROR(__xludf.DUMMYFUNCTION("""COMPUTED_VALUE"""),26.18)</f>
        <v>26.18</v>
      </c>
      <c r="O180" s="125">
        <f ca="1">IFERROR(__xludf.DUMMYFUNCTION("""COMPUTED_VALUE"""),42964.6666666666)</f>
        <v>42964.666666666599</v>
      </c>
      <c r="P180">
        <f ca="1">IFERROR(__xludf.DUMMYFUNCTION("""COMPUTED_VALUE"""),34.61)</f>
        <v>34.61</v>
      </c>
    </row>
    <row r="181" spans="2:16" ht="12.75">
      <c r="B181" s="125">
        <f ca="1">IFERROR(__xludf.DUMMYFUNCTION("""COMPUTED_VALUE"""),42965.6666666666)</f>
        <v>42965.666666666599</v>
      </c>
      <c r="C181">
        <f ca="1">IFERROR(__xludf.DUMMYFUNCTION("""COMPUTED_VALUE"""),34.84)</f>
        <v>34.840000000000003</v>
      </c>
      <c r="D181">
        <v>19.46</v>
      </c>
      <c r="E181">
        <v>24.21</v>
      </c>
      <c r="F181">
        <v>30.43</v>
      </c>
      <c r="G181">
        <v>9.0299999999999994</v>
      </c>
      <c r="H181">
        <v>165.61</v>
      </c>
      <c r="I181">
        <v>27.01</v>
      </c>
      <c r="J181">
        <v>55.2</v>
      </c>
      <c r="K181">
        <v>119.64</v>
      </c>
      <c r="L181">
        <v>28.99</v>
      </c>
      <c r="M181" s="125">
        <f ca="1">IFERROR(__xludf.DUMMYFUNCTION("""COMPUTED_VALUE"""),43501.6666666666)</f>
        <v>43501.666666666599</v>
      </c>
      <c r="N181">
        <f ca="1">IFERROR(__xludf.DUMMYFUNCTION("""COMPUTED_VALUE"""),26.31)</f>
        <v>26.31</v>
      </c>
      <c r="O181" s="125">
        <f ca="1">IFERROR(__xludf.DUMMYFUNCTION("""COMPUTED_VALUE"""),42965.6666666666)</f>
        <v>42965.666666666599</v>
      </c>
      <c r="P181">
        <f ca="1">IFERROR(__xludf.DUMMYFUNCTION("""COMPUTED_VALUE"""),34.84)</f>
        <v>34.840000000000003</v>
      </c>
    </row>
    <row r="182" spans="2:16" ht="12.75">
      <c r="B182" s="125">
        <f ca="1">IFERROR(__xludf.DUMMYFUNCTION("""COMPUTED_VALUE"""),42968.6666666666)</f>
        <v>42968.666666666599</v>
      </c>
      <c r="C182">
        <f ca="1">IFERROR(__xludf.DUMMYFUNCTION("""COMPUTED_VALUE"""),35.34)</f>
        <v>35.340000000000003</v>
      </c>
      <c r="D182">
        <v>19.47</v>
      </c>
      <c r="E182">
        <v>24.14</v>
      </c>
      <c r="F182">
        <v>30.39</v>
      </c>
      <c r="G182">
        <v>8.93</v>
      </c>
      <c r="H182">
        <v>165.72</v>
      </c>
      <c r="I182">
        <v>26.83</v>
      </c>
      <c r="J182">
        <v>55.4</v>
      </c>
      <c r="K182">
        <v>120.04</v>
      </c>
      <c r="L182">
        <v>29.62</v>
      </c>
      <c r="M182" s="125">
        <f ca="1">IFERROR(__xludf.DUMMYFUNCTION("""COMPUTED_VALUE"""),43502.6666666666)</f>
        <v>43502.666666666599</v>
      </c>
      <c r="N182">
        <f ca="1">IFERROR(__xludf.DUMMYFUNCTION("""COMPUTED_VALUE"""),25.98)</f>
        <v>25.98</v>
      </c>
      <c r="O182" s="125">
        <f ca="1">IFERROR(__xludf.DUMMYFUNCTION("""COMPUTED_VALUE"""),42968.6666666666)</f>
        <v>42968.666666666599</v>
      </c>
      <c r="P182">
        <f ca="1">IFERROR(__xludf.DUMMYFUNCTION("""COMPUTED_VALUE"""),35.34)</f>
        <v>35.340000000000003</v>
      </c>
    </row>
    <row r="183" spans="2:16" ht="12.75">
      <c r="B183" s="125">
        <f ca="1">IFERROR(__xludf.DUMMYFUNCTION("""COMPUTED_VALUE"""),42969.6666666666)</f>
        <v>42969.666666666599</v>
      </c>
      <c r="C183">
        <f ca="1">IFERROR(__xludf.DUMMYFUNCTION("""COMPUTED_VALUE"""),35.38)</f>
        <v>35.380000000000003</v>
      </c>
      <c r="D183">
        <v>19.649999999999999</v>
      </c>
      <c r="E183">
        <v>24.24</v>
      </c>
      <c r="F183">
        <v>30.66</v>
      </c>
      <c r="G183">
        <v>8.9499999999999993</v>
      </c>
      <c r="H183">
        <v>167.63</v>
      </c>
      <c r="I183">
        <v>27.2</v>
      </c>
      <c r="J183">
        <v>55.41</v>
      </c>
      <c r="K183">
        <v>120.38</v>
      </c>
      <c r="L183">
        <v>29.51</v>
      </c>
      <c r="M183" s="125">
        <f ca="1">IFERROR(__xludf.DUMMYFUNCTION("""COMPUTED_VALUE"""),43503.6666666666)</f>
        <v>43503.666666666599</v>
      </c>
      <c r="N183">
        <f ca="1">IFERROR(__xludf.DUMMYFUNCTION("""COMPUTED_VALUE"""),26)</f>
        <v>26</v>
      </c>
      <c r="O183" s="125">
        <f ca="1">IFERROR(__xludf.DUMMYFUNCTION("""COMPUTED_VALUE"""),42969.6666666666)</f>
        <v>42969.666666666599</v>
      </c>
      <c r="P183">
        <f ca="1">IFERROR(__xludf.DUMMYFUNCTION("""COMPUTED_VALUE"""),35.38)</f>
        <v>35.380000000000003</v>
      </c>
    </row>
    <row r="184" spans="2:16" ht="12.75">
      <c r="B184" s="125">
        <f ca="1">IFERROR(__xludf.DUMMYFUNCTION("""COMPUTED_VALUE"""),42970.6666666666)</f>
        <v>42970.666666666599</v>
      </c>
      <c r="C184">
        <f ca="1">IFERROR(__xludf.DUMMYFUNCTION("""COMPUTED_VALUE"""),35.64)</f>
        <v>35.64</v>
      </c>
      <c r="D184">
        <v>19.690000000000001</v>
      </c>
      <c r="E184">
        <v>24.14</v>
      </c>
      <c r="F184">
        <v>30.6</v>
      </c>
      <c r="G184">
        <v>9.02</v>
      </c>
      <c r="H184">
        <v>167.06</v>
      </c>
      <c r="I184">
        <v>27.07</v>
      </c>
      <c r="J184">
        <v>55.25</v>
      </c>
      <c r="K184">
        <v>120.76</v>
      </c>
      <c r="L184">
        <v>29.04</v>
      </c>
      <c r="M184" s="125">
        <f ca="1">IFERROR(__xludf.DUMMYFUNCTION("""COMPUTED_VALUE"""),43504.6666666666)</f>
        <v>43504.666666666599</v>
      </c>
      <c r="N184">
        <f ca="1">IFERROR(__xludf.DUMMYFUNCTION("""COMPUTED_VALUE"""),26.15)</f>
        <v>26.15</v>
      </c>
      <c r="O184" s="125">
        <f ca="1">IFERROR(__xludf.DUMMYFUNCTION("""COMPUTED_VALUE"""),42970.6666666666)</f>
        <v>42970.666666666599</v>
      </c>
      <c r="P184">
        <f ca="1">IFERROR(__xludf.DUMMYFUNCTION("""COMPUTED_VALUE"""),35.64)</f>
        <v>35.64</v>
      </c>
    </row>
    <row r="185" spans="2:16" ht="12.75">
      <c r="B185" s="125">
        <f ca="1">IFERROR(__xludf.DUMMYFUNCTION("""COMPUTED_VALUE"""),42971.6666666666)</f>
        <v>42971.666666666599</v>
      </c>
      <c r="C185">
        <f ca="1">IFERROR(__xludf.DUMMYFUNCTION("""COMPUTED_VALUE"""),35.63)</f>
        <v>35.630000000000003</v>
      </c>
      <c r="D185">
        <v>19.63</v>
      </c>
      <c r="E185">
        <v>24.19</v>
      </c>
      <c r="F185">
        <v>30.48</v>
      </c>
      <c r="G185">
        <v>9.02</v>
      </c>
      <c r="H185">
        <v>167.1</v>
      </c>
      <c r="I185">
        <v>27.05</v>
      </c>
      <c r="J185">
        <v>54.49</v>
      </c>
      <c r="K185">
        <v>120.76</v>
      </c>
      <c r="L185">
        <v>28.31</v>
      </c>
      <c r="M185" s="125">
        <f ca="1">IFERROR(__xludf.DUMMYFUNCTION("""COMPUTED_VALUE"""),43507.6666666666)</f>
        <v>43507.666666666599</v>
      </c>
      <c r="N185">
        <f ca="1">IFERROR(__xludf.DUMMYFUNCTION("""COMPUTED_VALUE"""),26.26)</f>
        <v>26.26</v>
      </c>
      <c r="O185" s="125">
        <f ca="1">IFERROR(__xludf.DUMMYFUNCTION("""COMPUTED_VALUE"""),42971.6666666666)</f>
        <v>42971.666666666599</v>
      </c>
      <c r="P185">
        <f ca="1">IFERROR(__xludf.DUMMYFUNCTION("""COMPUTED_VALUE"""),35.63)</f>
        <v>35.630000000000003</v>
      </c>
    </row>
    <row r="186" spans="2:16" ht="12.75">
      <c r="B186" s="125">
        <f ca="1">IFERROR(__xludf.DUMMYFUNCTION("""COMPUTED_VALUE"""),42972.6666666666)</f>
        <v>42972.666666666599</v>
      </c>
      <c r="C186">
        <f ca="1">IFERROR(__xludf.DUMMYFUNCTION("""COMPUTED_VALUE"""),35.43)</f>
        <v>35.43</v>
      </c>
      <c r="D186">
        <v>19.68</v>
      </c>
      <c r="E186">
        <v>23.99</v>
      </c>
      <c r="F186">
        <v>30.66</v>
      </c>
      <c r="G186">
        <v>9.0500000000000007</v>
      </c>
      <c r="H186">
        <v>166.98</v>
      </c>
      <c r="I186">
        <v>27.04</v>
      </c>
      <c r="J186">
        <v>54.67</v>
      </c>
      <c r="K186">
        <v>121.11</v>
      </c>
      <c r="L186">
        <v>28.11</v>
      </c>
      <c r="M186" s="125">
        <f ca="1">IFERROR(__xludf.DUMMYFUNCTION("""COMPUTED_VALUE"""),43508.6666666666)</f>
        <v>43508.666666666599</v>
      </c>
      <c r="N186">
        <f ca="1">IFERROR(__xludf.DUMMYFUNCTION("""COMPUTED_VALUE"""),26.19)</f>
        <v>26.19</v>
      </c>
      <c r="O186" s="125">
        <f ca="1">IFERROR(__xludf.DUMMYFUNCTION("""COMPUTED_VALUE"""),42972.6666666666)</f>
        <v>42972.666666666599</v>
      </c>
      <c r="P186">
        <f ca="1">IFERROR(__xludf.DUMMYFUNCTION("""COMPUTED_VALUE"""),35.43)</f>
        <v>35.43</v>
      </c>
    </row>
    <row r="187" spans="2:16" ht="12.75">
      <c r="B187" s="125">
        <f ca="1">IFERROR(__xludf.DUMMYFUNCTION("""COMPUTED_VALUE"""),42975.6666666666)</f>
        <v>42975.666666666599</v>
      </c>
      <c r="C187">
        <f ca="1">IFERROR(__xludf.DUMMYFUNCTION("""COMPUTED_VALUE"""),34.82)</f>
        <v>34.82</v>
      </c>
      <c r="D187">
        <v>19.63</v>
      </c>
      <c r="E187">
        <v>23.92</v>
      </c>
      <c r="F187">
        <v>30.57</v>
      </c>
      <c r="G187">
        <v>9.07</v>
      </c>
      <c r="H187">
        <v>166.66</v>
      </c>
      <c r="I187">
        <v>26.94</v>
      </c>
      <c r="J187">
        <v>54.51</v>
      </c>
      <c r="K187">
        <v>121.25</v>
      </c>
      <c r="L187">
        <v>28.17</v>
      </c>
      <c r="M187" s="125">
        <f ca="1">IFERROR(__xludf.DUMMYFUNCTION("""COMPUTED_VALUE"""),43509.6666666666)</f>
        <v>43509.666666666599</v>
      </c>
      <c r="N187">
        <f ca="1">IFERROR(__xludf.DUMMYFUNCTION("""COMPUTED_VALUE"""),26.28)</f>
        <v>26.28</v>
      </c>
      <c r="O187" s="125">
        <f ca="1">IFERROR(__xludf.DUMMYFUNCTION("""COMPUTED_VALUE"""),42975.6666666666)</f>
        <v>42975.666666666599</v>
      </c>
      <c r="P187">
        <f ca="1">IFERROR(__xludf.DUMMYFUNCTION("""COMPUTED_VALUE"""),34.82)</f>
        <v>34.82</v>
      </c>
    </row>
    <row r="188" spans="2:16" ht="12.75">
      <c r="B188" s="125">
        <f ca="1">IFERROR(__xludf.DUMMYFUNCTION("""COMPUTED_VALUE"""),42976.6666666666)</f>
        <v>42976.666666666599</v>
      </c>
      <c r="C188">
        <f ca="1">IFERROR(__xludf.DUMMYFUNCTION("""COMPUTED_VALUE"""),34.75)</f>
        <v>34.75</v>
      </c>
      <c r="D188">
        <v>19.670000000000002</v>
      </c>
      <c r="E188">
        <v>23.95</v>
      </c>
      <c r="F188">
        <v>30.48</v>
      </c>
      <c r="G188">
        <v>9.07</v>
      </c>
      <c r="H188">
        <v>169.06</v>
      </c>
      <c r="I188">
        <v>26.64</v>
      </c>
      <c r="J188">
        <v>54.7</v>
      </c>
      <c r="K188">
        <v>121.11</v>
      </c>
      <c r="L188">
        <v>28.36</v>
      </c>
      <c r="M188" s="125">
        <f ca="1">IFERROR(__xludf.DUMMYFUNCTION("""COMPUTED_VALUE"""),43510.6666666666)</f>
        <v>43510.666666666599</v>
      </c>
      <c r="N188">
        <f ca="1">IFERROR(__xludf.DUMMYFUNCTION("""COMPUTED_VALUE"""),26.72)</f>
        <v>26.72</v>
      </c>
      <c r="O188" s="125">
        <f ca="1">IFERROR(__xludf.DUMMYFUNCTION("""COMPUTED_VALUE"""),42976.6666666666)</f>
        <v>42976.666666666599</v>
      </c>
      <c r="P188">
        <f ca="1">IFERROR(__xludf.DUMMYFUNCTION("""COMPUTED_VALUE"""),34.75)</f>
        <v>34.75</v>
      </c>
    </row>
    <row r="189" spans="2:16" ht="12.75">
      <c r="B189" s="125">
        <f ca="1">IFERROR(__xludf.DUMMYFUNCTION("""COMPUTED_VALUE"""),42977.6666666666)</f>
        <v>42977.666666666599</v>
      </c>
      <c r="C189">
        <f ca="1">IFERROR(__xludf.DUMMYFUNCTION("""COMPUTED_VALUE"""),35.26)</f>
        <v>35.26</v>
      </c>
      <c r="D189">
        <v>19.809999999999999</v>
      </c>
      <c r="E189">
        <v>24.1</v>
      </c>
      <c r="F189">
        <v>30.4</v>
      </c>
      <c r="G189">
        <v>9.11</v>
      </c>
      <c r="H189">
        <v>170</v>
      </c>
      <c r="I189">
        <v>26.73</v>
      </c>
      <c r="J189">
        <v>54.69</v>
      </c>
      <c r="K189">
        <v>120.59</v>
      </c>
      <c r="L189">
        <v>28.45</v>
      </c>
      <c r="M189" s="125">
        <f ca="1">IFERROR(__xludf.DUMMYFUNCTION("""COMPUTED_VALUE"""),43511.6666666666)</f>
        <v>43511.666666666599</v>
      </c>
      <c r="N189">
        <f ca="1">IFERROR(__xludf.DUMMYFUNCTION("""COMPUTED_VALUE"""),26.99)</f>
        <v>26.99</v>
      </c>
      <c r="O189" s="125">
        <f ca="1">IFERROR(__xludf.DUMMYFUNCTION("""COMPUTED_VALUE"""),42977.6666666666)</f>
        <v>42977.666666666599</v>
      </c>
      <c r="P189">
        <f ca="1">IFERROR(__xludf.DUMMYFUNCTION("""COMPUTED_VALUE"""),35.26)</f>
        <v>35.26</v>
      </c>
    </row>
    <row r="190" spans="2:16" ht="12.75">
      <c r="B190" s="125">
        <f ca="1">IFERROR(__xludf.DUMMYFUNCTION("""COMPUTED_VALUE"""),42978.6666666666)</f>
        <v>42978.666666666599</v>
      </c>
      <c r="C190">
        <f ca="1">IFERROR(__xludf.DUMMYFUNCTION("""COMPUTED_VALUE"""),35.55)</f>
        <v>35.549999999999997</v>
      </c>
      <c r="D190">
        <v>20.04</v>
      </c>
      <c r="E190">
        <v>24.03</v>
      </c>
      <c r="F190">
        <v>30.64</v>
      </c>
      <c r="G190">
        <v>9.1300000000000008</v>
      </c>
      <c r="H190">
        <v>170.96</v>
      </c>
      <c r="I190">
        <v>26.82</v>
      </c>
      <c r="J190">
        <v>54.71</v>
      </c>
      <c r="K190">
        <v>120.69</v>
      </c>
      <c r="L190">
        <v>27.62</v>
      </c>
      <c r="M190" s="125">
        <f ca="1">IFERROR(__xludf.DUMMYFUNCTION("""COMPUTED_VALUE"""),43515.6666666666)</f>
        <v>43515.666666666599</v>
      </c>
      <c r="N190">
        <f ca="1">IFERROR(__xludf.DUMMYFUNCTION("""COMPUTED_VALUE"""),26.65)</f>
        <v>26.65</v>
      </c>
      <c r="O190" s="125">
        <f ca="1">IFERROR(__xludf.DUMMYFUNCTION("""COMPUTED_VALUE"""),42978.6666666666)</f>
        <v>42978.666666666599</v>
      </c>
      <c r="P190">
        <f ca="1">IFERROR(__xludf.DUMMYFUNCTION("""COMPUTED_VALUE"""),35.55)</f>
        <v>35.549999999999997</v>
      </c>
    </row>
    <row r="191" spans="2:16" ht="12.75">
      <c r="B191" s="125">
        <f ca="1">IFERROR(__xludf.DUMMYFUNCTION("""COMPUTED_VALUE"""),42979.6666666666)</f>
        <v>42979.666666666599</v>
      </c>
      <c r="C191">
        <f ca="1">IFERROR(__xludf.DUMMYFUNCTION("""COMPUTED_VALUE"""),35.91)</f>
        <v>35.909999999999997</v>
      </c>
      <c r="D191">
        <v>20.16</v>
      </c>
      <c r="E191">
        <v>24.08</v>
      </c>
      <c r="F191">
        <v>30.68</v>
      </c>
      <c r="G191">
        <v>9.16</v>
      </c>
      <c r="H191">
        <v>170.5</v>
      </c>
      <c r="I191">
        <v>26.98</v>
      </c>
      <c r="J191">
        <v>54.97</v>
      </c>
      <c r="K191">
        <v>120.47</v>
      </c>
      <c r="L191">
        <v>27.12</v>
      </c>
      <c r="M191" s="125">
        <f ca="1">IFERROR(__xludf.DUMMYFUNCTION("""COMPUTED_VALUE"""),43516.6666666666)</f>
        <v>43516.666666666599</v>
      </c>
      <c r="N191">
        <f ca="1">IFERROR(__xludf.DUMMYFUNCTION("""COMPUTED_VALUE"""),26.64)</f>
        <v>26.64</v>
      </c>
      <c r="O191" s="125">
        <f ca="1">IFERROR(__xludf.DUMMYFUNCTION("""COMPUTED_VALUE"""),42979.6666666666)</f>
        <v>42979.666666666599</v>
      </c>
      <c r="P191">
        <f ca="1">IFERROR(__xludf.DUMMYFUNCTION("""COMPUTED_VALUE"""),35.91)</f>
        <v>35.909999999999997</v>
      </c>
    </row>
    <row r="192" spans="2:16" ht="12.75">
      <c r="B192" s="125">
        <f ca="1">IFERROR(__xludf.DUMMYFUNCTION("""COMPUTED_VALUE"""),42983.6666666666)</f>
        <v>42983.666666666599</v>
      </c>
      <c r="C192">
        <f ca="1">IFERROR(__xludf.DUMMYFUNCTION("""COMPUTED_VALUE"""),35.65)</f>
        <v>35.65</v>
      </c>
      <c r="D192">
        <v>19.940000000000001</v>
      </c>
      <c r="E192">
        <v>23.95</v>
      </c>
      <c r="F192">
        <v>30.44</v>
      </c>
      <c r="G192">
        <v>9.06</v>
      </c>
      <c r="H192">
        <v>169.01</v>
      </c>
      <c r="I192">
        <v>26.8</v>
      </c>
      <c r="J192">
        <v>55.05</v>
      </c>
      <c r="K192">
        <v>120.72</v>
      </c>
      <c r="L192">
        <v>27.53</v>
      </c>
      <c r="M192" s="125">
        <f ca="1">IFERROR(__xludf.DUMMYFUNCTION("""COMPUTED_VALUE"""),43517.6666666666)</f>
        <v>43517.666666666599</v>
      </c>
      <c r="N192">
        <f ca="1">IFERROR(__xludf.DUMMYFUNCTION("""COMPUTED_VALUE"""),26.26)</f>
        <v>26.26</v>
      </c>
      <c r="O192" s="125">
        <f ca="1">IFERROR(__xludf.DUMMYFUNCTION("""COMPUTED_VALUE"""),42983.6666666666)</f>
        <v>42983.666666666599</v>
      </c>
      <c r="P192">
        <f ca="1">IFERROR(__xludf.DUMMYFUNCTION("""COMPUTED_VALUE"""),35.65)</f>
        <v>35.65</v>
      </c>
    </row>
    <row r="193" spans="2:16" ht="12.75">
      <c r="B193" s="125">
        <f ca="1">IFERROR(__xludf.DUMMYFUNCTION("""COMPUTED_VALUE"""),42984.6666666666)</f>
        <v>42984.666666666599</v>
      </c>
      <c r="C193">
        <f ca="1">IFERROR(__xludf.DUMMYFUNCTION("""COMPUTED_VALUE"""),35.85)</f>
        <v>35.85</v>
      </c>
      <c r="D193">
        <v>20.02</v>
      </c>
      <c r="E193">
        <v>23.93</v>
      </c>
      <c r="F193">
        <v>30.67</v>
      </c>
      <c r="G193">
        <v>9.14</v>
      </c>
      <c r="H193">
        <v>167.77</v>
      </c>
      <c r="I193">
        <v>27.26</v>
      </c>
      <c r="J193">
        <v>55.28</v>
      </c>
      <c r="K193">
        <v>120.18</v>
      </c>
      <c r="L193">
        <v>27.51</v>
      </c>
      <c r="M193" s="125">
        <f ca="1">IFERROR(__xludf.DUMMYFUNCTION("""COMPUTED_VALUE"""),43518.6666666666)</f>
        <v>43518.666666666599</v>
      </c>
      <c r="N193">
        <f ca="1">IFERROR(__xludf.DUMMYFUNCTION("""COMPUTED_VALUE"""),26.41)</f>
        <v>26.41</v>
      </c>
      <c r="O193" s="125">
        <f ca="1">IFERROR(__xludf.DUMMYFUNCTION("""COMPUTED_VALUE"""),42984.6666666666)</f>
        <v>42984.666666666599</v>
      </c>
      <c r="P193">
        <f ca="1">IFERROR(__xludf.DUMMYFUNCTION("""COMPUTED_VALUE"""),35.85)</f>
        <v>35.85</v>
      </c>
    </row>
    <row r="194" spans="2:16" ht="12.75">
      <c r="B194" s="125">
        <f ca="1">IFERROR(__xludf.DUMMYFUNCTION("""COMPUTED_VALUE"""),42985.6666666666)</f>
        <v>42985.666666666599</v>
      </c>
      <c r="C194">
        <f ca="1">IFERROR(__xludf.DUMMYFUNCTION("""COMPUTED_VALUE"""),36.36)</f>
        <v>36.36</v>
      </c>
      <c r="D194">
        <v>20.170000000000002</v>
      </c>
      <c r="E194">
        <v>23.76</v>
      </c>
      <c r="F194">
        <v>30.98</v>
      </c>
      <c r="G194">
        <v>9.1300000000000008</v>
      </c>
      <c r="H194">
        <v>168</v>
      </c>
      <c r="I194">
        <v>27.34</v>
      </c>
      <c r="J194">
        <v>55.36</v>
      </c>
      <c r="K194">
        <v>121.08</v>
      </c>
      <c r="L194">
        <v>28.06</v>
      </c>
      <c r="M194" s="125">
        <f ca="1">IFERROR(__xludf.DUMMYFUNCTION("""COMPUTED_VALUE"""),43521.6666666666)</f>
        <v>43521.666666666599</v>
      </c>
      <c r="N194">
        <f ca="1">IFERROR(__xludf.DUMMYFUNCTION("""COMPUTED_VALUE"""),26.33)</f>
        <v>26.33</v>
      </c>
      <c r="O194" s="125">
        <f ca="1">IFERROR(__xludf.DUMMYFUNCTION("""COMPUTED_VALUE"""),42985.6666666666)</f>
        <v>42985.666666666599</v>
      </c>
      <c r="P194">
        <f ca="1">IFERROR(__xludf.DUMMYFUNCTION("""COMPUTED_VALUE"""),36.36)</f>
        <v>36.36</v>
      </c>
    </row>
    <row r="195" spans="2:16" ht="12.75">
      <c r="B195" s="125">
        <f ca="1">IFERROR(__xludf.DUMMYFUNCTION("""COMPUTED_VALUE"""),42986.6666666666)</f>
        <v>42986.666666666599</v>
      </c>
      <c r="C195">
        <f ca="1">IFERROR(__xludf.DUMMYFUNCTION("""COMPUTED_VALUE"""),35.98)</f>
        <v>35.979999999999997</v>
      </c>
      <c r="D195">
        <v>20.18</v>
      </c>
      <c r="E195">
        <v>23.7</v>
      </c>
      <c r="F195">
        <v>30.97</v>
      </c>
      <c r="G195">
        <v>9.1</v>
      </c>
      <c r="H195">
        <v>168.06</v>
      </c>
      <c r="I195">
        <v>27.28</v>
      </c>
      <c r="J195">
        <v>55.09</v>
      </c>
      <c r="K195">
        <v>121.58</v>
      </c>
      <c r="L195">
        <v>27.79</v>
      </c>
      <c r="M195" s="125">
        <f ca="1">IFERROR(__xludf.DUMMYFUNCTION("""COMPUTED_VALUE"""),43522.6666666666)</f>
        <v>43522.666666666599</v>
      </c>
      <c r="N195">
        <f ca="1">IFERROR(__xludf.DUMMYFUNCTION("""COMPUTED_VALUE"""),26.12)</f>
        <v>26.12</v>
      </c>
      <c r="O195" s="125">
        <f ca="1">IFERROR(__xludf.DUMMYFUNCTION("""COMPUTED_VALUE"""),42986.6666666666)</f>
        <v>42986.666666666599</v>
      </c>
      <c r="P195">
        <f ca="1">IFERROR(__xludf.DUMMYFUNCTION("""COMPUTED_VALUE"""),35.98)</f>
        <v>35.979999999999997</v>
      </c>
    </row>
    <row r="196" spans="2:16" ht="12.75">
      <c r="B196" s="125">
        <f ca="1">IFERROR(__xludf.DUMMYFUNCTION("""COMPUTED_VALUE"""),42989.6666666666)</f>
        <v>42989.666666666599</v>
      </c>
      <c r="C196">
        <f ca="1">IFERROR(__xludf.DUMMYFUNCTION("""COMPUTED_VALUE"""),36.87)</f>
        <v>36.869999999999997</v>
      </c>
      <c r="D196">
        <v>20.43</v>
      </c>
      <c r="E196">
        <v>23.86</v>
      </c>
      <c r="F196">
        <v>31.2</v>
      </c>
      <c r="G196">
        <v>9.16</v>
      </c>
      <c r="H196">
        <v>169.99</v>
      </c>
      <c r="I196">
        <v>27.73</v>
      </c>
      <c r="J196">
        <v>55.43</v>
      </c>
      <c r="K196">
        <v>122.71</v>
      </c>
      <c r="L196">
        <v>28.53</v>
      </c>
      <c r="M196" s="125">
        <f ca="1">IFERROR(__xludf.DUMMYFUNCTION("""COMPUTED_VALUE"""),43523.6666666666)</f>
        <v>43523.666666666599</v>
      </c>
      <c r="N196">
        <f ca="1">IFERROR(__xludf.DUMMYFUNCTION("""COMPUTED_VALUE"""),26.07)</f>
        <v>26.07</v>
      </c>
      <c r="O196" s="125">
        <f ca="1">IFERROR(__xludf.DUMMYFUNCTION("""COMPUTED_VALUE"""),42989.6666666666)</f>
        <v>42989.666666666599</v>
      </c>
      <c r="P196">
        <f ca="1">IFERROR(__xludf.DUMMYFUNCTION("""COMPUTED_VALUE"""),36.87)</f>
        <v>36.869999999999997</v>
      </c>
    </row>
    <row r="197" spans="2:16" ht="12.75">
      <c r="B197" s="125">
        <f ca="1">IFERROR(__xludf.DUMMYFUNCTION("""COMPUTED_VALUE"""),42990.6666666666)</f>
        <v>42990.666666666599</v>
      </c>
      <c r="C197">
        <f ca="1">IFERROR(__xludf.DUMMYFUNCTION("""COMPUTED_VALUE"""),37.18)</f>
        <v>37.18</v>
      </c>
      <c r="D197">
        <v>20.43</v>
      </c>
      <c r="E197">
        <v>23.85</v>
      </c>
      <c r="F197">
        <v>31.28</v>
      </c>
      <c r="G197">
        <v>9.1999999999999993</v>
      </c>
      <c r="H197">
        <v>169.64</v>
      </c>
      <c r="I197">
        <v>27.79</v>
      </c>
      <c r="J197">
        <v>55.55</v>
      </c>
      <c r="K197">
        <v>120.67</v>
      </c>
      <c r="L197">
        <v>28.64</v>
      </c>
      <c r="M197" s="125">
        <f ca="1">IFERROR(__xludf.DUMMYFUNCTION("""COMPUTED_VALUE"""),43524.6666666666)</f>
        <v>43524.666666666599</v>
      </c>
      <c r="N197">
        <f ca="1">IFERROR(__xludf.DUMMYFUNCTION("""COMPUTED_VALUE"""),26.2)</f>
        <v>26.2</v>
      </c>
      <c r="O197" s="125">
        <f ca="1">IFERROR(__xludf.DUMMYFUNCTION("""COMPUTED_VALUE"""),42990.6666666666)</f>
        <v>42990.666666666599</v>
      </c>
      <c r="P197">
        <f ca="1">IFERROR(__xludf.DUMMYFUNCTION("""COMPUTED_VALUE"""),37.18)</f>
        <v>37.18</v>
      </c>
    </row>
    <row r="198" spans="2:16" ht="12.75">
      <c r="B198" s="125">
        <f ca="1">IFERROR(__xludf.DUMMYFUNCTION("""COMPUTED_VALUE"""),42991.6666666666)</f>
        <v>42991.666666666599</v>
      </c>
      <c r="C198">
        <f ca="1">IFERROR(__xludf.DUMMYFUNCTION("""COMPUTED_VALUE"""),37.3)</f>
        <v>37.299999999999997</v>
      </c>
      <c r="D198">
        <v>20.309999999999999</v>
      </c>
      <c r="E198">
        <v>23.99</v>
      </c>
      <c r="F198">
        <v>31.14</v>
      </c>
      <c r="G198">
        <v>9.1300000000000008</v>
      </c>
      <c r="H198">
        <v>169.12</v>
      </c>
      <c r="I198">
        <v>27.86</v>
      </c>
      <c r="J198">
        <v>55.58</v>
      </c>
      <c r="K198">
        <v>119.99</v>
      </c>
      <c r="L198">
        <v>28.66</v>
      </c>
      <c r="M198" s="125">
        <f ca="1">IFERROR(__xludf.DUMMYFUNCTION("""COMPUTED_VALUE"""),43525.6666666666)</f>
        <v>43525.666666666599</v>
      </c>
      <c r="N198">
        <f ca="1">IFERROR(__xludf.DUMMYFUNCTION("""COMPUTED_VALUE"""),26.54)</f>
        <v>26.54</v>
      </c>
      <c r="O198" s="125">
        <f ca="1">IFERROR(__xludf.DUMMYFUNCTION("""COMPUTED_VALUE"""),42991.6666666666)</f>
        <v>42991.666666666599</v>
      </c>
      <c r="P198">
        <f ca="1">IFERROR(__xludf.DUMMYFUNCTION("""COMPUTED_VALUE"""),37.3)</f>
        <v>37.299999999999997</v>
      </c>
    </row>
    <row r="199" spans="2:16" ht="12.75">
      <c r="B199" s="125">
        <f ca="1">IFERROR(__xludf.DUMMYFUNCTION("""COMPUTED_VALUE"""),42992.6666666666)</f>
        <v>42992.666666666599</v>
      </c>
      <c r="C199">
        <f ca="1">IFERROR(__xludf.DUMMYFUNCTION("""COMPUTED_VALUE"""),37.45)</f>
        <v>37.450000000000003</v>
      </c>
      <c r="D199">
        <v>20.399999999999999</v>
      </c>
      <c r="E199">
        <v>23.92</v>
      </c>
      <c r="F199">
        <v>31.22</v>
      </c>
      <c r="G199">
        <v>9.27</v>
      </c>
      <c r="H199">
        <v>170</v>
      </c>
      <c r="I199">
        <v>27.86</v>
      </c>
      <c r="J199">
        <v>55.47</v>
      </c>
      <c r="K199">
        <v>121.11</v>
      </c>
      <c r="L199">
        <v>29.4</v>
      </c>
      <c r="M199" s="125">
        <f ca="1">IFERROR(__xludf.DUMMYFUNCTION("""COMPUTED_VALUE"""),43528.6666666666)</f>
        <v>43528.666666666599</v>
      </c>
      <c r="N199">
        <f ca="1">IFERROR(__xludf.DUMMYFUNCTION("""COMPUTED_VALUE"""),26.41)</f>
        <v>26.41</v>
      </c>
      <c r="O199" s="125">
        <f ca="1">IFERROR(__xludf.DUMMYFUNCTION("""COMPUTED_VALUE"""),42992.6666666666)</f>
        <v>42992.666666666599</v>
      </c>
      <c r="P199">
        <f ca="1">IFERROR(__xludf.DUMMYFUNCTION("""COMPUTED_VALUE"""),37.45)</f>
        <v>37.450000000000003</v>
      </c>
    </row>
    <row r="200" spans="2:16" ht="12.75">
      <c r="B200" s="125">
        <f ca="1">IFERROR(__xludf.DUMMYFUNCTION("""COMPUTED_VALUE"""),42993.6666666666)</f>
        <v>42993.666666666599</v>
      </c>
      <c r="C200">
        <f ca="1">IFERROR(__xludf.DUMMYFUNCTION("""COMPUTED_VALUE"""),37.5)</f>
        <v>37.5</v>
      </c>
      <c r="D200">
        <v>20.399999999999999</v>
      </c>
      <c r="E200">
        <v>23.84</v>
      </c>
      <c r="F200">
        <v>31.27</v>
      </c>
      <c r="G200">
        <v>9.24</v>
      </c>
      <c r="H200">
        <v>171.03</v>
      </c>
      <c r="I200">
        <v>27.84</v>
      </c>
      <c r="J200">
        <v>55.22</v>
      </c>
      <c r="K200">
        <v>121.24</v>
      </c>
      <c r="L200">
        <v>28.17</v>
      </c>
      <c r="M200" s="125">
        <f ca="1">IFERROR(__xludf.DUMMYFUNCTION("""COMPUTED_VALUE"""),43529.6666666666)</f>
        <v>43529.666666666599</v>
      </c>
      <c r="N200">
        <f ca="1">IFERROR(__xludf.DUMMYFUNCTION("""COMPUTED_VALUE"""),26.46)</f>
        <v>26.46</v>
      </c>
      <c r="O200" s="125">
        <f ca="1">IFERROR(__xludf.DUMMYFUNCTION("""COMPUTED_VALUE"""),42993.6666666666)</f>
        <v>42993.666666666599</v>
      </c>
      <c r="P200">
        <f ca="1">IFERROR(__xludf.DUMMYFUNCTION("""COMPUTED_VALUE"""),37.5)</f>
        <v>37.5</v>
      </c>
    </row>
    <row r="201" spans="2:16" ht="12.75">
      <c r="B201" s="125">
        <f ca="1">IFERROR(__xludf.DUMMYFUNCTION("""COMPUTED_VALUE"""),42996.6666666666)</f>
        <v>42996.666666666599</v>
      </c>
      <c r="C201">
        <f ca="1">IFERROR(__xludf.DUMMYFUNCTION("""COMPUTED_VALUE"""),37.77)</f>
        <v>37.770000000000003</v>
      </c>
      <c r="D201">
        <v>20.58</v>
      </c>
      <c r="E201">
        <v>23.9</v>
      </c>
      <c r="F201">
        <v>31.39</v>
      </c>
      <c r="G201">
        <v>9.17</v>
      </c>
      <c r="H201">
        <v>174.01</v>
      </c>
      <c r="I201">
        <v>27.89</v>
      </c>
      <c r="J201">
        <v>55.3</v>
      </c>
      <c r="K201">
        <v>120.15</v>
      </c>
      <c r="L201">
        <v>27.79</v>
      </c>
      <c r="M201" s="125">
        <f ca="1">IFERROR(__xludf.DUMMYFUNCTION("""COMPUTED_VALUE"""),43530.6666666666)</f>
        <v>43530.666666666599</v>
      </c>
      <c r="N201">
        <f ca="1">IFERROR(__xludf.DUMMYFUNCTION("""COMPUTED_VALUE"""),26.5)</f>
        <v>26.5</v>
      </c>
      <c r="O201" s="125">
        <f ca="1">IFERROR(__xludf.DUMMYFUNCTION("""COMPUTED_VALUE"""),42996.6666666666)</f>
        <v>42996.666666666599</v>
      </c>
      <c r="P201">
        <f ca="1">IFERROR(__xludf.DUMMYFUNCTION("""COMPUTED_VALUE"""),37.77)</f>
        <v>37.770000000000003</v>
      </c>
    </row>
    <row r="202" spans="2:16" ht="12.75">
      <c r="B202" s="125">
        <f ca="1">IFERROR(__xludf.DUMMYFUNCTION("""COMPUTED_VALUE"""),42997.6666666666)</f>
        <v>42997.666666666599</v>
      </c>
      <c r="C202">
        <f ca="1">IFERROR(__xludf.DUMMYFUNCTION("""COMPUTED_VALUE"""),37.66)</f>
        <v>37.659999999999997</v>
      </c>
      <c r="D202">
        <v>20.66</v>
      </c>
      <c r="E202">
        <v>23.83</v>
      </c>
      <c r="F202">
        <v>31.46</v>
      </c>
      <c r="G202">
        <v>9.2200000000000006</v>
      </c>
      <c r="H202">
        <v>175.39</v>
      </c>
      <c r="I202">
        <v>27.89</v>
      </c>
      <c r="J202">
        <v>55.13</v>
      </c>
      <c r="K202">
        <v>119.84</v>
      </c>
      <c r="L202">
        <v>27.21</v>
      </c>
      <c r="M202" s="125">
        <f ca="1">IFERROR(__xludf.DUMMYFUNCTION("""COMPUTED_VALUE"""),43531.6666666666)</f>
        <v>43531.666666666599</v>
      </c>
      <c r="N202">
        <f ca="1">IFERROR(__xludf.DUMMYFUNCTION("""COMPUTED_VALUE"""),26.44)</f>
        <v>26.44</v>
      </c>
      <c r="O202" s="125">
        <f ca="1">IFERROR(__xludf.DUMMYFUNCTION("""COMPUTED_VALUE"""),42997.6666666666)</f>
        <v>42997.666666666599</v>
      </c>
      <c r="P202">
        <f ca="1">IFERROR(__xludf.DUMMYFUNCTION("""COMPUTED_VALUE"""),37.66)</f>
        <v>37.659999999999997</v>
      </c>
    </row>
    <row r="203" spans="2:16" ht="12.75">
      <c r="B203" s="125">
        <f ca="1">IFERROR(__xludf.DUMMYFUNCTION("""COMPUTED_VALUE"""),42998.6666666666)</f>
        <v>42998.666666666599</v>
      </c>
      <c r="C203">
        <f ca="1">IFERROR(__xludf.DUMMYFUNCTION("""COMPUTED_VALUE"""),37.45)</f>
        <v>37.450000000000003</v>
      </c>
      <c r="D203">
        <v>20.61</v>
      </c>
      <c r="E203">
        <v>24.02</v>
      </c>
      <c r="F203">
        <v>31.27</v>
      </c>
      <c r="G203">
        <v>9.18</v>
      </c>
      <c r="H203">
        <v>176.49</v>
      </c>
      <c r="I203">
        <v>28.05</v>
      </c>
      <c r="J203">
        <v>54.6</v>
      </c>
      <c r="K203">
        <v>118.94</v>
      </c>
      <c r="L203">
        <v>27.3</v>
      </c>
      <c r="M203" s="125">
        <f ca="1">IFERROR(__xludf.DUMMYFUNCTION("""COMPUTED_VALUE"""),43532.6666666666)</f>
        <v>43532.666666666599</v>
      </c>
      <c r="N203">
        <f ca="1">IFERROR(__xludf.DUMMYFUNCTION("""COMPUTED_VALUE"""),26.4)</f>
        <v>26.4</v>
      </c>
      <c r="O203" s="125">
        <f ca="1">IFERROR(__xludf.DUMMYFUNCTION("""COMPUTED_VALUE"""),42998.6666666666)</f>
        <v>42998.666666666599</v>
      </c>
      <c r="P203">
        <f ca="1">IFERROR(__xludf.DUMMYFUNCTION("""COMPUTED_VALUE"""),37.45)</f>
        <v>37.450000000000003</v>
      </c>
    </row>
    <row r="204" spans="2:16" ht="12.75">
      <c r="B204" s="125">
        <f ca="1">IFERROR(__xludf.DUMMYFUNCTION("""COMPUTED_VALUE"""),42999.6666666666)</f>
        <v>42999.666666666599</v>
      </c>
      <c r="C204">
        <f ca="1">IFERROR(__xludf.DUMMYFUNCTION("""COMPUTED_VALUE"""),37.18)</f>
        <v>37.18</v>
      </c>
      <c r="D204">
        <v>20.63</v>
      </c>
      <c r="E204">
        <v>23.95</v>
      </c>
      <c r="F204">
        <v>31.22</v>
      </c>
      <c r="G204">
        <v>9.15</v>
      </c>
      <c r="H204">
        <v>177.5</v>
      </c>
      <c r="I204">
        <v>27.97</v>
      </c>
      <c r="J204">
        <v>54.08</v>
      </c>
      <c r="K204">
        <v>118.89</v>
      </c>
      <c r="L204">
        <v>27.28</v>
      </c>
      <c r="M204" s="125">
        <f ca="1">IFERROR(__xludf.DUMMYFUNCTION("""COMPUTED_VALUE"""),43535.6666666666)</f>
        <v>43535.666666666599</v>
      </c>
      <c r="N204">
        <f ca="1">IFERROR(__xludf.DUMMYFUNCTION("""COMPUTED_VALUE"""),26.94)</f>
        <v>26.94</v>
      </c>
      <c r="O204" s="125">
        <f ca="1">IFERROR(__xludf.DUMMYFUNCTION("""COMPUTED_VALUE"""),42999.6666666666)</f>
        <v>42999.666666666599</v>
      </c>
      <c r="P204">
        <f ca="1">IFERROR(__xludf.DUMMYFUNCTION("""COMPUTED_VALUE"""),37.18)</f>
        <v>37.18</v>
      </c>
    </row>
    <row r="205" spans="2:16" ht="12.75">
      <c r="B205" s="125">
        <f ca="1">IFERROR(__xludf.DUMMYFUNCTION("""COMPUTED_VALUE"""),43000.6666666666)</f>
        <v>43000.666666666599</v>
      </c>
      <c r="C205">
        <f ca="1">IFERROR(__xludf.DUMMYFUNCTION("""COMPUTED_VALUE"""),37.12)</f>
        <v>37.119999999999997</v>
      </c>
      <c r="D205">
        <v>20.72</v>
      </c>
      <c r="E205">
        <v>23.93</v>
      </c>
      <c r="F205">
        <v>31.2</v>
      </c>
      <c r="G205">
        <v>9.17</v>
      </c>
      <c r="H205">
        <v>177.85</v>
      </c>
      <c r="I205">
        <v>28.01</v>
      </c>
      <c r="J205">
        <v>53.92</v>
      </c>
      <c r="K205">
        <v>118.05</v>
      </c>
      <c r="L205">
        <v>27.82</v>
      </c>
      <c r="M205" s="125">
        <f ca="1">IFERROR(__xludf.DUMMYFUNCTION("""COMPUTED_VALUE"""),43536.6666666666)</f>
        <v>43536.666666666599</v>
      </c>
      <c r="N205">
        <f ca="1">IFERROR(__xludf.DUMMYFUNCTION("""COMPUTED_VALUE"""),27.05)</f>
        <v>27.05</v>
      </c>
      <c r="O205" s="125">
        <f ca="1">IFERROR(__xludf.DUMMYFUNCTION("""COMPUTED_VALUE"""),43000.6666666666)</f>
        <v>43000.666666666599</v>
      </c>
      <c r="P205">
        <f ca="1">IFERROR(__xludf.DUMMYFUNCTION("""COMPUTED_VALUE"""),37.12)</f>
        <v>37.119999999999997</v>
      </c>
    </row>
    <row r="206" spans="2:16" ht="12.75">
      <c r="B206" s="125">
        <f ca="1">IFERROR(__xludf.DUMMYFUNCTION("""COMPUTED_VALUE"""),43003.6666666666)</f>
        <v>43003.666666666599</v>
      </c>
      <c r="C206">
        <f ca="1">IFERROR(__xludf.DUMMYFUNCTION("""COMPUTED_VALUE"""),35.92)</f>
        <v>35.92</v>
      </c>
      <c r="D206">
        <v>20.55</v>
      </c>
      <c r="E206">
        <v>24.07</v>
      </c>
      <c r="F206">
        <v>30.91</v>
      </c>
      <c r="G206">
        <v>8.9700000000000006</v>
      </c>
      <c r="H206">
        <v>177.07</v>
      </c>
      <c r="I206">
        <v>27.89</v>
      </c>
      <c r="J206">
        <v>54.31</v>
      </c>
      <c r="K206">
        <v>119.11</v>
      </c>
      <c r="L206">
        <v>27.44</v>
      </c>
      <c r="M206" s="125">
        <f ca="1">IFERROR(__xludf.DUMMYFUNCTION("""COMPUTED_VALUE"""),43537.6666666666)</f>
        <v>43537.666666666599</v>
      </c>
      <c r="N206">
        <f ca="1">IFERROR(__xludf.DUMMYFUNCTION("""COMPUTED_VALUE"""),27.23)</f>
        <v>27.23</v>
      </c>
      <c r="O206" s="125">
        <f ca="1">IFERROR(__xludf.DUMMYFUNCTION("""COMPUTED_VALUE"""),43003.6666666666)</f>
        <v>43003.666666666599</v>
      </c>
      <c r="P206">
        <f ca="1">IFERROR(__xludf.DUMMYFUNCTION("""COMPUTED_VALUE"""),35.92)</f>
        <v>35.92</v>
      </c>
    </row>
    <row r="207" spans="2:16" ht="12.75">
      <c r="B207" s="125">
        <f ca="1">IFERROR(__xludf.DUMMYFUNCTION("""COMPUTED_VALUE"""),43004.6666666666)</f>
        <v>43004.666666666599</v>
      </c>
      <c r="C207">
        <f ca="1">IFERROR(__xludf.DUMMYFUNCTION("""COMPUTED_VALUE"""),35.88)</f>
        <v>35.880000000000003</v>
      </c>
      <c r="D207">
        <v>20.49</v>
      </c>
      <c r="E207">
        <v>24.15</v>
      </c>
      <c r="F207">
        <v>30.79</v>
      </c>
      <c r="G207">
        <v>8.9600000000000009</v>
      </c>
      <c r="H207">
        <v>177.2</v>
      </c>
      <c r="I207">
        <v>27.98</v>
      </c>
      <c r="J207">
        <v>54.44</v>
      </c>
      <c r="K207">
        <v>118.9</v>
      </c>
      <c r="L207">
        <v>26.84</v>
      </c>
      <c r="M207" s="125">
        <f ca="1">IFERROR(__xludf.DUMMYFUNCTION("""COMPUTED_VALUE"""),43538.6666666666)</f>
        <v>43538.666666666599</v>
      </c>
      <c r="N207">
        <f ca="1">IFERROR(__xludf.DUMMYFUNCTION("""COMPUTED_VALUE"""),27.29)</f>
        <v>27.29</v>
      </c>
      <c r="O207" s="125">
        <f ca="1">IFERROR(__xludf.DUMMYFUNCTION("""COMPUTED_VALUE"""),43004.6666666666)</f>
        <v>43004.666666666599</v>
      </c>
      <c r="P207">
        <f ca="1">IFERROR(__xludf.DUMMYFUNCTION("""COMPUTED_VALUE"""),35.88)</f>
        <v>35.880000000000003</v>
      </c>
    </row>
    <row r="208" spans="2:16" ht="12.75">
      <c r="B208" s="125">
        <f ca="1">IFERROR(__xludf.DUMMYFUNCTION("""COMPUTED_VALUE"""),43005.6666666666)</f>
        <v>43005.666666666599</v>
      </c>
      <c r="C208">
        <f ca="1">IFERROR(__xludf.DUMMYFUNCTION("""COMPUTED_VALUE"""),36.04)</f>
        <v>36.04</v>
      </c>
      <c r="D208">
        <v>20.68</v>
      </c>
      <c r="E208">
        <v>24.27</v>
      </c>
      <c r="F208">
        <v>30.88</v>
      </c>
      <c r="G208">
        <v>9.01</v>
      </c>
      <c r="H208">
        <v>178.77</v>
      </c>
      <c r="I208">
        <v>28.11</v>
      </c>
      <c r="J208">
        <v>54.02</v>
      </c>
      <c r="K208">
        <v>116.6</v>
      </c>
      <c r="L208">
        <v>26.13</v>
      </c>
      <c r="M208" s="125">
        <f ca="1">IFERROR(__xludf.DUMMYFUNCTION("""COMPUTED_VALUE"""),43539.6666666666)</f>
        <v>43539.666666666599</v>
      </c>
      <c r="N208">
        <f ca="1">IFERROR(__xludf.DUMMYFUNCTION("""COMPUTED_VALUE"""),27.41)</f>
        <v>27.41</v>
      </c>
      <c r="O208" s="125">
        <f ca="1">IFERROR(__xludf.DUMMYFUNCTION("""COMPUTED_VALUE"""),43005.6666666666)</f>
        <v>43005.666666666599</v>
      </c>
      <c r="P208">
        <f ca="1">IFERROR(__xludf.DUMMYFUNCTION("""COMPUTED_VALUE"""),36.04)</f>
        <v>36.04</v>
      </c>
    </row>
    <row r="209" spans="2:16" ht="12.75">
      <c r="B209" s="125">
        <f ca="1">IFERROR(__xludf.DUMMYFUNCTION("""COMPUTED_VALUE"""),43006.6666666666)</f>
        <v>43006.666666666599</v>
      </c>
      <c r="C209">
        <f ca="1">IFERROR(__xludf.DUMMYFUNCTION("""COMPUTED_VALUE"""),35.94)</f>
        <v>35.94</v>
      </c>
      <c r="D209">
        <v>20.71</v>
      </c>
      <c r="E209">
        <v>24.2</v>
      </c>
      <c r="F209">
        <v>31.07</v>
      </c>
      <c r="G209">
        <v>8.9700000000000006</v>
      </c>
      <c r="H209">
        <v>177.48</v>
      </c>
      <c r="I209">
        <v>28.21</v>
      </c>
      <c r="J209">
        <v>54.02</v>
      </c>
      <c r="K209">
        <v>116.97</v>
      </c>
      <c r="L209">
        <v>26.23</v>
      </c>
      <c r="M209" s="125">
        <f ca="1">IFERROR(__xludf.DUMMYFUNCTION("""COMPUTED_VALUE"""),43542.6666666666)</f>
        <v>43542.666666666599</v>
      </c>
      <c r="N209">
        <f ca="1">IFERROR(__xludf.DUMMYFUNCTION("""COMPUTED_VALUE"""),27.46)</f>
        <v>27.46</v>
      </c>
      <c r="O209" s="125">
        <f ca="1">IFERROR(__xludf.DUMMYFUNCTION("""COMPUTED_VALUE"""),43006.6666666666)</f>
        <v>43006.666666666599</v>
      </c>
      <c r="P209">
        <f ca="1">IFERROR(__xludf.DUMMYFUNCTION("""COMPUTED_VALUE"""),35.94)</f>
        <v>35.94</v>
      </c>
    </row>
    <row r="210" spans="2:16" ht="12.75">
      <c r="B210" s="125">
        <f ca="1">IFERROR(__xludf.DUMMYFUNCTION("""COMPUTED_VALUE"""),43007.6666666666)</f>
        <v>43007.666666666599</v>
      </c>
      <c r="C210">
        <f ca="1">IFERROR(__xludf.DUMMYFUNCTION("""COMPUTED_VALUE"""),36.35)</f>
        <v>36.35</v>
      </c>
      <c r="D210">
        <v>20.76</v>
      </c>
      <c r="E210">
        <v>24.18</v>
      </c>
      <c r="F210">
        <v>31.39</v>
      </c>
      <c r="G210">
        <v>8.98</v>
      </c>
      <c r="H210">
        <v>178.04</v>
      </c>
      <c r="I210">
        <v>28.49</v>
      </c>
      <c r="J210">
        <v>53.98</v>
      </c>
      <c r="K210">
        <v>116.78</v>
      </c>
      <c r="L210">
        <v>25.9</v>
      </c>
      <c r="M210" s="125">
        <f ca="1">IFERROR(__xludf.DUMMYFUNCTION("""COMPUTED_VALUE"""),43543.6666666666)</f>
        <v>43543.666666666599</v>
      </c>
      <c r="N210">
        <f ca="1">IFERROR(__xludf.DUMMYFUNCTION("""COMPUTED_VALUE"""),27.53)</f>
        <v>27.53</v>
      </c>
      <c r="O210" s="125">
        <f ca="1">IFERROR(__xludf.DUMMYFUNCTION("""COMPUTED_VALUE"""),43007.6666666666)</f>
        <v>43007.666666666599</v>
      </c>
      <c r="P210">
        <f ca="1">IFERROR(__xludf.DUMMYFUNCTION("""COMPUTED_VALUE"""),36.35)</f>
        <v>36.35</v>
      </c>
    </row>
    <row r="211" spans="2:16" ht="12.75">
      <c r="B211" s="125">
        <f ca="1">IFERROR(__xludf.DUMMYFUNCTION("""COMPUTED_VALUE"""),43010.6666666666)</f>
        <v>43010.666666666599</v>
      </c>
      <c r="C211">
        <f ca="1">IFERROR(__xludf.DUMMYFUNCTION("""COMPUTED_VALUE"""),36.57)</f>
        <v>36.57</v>
      </c>
      <c r="D211">
        <v>20.77</v>
      </c>
      <c r="E211">
        <v>24.32</v>
      </c>
      <c r="F211">
        <v>31.41</v>
      </c>
      <c r="G211">
        <v>9.0299999999999994</v>
      </c>
      <c r="H211">
        <v>180.4</v>
      </c>
      <c r="I211">
        <v>28.63</v>
      </c>
      <c r="J211">
        <v>53.88</v>
      </c>
      <c r="K211">
        <v>117.16</v>
      </c>
      <c r="L211">
        <v>25.54</v>
      </c>
      <c r="M211" s="125">
        <f ca="1">IFERROR(__xludf.DUMMYFUNCTION("""COMPUTED_VALUE"""),43544.6666666666)</f>
        <v>43544.666666666599</v>
      </c>
      <c r="N211">
        <f ca="1">IFERROR(__xludf.DUMMYFUNCTION("""COMPUTED_VALUE"""),27.64)</f>
        <v>27.64</v>
      </c>
      <c r="O211" s="125">
        <f ca="1">IFERROR(__xludf.DUMMYFUNCTION("""COMPUTED_VALUE"""),43010.6666666666)</f>
        <v>43010.666666666599</v>
      </c>
      <c r="P211">
        <f ca="1">IFERROR(__xludf.DUMMYFUNCTION("""COMPUTED_VALUE"""),36.57)</f>
        <v>36.57</v>
      </c>
    </row>
    <row r="212" spans="2:16" ht="12.75">
      <c r="B212" s="125">
        <f ca="1">IFERROR(__xludf.DUMMYFUNCTION("""COMPUTED_VALUE"""),43011.6666666666)</f>
        <v>43011.666666666599</v>
      </c>
      <c r="C212">
        <f ca="1">IFERROR(__xludf.DUMMYFUNCTION("""COMPUTED_VALUE"""),37.13)</f>
        <v>37.130000000000003</v>
      </c>
      <c r="D212">
        <v>20.98</v>
      </c>
      <c r="E212">
        <v>24.31</v>
      </c>
      <c r="F212">
        <v>31.47</v>
      </c>
      <c r="G212">
        <v>9.1199999999999992</v>
      </c>
      <c r="H212">
        <v>180.42</v>
      </c>
      <c r="I212">
        <v>28.69</v>
      </c>
      <c r="J212">
        <v>53.94</v>
      </c>
      <c r="K212">
        <v>116.74</v>
      </c>
      <c r="L212">
        <v>24.82</v>
      </c>
      <c r="M212" s="125">
        <f ca="1">IFERROR(__xludf.DUMMYFUNCTION("""COMPUTED_VALUE"""),43545.6666666666)</f>
        <v>43545.666666666599</v>
      </c>
      <c r="N212">
        <f ca="1">IFERROR(__xludf.DUMMYFUNCTION("""COMPUTED_VALUE"""),28.14)</f>
        <v>28.14</v>
      </c>
      <c r="O212" s="125">
        <f ca="1">IFERROR(__xludf.DUMMYFUNCTION("""COMPUTED_VALUE"""),43011.6666666666)</f>
        <v>43011.666666666599</v>
      </c>
      <c r="P212">
        <f ca="1">IFERROR(__xludf.DUMMYFUNCTION("""COMPUTED_VALUE"""),37.13)</f>
        <v>37.130000000000003</v>
      </c>
    </row>
    <row r="213" spans="2:16" ht="12.75">
      <c r="B213" s="125">
        <f ca="1">IFERROR(__xludf.DUMMYFUNCTION("""COMPUTED_VALUE"""),43012.6666666666)</f>
        <v>43012.666666666599</v>
      </c>
      <c r="C213">
        <f ca="1">IFERROR(__xludf.DUMMYFUNCTION("""COMPUTED_VALUE"""),37.09)</f>
        <v>37.090000000000003</v>
      </c>
      <c r="D213">
        <v>21.01</v>
      </c>
      <c r="E213">
        <v>24.28</v>
      </c>
      <c r="F213">
        <v>31.43</v>
      </c>
      <c r="G213">
        <v>9.1</v>
      </c>
      <c r="H213">
        <v>180.98</v>
      </c>
      <c r="I213">
        <v>28.69</v>
      </c>
      <c r="J213">
        <v>54.11</v>
      </c>
      <c r="K213">
        <v>117.87</v>
      </c>
      <c r="L213">
        <v>24.55</v>
      </c>
      <c r="M213" s="125">
        <f ca="1">IFERROR(__xludf.DUMMYFUNCTION("""COMPUTED_VALUE"""),43546.6666666666)</f>
        <v>43546.666666666599</v>
      </c>
      <c r="N213">
        <f ca="1">IFERROR(__xludf.DUMMYFUNCTION("""COMPUTED_VALUE"""),27.77)</f>
        <v>27.77</v>
      </c>
      <c r="O213" s="125">
        <f ca="1">IFERROR(__xludf.DUMMYFUNCTION("""COMPUTED_VALUE"""),43012.6666666666)</f>
        <v>43012.666666666599</v>
      </c>
      <c r="P213">
        <f ca="1">IFERROR(__xludf.DUMMYFUNCTION("""COMPUTED_VALUE"""),37.09)</f>
        <v>37.090000000000003</v>
      </c>
    </row>
    <row r="214" spans="2:16" ht="12.75">
      <c r="B214" s="125">
        <f ca="1">IFERROR(__xludf.DUMMYFUNCTION("""COMPUTED_VALUE"""),43013.6666666666)</f>
        <v>43013.666666666599</v>
      </c>
      <c r="C214">
        <f ca="1">IFERROR(__xludf.DUMMYFUNCTION("""COMPUTED_VALUE"""),37.25)</f>
        <v>37.25</v>
      </c>
      <c r="D214">
        <v>21.07</v>
      </c>
      <c r="E214">
        <v>24.41</v>
      </c>
      <c r="F214">
        <v>31.37</v>
      </c>
      <c r="G214">
        <v>9.1</v>
      </c>
      <c r="H214">
        <v>182.09</v>
      </c>
      <c r="I214">
        <v>28.81</v>
      </c>
      <c r="J214">
        <v>54.35</v>
      </c>
      <c r="K214">
        <v>117.81</v>
      </c>
      <c r="L214">
        <v>25.18</v>
      </c>
      <c r="M214" s="125">
        <f ca="1">IFERROR(__xludf.DUMMYFUNCTION("""COMPUTED_VALUE"""),43549.6666666666)</f>
        <v>43549.666666666599</v>
      </c>
      <c r="N214">
        <f ca="1">IFERROR(__xludf.DUMMYFUNCTION("""COMPUTED_VALUE"""),27.73)</f>
        <v>27.73</v>
      </c>
      <c r="O214" s="125">
        <f ca="1">IFERROR(__xludf.DUMMYFUNCTION("""COMPUTED_VALUE"""),43013.6666666666)</f>
        <v>43013.666666666599</v>
      </c>
      <c r="P214">
        <f ca="1">IFERROR(__xludf.DUMMYFUNCTION("""COMPUTED_VALUE"""),37.25)</f>
        <v>37.25</v>
      </c>
    </row>
    <row r="215" spans="2:16" ht="12.75">
      <c r="B215" s="125">
        <f ca="1">IFERROR(__xludf.DUMMYFUNCTION("""COMPUTED_VALUE"""),43014.6666666666)</f>
        <v>43014.666666666599</v>
      </c>
      <c r="C215">
        <f ca="1">IFERROR(__xludf.DUMMYFUNCTION("""COMPUTED_VALUE"""),37.23)</f>
        <v>37.229999999999997</v>
      </c>
      <c r="D215">
        <v>21.13</v>
      </c>
      <c r="E215">
        <v>24.37</v>
      </c>
      <c r="F215">
        <v>31.32</v>
      </c>
      <c r="G215">
        <v>9.1</v>
      </c>
      <c r="H215">
        <v>182.02</v>
      </c>
      <c r="I215">
        <v>28.76</v>
      </c>
      <c r="J215">
        <v>53.81</v>
      </c>
      <c r="K215">
        <v>117.71</v>
      </c>
      <c r="L215">
        <v>25.44</v>
      </c>
      <c r="M215" s="125">
        <f ca="1">IFERROR(__xludf.DUMMYFUNCTION("""COMPUTED_VALUE"""),43550.6666666666)</f>
        <v>43550.666666666599</v>
      </c>
      <c r="N215">
        <f ca="1">IFERROR(__xludf.DUMMYFUNCTION("""COMPUTED_VALUE"""),27.73)</f>
        <v>27.73</v>
      </c>
      <c r="O215" s="125">
        <f ca="1">IFERROR(__xludf.DUMMYFUNCTION("""COMPUTED_VALUE"""),43014.6666666666)</f>
        <v>43014.666666666599</v>
      </c>
      <c r="P215">
        <f ca="1">IFERROR(__xludf.DUMMYFUNCTION("""COMPUTED_VALUE"""),37.23)</f>
        <v>37.229999999999997</v>
      </c>
    </row>
    <row r="216" spans="2:16" ht="12.75">
      <c r="B216" s="125">
        <f ca="1">IFERROR(__xludf.DUMMYFUNCTION("""COMPUTED_VALUE"""),43017.6666666666)</f>
        <v>43017.666666666599</v>
      </c>
      <c r="C216">
        <f ca="1">IFERROR(__xludf.DUMMYFUNCTION("""COMPUTED_VALUE"""),37.18)</f>
        <v>37.18</v>
      </c>
      <c r="D216">
        <v>21.24</v>
      </c>
      <c r="E216">
        <v>24.33</v>
      </c>
      <c r="F216">
        <v>31.33</v>
      </c>
      <c r="G216">
        <v>9.06</v>
      </c>
      <c r="H216">
        <v>182.36</v>
      </c>
      <c r="I216">
        <v>28.69</v>
      </c>
      <c r="J216">
        <v>53.66</v>
      </c>
      <c r="K216">
        <v>117.86</v>
      </c>
      <c r="L216">
        <v>25.64</v>
      </c>
      <c r="M216" s="125">
        <f ca="1">IFERROR(__xludf.DUMMYFUNCTION("""COMPUTED_VALUE"""),43551.6666666666)</f>
        <v>43551.666666666599</v>
      </c>
      <c r="N216">
        <f ca="1">IFERROR(__xludf.DUMMYFUNCTION("""COMPUTED_VALUE"""),27.75)</f>
        <v>27.75</v>
      </c>
      <c r="O216" s="125">
        <f ca="1">IFERROR(__xludf.DUMMYFUNCTION("""COMPUTED_VALUE"""),43017.6666666666)</f>
        <v>43017.666666666599</v>
      </c>
      <c r="P216">
        <f ca="1">IFERROR(__xludf.DUMMYFUNCTION("""COMPUTED_VALUE"""),37.18)</f>
        <v>37.18</v>
      </c>
    </row>
    <row r="217" spans="2:16" ht="12.75">
      <c r="B217" s="125">
        <f ca="1">IFERROR(__xludf.DUMMYFUNCTION("""COMPUTED_VALUE"""),43018.6666666666)</f>
        <v>43018.666666666599</v>
      </c>
      <c r="C217">
        <f ca="1">IFERROR(__xludf.DUMMYFUNCTION("""COMPUTED_VALUE"""),37.32)</f>
        <v>37.32</v>
      </c>
      <c r="D217">
        <v>21.32</v>
      </c>
      <c r="E217">
        <v>24.2</v>
      </c>
      <c r="F217">
        <v>31.67</v>
      </c>
      <c r="G217">
        <v>9.15</v>
      </c>
      <c r="H217">
        <v>182.29</v>
      </c>
      <c r="I217">
        <v>28.72</v>
      </c>
      <c r="J217">
        <v>54.13</v>
      </c>
      <c r="K217">
        <v>118.99</v>
      </c>
      <c r="L217">
        <v>25.72</v>
      </c>
      <c r="M217" s="125">
        <f ca="1">IFERROR(__xludf.DUMMYFUNCTION("""COMPUTED_VALUE"""),43552.6666666666)</f>
        <v>43552.666666666599</v>
      </c>
      <c r="N217">
        <f ca="1">IFERROR(__xludf.DUMMYFUNCTION("""COMPUTED_VALUE"""),27.96)</f>
        <v>27.96</v>
      </c>
      <c r="O217" s="125">
        <f ca="1">IFERROR(__xludf.DUMMYFUNCTION("""COMPUTED_VALUE"""),43018.6666666666)</f>
        <v>43018.666666666599</v>
      </c>
      <c r="P217">
        <f ca="1">IFERROR(__xludf.DUMMYFUNCTION("""COMPUTED_VALUE"""),37.32)</f>
        <v>37.32</v>
      </c>
    </row>
    <row r="218" spans="2:16" ht="12.75">
      <c r="B218" s="125">
        <f ca="1">IFERROR(__xludf.DUMMYFUNCTION("""COMPUTED_VALUE"""),43019.6666666666)</f>
        <v>43019.666666666599</v>
      </c>
      <c r="C218">
        <f ca="1">IFERROR(__xludf.DUMMYFUNCTION("""COMPUTED_VALUE"""),37.44)</f>
        <v>37.44</v>
      </c>
      <c r="D218">
        <v>21.4</v>
      </c>
      <c r="E218">
        <v>24.13</v>
      </c>
      <c r="F218">
        <v>31.79</v>
      </c>
      <c r="G218">
        <v>9.17</v>
      </c>
      <c r="H218">
        <v>181.81</v>
      </c>
      <c r="I218">
        <v>28.78</v>
      </c>
      <c r="J218">
        <v>54.24</v>
      </c>
      <c r="K218">
        <v>119.46</v>
      </c>
      <c r="L218">
        <v>25.82</v>
      </c>
      <c r="M218" s="125">
        <f ca="1">IFERROR(__xludf.DUMMYFUNCTION("""COMPUTED_VALUE"""),43553.6666666666)</f>
        <v>43553.666666666599</v>
      </c>
      <c r="N218">
        <f ca="1">IFERROR(__xludf.DUMMYFUNCTION("""COMPUTED_VALUE"""),28.16)</f>
        <v>28.16</v>
      </c>
      <c r="O218" s="125">
        <f ca="1">IFERROR(__xludf.DUMMYFUNCTION("""COMPUTED_VALUE"""),43019.6666666666)</f>
        <v>43019.666666666599</v>
      </c>
      <c r="P218">
        <f ca="1">IFERROR(__xludf.DUMMYFUNCTION("""COMPUTED_VALUE"""),37.44)</f>
        <v>37.44</v>
      </c>
    </row>
    <row r="219" spans="2:16" ht="12.75">
      <c r="B219" s="125">
        <f ca="1">IFERROR(__xludf.DUMMYFUNCTION("""COMPUTED_VALUE"""),43020.6666666666)</f>
        <v>43020.666666666599</v>
      </c>
      <c r="C219">
        <f ca="1">IFERROR(__xludf.DUMMYFUNCTION("""COMPUTED_VALUE"""),37.19)</f>
        <v>37.19</v>
      </c>
      <c r="D219">
        <v>21.55</v>
      </c>
      <c r="E219">
        <v>24.18</v>
      </c>
      <c r="F219">
        <v>31.77</v>
      </c>
      <c r="G219">
        <v>9.1999999999999993</v>
      </c>
      <c r="H219">
        <v>182.94</v>
      </c>
      <c r="I219">
        <v>28.81</v>
      </c>
      <c r="J219">
        <v>54.47</v>
      </c>
      <c r="K219">
        <v>120.1</v>
      </c>
      <c r="L219">
        <v>25.23</v>
      </c>
      <c r="M219" s="125">
        <f ca="1">IFERROR(__xludf.DUMMYFUNCTION("""COMPUTED_VALUE"""),43556.6666666666)</f>
        <v>43556.666666666599</v>
      </c>
      <c r="N219">
        <f ca="1">IFERROR(__xludf.DUMMYFUNCTION("""COMPUTED_VALUE"""),28.21)</f>
        <v>28.21</v>
      </c>
      <c r="O219" s="125">
        <f ca="1">IFERROR(__xludf.DUMMYFUNCTION("""COMPUTED_VALUE"""),43020.6666666666)</f>
        <v>43020.666666666599</v>
      </c>
      <c r="P219">
        <f ca="1">IFERROR(__xludf.DUMMYFUNCTION("""COMPUTED_VALUE"""),37.19)</f>
        <v>37.19</v>
      </c>
    </row>
    <row r="220" spans="2:16" ht="12.75">
      <c r="B220" s="125">
        <f ca="1">IFERROR(__xludf.DUMMYFUNCTION("""COMPUTED_VALUE"""),43021.6666666666)</f>
        <v>43021.666666666599</v>
      </c>
      <c r="C220">
        <f ca="1">IFERROR(__xludf.DUMMYFUNCTION("""COMPUTED_VALUE"""),37.47)</f>
        <v>37.47</v>
      </c>
      <c r="D220">
        <v>21.56</v>
      </c>
      <c r="E220">
        <v>24.18</v>
      </c>
      <c r="F220">
        <v>31.88</v>
      </c>
      <c r="G220">
        <v>9.24</v>
      </c>
      <c r="H220">
        <v>182.11</v>
      </c>
      <c r="I220">
        <v>28.87</v>
      </c>
      <c r="J220">
        <v>54.57</v>
      </c>
      <c r="K220">
        <v>119.31</v>
      </c>
      <c r="L220">
        <v>26.15</v>
      </c>
      <c r="M220" s="125">
        <f ca="1">IFERROR(__xludf.DUMMYFUNCTION("""COMPUTED_VALUE"""),43557.6666666666)</f>
        <v>43557.666666666599</v>
      </c>
      <c r="N220">
        <f ca="1">IFERROR(__xludf.DUMMYFUNCTION("""COMPUTED_VALUE"""),28.44)</f>
        <v>28.44</v>
      </c>
      <c r="O220" s="125">
        <f ca="1">IFERROR(__xludf.DUMMYFUNCTION("""COMPUTED_VALUE"""),43021.6666666666)</f>
        <v>43021.666666666599</v>
      </c>
      <c r="P220">
        <f ca="1">IFERROR(__xludf.DUMMYFUNCTION("""COMPUTED_VALUE"""),37.47)</f>
        <v>37.47</v>
      </c>
    </row>
    <row r="221" spans="2:16" ht="12.75">
      <c r="B221" s="125">
        <f ca="1">IFERROR(__xludf.DUMMYFUNCTION("""COMPUTED_VALUE"""),43024.6666666666)</f>
        <v>43024.666666666599</v>
      </c>
      <c r="C221">
        <f ca="1">IFERROR(__xludf.DUMMYFUNCTION("""COMPUTED_VALUE"""),37.85)</f>
        <v>37.85</v>
      </c>
      <c r="D221">
        <v>21.55</v>
      </c>
      <c r="E221">
        <v>24.24</v>
      </c>
      <c r="F221">
        <v>31.85</v>
      </c>
      <c r="G221">
        <v>9.15</v>
      </c>
      <c r="H221">
        <v>182.05</v>
      </c>
      <c r="I221">
        <v>28.87</v>
      </c>
      <c r="J221">
        <v>54.59</v>
      </c>
      <c r="K221">
        <v>119.05</v>
      </c>
      <c r="L221">
        <v>26.67</v>
      </c>
      <c r="M221" s="125">
        <f ca="1">IFERROR(__xludf.DUMMYFUNCTION("""COMPUTED_VALUE"""),43558.6666666666)</f>
        <v>43558.666666666599</v>
      </c>
      <c r="N221">
        <f ca="1">IFERROR(__xludf.DUMMYFUNCTION("""COMPUTED_VALUE"""),28.65)</f>
        <v>28.65</v>
      </c>
      <c r="O221" s="125">
        <f ca="1">IFERROR(__xludf.DUMMYFUNCTION("""COMPUTED_VALUE"""),43024.6666666666)</f>
        <v>43024.666666666599</v>
      </c>
      <c r="P221">
        <f ca="1">IFERROR(__xludf.DUMMYFUNCTION("""COMPUTED_VALUE"""),37.85)</f>
        <v>37.85</v>
      </c>
    </row>
    <row r="222" spans="2:16" ht="12.75">
      <c r="B222" s="125">
        <f ca="1">IFERROR(__xludf.DUMMYFUNCTION("""COMPUTED_VALUE"""),43025.6666666666)</f>
        <v>43025.666666666599</v>
      </c>
      <c r="C222">
        <f ca="1">IFERROR(__xludf.DUMMYFUNCTION("""COMPUTED_VALUE"""),37.46)</f>
        <v>37.46</v>
      </c>
      <c r="D222">
        <v>21.4</v>
      </c>
      <c r="E222">
        <v>24.3</v>
      </c>
      <c r="F222">
        <v>31.76</v>
      </c>
      <c r="G222">
        <v>9.25</v>
      </c>
      <c r="H222">
        <v>181.41</v>
      </c>
      <c r="I222">
        <v>28.89</v>
      </c>
      <c r="J222">
        <v>54.39</v>
      </c>
      <c r="K222">
        <v>119.7</v>
      </c>
      <c r="L222">
        <v>27.04</v>
      </c>
      <c r="M222" s="125">
        <f ca="1">IFERROR(__xludf.DUMMYFUNCTION("""COMPUTED_VALUE"""),43559.6666666666)</f>
        <v>43559.666666666599</v>
      </c>
      <c r="N222">
        <f ca="1">IFERROR(__xludf.DUMMYFUNCTION("""COMPUTED_VALUE"""),28.54)</f>
        <v>28.54</v>
      </c>
      <c r="O222" s="125">
        <f ca="1">IFERROR(__xludf.DUMMYFUNCTION("""COMPUTED_VALUE"""),43025.6666666666)</f>
        <v>43025.666666666599</v>
      </c>
      <c r="P222">
        <f ca="1">IFERROR(__xludf.DUMMYFUNCTION("""COMPUTED_VALUE"""),37.46)</f>
        <v>37.46</v>
      </c>
    </row>
    <row r="223" spans="2:16" ht="12.75">
      <c r="B223" s="125">
        <f ca="1">IFERROR(__xludf.DUMMYFUNCTION("""COMPUTED_VALUE"""),43026.6666666666)</f>
        <v>43026.666666666599</v>
      </c>
      <c r="C223">
        <f ca="1">IFERROR(__xludf.DUMMYFUNCTION("""COMPUTED_VALUE"""),37.8)</f>
        <v>37.799999999999997</v>
      </c>
      <c r="D223">
        <v>21.53</v>
      </c>
      <c r="E223">
        <v>24.27</v>
      </c>
      <c r="F223">
        <v>31.89</v>
      </c>
      <c r="G223">
        <v>9.24</v>
      </c>
      <c r="H223">
        <v>181.7</v>
      </c>
      <c r="I223">
        <v>29</v>
      </c>
      <c r="J223">
        <v>54.32</v>
      </c>
      <c r="K223">
        <v>119.6</v>
      </c>
      <c r="L223">
        <v>27.49</v>
      </c>
      <c r="M223" s="125">
        <f ca="1">IFERROR(__xludf.DUMMYFUNCTION("""COMPUTED_VALUE"""),43560.6666666666)</f>
        <v>43560.666666666599</v>
      </c>
      <c r="N223">
        <f ca="1">IFERROR(__xludf.DUMMYFUNCTION("""COMPUTED_VALUE"""),28.79)</f>
        <v>28.79</v>
      </c>
      <c r="O223" s="125">
        <f ca="1">IFERROR(__xludf.DUMMYFUNCTION("""COMPUTED_VALUE"""),43026.6666666666)</f>
        <v>43026.666666666599</v>
      </c>
      <c r="P223">
        <f ca="1">IFERROR(__xludf.DUMMYFUNCTION("""COMPUTED_VALUE"""),37.8)</f>
        <v>37.799999999999997</v>
      </c>
    </row>
    <row r="224" spans="2:16" ht="12.75">
      <c r="B224" s="125">
        <f ca="1">IFERROR(__xludf.DUMMYFUNCTION("""COMPUTED_VALUE"""),43027.6666666666)</f>
        <v>43027.666666666599</v>
      </c>
      <c r="C224">
        <f ca="1">IFERROR(__xludf.DUMMYFUNCTION("""COMPUTED_VALUE"""),36.95)</f>
        <v>36.950000000000003</v>
      </c>
      <c r="D224">
        <v>21.36</v>
      </c>
      <c r="E224">
        <v>24.21</v>
      </c>
      <c r="F224">
        <v>31.71</v>
      </c>
      <c r="G224">
        <v>9.16</v>
      </c>
      <c r="H224">
        <v>181.7</v>
      </c>
      <c r="I224">
        <v>28.82</v>
      </c>
      <c r="J224">
        <v>54.03</v>
      </c>
      <c r="K224">
        <v>120.75</v>
      </c>
      <c r="L224">
        <v>27.64</v>
      </c>
      <c r="M224" s="125">
        <f ca="1">IFERROR(__xludf.DUMMYFUNCTION("""COMPUTED_VALUE"""),43563.6666666666)</f>
        <v>43563.666666666599</v>
      </c>
      <c r="N224">
        <f ca="1">IFERROR(__xludf.DUMMYFUNCTION("""COMPUTED_VALUE"""),28.71)</f>
        <v>28.71</v>
      </c>
      <c r="O224" s="125">
        <f ca="1">IFERROR(__xludf.DUMMYFUNCTION("""COMPUTED_VALUE"""),43027.6666666666)</f>
        <v>43027.666666666599</v>
      </c>
      <c r="P224">
        <f ca="1">IFERROR(__xludf.DUMMYFUNCTION("""COMPUTED_VALUE"""),36.95)</f>
        <v>36.950000000000003</v>
      </c>
    </row>
    <row r="225" spans="2:16" ht="12.75">
      <c r="B225" s="125">
        <f ca="1">IFERROR(__xludf.DUMMYFUNCTION("""COMPUTED_VALUE"""),43028.6666666666)</f>
        <v>43028.666666666599</v>
      </c>
      <c r="C225">
        <f ca="1">IFERROR(__xludf.DUMMYFUNCTION("""COMPUTED_VALUE"""),36.93)</f>
        <v>36.93</v>
      </c>
      <c r="D225">
        <v>21.54</v>
      </c>
      <c r="E225">
        <v>24.35</v>
      </c>
      <c r="F225">
        <v>31.6</v>
      </c>
      <c r="G225">
        <v>9.14</v>
      </c>
      <c r="H225">
        <v>184</v>
      </c>
      <c r="I225">
        <v>28.81</v>
      </c>
      <c r="J225">
        <v>53.9</v>
      </c>
      <c r="K225">
        <v>120.85</v>
      </c>
      <c r="L225">
        <v>27.57</v>
      </c>
      <c r="M225" s="125">
        <f ca="1">IFERROR(__xludf.DUMMYFUNCTION("""COMPUTED_VALUE"""),43564.6666666666)</f>
        <v>43564.666666666599</v>
      </c>
      <c r="N225">
        <f ca="1">IFERROR(__xludf.DUMMYFUNCTION("""COMPUTED_VALUE"""),28.61)</f>
        <v>28.61</v>
      </c>
      <c r="O225" s="125">
        <f ca="1">IFERROR(__xludf.DUMMYFUNCTION("""COMPUTED_VALUE"""),43028.6666666666)</f>
        <v>43028.666666666599</v>
      </c>
      <c r="P225">
        <f ca="1">IFERROR(__xludf.DUMMYFUNCTION("""COMPUTED_VALUE"""),36.93)</f>
        <v>36.93</v>
      </c>
    </row>
    <row r="226" spans="2:16" ht="12.75">
      <c r="B226" s="125">
        <f ca="1">IFERROR(__xludf.DUMMYFUNCTION("""COMPUTED_VALUE"""),43031.6666666666)</f>
        <v>43031.666666666599</v>
      </c>
      <c r="C226">
        <f ca="1">IFERROR(__xludf.DUMMYFUNCTION("""COMPUTED_VALUE"""),36.69)</f>
        <v>36.69</v>
      </c>
      <c r="D226">
        <v>21.48</v>
      </c>
      <c r="E226">
        <v>24.38</v>
      </c>
      <c r="F226">
        <v>31.54</v>
      </c>
      <c r="G226">
        <v>9.16</v>
      </c>
      <c r="H226">
        <v>182.71</v>
      </c>
      <c r="I226">
        <v>28.76</v>
      </c>
      <c r="J226">
        <v>53.86</v>
      </c>
      <c r="K226">
        <v>120.86</v>
      </c>
      <c r="L226">
        <v>27.34</v>
      </c>
      <c r="M226" s="125">
        <f ca="1">IFERROR(__xludf.DUMMYFUNCTION("""COMPUTED_VALUE"""),43565.6666666666)</f>
        <v>43565.666666666599</v>
      </c>
      <c r="N226">
        <f ca="1">IFERROR(__xludf.DUMMYFUNCTION("""COMPUTED_VALUE"""),28.85)</f>
        <v>28.85</v>
      </c>
      <c r="O226" s="125">
        <f ca="1">IFERROR(__xludf.DUMMYFUNCTION("""COMPUTED_VALUE"""),43031.6666666666)</f>
        <v>43031.666666666599</v>
      </c>
      <c r="P226">
        <f ca="1">IFERROR(__xludf.DUMMYFUNCTION("""COMPUTED_VALUE"""),36.69)</f>
        <v>36.69</v>
      </c>
    </row>
    <row r="227" spans="2:16" ht="12.75">
      <c r="B227" s="125">
        <f ca="1">IFERROR(__xludf.DUMMYFUNCTION("""COMPUTED_VALUE"""),43032.6666666666)</f>
        <v>43032.666666666599</v>
      </c>
      <c r="C227">
        <f ca="1">IFERROR(__xludf.DUMMYFUNCTION("""COMPUTED_VALUE"""),36.72)</f>
        <v>36.72</v>
      </c>
      <c r="D227">
        <v>21.36</v>
      </c>
      <c r="E227">
        <v>24.42</v>
      </c>
      <c r="F227">
        <v>31.49</v>
      </c>
      <c r="G227">
        <v>9.14</v>
      </c>
      <c r="H227">
        <v>182.94</v>
      </c>
      <c r="I227">
        <v>28.88</v>
      </c>
      <c r="J227">
        <v>53.67</v>
      </c>
      <c r="K227">
        <v>120.82</v>
      </c>
      <c r="L227">
        <v>27.67</v>
      </c>
      <c r="M227" s="125">
        <f ca="1">IFERROR(__xludf.DUMMYFUNCTION("""COMPUTED_VALUE"""),43566.6666666666)</f>
        <v>43566.666666666599</v>
      </c>
      <c r="N227">
        <f ca="1">IFERROR(__xludf.DUMMYFUNCTION("""COMPUTED_VALUE"""),28.83)</f>
        <v>28.83</v>
      </c>
      <c r="O227" s="125">
        <f ca="1">IFERROR(__xludf.DUMMYFUNCTION("""COMPUTED_VALUE"""),43032.6666666666)</f>
        <v>43032.666666666599</v>
      </c>
      <c r="P227">
        <f ca="1">IFERROR(__xludf.DUMMYFUNCTION("""COMPUTED_VALUE"""),36.72)</f>
        <v>36.72</v>
      </c>
    </row>
    <row r="228" spans="2:16" ht="12.75">
      <c r="B228" s="125">
        <f ca="1">IFERROR(__xludf.DUMMYFUNCTION("""COMPUTED_VALUE"""),43033.6666666666)</f>
        <v>43033.666666666599</v>
      </c>
      <c r="C228">
        <f ca="1">IFERROR(__xludf.DUMMYFUNCTION("""COMPUTED_VALUE"""),36.24)</f>
        <v>36.24</v>
      </c>
      <c r="D228">
        <v>21.41</v>
      </c>
      <c r="E228">
        <v>24.36</v>
      </c>
      <c r="F228">
        <v>31.48</v>
      </c>
      <c r="G228">
        <v>9.16</v>
      </c>
      <c r="H228">
        <v>182.4</v>
      </c>
      <c r="I228">
        <v>28.76</v>
      </c>
      <c r="J228">
        <v>53.52</v>
      </c>
      <c r="K228">
        <v>120.33</v>
      </c>
      <c r="L228">
        <v>27.83</v>
      </c>
      <c r="M228" s="125">
        <f ca="1">IFERROR(__xludf.DUMMYFUNCTION("""COMPUTED_VALUE"""),43567.6666666666)</f>
        <v>43567.666666666599</v>
      </c>
      <c r="N228">
        <f ca="1">IFERROR(__xludf.DUMMYFUNCTION("""COMPUTED_VALUE"""),29.12)</f>
        <v>29.12</v>
      </c>
      <c r="O228" s="125">
        <f ca="1">IFERROR(__xludf.DUMMYFUNCTION("""COMPUTED_VALUE"""),43033.6666666666)</f>
        <v>43033.666666666599</v>
      </c>
      <c r="P228">
        <f ca="1">IFERROR(__xludf.DUMMYFUNCTION("""COMPUTED_VALUE"""),36.24)</f>
        <v>36.24</v>
      </c>
    </row>
    <row r="229" spans="2:16" ht="12.75">
      <c r="B229" s="125">
        <f ca="1">IFERROR(__xludf.DUMMYFUNCTION("""COMPUTED_VALUE"""),43034.6666666666)</f>
        <v>43034.666666666599</v>
      </c>
      <c r="C229">
        <f ca="1">IFERROR(__xludf.DUMMYFUNCTION("""COMPUTED_VALUE"""),36.09)</f>
        <v>36.090000000000003</v>
      </c>
      <c r="D229">
        <v>21.5</v>
      </c>
      <c r="E229">
        <v>24.62</v>
      </c>
      <c r="F229">
        <v>31.54</v>
      </c>
      <c r="G229">
        <v>9.16</v>
      </c>
      <c r="H229">
        <v>180.85</v>
      </c>
      <c r="I229">
        <v>29.18</v>
      </c>
      <c r="J229">
        <v>53.56</v>
      </c>
      <c r="K229">
        <v>120.49</v>
      </c>
      <c r="L229">
        <v>27.96</v>
      </c>
      <c r="M229" s="125">
        <f ca="1">IFERROR(__xludf.DUMMYFUNCTION("""COMPUTED_VALUE"""),43570.6666666666)</f>
        <v>43570.666666666599</v>
      </c>
      <c r="N229">
        <f ca="1">IFERROR(__xludf.DUMMYFUNCTION("""COMPUTED_VALUE"""),28.95)</f>
        <v>28.95</v>
      </c>
      <c r="O229" s="125">
        <f ca="1">IFERROR(__xludf.DUMMYFUNCTION("""COMPUTED_VALUE"""),43034.6666666666)</f>
        <v>43034.666666666599</v>
      </c>
      <c r="P229">
        <f ca="1">IFERROR(__xludf.DUMMYFUNCTION("""COMPUTED_VALUE"""),36.09)</f>
        <v>36.090000000000003</v>
      </c>
    </row>
    <row r="230" spans="2:16" ht="12.75">
      <c r="B230" s="125">
        <f ca="1">IFERROR(__xludf.DUMMYFUNCTION("""COMPUTED_VALUE"""),43035.6666666666)</f>
        <v>43035.666666666599</v>
      </c>
      <c r="C230">
        <f ca="1">IFERROR(__xludf.DUMMYFUNCTION("""COMPUTED_VALUE"""),36.39)</f>
        <v>36.39</v>
      </c>
      <c r="D230">
        <v>21.62</v>
      </c>
      <c r="E230">
        <v>24.68</v>
      </c>
      <c r="F230">
        <v>31.46</v>
      </c>
      <c r="G230">
        <v>9.31</v>
      </c>
      <c r="H230">
        <v>180.64</v>
      </c>
      <c r="I230">
        <v>29.34</v>
      </c>
      <c r="J230">
        <v>53.1</v>
      </c>
      <c r="K230">
        <v>121.27</v>
      </c>
      <c r="L230">
        <v>28.44</v>
      </c>
      <c r="M230" s="125">
        <f ca="1">IFERROR(__xludf.DUMMYFUNCTION("""COMPUTED_VALUE"""),43571.6666666666)</f>
        <v>43571.666666666599</v>
      </c>
      <c r="N230">
        <f ca="1">IFERROR(__xludf.DUMMYFUNCTION("""COMPUTED_VALUE"""),28.54)</f>
        <v>28.54</v>
      </c>
      <c r="O230" s="125">
        <f ca="1">IFERROR(__xludf.DUMMYFUNCTION("""COMPUTED_VALUE"""),43035.6666666666)</f>
        <v>43035.666666666599</v>
      </c>
      <c r="P230">
        <f ca="1">IFERROR(__xludf.DUMMYFUNCTION("""COMPUTED_VALUE"""),36.39)</f>
        <v>36.39</v>
      </c>
    </row>
    <row r="231" spans="2:16" ht="12.75">
      <c r="B231" s="125">
        <f ca="1">IFERROR(__xludf.DUMMYFUNCTION("""COMPUTED_VALUE"""),43038.6666666666)</f>
        <v>43038.666666666599</v>
      </c>
      <c r="C231">
        <f ca="1">IFERROR(__xludf.DUMMYFUNCTION("""COMPUTED_VALUE"""),36.42)</f>
        <v>36.42</v>
      </c>
      <c r="D231">
        <v>21.42</v>
      </c>
      <c r="E231">
        <v>24.56</v>
      </c>
      <c r="F231">
        <v>31.48</v>
      </c>
      <c r="G231">
        <v>9.31</v>
      </c>
      <c r="H231">
        <v>180.48</v>
      </c>
      <c r="I231">
        <v>29.34</v>
      </c>
      <c r="J231">
        <v>52.65</v>
      </c>
      <c r="K231">
        <v>121.24</v>
      </c>
      <c r="L231">
        <v>27.83</v>
      </c>
      <c r="M231" s="125">
        <f ca="1">IFERROR(__xludf.DUMMYFUNCTION("""COMPUTED_VALUE"""),43572.6666666666)</f>
        <v>43572.666666666599</v>
      </c>
      <c r="N231">
        <f ca="1">IFERROR(__xludf.DUMMYFUNCTION("""COMPUTED_VALUE"""),28.3)</f>
        <v>28.3</v>
      </c>
      <c r="O231" s="125">
        <f ca="1">IFERROR(__xludf.DUMMYFUNCTION("""COMPUTED_VALUE"""),43038.6666666666)</f>
        <v>43038.666666666599</v>
      </c>
      <c r="P231">
        <f ca="1">IFERROR(__xludf.DUMMYFUNCTION("""COMPUTED_VALUE"""),36.42)</f>
        <v>36.42</v>
      </c>
    </row>
    <row r="232" spans="2:16" ht="12.75">
      <c r="B232" s="125">
        <f ca="1">IFERROR(__xludf.DUMMYFUNCTION("""COMPUTED_VALUE"""),43039.6666666666)</f>
        <v>43039.666666666599</v>
      </c>
      <c r="C232">
        <f ca="1">IFERROR(__xludf.DUMMYFUNCTION("""COMPUTED_VALUE"""),37.04)</f>
        <v>37.04</v>
      </c>
      <c r="D232">
        <v>21.64</v>
      </c>
      <c r="E232">
        <v>24.58</v>
      </c>
      <c r="F232">
        <v>31.7</v>
      </c>
      <c r="G232">
        <v>9.31</v>
      </c>
      <c r="H232">
        <v>180.47</v>
      </c>
      <c r="I232">
        <v>29.47</v>
      </c>
      <c r="J232">
        <v>53.09</v>
      </c>
      <c r="K232">
        <v>121.35</v>
      </c>
      <c r="L232">
        <v>27.9</v>
      </c>
      <c r="M232" s="125">
        <f ca="1">IFERROR(__xludf.DUMMYFUNCTION("""COMPUTED_VALUE"""),43573.6666666666)</f>
        <v>43573.666666666599</v>
      </c>
      <c r="N232">
        <f ca="1">IFERROR(__xludf.DUMMYFUNCTION("""COMPUTED_VALUE"""),28.33)</f>
        <v>28.33</v>
      </c>
      <c r="O232" s="125">
        <f ca="1">IFERROR(__xludf.DUMMYFUNCTION("""COMPUTED_VALUE"""),43039.6666666666)</f>
        <v>43039.666666666599</v>
      </c>
      <c r="P232">
        <f ca="1">IFERROR(__xludf.DUMMYFUNCTION("""COMPUTED_VALUE"""),37.04)</f>
        <v>37.04</v>
      </c>
    </row>
    <row r="233" spans="2:16" ht="12.75">
      <c r="B233" s="125">
        <f ca="1">IFERROR(__xludf.DUMMYFUNCTION("""COMPUTED_VALUE"""),43040.6666666666)</f>
        <v>43040.666666666599</v>
      </c>
      <c r="C233">
        <f ca="1">IFERROR(__xludf.DUMMYFUNCTION("""COMPUTED_VALUE"""),37.24)</f>
        <v>37.24</v>
      </c>
      <c r="D233">
        <v>21.44</v>
      </c>
      <c r="E233">
        <v>24.63</v>
      </c>
      <c r="F233">
        <v>31.67</v>
      </c>
      <c r="G233">
        <v>9.3000000000000007</v>
      </c>
      <c r="H233">
        <v>180.22</v>
      </c>
      <c r="I233">
        <v>29.84</v>
      </c>
      <c r="J233">
        <v>53.26</v>
      </c>
      <c r="K233">
        <v>120.73</v>
      </c>
      <c r="L233">
        <v>28.41</v>
      </c>
      <c r="M233" s="125">
        <f ca="1">IFERROR(__xludf.DUMMYFUNCTION("""COMPUTED_VALUE"""),43577.6666666666)</f>
        <v>43577.666666666599</v>
      </c>
      <c r="N233">
        <f ca="1">IFERROR(__xludf.DUMMYFUNCTION("""COMPUTED_VALUE"""),28.23)</f>
        <v>28.23</v>
      </c>
      <c r="O233" s="125">
        <f ca="1">IFERROR(__xludf.DUMMYFUNCTION("""COMPUTED_VALUE"""),43040.6666666666)</f>
        <v>43040.666666666599</v>
      </c>
      <c r="P233">
        <f ca="1">IFERROR(__xludf.DUMMYFUNCTION("""COMPUTED_VALUE"""),37.24)</f>
        <v>37.24</v>
      </c>
    </row>
    <row r="234" spans="2:16" ht="12.75">
      <c r="B234" s="125">
        <f ca="1">IFERROR(__xludf.DUMMYFUNCTION("""COMPUTED_VALUE"""),43041.6666666666)</f>
        <v>43041.666666666599</v>
      </c>
      <c r="C234">
        <f ca="1">IFERROR(__xludf.DUMMYFUNCTION("""COMPUTED_VALUE"""),37.11)</f>
        <v>37.11</v>
      </c>
      <c r="D234">
        <v>21.41</v>
      </c>
      <c r="E234">
        <v>24.63</v>
      </c>
      <c r="F234">
        <v>31.75</v>
      </c>
      <c r="G234">
        <v>9.33</v>
      </c>
      <c r="H234">
        <v>183.39</v>
      </c>
      <c r="I234">
        <v>29.83</v>
      </c>
      <c r="J234">
        <v>53.13</v>
      </c>
      <c r="K234">
        <v>121.09</v>
      </c>
      <c r="L234">
        <v>28.95</v>
      </c>
      <c r="M234" s="125">
        <f ca="1">IFERROR(__xludf.DUMMYFUNCTION("""COMPUTED_VALUE"""),43578.6666666666)</f>
        <v>43578.666666666599</v>
      </c>
      <c r="N234">
        <f ca="1">IFERROR(__xludf.DUMMYFUNCTION("""COMPUTED_VALUE"""),28.3)</f>
        <v>28.3</v>
      </c>
      <c r="O234" s="125">
        <f ca="1">IFERROR(__xludf.DUMMYFUNCTION("""COMPUTED_VALUE"""),43041.6666666666)</f>
        <v>43041.666666666599</v>
      </c>
      <c r="P234">
        <f ca="1">IFERROR(__xludf.DUMMYFUNCTION("""COMPUTED_VALUE"""),37.11)</f>
        <v>37.11</v>
      </c>
    </row>
    <row r="235" spans="2:16" ht="12.75">
      <c r="B235" s="125">
        <f ca="1">IFERROR(__xludf.DUMMYFUNCTION("""COMPUTED_VALUE"""),43042.6666666666)</f>
        <v>43042.666666666599</v>
      </c>
      <c r="C235">
        <f ca="1">IFERROR(__xludf.DUMMYFUNCTION("""COMPUTED_VALUE"""),37.3)</f>
        <v>37.299999999999997</v>
      </c>
      <c r="D235">
        <v>21.56</v>
      </c>
      <c r="E235">
        <v>24.69</v>
      </c>
      <c r="F235">
        <v>31.63</v>
      </c>
      <c r="G235">
        <v>9.25</v>
      </c>
      <c r="H235">
        <v>182.17</v>
      </c>
      <c r="I235">
        <v>29.91</v>
      </c>
      <c r="J235">
        <v>53.14</v>
      </c>
      <c r="K235">
        <v>121.48</v>
      </c>
      <c r="L235">
        <v>28.6</v>
      </c>
      <c r="M235" s="125">
        <f ca="1">IFERROR(__xludf.DUMMYFUNCTION("""COMPUTED_VALUE"""),43579.6666666666)</f>
        <v>43579.666666666599</v>
      </c>
      <c r="N235">
        <f ca="1">IFERROR(__xludf.DUMMYFUNCTION("""COMPUTED_VALUE"""),28.54)</f>
        <v>28.54</v>
      </c>
      <c r="O235" s="125">
        <f ca="1">IFERROR(__xludf.DUMMYFUNCTION("""COMPUTED_VALUE"""),43042.6666666666)</f>
        <v>43042.666666666599</v>
      </c>
      <c r="P235">
        <f ca="1">IFERROR(__xludf.DUMMYFUNCTION("""COMPUTED_VALUE"""),37.3)</f>
        <v>37.299999999999997</v>
      </c>
    </row>
    <row r="236" spans="2:16" ht="12.75">
      <c r="B236" s="125">
        <f ca="1">IFERROR(__xludf.DUMMYFUNCTION("""COMPUTED_VALUE"""),43045.6666666666)</f>
        <v>43045.666666666599</v>
      </c>
      <c r="C236">
        <f ca="1">IFERROR(__xludf.DUMMYFUNCTION("""COMPUTED_VALUE"""),38.02)</f>
        <v>38.020000000000003</v>
      </c>
      <c r="D236">
        <v>21.82</v>
      </c>
      <c r="E236">
        <v>24.63</v>
      </c>
      <c r="F236">
        <v>31.56</v>
      </c>
      <c r="G236">
        <v>9.33</v>
      </c>
      <c r="H236">
        <v>182.45</v>
      </c>
      <c r="I236">
        <v>29.85</v>
      </c>
      <c r="J236">
        <v>52.57</v>
      </c>
      <c r="K236">
        <v>121.12</v>
      </c>
      <c r="L236">
        <v>28.53</v>
      </c>
      <c r="M236" s="125">
        <f ca="1">IFERROR(__xludf.DUMMYFUNCTION("""COMPUTED_VALUE"""),43580.6666666666)</f>
        <v>43580.666666666599</v>
      </c>
      <c r="N236">
        <f ca="1">IFERROR(__xludf.DUMMYFUNCTION("""COMPUTED_VALUE"""),28.13)</f>
        <v>28.13</v>
      </c>
      <c r="O236" s="125">
        <f ca="1">IFERROR(__xludf.DUMMYFUNCTION("""COMPUTED_VALUE"""),43045.6666666666)</f>
        <v>43045.666666666599</v>
      </c>
      <c r="P236">
        <f ca="1">IFERROR(__xludf.DUMMYFUNCTION("""COMPUTED_VALUE"""),38.02)</f>
        <v>38.020000000000003</v>
      </c>
    </row>
    <row r="237" spans="2:16" ht="12.75">
      <c r="B237" s="125">
        <f ca="1">IFERROR(__xludf.DUMMYFUNCTION("""COMPUTED_VALUE"""),43046.6666666666)</f>
        <v>43046.666666666599</v>
      </c>
      <c r="C237">
        <f ca="1">IFERROR(__xludf.DUMMYFUNCTION("""COMPUTED_VALUE"""),37.86)</f>
        <v>37.86</v>
      </c>
      <c r="D237">
        <v>21.58</v>
      </c>
      <c r="E237">
        <v>24.67</v>
      </c>
      <c r="F237">
        <v>31.36</v>
      </c>
      <c r="G237">
        <v>9.16</v>
      </c>
      <c r="H237">
        <v>182.3</v>
      </c>
      <c r="I237">
        <v>29.64</v>
      </c>
      <c r="J237">
        <v>53.16</v>
      </c>
      <c r="K237">
        <v>122.46</v>
      </c>
      <c r="L237">
        <v>28.91</v>
      </c>
      <c r="M237" s="125">
        <f ca="1">IFERROR(__xludf.DUMMYFUNCTION("""COMPUTED_VALUE"""),43581.6666666666)</f>
        <v>43581.666666666599</v>
      </c>
      <c r="N237">
        <f ca="1">IFERROR(__xludf.DUMMYFUNCTION("""COMPUTED_VALUE"""),28.32)</f>
        <v>28.32</v>
      </c>
      <c r="O237" s="125">
        <f ca="1">IFERROR(__xludf.DUMMYFUNCTION("""COMPUTED_VALUE"""),43046.6666666666)</f>
        <v>43046.666666666599</v>
      </c>
      <c r="P237">
        <f ca="1">IFERROR(__xludf.DUMMYFUNCTION("""COMPUTED_VALUE"""),37.86)</f>
        <v>37.86</v>
      </c>
    </row>
    <row r="238" spans="2:16" ht="12.75">
      <c r="B238" s="125">
        <f ca="1">IFERROR(__xludf.DUMMYFUNCTION("""COMPUTED_VALUE"""),43047.6666666666)</f>
        <v>43047.666666666599</v>
      </c>
      <c r="C238">
        <f ca="1">IFERROR(__xludf.DUMMYFUNCTION("""COMPUTED_VALUE"""),38.02)</f>
        <v>38.020000000000003</v>
      </c>
      <c r="D238">
        <v>21.51</v>
      </c>
      <c r="E238">
        <v>24.66</v>
      </c>
      <c r="F238">
        <v>31.49</v>
      </c>
      <c r="G238">
        <v>9.2799999999999994</v>
      </c>
      <c r="H238">
        <v>182.88</v>
      </c>
      <c r="I238">
        <v>29.72</v>
      </c>
      <c r="J238">
        <v>53.74</v>
      </c>
      <c r="K238">
        <v>122.43</v>
      </c>
      <c r="L238">
        <v>29.16</v>
      </c>
      <c r="M238" s="125">
        <f ca="1">IFERROR(__xludf.DUMMYFUNCTION("""COMPUTED_VALUE"""),43584.6666666666)</f>
        <v>43584.666666666599</v>
      </c>
      <c r="N238">
        <f ca="1">IFERROR(__xludf.DUMMYFUNCTION("""COMPUTED_VALUE"""),28.06)</f>
        <v>28.06</v>
      </c>
      <c r="O238" s="125">
        <f ca="1">IFERROR(__xludf.DUMMYFUNCTION("""COMPUTED_VALUE"""),43047.6666666666)</f>
        <v>43047.666666666599</v>
      </c>
      <c r="P238">
        <f ca="1">IFERROR(__xludf.DUMMYFUNCTION("""COMPUTED_VALUE"""),38.02)</f>
        <v>38.020000000000003</v>
      </c>
    </row>
    <row r="239" spans="2:16" ht="12.75">
      <c r="B239" s="125">
        <f ca="1">IFERROR(__xludf.DUMMYFUNCTION("""COMPUTED_VALUE"""),43048.6666666666)</f>
        <v>43048.666666666599</v>
      </c>
      <c r="C239">
        <f ca="1">IFERROR(__xludf.DUMMYFUNCTION("""COMPUTED_VALUE"""),37.67)</f>
        <v>37.67</v>
      </c>
      <c r="D239">
        <v>21.35</v>
      </c>
      <c r="E239">
        <v>24.56</v>
      </c>
      <c r="F239">
        <v>31.28</v>
      </c>
      <c r="G239">
        <v>9.1199999999999992</v>
      </c>
      <c r="H239">
        <v>180.17</v>
      </c>
      <c r="I239">
        <v>29.3</v>
      </c>
      <c r="J239">
        <v>53.73</v>
      </c>
      <c r="K239">
        <v>122.53</v>
      </c>
      <c r="L239">
        <v>29.1</v>
      </c>
      <c r="M239" s="125">
        <f ca="1">IFERROR(__xludf.DUMMYFUNCTION("""COMPUTED_VALUE"""),43585.6666666666)</f>
        <v>43585.666666666599</v>
      </c>
      <c r="N239">
        <f ca="1">IFERROR(__xludf.DUMMYFUNCTION("""COMPUTED_VALUE"""),28.42)</f>
        <v>28.42</v>
      </c>
      <c r="O239" s="125">
        <f ca="1">IFERROR(__xludf.DUMMYFUNCTION("""COMPUTED_VALUE"""),43048.6666666666)</f>
        <v>43048.666666666599</v>
      </c>
      <c r="P239">
        <f ca="1">IFERROR(__xludf.DUMMYFUNCTION("""COMPUTED_VALUE"""),37.67)</f>
        <v>37.67</v>
      </c>
    </row>
    <row r="240" spans="2:16" ht="12.75">
      <c r="B240" s="125">
        <f ca="1">IFERROR(__xludf.DUMMYFUNCTION("""COMPUTED_VALUE"""),43049.6666666666)</f>
        <v>43049.666666666599</v>
      </c>
      <c r="C240">
        <f ca="1">IFERROR(__xludf.DUMMYFUNCTION("""COMPUTED_VALUE"""),37.41)</f>
        <v>37.409999999999997</v>
      </c>
      <c r="D240">
        <v>21.4</v>
      </c>
      <c r="E240">
        <v>24.54</v>
      </c>
      <c r="F240">
        <v>31.27</v>
      </c>
      <c r="G240">
        <v>9.0500000000000007</v>
      </c>
      <c r="H240">
        <v>179.22</v>
      </c>
      <c r="I240">
        <v>29.19</v>
      </c>
      <c r="J240">
        <v>54.28</v>
      </c>
      <c r="K240">
        <v>121.99</v>
      </c>
      <c r="L240">
        <v>29.44</v>
      </c>
      <c r="M240" s="125">
        <f ca="1">IFERROR(__xludf.DUMMYFUNCTION("""COMPUTED_VALUE"""),43586.6666666666)</f>
        <v>43586.666666666599</v>
      </c>
      <c r="N240">
        <f ca="1">IFERROR(__xludf.DUMMYFUNCTION("""COMPUTED_VALUE"""),28.15)</f>
        <v>28.15</v>
      </c>
      <c r="O240" s="125">
        <f ca="1">IFERROR(__xludf.DUMMYFUNCTION("""COMPUTED_VALUE"""),43049.6666666666)</f>
        <v>43049.666666666599</v>
      </c>
      <c r="P240">
        <f ca="1">IFERROR(__xludf.DUMMYFUNCTION("""COMPUTED_VALUE"""),37.41)</f>
        <v>37.409999999999997</v>
      </c>
    </row>
    <row r="241" spans="2:16" ht="12.75">
      <c r="B241" s="125">
        <f ca="1">IFERROR(__xludf.DUMMYFUNCTION("""COMPUTED_VALUE"""),43052.6666666666)</f>
        <v>43052.666666666599</v>
      </c>
      <c r="C241">
        <f ca="1">IFERROR(__xludf.DUMMYFUNCTION("""COMPUTED_VALUE"""),37.7)</f>
        <v>37.700000000000003</v>
      </c>
      <c r="D241">
        <v>21.43</v>
      </c>
      <c r="E241">
        <v>24.56</v>
      </c>
      <c r="F241">
        <v>31.2</v>
      </c>
      <c r="G241">
        <v>9.07</v>
      </c>
      <c r="H241">
        <v>178.3</v>
      </c>
      <c r="I241">
        <v>29.12</v>
      </c>
      <c r="J241">
        <v>54.59</v>
      </c>
      <c r="K241">
        <v>123.34</v>
      </c>
      <c r="L241">
        <v>29.61</v>
      </c>
      <c r="M241" s="125">
        <f ca="1">IFERROR(__xludf.DUMMYFUNCTION("""COMPUTED_VALUE"""),43587.6666666666)</f>
        <v>43587.666666666599</v>
      </c>
      <c r="N241">
        <f ca="1">IFERROR(__xludf.DUMMYFUNCTION("""COMPUTED_VALUE"""),28.31)</f>
        <v>28.31</v>
      </c>
      <c r="O241" s="125">
        <f ca="1">IFERROR(__xludf.DUMMYFUNCTION("""COMPUTED_VALUE"""),43052.6666666666)</f>
        <v>43052.666666666599</v>
      </c>
      <c r="P241">
        <f ca="1">IFERROR(__xludf.DUMMYFUNCTION("""COMPUTED_VALUE"""),37.7)</f>
        <v>37.700000000000003</v>
      </c>
    </row>
    <row r="242" spans="2:16" ht="12.75">
      <c r="B242" s="125">
        <f ca="1">IFERROR(__xludf.DUMMYFUNCTION("""COMPUTED_VALUE"""),43053.6666666666)</f>
        <v>43053.666666666599</v>
      </c>
      <c r="C242">
        <f ca="1">IFERROR(__xludf.DUMMYFUNCTION("""COMPUTED_VALUE"""),37.2)</f>
        <v>37.200000000000003</v>
      </c>
      <c r="D242">
        <v>21.58</v>
      </c>
      <c r="E242">
        <v>24.39</v>
      </c>
      <c r="F242">
        <v>31.28</v>
      </c>
      <c r="G242">
        <v>9.06</v>
      </c>
      <c r="H242">
        <v>178.56</v>
      </c>
      <c r="I242">
        <v>28.97</v>
      </c>
      <c r="J242">
        <v>54.78</v>
      </c>
      <c r="K242">
        <v>124.88</v>
      </c>
      <c r="L242">
        <v>29.84</v>
      </c>
      <c r="M242" s="125">
        <f ca="1">IFERROR(__xludf.DUMMYFUNCTION("""COMPUTED_VALUE"""),43588.6666666666)</f>
        <v>43588.666666666599</v>
      </c>
      <c r="N242">
        <f ca="1">IFERROR(__xludf.DUMMYFUNCTION("""COMPUTED_VALUE"""),28.78)</f>
        <v>28.78</v>
      </c>
      <c r="O242" s="125">
        <f ca="1">IFERROR(__xludf.DUMMYFUNCTION("""COMPUTED_VALUE"""),43053.6666666666)</f>
        <v>43053.666666666599</v>
      </c>
      <c r="P242">
        <f ca="1">IFERROR(__xludf.DUMMYFUNCTION("""COMPUTED_VALUE"""),37.2)</f>
        <v>37.200000000000003</v>
      </c>
    </row>
    <row r="243" spans="2:16" ht="12.75">
      <c r="B243" s="125">
        <f ca="1">IFERROR(__xludf.DUMMYFUNCTION("""COMPUTED_VALUE"""),43054.6666666666)</f>
        <v>43054.666666666599</v>
      </c>
      <c r="C243">
        <f ca="1">IFERROR(__xludf.DUMMYFUNCTION("""COMPUTED_VALUE"""),37.53)</f>
        <v>37.53</v>
      </c>
      <c r="D243">
        <v>21.46</v>
      </c>
      <c r="E243">
        <v>24.38</v>
      </c>
      <c r="F243">
        <v>31.14</v>
      </c>
      <c r="G243">
        <v>8.98</v>
      </c>
      <c r="H243">
        <v>177.59</v>
      </c>
      <c r="I243">
        <v>28.76</v>
      </c>
      <c r="J243">
        <v>54.2</v>
      </c>
      <c r="K243">
        <v>123.77</v>
      </c>
      <c r="L243">
        <v>29.44</v>
      </c>
      <c r="M243" s="125">
        <f ca="1">IFERROR(__xludf.DUMMYFUNCTION("""COMPUTED_VALUE"""),43591.6666666666)</f>
        <v>43591.666666666599</v>
      </c>
      <c r="N243">
        <f ca="1">IFERROR(__xludf.DUMMYFUNCTION("""COMPUTED_VALUE"""),28.66)</f>
        <v>28.66</v>
      </c>
      <c r="O243" s="125">
        <f ca="1">IFERROR(__xludf.DUMMYFUNCTION("""COMPUTED_VALUE"""),43054.6666666666)</f>
        <v>43054.666666666599</v>
      </c>
      <c r="P243">
        <f ca="1">IFERROR(__xludf.DUMMYFUNCTION("""COMPUTED_VALUE"""),37.53)</f>
        <v>37.53</v>
      </c>
    </row>
    <row r="244" spans="2:16" ht="12.75">
      <c r="B244" s="125">
        <f ca="1">IFERROR(__xludf.DUMMYFUNCTION("""COMPUTED_VALUE"""),43055.6666666666)</f>
        <v>43055.666666666599</v>
      </c>
      <c r="C244">
        <f ca="1">IFERROR(__xludf.DUMMYFUNCTION("""COMPUTED_VALUE"""),38.51)</f>
        <v>38.51</v>
      </c>
      <c r="D244">
        <v>21.83</v>
      </c>
      <c r="E244">
        <v>24.41</v>
      </c>
      <c r="F244">
        <v>31.33</v>
      </c>
      <c r="G244">
        <v>9.07</v>
      </c>
      <c r="H244">
        <v>179.03</v>
      </c>
      <c r="I244">
        <v>29.05</v>
      </c>
      <c r="J244">
        <v>54.95</v>
      </c>
      <c r="K244">
        <v>123.62</v>
      </c>
      <c r="L244">
        <v>29.42</v>
      </c>
      <c r="M244" s="125">
        <f ca="1">IFERROR(__xludf.DUMMYFUNCTION("""COMPUTED_VALUE"""),43592.6666666666)</f>
        <v>43592.666666666599</v>
      </c>
      <c r="N244">
        <f ca="1">IFERROR(__xludf.DUMMYFUNCTION("""COMPUTED_VALUE"""),28.3)</f>
        <v>28.3</v>
      </c>
      <c r="O244" s="125">
        <f ca="1">IFERROR(__xludf.DUMMYFUNCTION("""COMPUTED_VALUE"""),43055.6666666666)</f>
        <v>43055.666666666599</v>
      </c>
      <c r="P244">
        <f ca="1">IFERROR(__xludf.DUMMYFUNCTION("""COMPUTED_VALUE"""),38.51)</f>
        <v>38.51</v>
      </c>
    </row>
    <row r="245" spans="2:16" ht="12.75">
      <c r="B245" s="125">
        <f ca="1">IFERROR(__xludf.DUMMYFUNCTION("""COMPUTED_VALUE"""),43056.6666666666)</f>
        <v>43056.666666666599</v>
      </c>
      <c r="C245">
        <f ca="1">IFERROR(__xludf.DUMMYFUNCTION("""COMPUTED_VALUE"""),38.94)</f>
        <v>38.94</v>
      </c>
      <c r="D245">
        <v>21.86</v>
      </c>
      <c r="E245">
        <v>24.34</v>
      </c>
      <c r="F245">
        <v>31.14</v>
      </c>
      <c r="G245">
        <v>8.98</v>
      </c>
      <c r="H245">
        <v>178.02</v>
      </c>
      <c r="I245">
        <v>28.84</v>
      </c>
      <c r="J245">
        <v>54.76</v>
      </c>
      <c r="K245">
        <v>122.86</v>
      </c>
      <c r="L245">
        <v>29.48</v>
      </c>
      <c r="M245" s="125">
        <f ca="1">IFERROR(__xludf.DUMMYFUNCTION("""COMPUTED_VALUE"""),43593.6666666666)</f>
        <v>43593.666666666599</v>
      </c>
      <c r="N245">
        <f ca="1">IFERROR(__xludf.DUMMYFUNCTION("""COMPUTED_VALUE"""),28.62)</f>
        <v>28.62</v>
      </c>
      <c r="O245" s="125">
        <f ca="1">IFERROR(__xludf.DUMMYFUNCTION("""COMPUTED_VALUE"""),43056.6666666666)</f>
        <v>43056.666666666599</v>
      </c>
      <c r="P245">
        <f ca="1">IFERROR(__xludf.DUMMYFUNCTION("""COMPUTED_VALUE"""),38.94)</f>
        <v>38.94</v>
      </c>
    </row>
    <row r="246" spans="2:16" ht="12.75">
      <c r="B246" s="125">
        <f ca="1">IFERROR(__xludf.DUMMYFUNCTION("""COMPUTED_VALUE"""),43059.6666666666)</f>
        <v>43059.666666666599</v>
      </c>
      <c r="C246">
        <f ca="1">IFERROR(__xludf.DUMMYFUNCTION("""COMPUTED_VALUE"""),39.41)</f>
        <v>39.409999999999997</v>
      </c>
      <c r="D246">
        <v>22.01</v>
      </c>
      <c r="E246">
        <v>24.46</v>
      </c>
      <c r="F246">
        <v>31.17</v>
      </c>
      <c r="G246">
        <v>8.9700000000000006</v>
      </c>
      <c r="H246">
        <v>179.5</v>
      </c>
      <c r="I246">
        <v>29.01</v>
      </c>
      <c r="J246">
        <v>54.7</v>
      </c>
      <c r="K246">
        <v>122.51</v>
      </c>
      <c r="L246">
        <v>30.17</v>
      </c>
      <c r="M246" s="125">
        <f ca="1">IFERROR(__xludf.DUMMYFUNCTION("""COMPUTED_VALUE"""),43594.6666666666)</f>
        <v>43594.666666666599</v>
      </c>
      <c r="N246">
        <f ca="1">IFERROR(__xludf.DUMMYFUNCTION("""COMPUTED_VALUE"""),28.62)</f>
        <v>28.62</v>
      </c>
      <c r="O246" s="125">
        <f ca="1">IFERROR(__xludf.DUMMYFUNCTION("""COMPUTED_VALUE"""),43059.6666666666)</f>
        <v>43059.666666666599</v>
      </c>
      <c r="P246">
        <f ca="1">IFERROR(__xludf.DUMMYFUNCTION("""COMPUTED_VALUE"""),39.41)</f>
        <v>39.409999999999997</v>
      </c>
    </row>
    <row r="247" spans="2:16" ht="12.75">
      <c r="B247" s="125">
        <f ca="1">IFERROR(__xludf.DUMMYFUNCTION("""COMPUTED_VALUE"""),43060.6666666666)</f>
        <v>43060.666666666599</v>
      </c>
      <c r="C247">
        <f ca="1">IFERROR(__xludf.DUMMYFUNCTION("""COMPUTED_VALUE"""),40.01)</f>
        <v>40.01</v>
      </c>
      <c r="D247">
        <v>22.21</v>
      </c>
      <c r="E247">
        <v>24.43</v>
      </c>
      <c r="F247">
        <v>31.38</v>
      </c>
      <c r="G247">
        <v>8.9700000000000006</v>
      </c>
      <c r="H247">
        <v>181.48</v>
      </c>
      <c r="I247">
        <v>29.29</v>
      </c>
      <c r="J247">
        <v>54.88</v>
      </c>
      <c r="K247">
        <v>122.82</v>
      </c>
      <c r="L247">
        <v>30.3</v>
      </c>
      <c r="M247" s="125">
        <f ca="1">IFERROR(__xludf.DUMMYFUNCTION("""COMPUTED_VALUE"""),43595.6666666666)</f>
        <v>43595.666666666599</v>
      </c>
      <c r="N247">
        <f ca="1">IFERROR(__xludf.DUMMYFUNCTION("""COMPUTED_VALUE"""),28.83)</f>
        <v>28.83</v>
      </c>
      <c r="O247" s="125">
        <f ca="1">IFERROR(__xludf.DUMMYFUNCTION("""COMPUTED_VALUE"""),43060.6666666666)</f>
        <v>43060.666666666599</v>
      </c>
      <c r="P247">
        <f ca="1">IFERROR(__xludf.DUMMYFUNCTION("""COMPUTED_VALUE"""),40.01)</f>
        <v>40.01</v>
      </c>
    </row>
    <row r="248" spans="2:16" ht="12.75">
      <c r="B248" s="125">
        <f ca="1">IFERROR(__xludf.DUMMYFUNCTION("""COMPUTED_VALUE"""),43061.6666666666)</f>
        <v>43061.666666666599</v>
      </c>
      <c r="C248">
        <f ca="1">IFERROR(__xludf.DUMMYFUNCTION("""COMPUTED_VALUE"""),39.77)</f>
        <v>39.770000000000003</v>
      </c>
      <c r="D248">
        <v>22.15</v>
      </c>
      <c r="E248">
        <v>24.24</v>
      </c>
      <c r="F248">
        <v>31.41</v>
      </c>
      <c r="G248">
        <v>9.01</v>
      </c>
      <c r="H248">
        <v>180.65</v>
      </c>
      <c r="I248">
        <v>28.86</v>
      </c>
      <c r="J248">
        <v>54.81</v>
      </c>
      <c r="K248">
        <v>122.74</v>
      </c>
      <c r="L248">
        <v>30.39</v>
      </c>
      <c r="M248" s="125">
        <f ca="1">IFERROR(__xludf.DUMMYFUNCTION("""COMPUTED_VALUE"""),43598.6666666666)</f>
        <v>43598.666666666599</v>
      </c>
      <c r="N248">
        <f ca="1">IFERROR(__xludf.DUMMYFUNCTION("""COMPUTED_VALUE"""),28.74)</f>
        <v>28.74</v>
      </c>
      <c r="O248" s="125">
        <f ca="1">IFERROR(__xludf.DUMMYFUNCTION("""COMPUTED_VALUE"""),43061.6666666666)</f>
        <v>43061.666666666599</v>
      </c>
      <c r="P248">
        <f ca="1">IFERROR(__xludf.DUMMYFUNCTION("""COMPUTED_VALUE"""),39.77)</f>
        <v>39.770000000000003</v>
      </c>
    </row>
    <row r="249" spans="2:16" ht="12.75">
      <c r="B249" s="125">
        <f ca="1">IFERROR(__xludf.DUMMYFUNCTION("""COMPUTED_VALUE"""),43063.6666666666)</f>
        <v>43063.666666666599</v>
      </c>
      <c r="C249">
        <f ca="1">IFERROR(__xludf.DUMMYFUNCTION("""COMPUTED_VALUE"""),39.53)</f>
        <v>39.53</v>
      </c>
      <c r="D249" t="e">
        <v>#N/A</v>
      </c>
      <c r="E249">
        <v>24.13</v>
      </c>
      <c r="F249">
        <v>31.76</v>
      </c>
      <c r="G249">
        <v>9.0299999999999994</v>
      </c>
      <c r="H249">
        <v>181.13</v>
      </c>
      <c r="I249">
        <v>29.08</v>
      </c>
      <c r="J249">
        <v>54.77</v>
      </c>
      <c r="K249">
        <v>122.91</v>
      </c>
      <c r="L249">
        <v>30.79</v>
      </c>
      <c r="M249" s="125">
        <f ca="1">IFERROR(__xludf.DUMMYFUNCTION("""COMPUTED_VALUE"""),43599.6666666666)</f>
        <v>43599.666666666599</v>
      </c>
      <c r="N249">
        <f ca="1">IFERROR(__xludf.DUMMYFUNCTION("""COMPUTED_VALUE"""),28.96)</f>
        <v>28.96</v>
      </c>
      <c r="O249" s="125">
        <f ca="1">IFERROR(__xludf.DUMMYFUNCTION("""COMPUTED_VALUE"""),43063.6666666666)</f>
        <v>43063.666666666599</v>
      </c>
      <c r="P249">
        <f ca="1">IFERROR(__xludf.DUMMYFUNCTION("""COMPUTED_VALUE"""),39.53)</f>
        <v>39.53</v>
      </c>
    </row>
    <row r="250" spans="2:16" ht="12.75">
      <c r="B250" s="125">
        <f ca="1">IFERROR(__xludf.DUMMYFUNCTION("""COMPUTED_VALUE"""),43066.6666666666)</f>
        <v>43066.666666666599</v>
      </c>
      <c r="C250">
        <f ca="1">IFERROR(__xludf.DUMMYFUNCTION("""COMPUTED_VALUE"""),38.84)</f>
        <v>38.840000000000003</v>
      </c>
      <c r="D250">
        <v>21.99</v>
      </c>
      <c r="E250">
        <v>24.16</v>
      </c>
      <c r="F250">
        <v>31.56</v>
      </c>
      <c r="G250">
        <v>8.92</v>
      </c>
      <c r="H250">
        <v>181.24</v>
      </c>
      <c r="I250">
        <v>28.95</v>
      </c>
      <c r="J250">
        <v>54.8</v>
      </c>
      <c r="K250">
        <v>123.53</v>
      </c>
      <c r="L250">
        <v>30.89</v>
      </c>
      <c r="M250" s="125">
        <f ca="1">IFERROR(__xludf.DUMMYFUNCTION("""COMPUTED_VALUE"""),43600.6666666666)</f>
        <v>43600.666666666599</v>
      </c>
      <c r="N250">
        <f ca="1">IFERROR(__xludf.DUMMYFUNCTION("""COMPUTED_VALUE"""),29.21)</f>
        <v>29.21</v>
      </c>
      <c r="O250" s="125">
        <f ca="1">IFERROR(__xludf.DUMMYFUNCTION("""COMPUTED_VALUE"""),43066.6666666666)</f>
        <v>43066.666666666599</v>
      </c>
      <c r="P250">
        <f ca="1">IFERROR(__xludf.DUMMYFUNCTION("""COMPUTED_VALUE"""),38.84)</f>
        <v>38.840000000000003</v>
      </c>
    </row>
    <row r="251" spans="2:16" ht="12.75">
      <c r="B251" s="125">
        <f ca="1">IFERROR(__xludf.DUMMYFUNCTION("""COMPUTED_VALUE"""),43067.6666666666)</f>
        <v>43067.666666666599</v>
      </c>
      <c r="C251">
        <f ca="1">IFERROR(__xludf.DUMMYFUNCTION("""COMPUTED_VALUE"""),38.67)</f>
        <v>38.67</v>
      </c>
      <c r="D251">
        <v>22.15</v>
      </c>
      <c r="E251">
        <v>24.26</v>
      </c>
      <c r="F251">
        <v>31.71</v>
      </c>
      <c r="G251">
        <v>9.0500000000000007</v>
      </c>
      <c r="H251">
        <v>183.49</v>
      </c>
      <c r="I251">
        <v>29.2</v>
      </c>
      <c r="J251">
        <v>55.25</v>
      </c>
      <c r="K251">
        <v>124.12</v>
      </c>
      <c r="L251">
        <v>31.26</v>
      </c>
      <c r="M251" s="125">
        <f ca="1">IFERROR(__xludf.DUMMYFUNCTION("""COMPUTED_VALUE"""),43601.6666666666)</f>
        <v>43601.666666666599</v>
      </c>
      <c r="N251">
        <f ca="1">IFERROR(__xludf.DUMMYFUNCTION("""COMPUTED_VALUE"""),29.42)</f>
        <v>29.42</v>
      </c>
      <c r="O251" s="125">
        <f ca="1">IFERROR(__xludf.DUMMYFUNCTION("""COMPUTED_VALUE"""),43067.6666666666)</f>
        <v>43067.666666666599</v>
      </c>
      <c r="P251">
        <f ca="1">IFERROR(__xludf.DUMMYFUNCTION("""COMPUTED_VALUE"""),38.67)</f>
        <v>38.67</v>
      </c>
    </row>
    <row r="252" spans="2:16" ht="12.75">
      <c r="B252" s="125">
        <f ca="1">IFERROR(__xludf.DUMMYFUNCTION("""COMPUTED_VALUE"""),43068.6666666666)</f>
        <v>43068.666666666599</v>
      </c>
      <c r="C252">
        <f ca="1">IFERROR(__xludf.DUMMYFUNCTION("""COMPUTED_VALUE"""),37.66)</f>
        <v>37.659999999999997</v>
      </c>
      <c r="D252">
        <v>21.58</v>
      </c>
      <c r="E252">
        <v>24.25</v>
      </c>
      <c r="F252">
        <v>31.38</v>
      </c>
      <c r="G252">
        <v>8.94</v>
      </c>
      <c r="H252">
        <v>183.55</v>
      </c>
      <c r="I252">
        <v>29.08</v>
      </c>
      <c r="J252">
        <v>55.54</v>
      </c>
      <c r="K252">
        <v>124.2</v>
      </c>
      <c r="L252">
        <v>30.99</v>
      </c>
      <c r="M252" s="125">
        <f ca="1">IFERROR(__xludf.DUMMYFUNCTION("""COMPUTED_VALUE"""),43602.6666666666)</f>
        <v>43602.666666666599</v>
      </c>
      <c r="N252">
        <f ca="1">IFERROR(__xludf.DUMMYFUNCTION("""COMPUTED_VALUE"""),29.36)</f>
        <v>29.36</v>
      </c>
      <c r="O252" s="125">
        <f ca="1">IFERROR(__xludf.DUMMYFUNCTION("""COMPUTED_VALUE"""),43068.6666666666)</f>
        <v>43068.666666666599</v>
      </c>
      <c r="P252">
        <f ca="1">IFERROR(__xludf.DUMMYFUNCTION("""COMPUTED_VALUE"""),37.66)</f>
        <v>37.659999999999997</v>
      </c>
    </row>
    <row r="253" spans="2:16" ht="12.75">
      <c r="B253" s="125">
        <f ca="1">IFERROR(__xludf.DUMMYFUNCTION("""COMPUTED_VALUE"""),43069.6666666666)</f>
        <v>43069.666666666599</v>
      </c>
      <c r="C253">
        <f ca="1">IFERROR(__xludf.DUMMYFUNCTION("""COMPUTED_VALUE"""),37.23)</f>
        <v>37.229999999999997</v>
      </c>
      <c r="D253">
        <v>21.83</v>
      </c>
      <c r="E253">
        <v>24.19</v>
      </c>
      <c r="F253">
        <v>31.53</v>
      </c>
      <c r="G253">
        <v>8.91</v>
      </c>
      <c r="H253">
        <v>185.84</v>
      </c>
      <c r="I253">
        <v>29.07</v>
      </c>
      <c r="J253">
        <v>56.05</v>
      </c>
      <c r="K253">
        <v>124.86</v>
      </c>
      <c r="L253">
        <v>31.46</v>
      </c>
      <c r="M253" s="125">
        <f ca="1">IFERROR(__xludf.DUMMYFUNCTION("""COMPUTED_VALUE"""),43605.6666666666)</f>
        <v>43605.666666666599</v>
      </c>
      <c r="N253">
        <f ca="1">IFERROR(__xludf.DUMMYFUNCTION("""COMPUTED_VALUE"""),28.81)</f>
        <v>28.81</v>
      </c>
      <c r="O253" s="125">
        <f ca="1">IFERROR(__xludf.DUMMYFUNCTION("""COMPUTED_VALUE"""),43069.6666666666)</f>
        <v>43069.666666666599</v>
      </c>
      <c r="P253">
        <f ca="1">IFERROR(__xludf.DUMMYFUNCTION("""COMPUTED_VALUE"""),37.23)</f>
        <v>37.229999999999997</v>
      </c>
    </row>
    <row r="254" spans="2:16" ht="12.75">
      <c r="B254" s="125">
        <f ca="1">IFERROR(__xludf.DUMMYFUNCTION("""COMPUTED_VALUE"""),43070.6666666666)</f>
        <v>43070.666666666599</v>
      </c>
      <c r="C254">
        <f ca="1">IFERROR(__xludf.DUMMYFUNCTION("""COMPUTED_VALUE"""),36.69)</f>
        <v>36.69</v>
      </c>
      <c r="D254">
        <v>21.77</v>
      </c>
      <c r="E254">
        <v>24.17</v>
      </c>
      <c r="F254">
        <v>31.36</v>
      </c>
      <c r="G254">
        <v>8.84</v>
      </c>
      <c r="H254">
        <v>183.17</v>
      </c>
      <c r="I254">
        <v>28.85</v>
      </c>
      <c r="J254">
        <v>56.19</v>
      </c>
      <c r="K254">
        <v>124.34</v>
      </c>
      <c r="L254">
        <v>31.7</v>
      </c>
      <c r="M254" s="125">
        <f ca="1">IFERROR(__xludf.DUMMYFUNCTION("""COMPUTED_VALUE"""),43606.6666666666)</f>
        <v>43606.666666666599</v>
      </c>
      <c r="N254">
        <f ca="1">IFERROR(__xludf.DUMMYFUNCTION("""COMPUTED_VALUE"""),29.14)</f>
        <v>29.14</v>
      </c>
      <c r="O254" s="125">
        <f ca="1">IFERROR(__xludf.DUMMYFUNCTION("""COMPUTED_VALUE"""),43070.6666666666)</f>
        <v>43070.666666666599</v>
      </c>
      <c r="P254">
        <f ca="1">IFERROR(__xludf.DUMMYFUNCTION("""COMPUTED_VALUE"""),36.69)</f>
        <v>36.69</v>
      </c>
    </row>
    <row r="255" spans="2:16" ht="12.75">
      <c r="B255" s="125">
        <f ca="1">IFERROR(__xludf.DUMMYFUNCTION("""COMPUTED_VALUE"""),43073.6666666666)</f>
        <v>43073.666666666599</v>
      </c>
      <c r="C255">
        <f ca="1">IFERROR(__xludf.DUMMYFUNCTION("""COMPUTED_VALUE"""),36.37)</f>
        <v>36.369999999999997</v>
      </c>
      <c r="D255">
        <v>21.5</v>
      </c>
      <c r="E255">
        <v>24.25</v>
      </c>
      <c r="F255">
        <v>31.34</v>
      </c>
      <c r="G255">
        <v>8.66</v>
      </c>
      <c r="H255">
        <v>183.08</v>
      </c>
      <c r="I255">
        <v>29.03</v>
      </c>
      <c r="J255">
        <v>56.72</v>
      </c>
      <c r="K255">
        <v>123.66</v>
      </c>
      <c r="L255">
        <v>31.49</v>
      </c>
      <c r="M255" s="125">
        <f ca="1">IFERROR(__xludf.DUMMYFUNCTION("""COMPUTED_VALUE"""),43607.6666666666)</f>
        <v>43607.666666666599</v>
      </c>
      <c r="N255">
        <f ca="1">IFERROR(__xludf.DUMMYFUNCTION("""COMPUTED_VALUE"""),29.32)</f>
        <v>29.32</v>
      </c>
      <c r="O255" s="125">
        <f ca="1">IFERROR(__xludf.DUMMYFUNCTION("""COMPUTED_VALUE"""),43073.6666666666)</f>
        <v>43073.666666666599</v>
      </c>
      <c r="P255">
        <f ca="1">IFERROR(__xludf.DUMMYFUNCTION("""COMPUTED_VALUE"""),36.37)</f>
        <v>36.369999999999997</v>
      </c>
    </row>
    <row r="256" spans="2:16" ht="12.75">
      <c r="B256" s="125">
        <f ca="1">IFERROR(__xludf.DUMMYFUNCTION("""COMPUTED_VALUE"""),43074.6666666666)</f>
        <v>43074.666666666599</v>
      </c>
      <c r="C256">
        <f ca="1">IFERROR(__xludf.DUMMYFUNCTION("""COMPUTED_VALUE"""),36.23)</f>
        <v>36.229999999999997</v>
      </c>
      <c r="D256">
        <v>21.4</v>
      </c>
      <c r="E256">
        <v>24.29</v>
      </c>
      <c r="F256">
        <v>31.32</v>
      </c>
      <c r="G256">
        <v>8.6999999999999993</v>
      </c>
      <c r="H256">
        <v>181.61</v>
      </c>
      <c r="I256">
        <v>28.99</v>
      </c>
      <c r="J256">
        <v>56.63</v>
      </c>
      <c r="K256">
        <v>122.09</v>
      </c>
      <c r="L256">
        <v>31.6</v>
      </c>
      <c r="M256" s="125">
        <f ca="1">IFERROR(__xludf.DUMMYFUNCTION("""COMPUTED_VALUE"""),43608.6666666666)</f>
        <v>43608.666666666599</v>
      </c>
      <c r="N256">
        <f ca="1">IFERROR(__xludf.DUMMYFUNCTION("""COMPUTED_VALUE"""),29.33)</f>
        <v>29.33</v>
      </c>
      <c r="O256" s="125">
        <f ca="1">IFERROR(__xludf.DUMMYFUNCTION("""COMPUTED_VALUE"""),43074.6666666666)</f>
        <v>43074.666666666599</v>
      </c>
      <c r="P256">
        <f ca="1">IFERROR(__xludf.DUMMYFUNCTION("""COMPUTED_VALUE"""),36.23)</f>
        <v>36.229999999999997</v>
      </c>
    </row>
    <row r="257" spans="2:16" ht="12.75">
      <c r="B257" s="125">
        <f ca="1">IFERROR(__xludf.DUMMYFUNCTION("""COMPUTED_VALUE"""),43075.6666666666)</f>
        <v>43075.666666666599</v>
      </c>
      <c r="C257">
        <f ca="1">IFERROR(__xludf.DUMMYFUNCTION("""COMPUTED_VALUE"""),36.12)</f>
        <v>36.119999999999997</v>
      </c>
      <c r="D257">
        <v>21.47</v>
      </c>
      <c r="E257">
        <v>24.35</v>
      </c>
      <c r="F257">
        <v>31.29</v>
      </c>
      <c r="G257">
        <v>8.6999999999999993</v>
      </c>
      <c r="H257">
        <v>183.16</v>
      </c>
      <c r="I257">
        <v>29</v>
      </c>
      <c r="J257">
        <v>56.99</v>
      </c>
      <c r="K257">
        <v>122.58</v>
      </c>
      <c r="L257">
        <v>31.54</v>
      </c>
      <c r="M257" s="125">
        <f ca="1">IFERROR(__xludf.DUMMYFUNCTION("""COMPUTED_VALUE"""),43609.6666666666)</f>
        <v>43609.666666666599</v>
      </c>
      <c r="N257">
        <f ca="1">IFERROR(__xludf.DUMMYFUNCTION("""COMPUTED_VALUE"""),29.32)</f>
        <v>29.32</v>
      </c>
      <c r="O257" s="125">
        <f ca="1">IFERROR(__xludf.DUMMYFUNCTION("""COMPUTED_VALUE"""),43075.6666666666)</f>
        <v>43075.666666666599</v>
      </c>
      <c r="P257">
        <f ca="1">IFERROR(__xludf.DUMMYFUNCTION("""COMPUTED_VALUE"""),36.12)</f>
        <v>36.119999999999997</v>
      </c>
    </row>
    <row r="258" spans="2:16" ht="12.75">
      <c r="B258" s="125">
        <f ca="1">IFERROR(__xludf.DUMMYFUNCTION("""COMPUTED_VALUE"""),43076.6666666666)</f>
        <v>43076.666666666599</v>
      </c>
      <c r="C258">
        <f ca="1">IFERROR(__xludf.DUMMYFUNCTION("""COMPUTED_VALUE"""),36.52)</f>
        <v>36.520000000000003</v>
      </c>
      <c r="D258">
        <v>21.56</v>
      </c>
      <c r="E258">
        <v>24.4</v>
      </c>
      <c r="F258">
        <v>31.42</v>
      </c>
      <c r="G258">
        <v>8.7899999999999991</v>
      </c>
      <c r="H258">
        <v>184.57</v>
      </c>
      <c r="I258">
        <v>29.17</v>
      </c>
      <c r="J258">
        <v>56.44</v>
      </c>
      <c r="K258">
        <v>122.77</v>
      </c>
      <c r="L258">
        <v>31.86</v>
      </c>
      <c r="M258" s="125">
        <f ca="1">IFERROR(__xludf.DUMMYFUNCTION("""COMPUTED_VALUE"""),43613.6666666666)</f>
        <v>43613.666666666599</v>
      </c>
      <c r="N258">
        <f ca="1">IFERROR(__xludf.DUMMYFUNCTION("""COMPUTED_VALUE"""),29.09)</f>
        <v>29.09</v>
      </c>
      <c r="O258" s="125">
        <f ca="1">IFERROR(__xludf.DUMMYFUNCTION("""COMPUTED_VALUE"""),43076.6666666666)</f>
        <v>43076.666666666599</v>
      </c>
      <c r="P258">
        <f ca="1">IFERROR(__xludf.DUMMYFUNCTION("""COMPUTED_VALUE"""),36.52)</f>
        <v>36.520000000000003</v>
      </c>
    </row>
    <row r="259" spans="2:16" ht="12.75">
      <c r="B259" s="125">
        <f ca="1">IFERROR(__xludf.DUMMYFUNCTION("""COMPUTED_VALUE"""),43077.6666666666)</f>
        <v>43077.666666666599</v>
      </c>
      <c r="C259">
        <f ca="1">IFERROR(__xludf.DUMMYFUNCTION("""COMPUTED_VALUE"""),36.94)</f>
        <v>36.94</v>
      </c>
      <c r="D259">
        <v>21.61</v>
      </c>
      <c r="E259">
        <v>24.44</v>
      </c>
      <c r="F259">
        <v>31.56</v>
      </c>
      <c r="G259">
        <v>8.93</v>
      </c>
      <c r="H259">
        <v>184.85</v>
      </c>
      <c r="I259">
        <v>29.32</v>
      </c>
      <c r="J259">
        <v>56.59</v>
      </c>
      <c r="K259">
        <v>123.19</v>
      </c>
      <c r="L259">
        <v>31.68</v>
      </c>
      <c r="M259" s="125">
        <f ca="1">IFERROR(__xludf.DUMMYFUNCTION("""COMPUTED_VALUE"""),43614.6666666666)</f>
        <v>43614.666666666599</v>
      </c>
      <c r="N259">
        <f ca="1">IFERROR(__xludf.DUMMYFUNCTION("""COMPUTED_VALUE"""),28.79)</f>
        <v>28.79</v>
      </c>
      <c r="O259" s="125">
        <f ca="1">IFERROR(__xludf.DUMMYFUNCTION("""COMPUTED_VALUE"""),43077.6666666666)</f>
        <v>43077.666666666599</v>
      </c>
      <c r="P259">
        <f ca="1">IFERROR(__xludf.DUMMYFUNCTION("""COMPUTED_VALUE"""),36.94)</f>
        <v>36.94</v>
      </c>
    </row>
    <row r="260" spans="2:16" ht="12.75">
      <c r="B260" s="125">
        <f ca="1">IFERROR(__xludf.DUMMYFUNCTION("""COMPUTED_VALUE"""),43080.6666666666)</f>
        <v>43080.666666666599</v>
      </c>
      <c r="C260">
        <f ca="1">IFERROR(__xludf.DUMMYFUNCTION("""COMPUTED_VALUE"""),37.51)</f>
        <v>37.51</v>
      </c>
      <c r="D260">
        <v>21.58</v>
      </c>
      <c r="E260">
        <v>24.44</v>
      </c>
      <c r="F260">
        <v>31.71</v>
      </c>
      <c r="G260">
        <v>8.92</v>
      </c>
      <c r="H260">
        <v>183.61</v>
      </c>
      <c r="I260">
        <v>29.29</v>
      </c>
      <c r="J260">
        <v>56.58</v>
      </c>
      <c r="K260">
        <v>123.79</v>
      </c>
      <c r="L260">
        <v>31.66</v>
      </c>
      <c r="M260" s="125">
        <f ca="1">IFERROR(__xludf.DUMMYFUNCTION("""COMPUTED_VALUE"""),43615.6666666666)</f>
        <v>43615.666666666599</v>
      </c>
      <c r="N260">
        <f ca="1">IFERROR(__xludf.DUMMYFUNCTION("""COMPUTED_VALUE"""),29.03)</f>
        <v>29.03</v>
      </c>
      <c r="O260" s="125">
        <f ca="1">IFERROR(__xludf.DUMMYFUNCTION("""COMPUTED_VALUE"""),43080.6666666666)</f>
        <v>43080.666666666599</v>
      </c>
      <c r="P260">
        <f ca="1">IFERROR(__xludf.DUMMYFUNCTION("""COMPUTED_VALUE"""),37.51)</f>
        <v>37.51</v>
      </c>
    </row>
    <row r="261" spans="2:16" ht="12.75">
      <c r="B261" s="125">
        <f ca="1">IFERROR(__xludf.DUMMYFUNCTION("""COMPUTED_VALUE"""),43081.6666666666)</f>
        <v>43081.666666666599</v>
      </c>
      <c r="C261">
        <f ca="1">IFERROR(__xludf.DUMMYFUNCTION("""COMPUTED_VALUE"""),37.08)</f>
        <v>37.08</v>
      </c>
      <c r="D261">
        <v>21.65</v>
      </c>
      <c r="E261">
        <v>24.48</v>
      </c>
      <c r="F261">
        <v>31.71</v>
      </c>
      <c r="G261">
        <v>8.91</v>
      </c>
      <c r="H261">
        <v>184.27</v>
      </c>
      <c r="I261">
        <v>29.34</v>
      </c>
      <c r="J261">
        <v>56.59</v>
      </c>
      <c r="K261">
        <v>121.6</v>
      </c>
      <c r="L261">
        <v>31.47</v>
      </c>
      <c r="M261" s="125">
        <f ca="1">IFERROR(__xludf.DUMMYFUNCTION("""COMPUTED_VALUE"""),43616.6666666666)</f>
        <v>43616.666666666599</v>
      </c>
      <c r="N261">
        <f ca="1">IFERROR(__xludf.DUMMYFUNCTION("""COMPUTED_VALUE"""),29)</f>
        <v>29</v>
      </c>
      <c r="O261" s="125">
        <f ca="1">IFERROR(__xludf.DUMMYFUNCTION("""COMPUTED_VALUE"""),43081.6666666666)</f>
        <v>43081.666666666599</v>
      </c>
      <c r="P261">
        <f ca="1">IFERROR(__xludf.DUMMYFUNCTION("""COMPUTED_VALUE"""),37.08)</f>
        <v>37.08</v>
      </c>
    </row>
    <row r="262" spans="2:16" ht="12.75">
      <c r="B262" s="125">
        <f ca="1">IFERROR(__xludf.DUMMYFUNCTION("""COMPUTED_VALUE"""),43082.6666666666)</f>
        <v>43082.666666666599</v>
      </c>
      <c r="C262">
        <f ca="1">IFERROR(__xludf.DUMMYFUNCTION("""COMPUTED_VALUE"""),37.87)</f>
        <v>37.869999999999997</v>
      </c>
      <c r="D262">
        <v>21.78</v>
      </c>
      <c r="E262">
        <v>24.31</v>
      </c>
      <c r="F262">
        <v>31.73</v>
      </c>
      <c r="G262">
        <v>8.98</v>
      </c>
      <c r="H262">
        <v>185.31</v>
      </c>
      <c r="I262">
        <v>29.13</v>
      </c>
      <c r="J262">
        <v>56.91</v>
      </c>
      <c r="K262">
        <v>121.95</v>
      </c>
      <c r="L262">
        <v>30.95</v>
      </c>
      <c r="M262" s="125">
        <f ca="1">IFERROR(__xludf.DUMMYFUNCTION("""COMPUTED_VALUE"""),43619.6666666666)</f>
        <v>43619.666666666599</v>
      </c>
      <c r="N262">
        <f ca="1">IFERROR(__xludf.DUMMYFUNCTION("""COMPUTED_VALUE"""),28.91)</f>
        <v>28.91</v>
      </c>
      <c r="O262" s="125">
        <f ca="1">IFERROR(__xludf.DUMMYFUNCTION("""COMPUTED_VALUE"""),43082.6666666666)</f>
        <v>43082.666666666599</v>
      </c>
      <c r="P262">
        <f ca="1">IFERROR(__xludf.DUMMYFUNCTION("""COMPUTED_VALUE"""),37.87)</f>
        <v>37.869999999999997</v>
      </c>
    </row>
    <row r="263" spans="2:16" ht="12.75">
      <c r="B263" s="125">
        <f ca="1">IFERROR(__xludf.DUMMYFUNCTION("""COMPUTED_VALUE"""),43083.6666666666)</f>
        <v>43083.666666666599</v>
      </c>
      <c r="C263">
        <f ca="1">IFERROR(__xludf.DUMMYFUNCTION("""COMPUTED_VALUE"""),37.43)</f>
        <v>37.43</v>
      </c>
      <c r="D263">
        <v>21.85</v>
      </c>
      <c r="E263">
        <v>24.33</v>
      </c>
      <c r="F263">
        <v>31.52</v>
      </c>
      <c r="G263">
        <v>9</v>
      </c>
      <c r="H263">
        <v>184.84</v>
      </c>
      <c r="I263">
        <v>29.05</v>
      </c>
      <c r="J263">
        <v>56.66</v>
      </c>
      <c r="K263">
        <v>120.71</v>
      </c>
      <c r="L263">
        <v>30.66</v>
      </c>
      <c r="M263" s="125">
        <f ca="1">IFERROR(__xludf.DUMMYFUNCTION("""COMPUTED_VALUE"""),43620.6666666666)</f>
        <v>43620.666666666599</v>
      </c>
      <c r="N263">
        <f ca="1">IFERROR(__xludf.DUMMYFUNCTION("""COMPUTED_VALUE"""),28.9)</f>
        <v>28.9</v>
      </c>
      <c r="O263" s="125">
        <f ca="1">IFERROR(__xludf.DUMMYFUNCTION("""COMPUTED_VALUE"""),43083.6666666666)</f>
        <v>43083.666666666599</v>
      </c>
      <c r="P263">
        <f ca="1">IFERROR(__xludf.DUMMYFUNCTION("""COMPUTED_VALUE"""),37.43)</f>
        <v>37.43</v>
      </c>
    </row>
    <row r="264" spans="2:16" ht="12.75">
      <c r="B264" s="125">
        <f ca="1">IFERROR(__xludf.DUMMYFUNCTION("""COMPUTED_VALUE"""),43084.6666666666)</f>
        <v>43084.666666666599</v>
      </c>
      <c r="C264">
        <f ca="1">IFERROR(__xludf.DUMMYFUNCTION("""COMPUTED_VALUE"""),37.53)</f>
        <v>37.53</v>
      </c>
      <c r="D264">
        <v>21.98</v>
      </c>
      <c r="E264">
        <v>24.43</v>
      </c>
      <c r="F264">
        <v>31.59</v>
      </c>
      <c r="G264">
        <v>9.0500000000000007</v>
      </c>
      <c r="H264">
        <v>187.83</v>
      </c>
      <c r="I264">
        <v>29.25</v>
      </c>
      <c r="J264">
        <v>56.88</v>
      </c>
      <c r="K264">
        <v>121.2</v>
      </c>
      <c r="L264">
        <v>31.35</v>
      </c>
      <c r="M264" s="125">
        <f ca="1">IFERROR(__xludf.DUMMYFUNCTION("""COMPUTED_VALUE"""),43621.6666666666)</f>
        <v>43621.666666666599</v>
      </c>
      <c r="N264">
        <f ca="1">IFERROR(__xludf.DUMMYFUNCTION("""COMPUTED_VALUE"""),29.57)</f>
        <v>29.57</v>
      </c>
      <c r="O264" s="125">
        <f ca="1">IFERROR(__xludf.DUMMYFUNCTION("""COMPUTED_VALUE"""),43084.6666666666)</f>
        <v>43084.666666666599</v>
      </c>
      <c r="P264">
        <f ca="1">IFERROR(__xludf.DUMMYFUNCTION("""COMPUTED_VALUE"""),37.53)</f>
        <v>37.53</v>
      </c>
    </row>
    <row r="265" spans="2:16" ht="12.75">
      <c r="B265" s="125">
        <f ca="1">IFERROR(__xludf.DUMMYFUNCTION("""COMPUTED_VALUE"""),43087.6666666666)</f>
        <v>43087.666666666599</v>
      </c>
      <c r="C265">
        <f ca="1">IFERROR(__xludf.DUMMYFUNCTION("""COMPUTED_VALUE"""),38.22)</f>
        <v>38.22</v>
      </c>
      <c r="D265">
        <v>22.13</v>
      </c>
      <c r="E265">
        <v>24.37</v>
      </c>
      <c r="F265">
        <v>31.94</v>
      </c>
      <c r="G265">
        <v>9.1300000000000008</v>
      </c>
      <c r="H265">
        <v>188.39</v>
      </c>
      <c r="I265">
        <v>29.65</v>
      </c>
      <c r="J265">
        <v>56.85</v>
      </c>
      <c r="K265">
        <v>120.04</v>
      </c>
      <c r="L265">
        <v>31.43</v>
      </c>
      <c r="M265" s="125">
        <f ca="1">IFERROR(__xludf.DUMMYFUNCTION("""COMPUTED_VALUE"""),43622.6666666666)</f>
        <v>43622.666666666599</v>
      </c>
      <c r="N265">
        <f ca="1">IFERROR(__xludf.DUMMYFUNCTION("""COMPUTED_VALUE"""),29.58)</f>
        <v>29.58</v>
      </c>
      <c r="O265" s="125">
        <f ca="1">IFERROR(__xludf.DUMMYFUNCTION("""COMPUTED_VALUE"""),43087.6666666666)</f>
        <v>43087.666666666599</v>
      </c>
      <c r="P265">
        <f ca="1">IFERROR(__xludf.DUMMYFUNCTION("""COMPUTED_VALUE"""),38.22)</f>
        <v>38.22</v>
      </c>
    </row>
    <row r="266" spans="2:16" ht="12.75">
      <c r="B266" s="125">
        <f ca="1">IFERROR(__xludf.DUMMYFUNCTION("""COMPUTED_VALUE"""),43088.6666666666)</f>
        <v>43088.666666666599</v>
      </c>
      <c r="C266">
        <f ca="1">IFERROR(__xludf.DUMMYFUNCTION("""COMPUTED_VALUE"""),38.09)</f>
        <v>38.090000000000003</v>
      </c>
      <c r="D266">
        <v>22.09</v>
      </c>
      <c r="E266">
        <v>24.3</v>
      </c>
      <c r="F266">
        <v>31.81</v>
      </c>
      <c r="G266">
        <v>9.0500000000000007</v>
      </c>
      <c r="H266">
        <v>187.61</v>
      </c>
      <c r="I266">
        <v>29.5</v>
      </c>
      <c r="J266">
        <v>56.92</v>
      </c>
      <c r="K266">
        <v>117.96</v>
      </c>
      <c r="L266">
        <v>31.65</v>
      </c>
      <c r="M266" s="125">
        <f ca="1">IFERROR(__xludf.DUMMYFUNCTION("""COMPUTED_VALUE"""),43623.6666666666)</f>
        <v>43623.666666666599</v>
      </c>
      <c r="N266">
        <f ca="1">IFERROR(__xludf.DUMMYFUNCTION("""COMPUTED_VALUE"""),29.73)</f>
        <v>29.73</v>
      </c>
      <c r="O266" s="125">
        <f ca="1">IFERROR(__xludf.DUMMYFUNCTION("""COMPUTED_VALUE"""),43088.6666666666)</f>
        <v>43088.666666666599</v>
      </c>
      <c r="P266">
        <f ca="1">IFERROR(__xludf.DUMMYFUNCTION("""COMPUTED_VALUE"""),38.09)</f>
        <v>38.090000000000003</v>
      </c>
    </row>
    <row r="267" spans="2:16" ht="12.75">
      <c r="B267" s="125">
        <f ca="1">IFERROR(__xludf.DUMMYFUNCTION("""COMPUTED_VALUE"""),43089.6666666666)</f>
        <v>43089.666666666599</v>
      </c>
      <c r="C267">
        <f ca="1">IFERROR(__xludf.DUMMYFUNCTION("""COMPUTED_VALUE"""),38.01)</f>
        <v>38.01</v>
      </c>
      <c r="D267">
        <v>21.95</v>
      </c>
      <c r="E267">
        <v>24.27</v>
      </c>
      <c r="F267">
        <v>31.64</v>
      </c>
      <c r="G267">
        <v>9.11</v>
      </c>
      <c r="H267">
        <v>187.97</v>
      </c>
      <c r="I267">
        <v>29.14</v>
      </c>
      <c r="J267">
        <v>56.82</v>
      </c>
      <c r="K267">
        <v>117.13</v>
      </c>
      <c r="L267">
        <v>31.57</v>
      </c>
      <c r="M267" s="125">
        <f ca="1">IFERROR(__xludf.DUMMYFUNCTION("""COMPUTED_VALUE"""),43626.6666666666)</f>
        <v>43626.666666666599</v>
      </c>
      <c r="N267">
        <f ca="1">IFERROR(__xludf.DUMMYFUNCTION("""COMPUTED_VALUE"""),29.79)</f>
        <v>29.79</v>
      </c>
      <c r="O267" s="125">
        <f ca="1">IFERROR(__xludf.DUMMYFUNCTION("""COMPUTED_VALUE"""),43089.6666666666)</f>
        <v>43089.666666666599</v>
      </c>
      <c r="P267">
        <f ca="1">IFERROR(__xludf.DUMMYFUNCTION("""COMPUTED_VALUE"""),38.01)</f>
        <v>38.01</v>
      </c>
    </row>
    <row r="268" spans="2:16" ht="12.75">
      <c r="B268" s="125">
        <f ca="1">IFERROR(__xludf.DUMMYFUNCTION("""COMPUTED_VALUE"""),43090.6666666666)</f>
        <v>43090.666666666599</v>
      </c>
      <c r="C268">
        <f ca="1">IFERROR(__xludf.DUMMYFUNCTION("""COMPUTED_VALUE"""),38.37)</f>
        <v>38.369999999999997</v>
      </c>
      <c r="D268">
        <v>22.03</v>
      </c>
      <c r="E268">
        <v>24.26</v>
      </c>
      <c r="F268">
        <v>31.6</v>
      </c>
      <c r="G268">
        <v>9.1300000000000008</v>
      </c>
      <c r="H268">
        <v>188.09</v>
      </c>
      <c r="I268">
        <v>29.17</v>
      </c>
      <c r="J268">
        <v>56.78</v>
      </c>
      <c r="K268">
        <v>115.84</v>
      </c>
      <c r="L268">
        <v>31.75</v>
      </c>
      <c r="M268" s="125">
        <f ca="1">IFERROR(__xludf.DUMMYFUNCTION("""COMPUTED_VALUE"""),43627.6666666666)</f>
        <v>43627.666666666599</v>
      </c>
      <c r="N268">
        <f ca="1">IFERROR(__xludf.DUMMYFUNCTION("""COMPUTED_VALUE"""),29.81)</f>
        <v>29.81</v>
      </c>
      <c r="O268" s="125">
        <f ca="1">IFERROR(__xludf.DUMMYFUNCTION("""COMPUTED_VALUE"""),43090.6666666666)</f>
        <v>43090.666666666599</v>
      </c>
      <c r="P268">
        <f ca="1">IFERROR(__xludf.DUMMYFUNCTION("""COMPUTED_VALUE"""),38.37)</f>
        <v>38.369999999999997</v>
      </c>
    </row>
    <row r="269" spans="2:16" ht="12.75">
      <c r="B269" s="125">
        <f ca="1">IFERROR(__xludf.DUMMYFUNCTION("""COMPUTED_VALUE"""),43091.6666666666)</f>
        <v>43091.666666666599</v>
      </c>
      <c r="C269">
        <f ca="1">IFERROR(__xludf.DUMMYFUNCTION("""COMPUTED_VALUE"""),38.49)</f>
        <v>38.49</v>
      </c>
      <c r="D269">
        <v>21.96</v>
      </c>
      <c r="E269">
        <v>24.27</v>
      </c>
      <c r="F269">
        <v>31.64</v>
      </c>
      <c r="G269">
        <v>9.14</v>
      </c>
      <c r="H269">
        <v>187.86</v>
      </c>
      <c r="I269">
        <v>29.15</v>
      </c>
      <c r="J269">
        <v>56.87</v>
      </c>
      <c r="K269">
        <v>116.01</v>
      </c>
      <c r="L269">
        <v>31.8</v>
      </c>
      <c r="M269" s="125">
        <f ca="1">IFERROR(__xludf.DUMMYFUNCTION("""COMPUTED_VALUE"""),43628.6666666666)</f>
        <v>43628.666666666599</v>
      </c>
      <c r="N269">
        <f ca="1">IFERROR(__xludf.DUMMYFUNCTION("""COMPUTED_VALUE"""),29.86)</f>
        <v>29.86</v>
      </c>
      <c r="O269" s="125">
        <f ca="1">IFERROR(__xludf.DUMMYFUNCTION("""COMPUTED_VALUE"""),43091.6666666666)</f>
        <v>43091.666666666599</v>
      </c>
      <c r="P269">
        <f ca="1">IFERROR(__xludf.DUMMYFUNCTION("""COMPUTED_VALUE"""),38.49)</f>
        <v>38.49</v>
      </c>
    </row>
    <row r="270" spans="2:16" ht="12.75">
      <c r="B270" s="125">
        <f ca="1">IFERROR(__xludf.DUMMYFUNCTION("""COMPUTED_VALUE"""),43095.6666666666)</f>
        <v>43095.666666666599</v>
      </c>
      <c r="C270">
        <f ca="1">IFERROR(__xludf.DUMMYFUNCTION("""COMPUTED_VALUE"""),38.06)</f>
        <v>38.06</v>
      </c>
      <c r="D270">
        <v>21.97</v>
      </c>
      <c r="E270">
        <v>24.25</v>
      </c>
      <c r="F270">
        <v>31.65</v>
      </c>
      <c r="G270">
        <v>9.15</v>
      </c>
      <c r="H270">
        <v>187.99</v>
      </c>
      <c r="I270">
        <v>29.13</v>
      </c>
      <c r="J270">
        <v>57</v>
      </c>
      <c r="K270">
        <v>115.41</v>
      </c>
      <c r="L270">
        <v>31.94</v>
      </c>
      <c r="M270" s="125">
        <f ca="1">IFERROR(__xludf.DUMMYFUNCTION("""COMPUTED_VALUE"""),43629.6666666666)</f>
        <v>43629.666666666599</v>
      </c>
      <c r="N270">
        <f ca="1">IFERROR(__xludf.DUMMYFUNCTION("""COMPUTED_VALUE"""),29.74)</f>
        <v>29.74</v>
      </c>
      <c r="O270" s="125">
        <f ca="1">IFERROR(__xludf.DUMMYFUNCTION("""COMPUTED_VALUE"""),43095.6666666666)</f>
        <v>43095.666666666599</v>
      </c>
      <c r="P270">
        <f ca="1">IFERROR(__xludf.DUMMYFUNCTION("""COMPUTED_VALUE"""),38.06)</f>
        <v>38.06</v>
      </c>
    </row>
    <row r="271" spans="2:16" ht="12.75">
      <c r="B271" s="125">
        <f ca="1">IFERROR(__xludf.DUMMYFUNCTION("""COMPUTED_VALUE"""),43096.6666666666)</f>
        <v>43096.666666666599</v>
      </c>
      <c r="C271">
        <f ca="1">IFERROR(__xludf.DUMMYFUNCTION("""COMPUTED_VALUE"""),38.25)</f>
        <v>38.25</v>
      </c>
      <c r="D271">
        <v>21.95</v>
      </c>
      <c r="E271">
        <v>24.2</v>
      </c>
      <c r="F271">
        <v>31.64</v>
      </c>
      <c r="G271">
        <v>9.23</v>
      </c>
      <c r="H271">
        <v>188.45</v>
      </c>
      <c r="I271">
        <v>29.12</v>
      </c>
      <c r="J271">
        <v>56.99</v>
      </c>
      <c r="K271">
        <v>115.9</v>
      </c>
      <c r="L271">
        <v>31.79</v>
      </c>
      <c r="M271" s="125">
        <f ca="1">IFERROR(__xludf.DUMMYFUNCTION("""COMPUTED_VALUE"""),43630.6666666666)</f>
        <v>43630.666666666599</v>
      </c>
      <c r="N271">
        <f ca="1">IFERROR(__xludf.DUMMYFUNCTION("""COMPUTED_VALUE"""),29.82)</f>
        <v>29.82</v>
      </c>
      <c r="O271" s="125">
        <f ca="1">IFERROR(__xludf.DUMMYFUNCTION("""COMPUTED_VALUE"""),43096.6666666666)</f>
        <v>43096.666666666599</v>
      </c>
      <c r="P271">
        <f ca="1">IFERROR(__xludf.DUMMYFUNCTION("""COMPUTED_VALUE"""),38.25)</f>
        <v>38.25</v>
      </c>
    </row>
    <row r="272" spans="2:16" ht="12.75">
      <c r="B272" s="125">
        <f ca="1">IFERROR(__xludf.DUMMYFUNCTION("""COMPUTED_VALUE"""),43097.6666666666)</f>
        <v>43097.666666666599</v>
      </c>
      <c r="C272">
        <f ca="1">IFERROR(__xludf.DUMMYFUNCTION("""COMPUTED_VALUE"""),38.11)</f>
        <v>38.11</v>
      </c>
      <c r="D272">
        <v>21.97</v>
      </c>
      <c r="E272">
        <v>24.13</v>
      </c>
      <c r="F272">
        <v>31.72</v>
      </c>
      <c r="G272">
        <v>9.2799999999999994</v>
      </c>
      <c r="H272">
        <v>189.22</v>
      </c>
      <c r="I272">
        <v>28.94</v>
      </c>
      <c r="J272">
        <v>56.9</v>
      </c>
      <c r="K272">
        <v>116.58</v>
      </c>
      <c r="L272">
        <v>32.01</v>
      </c>
      <c r="M272" s="125">
        <f ca="1">IFERROR(__xludf.DUMMYFUNCTION("""COMPUTED_VALUE"""),43633.6666666666)</f>
        <v>43633.666666666599</v>
      </c>
      <c r="N272">
        <f ca="1">IFERROR(__xludf.DUMMYFUNCTION("""COMPUTED_VALUE"""),30.21)</f>
        <v>30.21</v>
      </c>
      <c r="O272" s="125">
        <f ca="1">IFERROR(__xludf.DUMMYFUNCTION("""COMPUTED_VALUE"""),43097.6666666666)</f>
        <v>43097.666666666599</v>
      </c>
      <c r="P272">
        <f ca="1">IFERROR(__xludf.DUMMYFUNCTION("""COMPUTED_VALUE"""),38.11)</f>
        <v>38.11</v>
      </c>
    </row>
    <row r="273" spans="2:16" ht="12.75">
      <c r="B273" s="125">
        <f ca="1">IFERROR(__xludf.DUMMYFUNCTION("""COMPUTED_VALUE"""),43098.6666666666)</f>
        <v>43098.666666666599</v>
      </c>
      <c r="C273">
        <f ca="1">IFERROR(__xludf.DUMMYFUNCTION("""COMPUTED_VALUE"""),38.06)</f>
        <v>38.06</v>
      </c>
      <c r="D273">
        <v>21.95</v>
      </c>
      <c r="E273">
        <v>24.03</v>
      </c>
      <c r="F273">
        <v>31.73</v>
      </c>
      <c r="G273">
        <v>9.32</v>
      </c>
      <c r="H273">
        <v>188.11</v>
      </c>
      <c r="I273">
        <v>28.69</v>
      </c>
      <c r="J273">
        <v>56.89</v>
      </c>
      <c r="K273">
        <v>116.59</v>
      </c>
      <c r="L273">
        <v>31.28</v>
      </c>
      <c r="M273" s="125">
        <f ca="1">IFERROR(__xludf.DUMMYFUNCTION("""COMPUTED_VALUE"""),43634.6666666666)</f>
        <v>43634.666666666599</v>
      </c>
      <c r="N273">
        <f ca="1">IFERROR(__xludf.DUMMYFUNCTION("""COMPUTED_VALUE"""),30.36)</f>
        <v>30.36</v>
      </c>
      <c r="O273" s="125">
        <f ca="1">IFERROR(__xludf.DUMMYFUNCTION("""COMPUTED_VALUE"""),43098.6666666666)</f>
        <v>43098.666666666599</v>
      </c>
      <c r="P273">
        <f ca="1">IFERROR(__xludf.DUMMYFUNCTION("""COMPUTED_VALUE"""),38.06)</f>
        <v>38.06</v>
      </c>
    </row>
    <row r="274" spans="2:16" ht="12.75">
      <c r="B274" s="125">
        <f ca="1">IFERROR(__xludf.DUMMYFUNCTION("""COMPUTED_VALUE"""),43102.6666666666)</f>
        <v>43102.666666666599</v>
      </c>
      <c r="C274">
        <f ca="1">IFERROR(__xludf.DUMMYFUNCTION("""COMPUTED_VALUE"""),39.6)</f>
        <v>39.6</v>
      </c>
      <c r="D274">
        <v>22.13</v>
      </c>
      <c r="E274">
        <v>23.93</v>
      </c>
      <c r="F274">
        <v>31.89</v>
      </c>
      <c r="G274">
        <v>9.4600000000000009</v>
      </c>
      <c r="H274">
        <v>188.43</v>
      </c>
      <c r="I274">
        <v>28.78</v>
      </c>
      <c r="J274">
        <v>56.54</v>
      </c>
      <c r="K274">
        <v>115.59</v>
      </c>
      <c r="L274">
        <v>31.15</v>
      </c>
      <c r="M274" s="125">
        <f ca="1">IFERROR(__xludf.DUMMYFUNCTION("""COMPUTED_VALUE"""),43635.6666666666)</f>
        <v>43635.666666666599</v>
      </c>
      <c r="N274">
        <f ca="1">IFERROR(__xludf.DUMMYFUNCTION("""COMPUTED_VALUE"""),30.62)</f>
        <v>30.62</v>
      </c>
      <c r="O274" s="125">
        <f ca="1">IFERROR(__xludf.DUMMYFUNCTION("""COMPUTED_VALUE"""),43102.6666666666)</f>
        <v>43102.666666666599</v>
      </c>
      <c r="P274">
        <f ca="1">IFERROR(__xludf.DUMMYFUNCTION("""COMPUTED_VALUE"""),39.6)</f>
        <v>39.6</v>
      </c>
    </row>
    <row r="275" spans="2:16" ht="12.75">
      <c r="B275" s="125">
        <f ca="1">IFERROR(__xludf.DUMMYFUNCTION("""COMPUTED_VALUE"""),43103.6666666666)</f>
        <v>43103.666666666599</v>
      </c>
      <c r="C275">
        <f ca="1">IFERROR(__xludf.DUMMYFUNCTION("""COMPUTED_VALUE"""),39.84)</f>
        <v>39.840000000000003</v>
      </c>
      <c r="D275">
        <v>22.36</v>
      </c>
      <c r="E275">
        <v>24.02</v>
      </c>
      <c r="F275">
        <v>31.98</v>
      </c>
      <c r="G275">
        <v>9.44</v>
      </c>
      <c r="H275">
        <v>188.71</v>
      </c>
      <c r="I275">
        <v>29.05</v>
      </c>
      <c r="J275">
        <v>56.52</v>
      </c>
      <c r="K275">
        <v>114.66</v>
      </c>
      <c r="L275">
        <v>31.35</v>
      </c>
      <c r="M275" s="125">
        <f ca="1">IFERROR(__xludf.DUMMYFUNCTION("""COMPUTED_VALUE"""),43636.6666666666)</f>
        <v>43636.666666666599</v>
      </c>
      <c r="N275">
        <f ca="1">IFERROR(__xludf.DUMMYFUNCTION("""COMPUTED_VALUE"""),30.71)</f>
        <v>30.71</v>
      </c>
      <c r="O275" s="125">
        <f ca="1">IFERROR(__xludf.DUMMYFUNCTION("""COMPUTED_VALUE"""),43103.6666666666)</f>
        <v>43103.666666666599</v>
      </c>
      <c r="P275">
        <f ca="1">IFERROR(__xludf.DUMMYFUNCTION("""COMPUTED_VALUE"""),39.84)</f>
        <v>39.840000000000003</v>
      </c>
    </row>
    <row r="276" spans="2:16" ht="12.75">
      <c r="B276" s="125">
        <f ca="1">IFERROR(__xludf.DUMMYFUNCTION("""COMPUTED_VALUE"""),43104.6666666666)</f>
        <v>43104.666666666599</v>
      </c>
      <c r="C276">
        <f ca="1">IFERROR(__xludf.DUMMYFUNCTION("""COMPUTED_VALUE"""),40.03)</f>
        <v>40.03</v>
      </c>
      <c r="D276">
        <v>22.54</v>
      </c>
      <c r="E276">
        <v>23.94</v>
      </c>
      <c r="F276">
        <v>32.32</v>
      </c>
      <c r="G276">
        <v>9.3699999999999992</v>
      </c>
      <c r="H276">
        <v>190.03</v>
      </c>
      <c r="I276">
        <v>29.38</v>
      </c>
      <c r="J276">
        <v>56.68</v>
      </c>
      <c r="K276">
        <v>113.76</v>
      </c>
      <c r="L276">
        <v>31.22</v>
      </c>
      <c r="M276" s="125">
        <f ca="1">IFERROR(__xludf.DUMMYFUNCTION("""COMPUTED_VALUE"""),43637.6666666666)</f>
        <v>43637.666666666599</v>
      </c>
      <c r="N276">
        <f ca="1">IFERROR(__xludf.DUMMYFUNCTION("""COMPUTED_VALUE"""),30.44)</f>
        <v>30.44</v>
      </c>
      <c r="O276" s="125">
        <f ca="1">IFERROR(__xludf.DUMMYFUNCTION("""COMPUTED_VALUE"""),43104.6666666666)</f>
        <v>43104.666666666599</v>
      </c>
      <c r="P276">
        <f ca="1">IFERROR(__xludf.DUMMYFUNCTION("""COMPUTED_VALUE"""),40.03)</f>
        <v>40.03</v>
      </c>
    </row>
    <row r="277" spans="2:16" ht="12.75">
      <c r="B277" s="125">
        <f ca="1">IFERROR(__xludf.DUMMYFUNCTION("""COMPUTED_VALUE"""),43105.6666666666)</f>
        <v>43105.666666666599</v>
      </c>
      <c r="C277">
        <f ca="1">IFERROR(__xludf.DUMMYFUNCTION("""COMPUTED_VALUE"""),40.63)</f>
        <v>40.630000000000003</v>
      </c>
      <c r="D277">
        <v>22.95</v>
      </c>
      <c r="E277">
        <v>23.96</v>
      </c>
      <c r="F277">
        <v>32.51</v>
      </c>
      <c r="G277">
        <v>9.4</v>
      </c>
      <c r="H277">
        <v>191.74</v>
      </c>
      <c r="I277">
        <v>29.78</v>
      </c>
      <c r="J277">
        <v>56.93</v>
      </c>
      <c r="K277">
        <v>113.74</v>
      </c>
      <c r="L277">
        <v>31.31</v>
      </c>
      <c r="M277" s="125">
        <f ca="1">IFERROR(__xludf.DUMMYFUNCTION("""COMPUTED_VALUE"""),43640.6666666666)</f>
        <v>43640.666666666599</v>
      </c>
      <c r="N277">
        <f ca="1">IFERROR(__xludf.DUMMYFUNCTION("""COMPUTED_VALUE"""),30.41)</f>
        <v>30.41</v>
      </c>
      <c r="O277" s="125">
        <f ca="1">IFERROR(__xludf.DUMMYFUNCTION("""COMPUTED_VALUE"""),43105.6666666666)</f>
        <v>43105.666666666599</v>
      </c>
      <c r="P277">
        <f ca="1">IFERROR(__xludf.DUMMYFUNCTION("""COMPUTED_VALUE"""),40.63)</f>
        <v>40.630000000000003</v>
      </c>
    </row>
    <row r="278" spans="2:16" ht="12.75">
      <c r="B278" s="125">
        <f ca="1">IFERROR(__xludf.DUMMYFUNCTION("""COMPUTED_VALUE"""),43108.6666666666)</f>
        <v>43108.666666666599</v>
      </c>
      <c r="C278">
        <f ca="1">IFERROR(__xludf.DUMMYFUNCTION("""COMPUTED_VALUE"""),40.99)</f>
        <v>40.99</v>
      </c>
      <c r="D278">
        <v>22.99</v>
      </c>
      <c r="E278">
        <v>24.07</v>
      </c>
      <c r="F278">
        <v>32.42</v>
      </c>
      <c r="G278">
        <v>9.5399999999999991</v>
      </c>
      <c r="H278">
        <v>192.9</v>
      </c>
      <c r="I278">
        <v>29.87</v>
      </c>
      <c r="J278">
        <v>57.07</v>
      </c>
      <c r="K278">
        <v>114.76</v>
      </c>
      <c r="L278">
        <v>31.88</v>
      </c>
      <c r="M278" s="125">
        <f ca="1">IFERROR(__xludf.DUMMYFUNCTION("""COMPUTED_VALUE"""),43641.6666666666)</f>
        <v>43641.666666666599</v>
      </c>
      <c r="N278">
        <f ca="1">IFERROR(__xludf.DUMMYFUNCTION("""COMPUTED_VALUE"""),29.65)</f>
        <v>29.65</v>
      </c>
      <c r="O278" s="125">
        <f ca="1">IFERROR(__xludf.DUMMYFUNCTION("""COMPUTED_VALUE"""),43108.6666666666)</f>
        <v>43108.666666666599</v>
      </c>
      <c r="P278">
        <f ca="1">IFERROR(__xludf.DUMMYFUNCTION("""COMPUTED_VALUE"""),40.99)</f>
        <v>40.99</v>
      </c>
    </row>
    <row r="279" spans="2:16" ht="12.75">
      <c r="B279" s="125">
        <f ca="1">IFERROR(__xludf.DUMMYFUNCTION("""COMPUTED_VALUE"""),43109.6666666666)</f>
        <v>43109.666666666599</v>
      </c>
      <c r="C279">
        <f ca="1">IFERROR(__xludf.DUMMYFUNCTION("""COMPUTED_VALUE"""),41.08)</f>
        <v>41.08</v>
      </c>
      <c r="D279">
        <v>23.12</v>
      </c>
      <c r="E279">
        <v>24.12</v>
      </c>
      <c r="F279">
        <v>32.46</v>
      </c>
      <c r="G279">
        <v>9.52</v>
      </c>
      <c r="H279">
        <v>194.14</v>
      </c>
      <c r="I279">
        <v>29.92</v>
      </c>
      <c r="J279">
        <v>56.99</v>
      </c>
      <c r="K279">
        <v>113.61</v>
      </c>
      <c r="L279">
        <v>32.32</v>
      </c>
      <c r="M279" s="125">
        <f ca="1">IFERROR(__xludf.DUMMYFUNCTION("""COMPUTED_VALUE"""),43642.6666666666)</f>
        <v>43642.666666666599</v>
      </c>
      <c r="N279">
        <f ca="1">IFERROR(__xludf.DUMMYFUNCTION("""COMPUTED_VALUE"""),29.2)</f>
        <v>29.2</v>
      </c>
      <c r="O279" s="125">
        <f ca="1">IFERROR(__xludf.DUMMYFUNCTION("""COMPUTED_VALUE"""),43109.6666666666)</f>
        <v>43109.666666666599</v>
      </c>
      <c r="P279">
        <f ca="1">IFERROR(__xludf.DUMMYFUNCTION("""COMPUTED_VALUE"""),41.08)</f>
        <v>41.08</v>
      </c>
    </row>
    <row r="280" spans="2:16" ht="12.75">
      <c r="B280" s="125">
        <f ca="1">IFERROR(__xludf.DUMMYFUNCTION("""COMPUTED_VALUE"""),43110.6666666666)</f>
        <v>43110.666666666599</v>
      </c>
      <c r="C280">
        <f ca="1">IFERROR(__xludf.DUMMYFUNCTION("""COMPUTED_VALUE"""),40.72)</f>
        <v>40.72</v>
      </c>
      <c r="D280">
        <v>23.22</v>
      </c>
      <c r="E280">
        <v>24.06</v>
      </c>
      <c r="F280">
        <v>32.31</v>
      </c>
      <c r="G280">
        <v>9.5</v>
      </c>
      <c r="H280">
        <v>193.87</v>
      </c>
      <c r="I280">
        <v>29.61</v>
      </c>
      <c r="J280">
        <v>56.71</v>
      </c>
      <c r="K280">
        <v>112.17</v>
      </c>
      <c r="L280">
        <v>32.36</v>
      </c>
      <c r="M280" s="125">
        <f ca="1">IFERROR(__xludf.DUMMYFUNCTION("""COMPUTED_VALUE"""),43643.6666666666)</f>
        <v>43643.666666666599</v>
      </c>
      <c r="N280">
        <f ca="1">IFERROR(__xludf.DUMMYFUNCTION("""COMPUTED_VALUE"""),29.47)</f>
        <v>29.47</v>
      </c>
      <c r="O280" s="125">
        <f ca="1">IFERROR(__xludf.DUMMYFUNCTION("""COMPUTED_VALUE"""),43110.6666666666)</f>
        <v>43110.666666666599</v>
      </c>
      <c r="P280">
        <f ca="1">IFERROR(__xludf.DUMMYFUNCTION("""COMPUTED_VALUE"""),40.72)</f>
        <v>40.72</v>
      </c>
    </row>
    <row r="281" spans="2:16" ht="12.75">
      <c r="B281" s="125">
        <f ca="1">IFERROR(__xludf.DUMMYFUNCTION("""COMPUTED_VALUE"""),43111.6666666666)</f>
        <v>43111.666666666599</v>
      </c>
      <c r="C281">
        <f ca="1">IFERROR(__xludf.DUMMYFUNCTION("""COMPUTED_VALUE"""),40.68)</f>
        <v>40.68</v>
      </c>
      <c r="D281">
        <v>23.49</v>
      </c>
      <c r="E281">
        <v>23.96</v>
      </c>
      <c r="F281">
        <v>32.46</v>
      </c>
      <c r="G281">
        <v>9.69</v>
      </c>
      <c r="H281">
        <v>195.77</v>
      </c>
      <c r="I281">
        <v>29.58</v>
      </c>
      <c r="J281">
        <v>56.63</v>
      </c>
      <c r="K281">
        <v>111.87</v>
      </c>
      <c r="L281">
        <v>32.72</v>
      </c>
      <c r="M281" s="125">
        <f ca="1">IFERROR(__xludf.DUMMYFUNCTION("""COMPUTED_VALUE"""),43644.6666666666)</f>
        <v>43644.666666666599</v>
      </c>
      <c r="N281">
        <f ca="1">IFERROR(__xludf.DUMMYFUNCTION("""COMPUTED_VALUE"""),29.55)</f>
        <v>29.55</v>
      </c>
      <c r="O281" s="125">
        <f ca="1">IFERROR(__xludf.DUMMYFUNCTION("""COMPUTED_VALUE"""),43111.6666666666)</f>
        <v>43111.666666666599</v>
      </c>
      <c r="P281">
        <f ca="1">IFERROR(__xludf.DUMMYFUNCTION("""COMPUTED_VALUE"""),40.68)</f>
        <v>40.68</v>
      </c>
    </row>
    <row r="282" spans="2:16" ht="12.75">
      <c r="B282" s="125">
        <f ca="1">IFERROR(__xludf.DUMMYFUNCTION("""COMPUTED_VALUE"""),43112.6666666666)</f>
        <v>43112.666666666599</v>
      </c>
      <c r="C282">
        <f ca="1">IFERROR(__xludf.DUMMYFUNCTION("""COMPUTED_VALUE"""),40.91)</f>
        <v>40.909999999999997</v>
      </c>
      <c r="D282">
        <v>23.54</v>
      </c>
      <c r="E282">
        <v>23.71</v>
      </c>
      <c r="F282">
        <v>32.840000000000003</v>
      </c>
      <c r="G282">
        <v>9.66</v>
      </c>
      <c r="H282">
        <v>198.78</v>
      </c>
      <c r="I282">
        <v>29.58</v>
      </c>
      <c r="J282">
        <v>56.65</v>
      </c>
      <c r="K282">
        <v>111.23</v>
      </c>
      <c r="L282">
        <v>32.44</v>
      </c>
      <c r="M282" s="125">
        <f ca="1">IFERROR(__xludf.DUMMYFUNCTION("""COMPUTED_VALUE"""),43647.6666666666)</f>
        <v>43647.666666666599</v>
      </c>
      <c r="N282">
        <f ca="1">IFERROR(__xludf.DUMMYFUNCTION("""COMPUTED_VALUE"""),29.48)</f>
        <v>29.48</v>
      </c>
      <c r="O282" s="125">
        <f ca="1">IFERROR(__xludf.DUMMYFUNCTION("""COMPUTED_VALUE"""),43112.6666666666)</f>
        <v>43112.666666666599</v>
      </c>
      <c r="P282">
        <f ca="1">IFERROR(__xludf.DUMMYFUNCTION("""COMPUTED_VALUE"""),40.91)</f>
        <v>40.909999999999997</v>
      </c>
    </row>
    <row r="283" spans="2:16" ht="12.75">
      <c r="B283" s="125">
        <f ca="1">IFERROR(__xludf.DUMMYFUNCTION("""COMPUTED_VALUE"""),43116.6666666666)</f>
        <v>43116.666666666599</v>
      </c>
      <c r="C283">
        <f ca="1">IFERROR(__xludf.DUMMYFUNCTION("""COMPUTED_VALUE"""),40.76)</f>
        <v>40.76</v>
      </c>
      <c r="D283">
        <v>23.27</v>
      </c>
      <c r="E283">
        <v>23.58</v>
      </c>
      <c r="F283">
        <v>32.96</v>
      </c>
      <c r="G283">
        <v>9.6199999999999992</v>
      </c>
      <c r="H283">
        <v>196.66</v>
      </c>
      <c r="I283">
        <v>29.44</v>
      </c>
      <c r="J283">
        <v>56.91</v>
      </c>
      <c r="K283">
        <v>110.96</v>
      </c>
      <c r="L283">
        <v>32.700000000000003</v>
      </c>
      <c r="M283" s="125">
        <f ca="1">IFERROR(__xludf.DUMMYFUNCTION("""COMPUTED_VALUE"""),43648.6666666666)</f>
        <v>43648.666666666599</v>
      </c>
      <c r="N283">
        <f ca="1">IFERROR(__xludf.DUMMYFUNCTION("""COMPUTED_VALUE"""),30.03)</f>
        <v>30.03</v>
      </c>
      <c r="O283" s="125">
        <f ca="1">IFERROR(__xludf.DUMMYFUNCTION("""COMPUTED_VALUE"""),43116.6666666666)</f>
        <v>43116.666666666599</v>
      </c>
      <c r="P283">
        <f ca="1">IFERROR(__xludf.DUMMYFUNCTION("""COMPUTED_VALUE"""),40.76)</f>
        <v>40.76</v>
      </c>
    </row>
    <row r="284" spans="2:16" ht="12.75">
      <c r="B284" s="125">
        <f ca="1">IFERROR(__xludf.DUMMYFUNCTION("""COMPUTED_VALUE"""),43117.6666666666)</f>
        <v>43117.666666666599</v>
      </c>
      <c r="C284">
        <f ca="1">IFERROR(__xludf.DUMMYFUNCTION("""COMPUTED_VALUE"""),41.19)</f>
        <v>41.19</v>
      </c>
      <c r="D284">
        <v>23.62</v>
      </c>
      <c r="E284">
        <v>23.64</v>
      </c>
      <c r="F284">
        <v>33.270000000000003</v>
      </c>
      <c r="G284">
        <v>9.68</v>
      </c>
      <c r="H284">
        <v>198.99</v>
      </c>
      <c r="I284">
        <v>29.64</v>
      </c>
      <c r="J284">
        <v>57.56</v>
      </c>
      <c r="K284">
        <v>111.71</v>
      </c>
      <c r="L284">
        <v>32.74</v>
      </c>
      <c r="M284" s="125">
        <f ca="1">IFERROR(__xludf.DUMMYFUNCTION("""COMPUTED_VALUE"""),43649.5416666666)</f>
        <v>43649.541666666599</v>
      </c>
      <c r="N284">
        <f ca="1">IFERROR(__xludf.DUMMYFUNCTION("""COMPUTED_VALUE"""),30.39)</f>
        <v>30.39</v>
      </c>
      <c r="O284" s="125">
        <f ca="1">IFERROR(__xludf.DUMMYFUNCTION("""COMPUTED_VALUE"""),43117.6666666666)</f>
        <v>43117.666666666599</v>
      </c>
      <c r="P284">
        <f ca="1">IFERROR(__xludf.DUMMYFUNCTION("""COMPUTED_VALUE"""),41.19)</f>
        <v>41.19</v>
      </c>
    </row>
    <row r="285" spans="2:16" ht="12.75">
      <c r="B285" s="125">
        <f ca="1">IFERROR(__xludf.DUMMYFUNCTION("""COMPUTED_VALUE"""),43118.6666666666)</f>
        <v>43118.666666666599</v>
      </c>
      <c r="C285">
        <f ca="1">IFERROR(__xludf.DUMMYFUNCTION("""COMPUTED_VALUE"""),41.19)</f>
        <v>41.19</v>
      </c>
      <c r="D285">
        <v>23.51</v>
      </c>
      <c r="E285">
        <v>23.61</v>
      </c>
      <c r="F285">
        <v>33.409999999999997</v>
      </c>
      <c r="G285">
        <v>9.61</v>
      </c>
      <c r="H285">
        <v>197.39</v>
      </c>
      <c r="I285">
        <v>29.76</v>
      </c>
      <c r="J285">
        <v>57.39</v>
      </c>
      <c r="K285">
        <v>110.99</v>
      </c>
      <c r="L285">
        <v>32.57</v>
      </c>
      <c r="M285" s="125">
        <f ca="1">IFERROR(__xludf.DUMMYFUNCTION("""COMPUTED_VALUE"""),43651.6666666666)</f>
        <v>43651.666666666599</v>
      </c>
      <c r="N285">
        <f ca="1">IFERROR(__xludf.DUMMYFUNCTION("""COMPUTED_VALUE"""),30.29)</f>
        <v>30.29</v>
      </c>
      <c r="O285" s="125">
        <f ca="1">IFERROR(__xludf.DUMMYFUNCTION("""COMPUTED_VALUE"""),43118.6666666666)</f>
        <v>43118.666666666599</v>
      </c>
      <c r="P285">
        <f ca="1">IFERROR(__xludf.DUMMYFUNCTION("""COMPUTED_VALUE"""),41.19)</f>
        <v>41.19</v>
      </c>
    </row>
    <row r="286" spans="2:16" ht="12.75">
      <c r="B286" s="125">
        <f ca="1">IFERROR(__xludf.DUMMYFUNCTION("""COMPUTED_VALUE"""),43119.6666666666)</f>
        <v>43119.666666666599</v>
      </c>
      <c r="C286">
        <f ca="1">IFERROR(__xludf.DUMMYFUNCTION("""COMPUTED_VALUE"""),41.42)</f>
        <v>41.42</v>
      </c>
      <c r="D286">
        <v>23.83</v>
      </c>
      <c r="E286">
        <v>23.65</v>
      </c>
      <c r="F286">
        <v>33.69</v>
      </c>
      <c r="G286">
        <v>9.6300000000000008</v>
      </c>
      <c r="H286">
        <v>198.81</v>
      </c>
      <c r="I286">
        <v>30.16</v>
      </c>
      <c r="J286">
        <v>58.03</v>
      </c>
      <c r="K286">
        <v>110.81</v>
      </c>
      <c r="L286">
        <v>32.840000000000003</v>
      </c>
      <c r="M286" s="125">
        <f ca="1">IFERROR(__xludf.DUMMYFUNCTION("""COMPUTED_VALUE"""),43654.6666666666)</f>
        <v>43654.666666666599</v>
      </c>
      <c r="N286">
        <f ca="1">IFERROR(__xludf.DUMMYFUNCTION("""COMPUTED_VALUE"""),30.21)</f>
        <v>30.21</v>
      </c>
      <c r="O286" s="125">
        <f ca="1">IFERROR(__xludf.DUMMYFUNCTION("""COMPUTED_VALUE"""),43119.6666666666)</f>
        <v>43119.666666666599</v>
      </c>
      <c r="P286">
        <f ca="1">IFERROR(__xludf.DUMMYFUNCTION("""COMPUTED_VALUE"""),41.42)</f>
        <v>41.42</v>
      </c>
    </row>
    <row r="287" spans="2:16" ht="12.75">
      <c r="B287" s="125">
        <f ca="1">IFERROR(__xludf.DUMMYFUNCTION("""COMPUTED_VALUE"""),43122.6666666666)</f>
        <v>43122.666666666599</v>
      </c>
      <c r="C287">
        <f ca="1">IFERROR(__xludf.DUMMYFUNCTION("""COMPUTED_VALUE"""),41.63)</f>
        <v>41.63</v>
      </c>
      <c r="D287">
        <v>24</v>
      </c>
      <c r="E287">
        <v>23.57</v>
      </c>
      <c r="F287">
        <v>33.869999999999997</v>
      </c>
      <c r="G287">
        <v>9.6300000000000008</v>
      </c>
      <c r="H287">
        <v>198</v>
      </c>
      <c r="I287">
        <v>30.23</v>
      </c>
      <c r="J287">
        <v>58.47</v>
      </c>
      <c r="K287">
        <v>110.99</v>
      </c>
      <c r="L287">
        <v>32.86</v>
      </c>
      <c r="M287" s="125">
        <f ca="1">IFERROR(__xludf.DUMMYFUNCTION("""COMPUTED_VALUE"""),43655.6666666666)</f>
        <v>43655.666666666599</v>
      </c>
      <c r="N287">
        <f ca="1">IFERROR(__xludf.DUMMYFUNCTION("""COMPUTED_VALUE"""),30.39)</f>
        <v>30.39</v>
      </c>
      <c r="O287" s="125">
        <f ca="1">IFERROR(__xludf.DUMMYFUNCTION("""COMPUTED_VALUE"""),43122.6666666666)</f>
        <v>43122.666666666599</v>
      </c>
      <c r="P287">
        <f ca="1">IFERROR(__xludf.DUMMYFUNCTION("""COMPUTED_VALUE"""),41.63)</f>
        <v>41.63</v>
      </c>
    </row>
    <row r="288" spans="2:16" ht="12.75">
      <c r="B288" s="125">
        <f ca="1">IFERROR(__xludf.DUMMYFUNCTION("""COMPUTED_VALUE"""),43123.6666666666)</f>
        <v>43123.666666666599</v>
      </c>
      <c r="C288">
        <f ca="1">IFERROR(__xludf.DUMMYFUNCTION("""COMPUTED_VALUE"""),41.94)</f>
        <v>41.94</v>
      </c>
      <c r="D288">
        <v>24</v>
      </c>
      <c r="E288">
        <v>23.51</v>
      </c>
      <c r="F288">
        <v>33.840000000000003</v>
      </c>
      <c r="G288">
        <v>9.6</v>
      </c>
      <c r="H288">
        <v>197.35</v>
      </c>
      <c r="I288">
        <v>30.33</v>
      </c>
      <c r="J288">
        <v>58.28</v>
      </c>
      <c r="K288">
        <v>111.99</v>
      </c>
      <c r="L288">
        <v>33.14</v>
      </c>
      <c r="M288" s="125">
        <f ca="1">IFERROR(__xludf.DUMMYFUNCTION("""COMPUTED_VALUE"""),43656.6666666666)</f>
        <v>43656.666666666599</v>
      </c>
      <c r="N288">
        <f ca="1">IFERROR(__xludf.DUMMYFUNCTION("""COMPUTED_VALUE"""),30.47)</f>
        <v>30.47</v>
      </c>
      <c r="O288" s="125">
        <f ca="1">IFERROR(__xludf.DUMMYFUNCTION("""COMPUTED_VALUE"""),43123.6666666666)</f>
        <v>43123.666666666599</v>
      </c>
      <c r="P288">
        <f ca="1">IFERROR(__xludf.DUMMYFUNCTION("""COMPUTED_VALUE"""),41.94)</f>
        <v>41.94</v>
      </c>
    </row>
    <row r="289" spans="2:16" ht="12.75">
      <c r="B289" s="125">
        <f ca="1">IFERROR(__xludf.DUMMYFUNCTION("""COMPUTED_VALUE"""),43124.6666666666)</f>
        <v>43124.666666666599</v>
      </c>
      <c r="C289">
        <f ca="1">IFERROR(__xludf.DUMMYFUNCTION("""COMPUTED_VALUE"""),42.08)</f>
        <v>42.08</v>
      </c>
      <c r="D289">
        <v>23.84</v>
      </c>
      <c r="E289">
        <v>23.28</v>
      </c>
      <c r="F289">
        <v>33.81</v>
      </c>
      <c r="G289">
        <v>9.56</v>
      </c>
      <c r="H289">
        <v>198.41</v>
      </c>
      <c r="I289">
        <v>30.01</v>
      </c>
      <c r="J289">
        <v>58.4</v>
      </c>
      <c r="K289">
        <v>111.51</v>
      </c>
      <c r="L289">
        <v>33.17</v>
      </c>
      <c r="M289" s="125">
        <f ca="1">IFERROR(__xludf.DUMMYFUNCTION("""COMPUTED_VALUE"""),43657.6666666666)</f>
        <v>43657.666666666599</v>
      </c>
      <c r="N289">
        <f ca="1">IFERROR(__xludf.DUMMYFUNCTION("""COMPUTED_VALUE"""),30.09)</f>
        <v>30.09</v>
      </c>
      <c r="O289" s="125">
        <f ca="1">IFERROR(__xludf.DUMMYFUNCTION("""COMPUTED_VALUE"""),43124.6666666666)</f>
        <v>43124.666666666599</v>
      </c>
      <c r="P289">
        <f ca="1">IFERROR(__xludf.DUMMYFUNCTION("""COMPUTED_VALUE"""),42.08)</f>
        <v>42.08</v>
      </c>
    </row>
    <row r="290" spans="2:16" ht="12.75">
      <c r="B290" s="125">
        <f ca="1">IFERROR(__xludf.DUMMYFUNCTION("""COMPUTED_VALUE"""),43125.6666666666)</f>
        <v>43125.666666666599</v>
      </c>
      <c r="C290">
        <f ca="1">IFERROR(__xludf.DUMMYFUNCTION("""COMPUTED_VALUE"""),42.33)</f>
        <v>42.33</v>
      </c>
      <c r="D290">
        <v>24.06</v>
      </c>
      <c r="E290">
        <v>23.31</v>
      </c>
      <c r="F290">
        <v>33.76</v>
      </c>
      <c r="G290">
        <v>9.59</v>
      </c>
      <c r="H290">
        <v>201.38</v>
      </c>
      <c r="I290">
        <v>29.77</v>
      </c>
      <c r="J290">
        <v>58.43</v>
      </c>
      <c r="K290">
        <v>113.02</v>
      </c>
      <c r="L290">
        <v>33.19</v>
      </c>
      <c r="M290" s="125">
        <f ca="1">IFERROR(__xludf.DUMMYFUNCTION("""COMPUTED_VALUE"""),43658.6666666666)</f>
        <v>43658.666666666599</v>
      </c>
      <c r="N290">
        <f ca="1">IFERROR(__xludf.DUMMYFUNCTION("""COMPUTED_VALUE"""),30.15)</f>
        <v>30.15</v>
      </c>
      <c r="O290" s="125">
        <f ca="1">IFERROR(__xludf.DUMMYFUNCTION("""COMPUTED_VALUE"""),43125.6666666666)</f>
        <v>43125.666666666599</v>
      </c>
      <c r="P290">
        <f ca="1">IFERROR(__xludf.DUMMYFUNCTION("""COMPUTED_VALUE"""),42.33)</f>
        <v>42.33</v>
      </c>
    </row>
    <row r="291" spans="2:16" ht="12.75">
      <c r="B291" s="125">
        <f ca="1">IFERROR(__xludf.DUMMYFUNCTION("""COMPUTED_VALUE"""),43126.6666666666)</f>
        <v>43126.666666666599</v>
      </c>
      <c r="C291">
        <f ca="1">IFERROR(__xludf.DUMMYFUNCTION("""COMPUTED_VALUE"""),43.5)</f>
        <v>43.5</v>
      </c>
      <c r="D291">
        <v>24.2</v>
      </c>
      <c r="E291">
        <v>23.26</v>
      </c>
      <c r="F291">
        <v>34.04</v>
      </c>
      <c r="G291">
        <v>9.59</v>
      </c>
      <c r="H291">
        <v>204.01</v>
      </c>
      <c r="I291">
        <v>29.92</v>
      </c>
      <c r="J291">
        <v>58.71</v>
      </c>
      <c r="K291">
        <v>113.04</v>
      </c>
      <c r="L291">
        <v>33.130000000000003</v>
      </c>
      <c r="M291" s="125">
        <f ca="1">IFERROR(__xludf.DUMMYFUNCTION("""COMPUTED_VALUE"""),43661.6666666666)</f>
        <v>43661.666666666599</v>
      </c>
      <c r="N291">
        <f ca="1">IFERROR(__xludf.DUMMYFUNCTION("""COMPUTED_VALUE"""),30.12)</f>
        <v>30.12</v>
      </c>
      <c r="O291" s="125">
        <f ca="1">IFERROR(__xludf.DUMMYFUNCTION("""COMPUTED_VALUE"""),43126.6666666666)</f>
        <v>43126.666666666599</v>
      </c>
      <c r="P291">
        <f ca="1">IFERROR(__xludf.DUMMYFUNCTION("""COMPUTED_VALUE"""),43.5)</f>
        <v>43.5</v>
      </c>
    </row>
    <row r="292" spans="2:16" ht="12.75">
      <c r="B292" s="125">
        <f ca="1">IFERROR(__xludf.DUMMYFUNCTION("""COMPUTED_VALUE"""),43129.6666666666)</f>
        <v>43129.666666666599</v>
      </c>
      <c r="C292">
        <f ca="1">IFERROR(__xludf.DUMMYFUNCTION("""COMPUTED_VALUE"""),42.81)</f>
        <v>42.81</v>
      </c>
      <c r="D292">
        <v>24</v>
      </c>
      <c r="E292">
        <v>23.32</v>
      </c>
      <c r="F292">
        <v>33.75</v>
      </c>
      <c r="G292">
        <v>9.56</v>
      </c>
      <c r="H292">
        <v>204.25</v>
      </c>
      <c r="I292">
        <v>29.74</v>
      </c>
      <c r="J292">
        <v>58.48</v>
      </c>
      <c r="K292">
        <v>111.63</v>
      </c>
      <c r="L292">
        <v>33.18</v>
      </c>
      <c r="M292" s="125">
        <f ca="1">IFERROR(__xludf.DUMMYFUNCTION("""COMPUTED_VALUE"""),43662.6666666666)</f>
        <v>43662.666666666599</v>
      </c>
      <c r="N292">
        <f ca="1">IFERROR(__xludf.DUMMYFUNCTION("""COMPUTED_VALUE"""),29.97)</f>
        <v>29.97</v>
      </c>
      <c r="O292" s="125">
        <f ca="1">IFERROR(__xludf.DUMMYFUNCTION("""COMPUTED_VALUE"""),43129.6666666666)</f>
        <v>43129.666666666599</v>
      </c>
      <c r="P292">
        <f ca="1">IFERROR(__xludf.DUMMYFUNCTION("""COMPUTED_VALUE"""),42.81)</f>
        <v>42.81</v>
      </c>
    </row>
    <row r="293" spans="2:16" ht="12.75">
      <c r="B293" s="125">
        <f ca="1">IFERROR(__xludf.DUMMYFUNCTION("""COMPUTED_VALUE"""),43130.6666666666)</f>
        <v>43130.666666666599</v>
      </c>
      <c r="C293">
        <f ca="1">IFERROR(__xludf.DUMMYFUNCTION("""COMPUTED_VALUE"""),41.9)</f>
        <v>41.9</v>
      </c>
      <c r="D293">
        <v>23.88</v>
      </c>
      <c r="E293">
        <v>23.28</v>
      </c>
      <c r="F293">
        <v>33.49</v>
      </c>
      <c r="G293">
        <v>9.56</v>
      </c>
      <c r="H293">
        <v>202.72</v>
      </c>
      <c r="I293">
        <v>29.48</v>
      </c>
      <c r="J293">
        <v>58.09</v>
      </c>
      <c r="K293">
        <v>111.79</v>
      </c>
      <c r="L293">
        <v>33.29</v>
      </c>
      <c r="M293" s="125">
        <f ca="1">IFERROR(__xludf.DUMMYFUNCTION("""COMPUTED_VALUE"""),43663.6666666666)</f>
        <v>43663.666666666599</v>
      </c>
      <c r="N293">
        <f ca="1">IFERROR(__xludf.DUMMYFUNCTION("""COMPUTED_VALUE"""),29.85)</f>
        <v>29.85</v>
      </c>
      <c r="O293" s="125">
        <f ca="1">IFERROR(__xludf.DUMMYFUNCTION("""COMPUTED_VALUE"""),43130.6666666666)</f>
        <v>43130.666666666599</v>
      </c>
      <c r="P293">
        <f ca="1">IFERROR(__xludf.DUMMYFUNCTION("""COMPUTED_VALUE"""),41.9)</f>
        <v>41.9</v>
      </c>
    </row>
    <row r="294" spans="2:16" ht="12.75">
      <c r="B294" s="125">
        <f ca="1">IFERROR(__xludf.DUMMYFUNCTION("""COMPUTED_VALUE"""),43131.6666666666)</f>
        <v>43131.666666666599</v>
      </c>
      <c r="C294">
        <f ca="1">IFERROR(__xludf.DUMMYFUNCTION("""COMPUTED_VALUE"""),42.17)</f>
        <v>42.17</v>
      </c>
      <c r="D294">
        <v>23.98</v>
      </c>
      <c r="E294">
        <v>23.25</v>
      </c>
      <c r="F294">
        <v>33.57</v>
      </c>
      <c r="G294">
        <v>9.57</v>
      </c>
      <c r="H294">
        <v>203.25</v>
      </c>
      <c r="I294">
        <v>29.48</v>
      </c>
      <c r="J294">
        <v>57.82</v>
      </c>
      <c r="K294">
        <v>112.94</v>
      </c>
      <c r="L294">
        <v>33.590000000000003</v>
      </c>
      <c r="M294" s="125">
        <f ca="1">IFERROR(__xludf.DUMMYFUNCTION("""COMPUTED_VALUE"""),43664.6666666666)</f>
        <v>43664.666666666599</v>
      </c>
      <c r="N294">
        <f ca="1">IFERROR(__xludf.DUMMYFUNCTION("""COMPUTED_VALUE"""),29.74)</f>
        <v>29.74</v>
      </c>
      <c r="O294" s="125">
        <f ca="1">IFERROR(__xludf.DUMMYFUNCTION("""COMPUTED_VALUE"""),43131.6666666666)</f>
        <v>43131.666666666599</v>
      </c>
      <c r="P294">
        <f ca="1">IFERROR(__xludf.DUMMYFUNCTION("""COMPUTED_VALUE"""),42.17)</f>
        <v>42.17</v>
      </c>
    </row>
    <row r="295" spans="2:16" ht="12.75">
      <c r="B295" s="125">
        <f ca="1">IFERROR(__xludf.DUMMYFUNCTION("""COMPUTED_VALUE"""),43132.6666666666)</f>
        <v>43132.666666666599</v>
      </c>
      <c r="C295">
        <f ca="1">IFERROR(__xludf.DUMMYFUNCTION("""COMPUTED_VALUE"""),41.45)</f>
        <v>41.45</v>
      </c>
      <c r="D295">
        <v>23.69</v>
      </c>
      <c r="E295">
        <v>23.13</v>
      </c>
      <c r="F295">
        <v>33.72</v>
      </c>
      <c r="G295">
        <v>9.52</v>
      </c>
      <c r="H295">
        <v>204.41</v>
      </c>
      <c r="I295">
        <v>29.02</v>
      </c>
      <c r="J295">
        <v>57.57</v>
      </c>
      <c r="K295">
        <v>111.25</v>
      </c>
      <c r="L295">
        <v>33.58</v>
      </c>
      <c r="M295" s="125">
        <f ca="1">IFERROR(__xludf.DUMMYFUNCTION("""COMPUTED_VALUE"""),43665.6666666666)</f>
        <v>43665.666666666599</v>
      </c>
      <c r="N295">
        <f ca="1">IFERROR(__xludf.DUMMYFUNCTION("""COMPUTED_VALUE"""),29.43)</f>
        <v>29.43</v>
      </c>
      <c r="O295" s="125">
        <f ca="1">IFERROR(__xludf.DUMMYFUNCTION("""COMPUTED_VALUE"""),43132.6666666666)</f>
        <v>43132.666666666599</v>
      </c>
      <c r="P295">
        <f ca="1">IFERROR(__xludf.DUMMYFUNCTION("""COMPUTED_VALUE"""),41.45)</f>
        <v>41.45</v>
      </c>
    </row>
    <row r="296" spans="2:16" ht="12.75">
      <c r="B296" s="125">
        <f ca="1">IFERROR(__xludf.DUMMYFUNCTION("""COMPUTED_VALUE"""),43133.6666666666)</f>
        <v>43133.666666666599</v>
      </c>
      <c r="C296">
        <f ca="1">IFERROR(__xludf.DUMMYFUNCTION("""COMPUTED_VALUE"""),40.13)</f>
        <v>40.130000000000003</v>
      </c>
      <c r="D296">
        <v>23.09</v>
      </c>
      <c r="E296">
        <v>23.27</v>
      </c>
      <c r="F296">
        <v>32.99</v>
      </c>
      <c r="G296">
        <v>9.31</v>
      </c>
      <c r="H296">
        <v>200.24</v>
      </c>
      <c r="I296">
        <v>28.44</v>
      </c>
      <c r="J296">
        <v>56.47</v>
      </c>
      <c r="K296">
        <v>110.35</v>
      </c>
      <c r="L296">
        <v>33.369999999999997</v>
      </c>
      <c r="M296" s="125">
        <f ca="1">IFERROR(__xludf.DUMMYFUNCTION("""COMPUTED_VALUE"""),43668.6666666666)</f>
        <v>43668.666666666599</v>
      </c>
      <c r="N296">
        <f ca="1">IFERROR(__xludf.DUMMYFUNCTION("""COMPUTED_VALUE"""),29.56)</f>
        <v>29.56</v>
      </c>
      <c r="O296" s="125">
        <f ca="1">IFERROR(__xludf.DUMMYFUNCTION("""COMPUTED_VALUE"""),43133.6666666666)</f>
        <v>43133.666666666599</v>
      </c>
      <c r="P296">
        <f ca="1">IFERROR(__xludf.DUMMYFUNCTION("""COMPUTED_VALUE"""),40.13)</f>
        <v>40.130000000000003</v>
      </c>
    </row>
    <row r="297" spans="2:16" ht="12.75">
      <c r="B297" s="125">
        <f ca="1">IFERROR(__xludf.DUMMYFUNCTION("""COMPUTED_VALUE"""),43136.6666666666)</f>
        <v>43136.666666666599</v>
      </c>
      <c r="C297">
        <f ca="1">IFERROR(__xludf.DUMMYFUNCTION("""COMPUTED_VALUE"""),38.54)</f>
        <v>38.54</v>
      </c>
      <c r="D297">
        <v>22.37</v>
      </c>
      <c r="E297">
        <v>23.37</v>
      </c>
      <c r="F297">
        <v>31.69</v>
      </c>
      <c r="G297">
        <v>9.02</v>
      </c>
      <c r="H297">
        <v>189.84</v>
      </c>
      <c r="I297">
        <v>27.42</v>
      </c>
      <c r="J297">
        <v>54.42</v>
      </c>
      <c r="K297">
        <v>108.28</v>
      </c>
      <c r="L297">
        <v>33.53</v>
      </c>
      <c r="M297" s="125">
        <f ca="1">IFERROR(__xludf.DUMMYFUNCTION("""COMPUTED_VALUE"""),43669.6666666666)</f>
        <v>43669.666666666599</v>
      </c>
      <c r="N297">
        <f ca="1">IFERROR(__xludf.DUMMYFUNCTION("""COMPUTED_VALUE"""),29.76)</f>
        <v>29.76</v>
      </c>
      <c r="O297" s="125">
        <f ca="1">IFERROR(__xludf.DUMMYFUNCTION("""COMPUTED_VALUE"""),43136.6666666666)</f>
        <v>43136.666666666599</v>
      </c>
      <c r="P297">
        <f ca="1">IFERROR(__xludf.DUMMYFUNCTION("""COMPUTED_VALUE"""),38.54)</f>
        <v>38.54</v>
      </c>
    </row>
    <row r="298" spans="2:16" ht="12.75">
      <c r="B298" s="125">
        <f ca="1">IFERROR(__xludf.DUMMYFUNCTION("""COMPUTED_VALUE"""),43137.6666666666)</f>
        <v>43137.666666666599</v>
      </c>
      <c r="C298">
        <f ca="1">IFERROR(__xludf.DUMMYFUNCTION("""COMPUTED_VALUE"""),39.26)</f>
        <v>39.26</v>
      </c>
      <c r="D298">
        <v>22.42</v>
      </c>
      <c r="E298">
        <v>23.42</v>
      </c>
      <c r="F298">
        <v>32.29</v>
      </c>
      <c r="G298">
        <v>9.1</v>
      </c>
      <c r="H298">
        <v>191.96</v>
      </c>
      <c r="I298">
        <v>28.3</v>
      </c>
      <c r="J298">
        <v>55.02</v>
      </c>
      <c r="K298">
        <v>106.83</v>
      </c>
      <c r="L298">
        <v>33.71</v>
      </c>
      <c r="M298" s="125">
        <f ca="1">IFERROR(__xludf.DUMMYFUNCTION("""COMPUTED_VALUE"""),43670.6666666666)</f>
        <v>43670.666666666599</v>
      </c>
      <c r="N298">
        <f ca="1">IFERROR(__xludf.DUMMYFUNCTION("""COMPUTED_VALUE"""),29.84)</f>
        <v>29.84</v>
      </c>
      <c r="O298" s="125">
        <f ca="1">IFERROR(__xludf.DUMMYFUNCTION("""COMPUTED_VALUE"""),43137.6666666666)</f>
        <v>43137.666666666599</v>
      </c>
      <c r="P298">
        <f ca="1">IFERROR(__xludf.DUMMYFUNCTION("""COMPUTED_VALUE"""),39.26)</f>
        <v>39.26</v>
      </c>
    </row>
    <row r="299" spans="2:16" ht="12.75">
      <c r="B299" s="125">
        <f ca="1">IFERROR(__xludf.DUMMYFUNCTION("""COMPUTED_VALUE"""),43138.6666666666)</f>
        <v>43138.666666666599</v>
      </c>
      <c r="C299">
        <f ca="1">IFERROR(__xludf.DUMMYFUNCTION("""COMPUTED_VALUE"""),38.43)</f>
        <v>38.43</v>
      </c>
      <c r="D299">
        <v>22.57</v>
      </c>
      <c r="E299">
        <v>23.6</v>
      </c>
      <c r="F299">
        <v>31.74</v>
      </c>
      <c r="G299">
        <v>9.0500000000000007</v>
      </c>
      <c r="H299">
        <v>194.58</v>
      </c>
      <c r="I299">
        <v>28.1</v>
      </c>
      <c r="J299">
        <v>54.78</v>
      </c>
      <c r="K299">
        <v>106.49</v>
      </c>
      <c r="L299">
        <v>33.69</v>
      </c>
      <c r="M299" s="125">
        <f ca="1">IFERROR(__xludf.DUMMYFUNCTION("""COMPUTED_VALUE"""),43671.6666666666)</f>
        <v>43671.666666666599</v>
      </c>
      <c r="N299">
        <f ca="1">IFERROR(__xludf.DUMMYFUNCTION("""COMPUTED_VALUE"""),29.31)</f>
        <v>29.31</v>
      </c>
      <c r="O299" s="125">
        <f ca="1">IFERROR(__xludf.DUMMYFUNCTION("""COMPUTED_VALUE"""),43138.6666666666)</f>
        <v>43138.666666666599</v>
      </c>
      <c r="P299">
        <f ca="1">IFERROR(__xludf.DUMMYFUNCTION("""COMPUTED_VALUE"""),38.43)</f>
        <v>38.43</v>
      </c>
    </row>
    <row r="300" spans="2:16" ht="12.75">
      <c r="B300" s="125">
        <f ca="1">IFERROR(__xludf.DUMMYFUNCTION("""COMPUTED_VALUE"""),43139.6666666666)</f>
        <v>43139.666666666599</v>
      </c>
      <c r="C300">
        <f ca="1">IFERROR(__xludf.DUMMYFUNCTION("""COMPUTED_VALUE"""),36.87)</f>
        <v>36.869999999999997</v>
      </c>
      <c r="D300">
        <v>21.91</v>
      </c>
      <c r="E300">
        <v>23.6</v>
      </c>
      <c r="F300">
        <v>31.05</v>
      </c>
      <c r="G300">
        <v>8.81</v>
      </c>
      <c r="H300">
        <v>188.35</v>
      </c>
      <c r="I300">
        <v>27.23</v>
      </c>
      <c r="J300">
        <v>53.6</v>
      </c>
      <c r="K300">
        <v>105.16</v>
      </c>
      <c r="L300">
        <v>33.46</v>
      </c>
      <c r="M300" s="125">
        <f ca="1">IFERROR(__xludf.DUMMYFUNCTION("""COMPUTED_VALUE"""),43672.6666666666)</f>
        <v>43672.666666666599</v>
      </c>
      <c r="N300">
        <f ca="1">IFERROR(__xludf.DUMMYFUNCTION("""COMPUTED_VALUE"""),29.28)</f>
        <v>29.28</v>
      </c>
      <c r="O300" s="125">
        <f ca="1">IFERROR(__xludf.DUMMYFUNCTION("""COMPUTED_VALUE"""),43139.6666666666)</f>
        <v>43139.666666666599</v>
      </c>
      <c r="P300">
        <f ca="1">IFERROR(__xludf.DUMMYFUNCTION("""COMPUTED_VALUE"""),36.87)</f>
        <v>36.869999999999997</v>
      </c>
    </row>
    <row r="301" spans="2:16" ht="12.75">
      <c r="B301" s="125">
        <f ca="1">IFERROR(__xludf.DUMMYFUNCTION("""COMPUTED_VALUE"""),43140.6666666666)</f>
        <v>43140.666666666599</v>
      </c>
      <c r="C301">
        <f ca="1">IFERROR(__xludf.DUMMYFUNCTION("""COMPUTED_VALUE"""),37.14)</f>
        <v>37.14</v>
      </c>
      <c r="D301">
        <v>22.11</v>
      </c>
      <c r="E301">
        <v>23.62</v>
      </c>
      <c r="F301">
        <v>31.16</v>
      </c>
      <c r="G301">
        <v>8.85</v>
      </c>
      <c r="H301">
        <v>191.21</v>
      </c>
      <c r="I301">
        <v>27.46</v>
      </c>
      <c r="J301">
        <v>53.71</v>
      </c>
      <c r="K301">
        <v>107.54</v>
      </c>
      <c r="L301">
        <v>33.43</v>
      </c>
      <c r="M301" s="125">
        <f ca="1">IFERROR(__xludf.DUMMYFUNCTION("""COMPUTED_VALUE"""),43675.6666666666)</f>
        <v>43675.666666666599</v>
      </c>
      <c r="N301">
        <f ca="1">IFERROR(__xludf.DUMMYFUNCTION("""COMPUTED_VALUE"""),29.17)</f>
        <v>29.17</v>
      </c>
      <c r="O301" s="125">
        <f ca="1">IFERROR(__xludf.DUMMYFUNCTION("""COMPUTED_VALUE"""),43140.6666666666)</f>
        <v>43140.666666666599</v>
      </c>
      <c r="P301">
        <f ca="1">IFERROR(__xludf.DUMMYFUNCTION("""COMPUTED_VALUE"""),37.14)</f>
        <v>37.14</v>
      </c>
    </row>
    <row r="302" spans="2:16" ht="12.75">
      <c r="B302" s="125">
        <f ca="1">IFERROR(__xludf.DUMMYFUNCTION("""COMPUTED_VALUE"""),43143.6666666666)</f>
        <v>43143.666666666599</v>
      </c>
      <c r="C302">
        <f ca="1">IFERROR(__xludf.DUMMYFUNCTION("""COMPUTED_VALUE"""),38.06)</f>
        <v>38.06</v>
      </c>
      <c r="D302">
        <v>22.43</v>
      </c>
      <c r="E302">
        <v>23.54</v>
      </c>
      <c r="F302">
        <v>31.52</v>
      </c>
      <c r="G302">
        <v>9.01</v>
      </c>
      <c r="H302">
        <v>193.95</v>
      </c>
      <c r="I302">
        <v>27.74</v>
      </c>
      <c r="J302">
        <v>54.26</v>
      </c>
      <c r="K302">
        <v>108.31</v>
      </c>
      <c r="L302">
        <v>33.82</v>
      </c>
      <c r="M302" s="125">
        <f ca="1">IFERROR(__xludf.DUMMYFUNCTION("""COMPUTED_VALUE"""),43676.6666666666)</f>
        <v>43676.666666666599</v>
      </c>
      <c r="N302">
        <f ca="1">IFERROR(__xludf.DUMMYFUNCTION("""COMPUTED_VALUE"""),29.71)</f>
        <v>29.71</v>
      </c>
      <c r="O302" s="125">
        <f ca="1">IFERROR(__xludf.DUMMYFUNCTION("""COMPUTED_VALUE"""),43143.6666666666)</f>
        <v>43143.666666666599</v>
      </c>
      <c r="P302">
        <f ca="1">IFERROR(__xludf.DUMMYFUNCTION("""COMPUTED_VALUE"""),38.06)</f>
        <v>38.06</v>
      </c>
    </row>
    <row r="303" spans="2:16" ht="12.75">
      <c r="B303" s="125">
        <f ca="1">IFERROR(__xludf.DUMMYFUNCTION("""COMPUTED_VALUE"""),43144.6666666666)</f>
        <v>43144.666666666599</v>
      </c>
      <c r="C303">
        <f ca="1">IFERROR(__xludf.DUMMYFUNCTION("""COMPUTED_VALUE"""),38.97)</f>
        <v>38.97</v>
      </c>
      <c r="D303">
        <v>22.55</v>
      </c>
      <c r="E303">
        <v>23.41</v>
      </c>
      <c r="F303">
        <v>31.44</v>
      </c>
      <c r="G303">
        <v>9.1300000000000008</v>
      </c>
      <c r="H303">
        <v>194.7</v>
      </c>
      <c r="I303">
        <v>27.52</v>
      </c>
      <c r="J303">
        <v>54.51</v>
      </c>
      <c r="K303">
        <v>108.65</v>
      </c>
      <c r="L303">
        <v>33.549999999999997</v>
      </c>
      <c r="M303" s="125">
        <f ca="1">IFERROR(__xludf.DUMMYFUNCTION("""COMPUTED_VALUE"""),43677.6666666666)</f>
        <v>43677.666666666599</v>
      </c>
      <c r="N303">
        <f ca="1">IFERROR(__xludf.DUMMYFUNCTION("""COMPUTED_VALUE"""),29.86)</f>
        <v>29.86</v>
      </c>
      <c r="O303" s="125">
        <f ca="1">IFERROR(__xludf.DUMMYFUNCTION("""COMPUTED_VALUE"""),43144.6666666666)</f>
        <v>43144.666666666599</v>
      </c>
      <c r="P303">
        <f ca="1">IFERROR(__xludf.DUMMYFUNCTION("""COMPUTED_VALUE"""),38.97)</f>
        <v>38.97</v>
      </c>
    </row>
    <row r="304" spans="2:16" ht="12.75">
      <c r="B304" s="125">
        <f ca="1">IFERROR(__xludf.DUMMYFUNCTION("""COMPUTED_VALUE"""),43145.6666666666)</f>
        <v>43145.666666666599</v>
      </c>
      <c r="C304">
        <f ca="1">IFERROR(__xludf.DUMMYFUNCTION("""COMPUTED_VALUE"""),40.51)</f>
        <v>40.51</v>
      </c>
      <c r="D304">
        <v>23.04</v>
      </c>
      <c r="E304">
        <v>23.23</v>
      </c>
      <c r="F304">
        <v>31.98</v>
      </c>
      <c r="G304">
        <v>9.25</v>
      </c>
      <c r="H304">
        <v>197.87</v>
      </c>
      <c r="I304">
        <v>27.88</v>
      </c>
      <c r="J304">
        <v>54.48</v>
      </c>
      <c r="K304">
        <v>107.49</v>
      </c>
      <c r="L304">
        <v>32.840000000000003</v>
      </c>
      <c r="M304" s="125">
        <f ca="1">IFERROR(__xludf.DUMMYFUNCTION("""COMPUTED_VALUE"""),43678.6666666666)</f>
        <v>43678.666666666599</v>
      </c>
      <c r="N304">
        <f ca="1">IFERROR(__xludf.DUMMYFUNCTION("""COMPUTED_VALUE"""),30.19)</f>
        <v>30.19</v>
      </c>
      <c r="O304" s="125">
        <f ca="1">IFERROR(__xludf.DUMMYFUNCTION("""COMPUTED_VALUE"""),43145.6666666666)</f>
        <v>43145.666666666599</v>
      </c>
      <c r="P304">
        <f ca="1">IFERROR(__xludf.DUMMYFUNCTION("""COMPUTED_VALUE"""),40.51)</f>
        <v>40.51</v>
      </c>
    </row>
    <row r="305" spans="2:16" ht="12.75">
      <c r="B305" s="125">
        <f ca="1">IFERROR(__xludf.DUMMYFUNCTION("""COMPUTED_VALUE"""),43146.6666666666)</f>
        <v>43146.666666666599</v>
      </c>
      <c r="C305">
        <f ca="1">IFERROR(__xludf.DUMMYFUNCTION("""COMPUTED_VALUE"""),41.39)</f>
        <v>41.39</v>
      </c>
      <c r="D305">
        <v>23.49</v>
      </c>
      <c r="E305">
        <v>23.13</v>
      </c>
      <c r="F305">
        <v>32.31</v>
      </c>
      <c r="G305">
        <v>9.4499999999999993</v>
      </c>
      <c r="H305">
        <v>202.6</v>
      </c>
      <c r="I305">
        <v>27.8</v>
      </c>
      <c r="J305">
        <v>55.38</v>
      </c>
      <c r="K305">
        <v>109.82</v>
      </c>
      <c r="L305">
        <v>32.840000000000003</v>
      </c>
      <c r="M305" s="125">
        <f ca="1">IFERROR(__xludf.DUMMYFUNCTION("""COMPUTED_VALUE"""),43679.6666666666)</f>
        <v>43679.666666666599</v>
      </c>
      <c r="N305">
        <f ca="1">IFERROR(__xludf.DUMMYFUNCTION("""COMPUTED_VALUE"""),30.41)</f>
        <v>30.41</v>
      </c>
      <c r="O305" s="125">
        <f ca="1">IFERROR(__xludf.DUMMYFUNCTION("""COMPUTED_VALUE"""),43146.6666666666)</f>
        <v>43146.666666666599</v>
      </c>
      <c r="P305">
        <f ca="1">IFERROR(__xludf.DUMMYFUNCTION("""COMPUTED_VALUE"""),41.39)</f>
        <v>41.39</v>
      </c>
    </row>
    <row r="306" spans="2:16" ht="12.75">
      <c r="B306" s="125">
        <f ca="1">IFERROR(__xludf.DUMMYFUNCTION("""COMPUTED_VALUE"""),43147.6666666666)</f>
        <v>43147.666666666599</v>
      </c>
      <c r="C306">
        <f ca="1">IFERROR(__xludf.DUMMYFUNCTION("""COMPUTED_VALUE"""),41.11)</f>
        <v>41.11</v>
      </c>
      <c r="D306">
        <v>23.58</v>
      </c>
      <c r="E306">
        <v>23.29</v>
      </c>
      <c r="F306">
        <v>32.29</v>
      </c>
      <c r="G306">
        <v>9.49</v>
      </c>
      <c r="H306">
        <v>202.77</v>
      </c>
      <c r="I306">
        <v>28.09</v>
      </c>
      <c r="J306">
        <v>55.6</v>
      </c>
      <c r="K306">
        <v>110.74</v>
      </c>
      <c r="L306">
        <v>32.61</v>
      </c>
      <c r="M306" s="125">
        <f ca="1">IFERROR(__xludf.DUMMYFUNCTION("""COMPUTED_VALUE"""),43682.6666666666)</f>
        <v>43682.666666666599</v>
      </c>
      <c r="N306">
        <f ca="1">IFERROR(__xludf.DUMMYFUNCTION("""COMPUTED_VALUE"""),29.85)</f>
        <v>29.85</v>
      </c>
      <c r="O306" s="125">
        <f ca="1">IFERROR(__xludf.DUMMYFUNCTION("""COMPUTED_VALUE"""),43147.6666666666)</f>
        <v>43147.666666666599</v>
      </c>
      <c r="P306">
        <f ca="1">IFERROR(__xludf.DUMMYFUNCTION("""COMPUTED_VALUE"""),41.11)</f>
        <v>41.11</v>
      </c>
    </row>
    <row r="307" spans="2:16" ht="12.75">
      <c r="B307" s="125">
        <f ca="1">IFERROR(__xludf.DUMMYFUNCTION("""COMPUTED_VALUE"""),43151.6666666666)</f>
        <v>43151.666666666599</v>
      </c>
      <c r="C307">
        <f ca="1">IFERROR(__xludf.DUMMYFUNCTION("""COMPUTED_VALUE"""),41)</f>
        <v>41</v>
      </c>
      <c r="D307">
        <v>23.6</v>
      </c>
      <c r="E307">
        <v>23.44</v>
      </c>
      <c r="F307">
        <v>32.159999999999997</v>
      </c>
      <c r="G307">
        <v>9.4499999999999993</v>
      </c>
      <c r="H307">
        <v>201.08</v>
      </c>
      <c r="I307">
        <v>27.98</v>
      </c>
      <c r="J307">
        <v>54.34</v>
      </c>
      <c r="K307">
        <v>109.33</v>
      </c>
      <c r="L307">
        <v>32.61</v>
      </c>
      <c r="M307" s="125">
        <f ca="1">IFERROR(__xludf.DUMMYFUNCTION("""COMPUTED_VALUE"""),43683.6666666666)</f>
        <v>43683.666666666599</v>
      </c>
      <c r="N307">
        <f ca="1">IFERROR(__xludf.DUMMYFUNCTION("""COMPUTED_VALUE"""),30.28)</f>
        <v>30.28</v>
      </c>
      <c r="O307" s="125">
        <f ca="1">IFERROR(__xludf.DUMMYFUNCTION("""COMPUTED_VALUE"""),43151.6666666666)</f>
        <v>43151.666666666599</v>
      </c>
      <c r="P307">
        <f ca="1">IFERROR(__xludf.DUMMYFUNCTION("""COMPUTED_VALUE"""),41)</f>
        <v>41</v>
      </c>
    </row>
    <row r="308" spans="2:16" ht="12.75">
      <c r="B308" s="125">
        <f ca="1">IFERROR(__xludf.DUMMYFUNCTION("""COMPUTED_VALUE"""),43152.6666666666)</f>
        <v>43152.666666666599</v>
      </c>
      <c r="C308">
        <f ca="1">IFERROR(__xludf.DUMMYFUNCTION("""COMPUTED_VALUE"""),41.25)</f>
        <v>41.25</v>
      </c>
      <c r="D308">
        <v>23.48</v>
      </c>
      <c r="E308">
        <v>23.53</v>
      </c>
      <c r="F308">
        <v>32.07</v>
      </c>
      <c r="G308">
        <v>9.5</v>
      </c>
      <c r="H308">
        <v>201.11</v>
      </c>
      <c r="I308">
        <v>27.91</v>
      </c>
      <c r="J308">
        <v>53.69</v>
      </c>
      <c r="K308">
        <v>107.88</v>
      </c>
      <c r="L308">
        <v>31.33</v>
      </c>
      <c r="M308" s="125">
        <f ca="1">IFERROR(__xludf.DUMMYFUNCTION("""COMPUTED_VALUE"""),43684.6666666666)</f>
        <v>43684.666666666599</v>
      </c>
      <c r="N308">
        <f ca="1">IFERROR(__xludf.DUMMYFUNCTION("""COMPUTED_VALUE"""),30.6)</f>
        <v>30.6</v>
      </c>
      <c r="O308" s="125">
        <f ca="1">IFERROR(__xludf.DUMMYFUNCTION("""COMPUTED_VALUE"""),43152.6666666666)</f>
        <v>43152.666666666599</v>
      </c>
      <c r="P308">
        <f ca="1">IFERROR(__xludf.DUMMYFUNCTION("""COMPUTED_VALUE"""),41.25)</f>
        <v>41.25</v>
      </c>
    </row>
    <row r="309" spans="2:16" ht="12.75">
      <c r="B309" s="125">
        <f ca="1">IFERROR(__xludf.DUMMYFUNCTION("""COMPUTED_VALUE"""),43153.6666666666)</f>
        <v>43153.666666666599</v>
      </c>
      <c r="C309">
        <f ca="1">IFERROR(__xludf.DUMMYFUNCTION("""COMPUTED_VALUE"""),41.08)</f>
        <v>41.08</v>
      </c>
      <c r="D309">
        <v>23.16</v>
      </c>
      <c r="E309">
        <v>23.45</v>
      </c>
      <c r="F309">
        <v>32.090000000000003</v>
      </c>
      <c r="G309">
        <v>9.52</v>
      </c>
      <c r="H309">
        <v>201.85</v>
      </c>
      <c r="I309">
        <v>27.98</v>
      </c>
      <c r="J309">
        <v>53.83</v>
      </c>
      <c r="K309">
        <v>108.39</v>
      </c>
      <c r="L309">
        <v>31.95</v>
      </c>
      <c r="M309" s="125">
        <f ca="1">IFERROR(__xludf.DUMMYFUNCTION("""COMPUTED_VALUE"""),43685.6666666666)</f>
        <v>43685.666666666599</v>
      </c>
      <c r="N309">
        <f ca="1">IFERROR(__xludf.DUMMYFUNCTION("""COMPUTED_VALUE"""),31.27)</f>
        <v>31.27</v>
      </c>
      <c r="O309" s="125">
        <f ca="1">IFERROR(__xludf.DUMMYFUNCTION("""COMPUTED_VALUE"""),43153.6666666666)</f>
        <v>43153.666666666599</v>
      </c>
      <c r="P309">
        <f ca="1">IFERROR(__xludf.DUMMYFUNCTION("""COMPUTED_VALUE"""),41.08)</f>
        <v>41.08</v>
      </c>
    </row>
    <row r="310" spans="2:16" ht="12.75">
      <c r="B310" s="125">
        <f ca="1">IFERROR(__xludf.DUMMYFUNCTION("""COMPUTED_VALUE"""),43154.6666666666)</f>
        <v>43154.666666666599</v>
      </c>
      <c r="C310">
        <f ca="1">IFERROR(__xludf.DUMMYFUNCTION("""COMPUTED_VALUE"""),42)</f>
        <v>42</v>
      </c>
      <c r="D310">
        <v>23.2</v>
      </c>
      <c r="E310">
        <v>23.5</v>
      </c>
      <c r="F310">
        <v>32.39</v>
      </c>
      <c r="G310">
        <v>9.4600000000000009</v>
      </c>
      <c r="H310">
        <v>203.1</v>
      </c>
      <c r="I310">
        <v>28.24</v>
      </c>
      <c r="J310">
        <v>54.35</v>
      </c>
      <c r="K310">
        <v>111.19</v>
      </c>
      <c r="L310">
        <v>32.21</v>
      </c>
      <c r="M310" s="125">
        <f ca="1">IFERROR(__xludf.DUMMYFUNCTION("""COMPUTED_VALUE"""),43686.6666666666)</f>
        <v>43686.666666666599</v>
      </c>
      <c r="N310">
        <f ca="1">IFERROR(__xludf.DUMMYFUNCTION("""COMPUTED_VALUE"""),31.34)</f>
        <v>31.34</v>
      </c>
      <c r="O310" s="125">
        <f ca="1">IFERROR(__xludf.DUMMYFUNCTION("""COMPUTED_VALUE"""),43154.6666666666)</f>
        <v>43154.666666666599</v>
      </c>
      <c r="P310">
        <f ca="1">IFERROR(__xludf.DUMMYFUNCTION("""COMPUTED_VALUE"""),42)</f>
        <v>42</v>
      </c>
    </row>
    <row r="311" spans="2:16" ht="12.75">
      <c r="B311" s="125">
        <f ca="1">IFERROR(__xludf.DUMMYFUNCTION("""COMPUTED_VALUE"""),43157.6666666666)</f>
        <v>43157.666666666599</v>
      </c>
      <c r="C311">
        <f ca="1">IFERROR(__xludf.DUMMYFUNCTION("""COMPUTED_VALUE"""),41.92)</f>
        <v>41.92</v>
      </c>
      <c r="D311">
        <v>23.65</v>
      </c>
      <c r="E311">
        <v>23.47</v>
      </c>
      <c r="F311">
        <v>32.619999999999997</v>
      </c>
      <c r="G311">
        <v>9.58</v>
      </c>
      <c r="H311">
        <v>205.3</v>
      </c>
      <c r="I311">
        <v>28.32</v>
      </c>
      <c r="J311">
        <v>54.69</v>
      </c>
      <c r="K311">
        <v>110.82</v>
      </c>
      <c r="L311">
        <v>32.479999999999997</v>
      </c>
      <c r="M311" s="125">
        <f ca="1">IFERROR(__xludf.DUMMYFUNCTION("""COMPUTED_VALUE"""),43689.6666666666)</f>
        <v>43689.666666666599</v>
      </c>
      <c r="N311">
        <f ca="1">IFERROR(__xludf.DUMMYFUNCTION("""COMPUTED_VALUE"""),31.27)</f>
        <v>31.27</v>
      </c>
      <c r="O311" s="125">
        <f ca="1">IFERROR(__xludf.DUMMYFUNCTION("""COMPUTED_VALUE"""),43157.6666666666)</f>
        <v>43157.666666666599</v>
      </c>
      <c r="P311">
        <f ca="1">IFERROR(__xludf.DUMMYFUNCTION("""COMPUTED_VALUE"""),41.92)</f>
        <v>41.92</v>
      </c>
    </row>
    <row r="312" spans="2:16" ht="12.75">
      <c r="B312" s="125">
        <f ca="1">IFERROR(__xludf.DUMMYFUNCTION("""COMPUTED_VALUE"""),43158.6666666666)</f>
        <v>43158.666666666599</v>
      </c>
      <c r="C312">
        <f ca="1">IFERROR(__xludf.DUMMYFUNCTION("""COMPUTED_VALUE"""),40.82)</f>
        <v>40.82</v>
      </c>
      <c r="D312">
        <v>23.28</v>
      </c>
      <c r="E312">
        <v>23.62</v>
      </c>
      <c r="F312">
        <v>32.049999999999997</v>
      </c>
      <c r="G312">
        <v>9.44</v>
      </c>
      <c r="H312">
        <v>202.86</v>
      </c>
      <c r="I312">
        <v>27.99</v>
      </c>
      <c r="J312">
        <v>53.97</v>
      </c>
      <c r="K312">
        <v>109.02</v>
      </c>
      <c r="L312">
        <v>31.95</v>
      </c>
      <c r="M312" s="125">
        <f ca="1">IFERROR(__xludf.DUMMYFUNCTION("""COMPUTED_VALUE"""),43690.6666666666)</f>
        <v>43690.666666666599</v>
      </c>
      <c r="N312">
        <f ca="1">IFERROR(__xludf.DUMMYFUNCTION("""COMPUTED_VALUE"""),31.4)</f>
        <v>31.4</v>
      </c>
      <c r="O312" s="125">
        <f ca="1">IFERROR(__xludf.DUMMYFUNCTION("""COMPUTED_VALUE"""),43158.6666666666)</f>
        <v>43158.666666666599</v>
      </c>
      <c r="P312">
        <f ca="1">IFERROR(__xludf.DUMMYFUNCTION("""COMPUTED_VALUE"""),40.82)</f>
        <v>40.82</v>
      </c>
    </row>
    <row r="313" spans="2:16" ht="12.75">
      <c r="B313" s="125">
        <f ca="1">IFERROR(__xludf.DUMMYFUNCTION("""COMPUTED_VALUE"""),43159.6666666666)</f>
        <v>43159.666666666599</v>
      </c>
      <c r="C313">
        <f ca="1">IFERROR(__xludf.DUMMYFUNCTION("""COMPUTED_VALUE"""),40.51)</f>
        <v>40.51</v>
      </c>
      <c r="D313">
        <v>23.1</v>
      </c>
      <c r="E313">
        <v>23.69</v>
      </c>
      <c r="F313">
        <v>31.81</v>
      </c>
      <c r="G313">
        <v>9.36</v>
      </c>
      <c r="H313">
        <v>202.87</v>
      </c>
      <c r="I313">
        <v>27.88</v>
      </c>
      <c r="J313">
        <v>53.41</v>
      </c>
      <c r="K313">
        <v>108.3</v>
      </c>
      <c r="L313">
        <v>31.4</v>
      </c>
      <c r="M313" s="125">
        <f ca="1">IFERROR(__xludf.DUMMYFUNCTION("""COMPUTED_VALUE"""),43691.6666666666)</f>
        <v>43691.666666666599</v>
      </c>
      <c r="N313">
        <f ca="1">IFERROR(__xludf.DUMMYFUNCTION("""COMPUTED_VALUE"""),30.82)</f>
        <v>30.82</v>
      </c>
      <c r="O313" s="125">
        <f ca="1">IFERROR(__xludf.DUMMYFUNCTION("""COMPUTED_VALUE"""),43159.6666666666)</f>
        <v>43159.666666666599</v>
      </c>
      <c r="P313">
        <f ca="1">IFERROR(__xludf.DUMMYFUNCTION("""COMPUTED_VALUE"""),40.51)</f>
        <v>40.51</v>
      </c>
    </row>
    <row r="314" spans="2:16" ht="12.75">
      <c r="B314" s="125">
        <f ca="1">IFERROR(__xludf.DUMMYFUNCTION("""COMPUTED_VALUE"""),43160.6666666666)</f>
        <v>43160.666666666599</v>
      </c>
      <c r="C314">
        <f ca="1">IFERROR(__xludf.DUMMYFUNCTION("""COMPUTED_VALUE"""),40.14)</f>
        <v>40.14</v>
      </c>
      <c r="D314">
        <v>22.84</v>
      </c>
      <c r="E314">
        <v>23.61</v>
      </c>
      <c r="F314">
        <v>31.5</v>
      </c>
      <c r="G314">
        <v>9.3000000000000007</v>
      </c>
      <c r="H314">
        <v>198.8</v>
      </c>
      <c r="I314">
        <v>27.21</v>
      </c>
      <c r="J314">
        <v>53.29</v>
      </c>
      <c r="K314">
        <v>108.3</v>
      </c>
      <c r="L314">
        <v>31.77</v>
      </c>
      <c r="M314" s="125">
        <f ca="1">IFERROR(__xludf.DUMMYFUNCTION("""COMPUTED_VALUE"""),43692.6666666666)</f>
        <v>43692.666666666599</v>
      </c>
      <c r="N314">
        <f ca="1">IFERROR(__xludf.DUMMYFUNCTION("""COMPUTED_VALUE"""),31.18)</f>
        <v>31.18</v>
      </c>
      <c r="O314" s="125">
        <f ca="1">IFERROR(__xludf.DUMMYFUNCTION("""COMPUTED_VALUE"""),43160.6666666666)</f>
        <v>43160.666666666599</v>
      </c>
      <c r="P314">
        <f ca="1">IFERROR(__xludf.DUMMYFUNCTION("""COMPUTED_VALUE"""),40.14)</f>
        <v>40.14</v>
      </c>
    </row>
    <row r="315" spans="2:16" ht="12.75">
      <c r="B315" s="125">
        <f ca="1">IFERROR(__xludf.DUMMYFUNCTION("""COMPUTED_VALUE"""),43161.6666666666)</f>
        <v>43161.666666666599</v>
      </c>
      <c r="C315">
        <f ca="1">IFERROR(__xludf.DUMMYFUNCTION("""COMPUTED_VALUE"""),40.27)</f>
        <v>40.270000000000003</v>
      </c>
      <c r="D315">
        <v>23.11</v>
      </c>
      <c r="E315">
        <v>23.51</v>
      </c>
      <c r="F315">
        <v>31.61</v>
      </c>
      <c r="G315">
        <v>9.36</v>
      </c>
      <c r="H315">
        <v>199.59</v>
      </c>
      <c r="I315">
        <v>27.06</v>
      </c>
      <c r="J315">
        <v>53.74</v>
      </c>
      <c r="K315">
        <v>107.97</v>
      </c>
      <c r="L315">
        <v>31.75</v>
      </c>
      <c r="M315" s="125">
        <f ca="1">IFERROR(__xludf.DUMMYFUNCTION("""COMPUTED_VALUE"""),43693.6666666666)</f>
        <v>43693.666666666599</v>
      </c>
      <c r="N315">
        <f ca="1">IFERROR(__xludf.DUMMYFUNCTION("""COMPUTED_VALUE"""),31.64)</f>
        <v>31.64</v>
      </c>
      <c r="O315" s="125">
        <f ca="1">IFERROR(__xludf.DUMMYFUNCTION("""COMPUTED_VALUE"""),43161.6666666666)</f>
        <v>43161.666666666599</v>
      </c>
      <c r="P315">
        <f ca="1">IFERROR(__xludf.DUMMYFUNCTION("""COMPUTED_VALUE"""),40.27)</f>
        <v>40.270000000000003</v>
      </c>
    </row>
    <row r="316" spans="2:16" ht="12.75">
      <c r="B316" s="125">
        <f ca="1">IFERROR(__xludf.DUMMYFUNCTION("""COMPUTED_VALUE"""),43164.6666666666)</f>
        <v>43164.666666666599</v>
      </c>
      <c r="C316">
        <f ca="1">IFERROR(__xludf.DUMMYFUNCTION("""COMPUTED_VALUE"""),40.53)</f>
        <v>40.53</v>
      </c>
      <c r="D316">
        <v>23.62</v>
      </c>
      <c r="E316">
        <v>23.51</v>
      </c>
      <c r="F316">
        <v>31.97</v>
      </c>
      <c r="G316">
        <v>9.39</v>
      </c>
      <c r="H316">
        <v>201.18</v>
      </c>
      <c r="I316">
        <v>27.41</v>
      </c>
      <c r="J316">
        <v>54.21</v>
      </c>
      <c r="K316">
        <v>110.02</v>
      </c>
      <c r="L316">
        <v>31.13</v>
      </c>
      <c r="M316" s="125">
        <f ca="1">IFERROR(__xludf.DUMMYFUNCTION("""COMPUTED_VALUE"""),43696.6666666666)</f>
        <v>43696.666666666599</v>
      </c>
      <c r="N316">
        <f ca="1">IFERROR(__xludf.DUMMYFUNCTION("""COMPUTED_VALUE"""),31.99)</f>
        <v>31.99</v>
      </c>
      <c r="O316" s="125">
        <f ca="1">IFERROR(__xludf.DUMMYFUNCTION("""COMPUTED_VALUE"""),43164.6666666666)</f>
        <v>43164.666666666599</v>
      </c>
      <c r="P316">
        <f ca="1">IFERROR(__xludf.DUMMYFUNCTION("""COMPUTED_VALUE"""),40.53)</f>
        <v>40.53</v>
      </c>
    </row>
    <row r="317" spans="2:16" ht="12.75">
      <c r="B317" s="125">
        <f ca="1">IFERROR(__xludf.DUMMYFUNCTION("""COMPUTED_VALUE"""),43165.6666666666)</f>
        <v>43165.666666666599</v>
      </c>
      <c r="C317">
        <f ca="1">IFERROR(__xludf.DUMMYFUNCTION("""COMPUTED_VALUE"""),41.32)</f>
        <v>41.32</v>
      </c>
      <c r="D317">
        <v>23.62</v>
      </c>
      <c r="E317">
        <v>23.45</v>
      </c>
      <c r="F317">
        <v>32.21</v>
      </c>
      <c r="G317">
        <v>9.4600000000000009</v>
      </c>
      <c r="H317">
        <v>200.84</v>
      </c>
      <c r="I317">
        <v>27.44</v>
      </c>
      <c r="J317">
        <v>54.25</v>
      </c>
      <c r="K317">
        <v>108.69</v>
      </c>
      <c r="L317">
        <v>31.45</v>
      </c>
      <c r="M317" s="125">
        <f ca="1">IFERROR(__xludf.DUMMYFUNCTION("""COMPUTED_VALUE"""),43697.6666666666)</f>
        <v>43697.666666666599</v>
      </c>
      <c r="N317">
        <f ca="1">IFERROR(__xludf.DUMMYFUNCTION("""COMPUTED_VALUE"""),31.77)</f>
        <v>31.77</v>
      </c>
      <c r="O317" s="125">
        <f ca="1">IFERROR(__xludf.DUMMYFUNCTION("""COMPUTED_VALUE"""),43165.6666666666)</f>
        <v>43165.666666666599</v>
      </c>
      <c r="P317">
        <f ca="1">IFERROR(__xludf.DUMMYFUNCTION("""COMPUTED_VALUE"""),41.32)</f>
        <v>41.32</v>
      </c>
    </row>
    <row r="318" spans="2:16" ht="12.75">
      <c r="B318" s="125">
        <f ca="1">IFERROR(__xludf.DUMMYFUNCTION("""COMPUTED_VALUE"""),43166.6666666666)</f>
        <v>43166.666666666599</v>
      </c>
      <c r="C318">
        <f ca="1">IFERROR(__xludf.DUMMYFUNCTION("""COMPUTED_VALUE"""),41.71)</f>
        <v>41.71</v>
      </c>
      <c r="D318">
        <v>23.85</v>
      </c>
      <c r="E318">
        <v>23.43</v>
      </c>
      <c r="F318">
        <v>32.409999999999997</v>
      </c>
      <c r="G318">
        <v>9.48</v>
      </c>
      <c r="H318">
        <v>201.45</v>
      </c>
      <c r="I318">
        <v>27.66</v>
      </c>
      <c r="J318">
        <v>53.76</v>
      </c>
      <c r="K318">
        <v>108.06</v>
      </c>
      <c r="L318">
        <v>31.38</v>
      </c>
      <c r="M318" s="125">
        <f ca="1">IFERROR(__xludf.DUMMYFUNCTION("""COMPUTED_VALUE"""),43698.6666666666)</f>
        <v>43698.666666666599</v>
      </c>
      <c r="N318">
        <f ca="1">IFERROR(__xludf.DUMMYFUNCTION("""COMPUTED_VALUE"""),31.97)</f>
        <v>31.97</v>
      </c>
      <c r="O318" s="125">
        <f ca="1">IFERROR(__xludf.DUMMYFUNCTION("""COMPUTED_VALUE"""),43166.6666666666)</f>
        <v>43166.666666666599</v>
      </c>
      <c r="P318">
        <f ca="1">IFERROR(__xludf.DUMMYFUNCTION("""COMPUTED_VALUE"""),41.71)</f>
        <v>41.71</v>
      </c>
    </row>
    <row r="319" spans="2:16" ht="12.75">
      <c r="B319" s="125">
        <f ca="1">IFERROR(__xludf.DUMMYFUNCTION("""COMPUTED_VALUE"""),43167.6666666666)</f>
        <v>43167.666666666599</v>
      </c>
      <c r="C319">
        <f ca="1">IFERROR(__xludf.DUMMYFUNCTION("""COMPUTED_VALUE"""),41.75)</f>
        <v>41.75</v>
      </c>
      <c r="D319">
        <v>23.82</v>
      </c>
      <c r="E319">
        <v>23.58</v>
      </c>
      <c r="F319">
        <v>32.44</v>
      </c>
      <c r="G319">
        <v>9.4700000000000006</v>
      </c>
      <c r="H319">
        <v>202.23</v>
      </c>
      <c r="I319">
        <v>27.85</v>
      </c>
      <c r="J319">
        <v>54.25</v>
      </c>
      <c r="K319">
        <v>108.81</v>
      </c>
      <c r="L319">
        <v>31.13</v>
      </c>
      <c r="M319" s="125">
        <f ca="1">IFERROR(__xludf.DUMMYFUNCTION("""COMPUTED_VALUE"""),43699.6666666666)</f>
        <v>43699.666666666599</v>
      </c>
      <c r="N319">
        <f ca="1">IFERROR(__xludf.DUMMYFUNCTION("""COMPUTED_VALUE"""),32.02)</f>
        <v>32.020000000000003</v>
      </c>
      <c r="O319" s="125">
        <f ca="1">IFERROR(__xludf.DUMMYFUNCTION("""COMPUTED_VALUE"""),43167.6666666666)</f>
        <v>43167.666666666599</v>
      </c>
      <c r="P319">
        <f ca="1">IFERROR(__xludf.DUMMYFUNCTION("""COMPUTED_VALUE"""),41.75)</f>
        <v>41.75</v>
      </c>
    </row>
    <row r="320" spans="2:16" ht="12.75">
      <c r="B320" s="125">
        <f ca="1">IFERROR(__xludf.DUMMYFUNCTION("""COMPUTED_VALUE"""),43168.6666666666)</f>
        <v>43168.666666666599</v>
      </c>
      <c r="C320">
        <f ca="1">IFERROR(__xludf.DUMMYFUNCTION("""COMPUTED_VALUE"""),42.64)</f>
        <v>42.64</v>
      </c>
      <c r="D320">
        <v>24.2</v>
      </c>
      <c r="E320">
        <v>23.55</v>
      </c>
      <c r="F320">
        <v>32.590000000000003</v>
      </c>
      <c r="G320">
        <v>9.5399999999999991</v>
      </c>
      <c r="H320">
        <v>205.09</v>
      </c>
      <c r="I320">
        <v>27.95</v>
      </c>
      <c r="J320">
        <v>54.6</v>
      </c>
      <c r="K320">
        <v>109.09</v>
      </c>
      <c r="L320">
        <v>31.33</v>
      </c>
      <c r="M320" s="125">
        <f ca="1">IFERROR(__xludf.DUMMYFUNCTION("""COMPUTED_VALUE"""),43700.6666666666)</f>
        <v>43700.666666666599</v>
      </c>
      <c r="N320">
        <f ca="1">IFERROR(__xludf.DUMMYFUNCTION("""COMPUTED_VALUE"""),31.65)</f>
        <v>31.65</v>
      </c>
      <c r="O320" s="125">
        <f ca="1">IFERROR(__xludf.DUMMYFUNCTION("""COMPUTED_VALUE"""),43168.6666666666)</f>
        <v>43168.666666666599</v>
      </c>
      <c r="P320">
        <f ca="1">IFERROR(__xludf.DUMMYFUNCTION("""COMPUTED_VALUE"""),42.64)</f>
        <v>42.64</v>
      </c>
    </row>
    <row r="321" spans="2:16" ht="12.75">
      <c r="B321" s="125">
        <f ca="1">IFERROR(__xludf.DUMMYFUNCTION("""COMPUTED_VALUE"""),43171.6666666666)</f>
        <v>43171.666666666599</v>
      </c>
      <c r="C321">
        <f ca="1">IFERROR(__xludf.DUMMYFUNCTION("""COMPUTED_VALUE"""),42.77)</f>
        <v>42.77</v>
      </c>
      <c r="D321">
        <v>24.39</v>
      </c>
      <c r="E321">
        <v>23.52</v>
      </c>
      <c r="F321">
        <v>32.619999999999997</v>
      </c>
      <c r="G321">
        <v>9.59</v>
      </c>
      <c r="H321">
        <v>201.54</v>
      </c>
      <c r="I321">
        <v>28.01</v>
      </c>
      <c r="J321">
        <v>54.5</v>
      </c>
      <c r="K321">
        <v>109.65</v>
      </c>
      <c r="L321">
        <v>30.92</v>
      </c>
      <c r="M321" s="125">
        <f ca="1">IFERROR(__xludf.DUMMYFUNCTION("""COMPUTED_VALUE"""),43703.6666666666)</f>
        <v>43703.666666666599</v>
      </c>
      <c r="N321">
        <f ca="1">IFERROR(__xludf.DUMMYFUNCTION("""COMPUTED_VALUE"""),31.98)</f>
        <v>31.98</v>
      </c>
      <c r="O321" s="125">
        <f ca="1">IFERROR(__xludf.DUMMYFUNCTION("""COMPUTED_VALUE"""),43171.6666666666)</f>
        <v>43171.666666666599</v>
      </c>
      <c r="P321">
        <f ca="1">IFERROR(__xludf.DUMMYFUNCTION("""COMPUTED_VALUE"""),42.77)</f>
        <v>42.77</v>
      </c>
    </row>
    <row r="322" spans="2:16" ht="12.75">
      <c r="B322" s="125">
        <f ca="1">IFERROR(__xludf.DUMMYFUNCTION("""COMPUTED_VALUE"""),43172.6666666666)</f>
        <v>43172.666666666599</v>
      </c>
      <c r="C322">
        <f ca="1">IFERROR(__xludf.DUMMYFUNCTION("""COMPUTED_VALUE"""),42.16)</f>
        <v>42.16</v>
      </c>
      <c r="D322">
        <v>24.2</v>
      </c>
      <c r="E322">
        <v>23.46</v>
      </c>
      <c r="F322">
        <v>32.299999999999997</v>
      </c>
      <c r="G322">
        <v>9.57</v>
      </c>
      <c r="H322">
        <v>200.98</v>
      </c>
      <c r="I322">
        <v>27.45</v>
      </c>
      <c r="J322">
        <v>54.46</v>
      </c>
      <c r="K322">
        <v>109.9</v>
      </c>
      <c r="L322">
        <v>30.66</v>
      </c>
      <c r="M322" s="125">
        <f ca="1">IFERROR(__xludf.DUMMYFUNCTION("""COMPUTED_VALUE"""),43704.6666666666)</f>
        <v>43704.666666666599</v>
      </c>
      <c r="N322">
        <f ca="1">IFERROR(__xludf.DUMMYFUNCTION("""COMPUTED_VALUE"""),31.87)</f>
        <v>31.87</v>
      </c>
      <c r="O322" s="125">
        <f ca="1">IFERROR(__xludf.DUMMYFUNCTION("""COMPUTED_VALUE"""),43172.6666666666)</f>
        <v>43172.666666666599</v>
      </c>
      <c r="P322">
        <f ca="1">IFERROR(__xludf.DUMMYFUNCTION("""COMPUTED_VALUE"""),42.16)</f>
        <v>42.16</v>
      </c>
    </row>
    <row r="323" spans="2:16" ht="12.75">
      <c r="B323" s="125">
        <f ca="1">IFERROR(__xludf.DUMMYFUNCTION("""COMPUTED_VALUE"""),43173.6666666666)</f>
        <v>43173.666666666599</v>
      </c>
      <c r="C323">
        <f ca="1">IFERROR(__xludf.DUMMYFUNCTION("""COMPUTED_VALUE"""),42.4)</f>
        <v>42.4</v>
      </c>
      <c r="D323">
        <v>24.49</v>
      </c>
      <c r="E323">
        <v>23.47</v>
      </c>
      <c r="F323">
        <v>32.33</v>
      </c>
      <c r="G323">
        <v>9.59</v>
      </c>
      <c r="H323">
        <v>198.7</v>
      </c>
      <c r="I323">
        <v>27.64</v>
      </c>
      <c r="J323">
        <v>53.91</v>
      </c>
      <c r="K323">
        <v>110.86</v>
      </c>
      <c r="L323">
        <v>31.37</v>
      </c>
      <c r="M323" s="125">
        <f ca="1">IFERROR(__xludf.DUMMYFUNCTION("""COMPUTED_VALUE"""),43705.6666666666)</f>
        <v>43705.666666666599</v>
      </c>
      <c r="N323">
        <f ca="1">IFERROR(__xludf.DUMMYFUNCTION("""COMPUTED_VALUE"""),31.93)</f>
        <v>31.93</v>
      </c>
      <c r="O323" s="125">
        <f ca="1">IFERROR(__xludf.DUMMYFUNCTION("""COMPUTED_VALUE"""),43173.6666666666)</f>
        <v>43173.666666666599</v>
      </c>
      <c r="P323">
        <f ca="1">IFERROR(__xludf.DUMMYFUNCTION("""COMPUTED_VALUE"""),42.4)</f>
        <v>42.4</v>
      </c>
    </row>
    <row r="324" spans="2:16" ht="12.75">
      <c r="B324" s="125">
        <f ca="1">IFERROR(__xludf.DUMMYFUNCTION("""COMPUTED_VALUE"""),43174.6666666666)</f>
        <v>43174.666666666599</v>
      </c>
      <c r="C324">
        <f ca="1">IFERROR(__xludf.DUMMYFUNCTION("""COMPUTED_VALUE"""),42.58)</f>
        <v>42.58</v>
      </c>
      <c r="D324">
        <v>24.49</v>
      </c>
      <c r="E324">
        <v>23.56</v>
      </c>
      <c r="F324">
        <v>32.31</v>
      </c>
      <c r="G324">
        <v>9.6</v>
      </c>
      <c r="H324">
        <v>198.61</v>
      </c>
      <c r="I324">
        <v>27.88</v>
      </c>
      <c r="J324">
        <v>53.53</v>
      </c>
      <c r="K324">
        <v>110.88</v>
      </c>
      <c r="L324">
        <v>31.62</v>
      </c>
      <c r="M324" s="125">
        <f ca="1">IFERROR(__xludf.DUMMYFUNCTION("""COMPUTED_VALUE"""),43706.6666666666)</f>
        <v>43706.666666666599</v>
      </c>
      <c r="N324">
        <f ca="1">IFERROR(__xludf.DUMMYFUNCTION("""COMPUTED_VALUE"""),32.12)</f>
        <v>32.119999999999997</v>
      </c>
      <c r="O324" s="125">
        <f ca="1">IFERROR(__xludf.DUMMYFUNCTION("""COMPUTED_VALUE"""),43174.6666666666)</f>
        <v>43174.666666666599</v>
      </c>
      <c r="P324">
        <f ca="1">IFERROR(__xludf.DUMMYFUNCTION("""COMPUTED_VALUE"""),42.58)</f>
        <v>42.58</v>
      </c>
    </row>
    <row r="325" spans="2:16" ht="12.75">
      <c r="B325" s="125">
        <f ca="1">IFERROR(__xludf.DUMMYFUNCTION("""COMPUTED_VALUE"""),43175.6666666666)</f>
        <v>43175.666666666599</v>
      </c>
      <c r="C325">
        <f ca="1">IFERROR(__xludf.DUMMYFUNCTION("""COMPUTED_VALUE"""),42.58)</f>
        <v>42.58</v>
      </c>
      <c r="D325">
        <v>24.42</v>
      </c>
      <c r="E325">
        <v>23.62</v>
      </c>
      <c r="F325">
        <v>32.4</v>
      </c>
      <c r="G325">
        <v>9.5299999999999994</v>
      </c>
      <c r="H325">
        <v>198.16</v>
      </c>
      <c r="I325">
        <v>27.89</v>
      </c>
      <c r="J325">
        <v>53.25</v>
      </c>
      <c r="K325">
        <v>111.08</v>
      </c>
      <c r="L325">
        <v>31.76</v>
      </c>
      <c r="M325" s="125">
        <f ca="1">IFERROR(__xludf.DUMMYFUNCTION("""COMPUTED_VALUE"""),43707.6666666666)</f>
        <v>43707.666666666599</v>
      </c>
      <c r="N325">
        <f ca="1">IFERROR(__xludf.DUMMYFUNCTION("""COMPUTED_VALUE"""),31.98)</f>
        <v>31.98</v>
      </c>
      <c r="O325" s="125">
        <f ca="1">IFERROR(__xludf.DUMMYFUNCTION("""COMPUTED_VALUE"""),43175.6666666666)</f>
        <v>43175.666666666599</v>
      </c>
      <c r="P325">
        <f ca="1">IFERROR(__xludf.DUMMYFUNCTION("""COMPUTED_VALUE"""),42.58)</f>
        <v>42.58</v>
      </c>
    </row>
    <row r="326" spans="2:16" ht="12.75">
      <c r="B326" s="125">
        <f ca="1">IFERROR(__xludf.DUMMYFUNCTION("""COMPUTED_VALUE"""),43178.6666666666)</f>
        <v>43178.666666666599</v>
      </c>
      <c r="C326">
        <f ca="1">IFERROR(__xludf.DUMMYFUNCTION("""COMPUTED_VALUE"""),41.91)</f>
        <v>41.91</v>
      </c>
      <c r="D326">
        <v>24.17</v>
      </c>
      <c r="E326">
        <v>23.52</v>
      </c>
      <c r="F326">
        <v>32.33</v>
      </c>
      <c r="G326">
        <v>9.58</v>
      </c>
      <c r="H326">
        <v>198.69</v>
      </c>
      <c r="I326">
        <v>27.55</v>
      </c>
      <c r="J326">
        <v>52.73</v>
      </c>
      <c r="K326">
        <v>110.44</v>
      </c>
      <c r="L326">
        <v>32.130000000000003</v>
      </c>
      <c r="M326" s="125">
        <f ca="1">IFERROR(__xludf.DUMMYFUNCTION("""COMPUTED_VALUE"""),43711.6666666666)</f>
        <v>43711.666666666599</v>
      </c>
      <c r="N326">
        <f ca="1">IFERROR(__xludf.DUMMYFUNCTION("""COMPUTED_VALUE"""),32.4)</f>
        <v>32.4</v>
      </c>
      <c r="O326" s="125">
        <f ca="1">IFERROR(__xludf.DUMMYFUNCTION("""COMPUTED_VALUE"""),43178.6666666666)</f>
        <v>43178.666666666599</v>
      </c>
      <c r="P326">
        <f ca="1">IFERROR(__xludf.DUMMYFUNCTION("""COMPUTED_VALUE"""),41.91)</f>
        <v>41.91</v>
      </c>
    </row>
    <row r="327" spans="2:16" ht="12.75">
      <c r="B327" s="125">
        <f ca="1">IFERROR(__xludf.DUMMYFUNCTION("""COMPUTED_VALUE"""),43179.6666666666)</f>
        <v>43179.666666666599</v>
      </c>
      <c r="C327">
        <f ca="1">IFERROR(__xludf.DUMMYFUNCTION("""COMPUTED_VALUE"""),42.63)</f>
        <v>42.63</v>
      </c>
      <c r="D327">
        <v>24.6</v>
      </c>
      <c r="E327">
        <v>23.66</v>
      </c>
      <c r="F327">
        <v>32.299999999999997</v>
      </c>
      <c r="G327">
        <v>9.66</v>
      </c>
      <c r="H327">
        <v>200.06</v>
      </c>
      <c r="I327">
        <v>27.81</v>
      </c>
      <c r="J327">
        <v>52.58</v>
      </c>
      <c r="K327">
        <v>109.93</v>
      </c>
      <c r="L327">
        <v>32.380000000000003</v>
      </c>
      <c r="M327" s="125">
        <f ca="1">IFERROR(__xludf.DUMMYFUNCTION("""COMPUTED_VALUE"""),43712.6666666666)</f>
        <v>43712.666666666599</v>
      </c>
      <c r="N327">
        <f ca="1">IFERROR(__xludf.DUMMYFUNCTION("""COMPUTED_VALUE"""),32.66)</f>
        <v>32.659999999999997</v>
      </c>
      <c r="O327" s="125">
        <f ca="1">IFERROR(__xludf.DUMMYFUNCTION("""COMPUTED_VALUE"""),43179.6666666666)</f>
        <v>43179.666666666599</v>
      </c>
      <c r="P327">
        <f ca="1">IFERROR(__xludf.DUMMYFUNCTION("""COMPUTED_VALUE"""),42.63)</f>
        <v>42.63</v>
      </c>
    </row>
    <row r="328" spans="2:16" ht="12.75">
      <c r="B328" s="125">
        <f ca="1">IFERROR(__xludf.DUMMYFUNCTION("""COMPUTED_VALUE"""),43180.6666666666)</f>
        <v>43180.666666666599</v>
      </c>
      <c r="C328">
        <f ca="1">IFERROR(__xludf.DUMMYFUNCTION("""COMPUTED_VALUE"""),42.61)</f>
        <v>42.61</v>
      </c>
      <c r="D328">
        <v>24.49</v>
      </c>
      <c r="E328">
        <v>23.47</v>
      </c>
      <c r="F328">
        <v>32.33</v>
      </c>
      <c r="G328">
        <v>9.69</v>
      </c>
      <c r="H328">
        <v>200.49</v>
      </c>
      <c r="I328">
        <v>27.6</v>
      </c>
      <c r="J328">
        <v>51.93</v>
      </c>
      <c r="K328">
        <v>109.63</v>
      </c>
      <c r="L328">
        <v>32.590000000000003</v>
      </c>
      <c r="M328" s="125">
        <f ca="1">IFERROR(__xludf.DUMMYFUNCTION("""COMPUTED_VALUE"""),43713.6666666666)</f>
        <v>43713.666666666599</v>
      </c>
      <c r="N328">
        <f ca="1">IFERROR(__xludf.DUMMYFUNCTION("""COMPUTED_VALUE"""),32.41)</f>
        <v>32.409999999999997</v>
      </c>
      <c r="O328" s="125">
        <f ca="1">IFERROR(__xludf.DUMMYFUNCTION("""COMPUTED_VALUE"""),43180.6666666666)</f>
        <v>43180.666666666599</v>
      </c>
      <c r="P328">
        <f ca="1">IFERROR(__xludf.DUMMYFUNCTION("""COMPUTED_VALUE"""),42.61)</f>
        <v>42.61</v>
      </c>
    </row>
    <row r="329" spans="2:16" ht="12.75">
      <c r="B329" s="125">
        <f ca="1">IFERROR(__xludf.DUMMYFUNCTION("""COMPUTED_VALUE"""),43181.6666666666)</f>
        <v>43181.666666666599</v>
      </c>
      <c r="C329">
        <f ca="1">IFERROR(__xludf.DUMMYFUNCTION("""COMPUTED_VALUE"""),40.53)</f>
        <v>40.53</v>
      </c>
      <c r="D329">
        <v>23.87</v>
      </c>
      <c r="E329">
        <v>23.5</v>
      </c>
      <c r="F329">
        <v>31.63</v>
      </c>
      <c r="G329">
        <v>9.52</v>
      </c>
      <c r="H329">
        <v>194.1</v>
      </c>
      <c r="I329">
        <v>27.03</v>
      </c>
      <c r="J329">
        <v>51.5</v>
      </c>
      <c r="K329">
        <v>110.04</v>
      </c>
      <c r="L329">
        <v>32.57</v>
      </c>
      <c r="M329" s="125">
        <f ca="1">IFERROR(__xludf.DUMMYFUNCTION("""COMPUTED_VALUE"""),43714.6666666666)</f>
        <v>43714.666666666599</v>
      </c>
      <c r="N329">
        <f ca="1">IFERROR(__xludf.DUMMYFUNCTION("""COMPUTED_VALUE"""),32.35)</f>
        <v>32.35</v>
      </c>
      <c r="O329" s="125">
        <f ca="1">IFERROR(__xludf.DUMMYFUNCTION("""COMPUTED_VALUE"""),43181.6666666666)</f>
        <v>43181.666666666599</v>
      </c>
      <c r="P329">
        <f ca="1">IFERROR(__xludf.DUMMYFUNCTION("""COMPUTED_VALUE"""),40.53)</f>
        <v>40.53</v>
      </c>
    </row>
    <row r="330" spans="2:16" ht="12.75">
      <c r="B330" s="125">
        <f ca="1">IFERROR(__xludf.DUMMYFUNCTION("""COMPUTED_VALUE"""),43182.6666666666)</f>
        <v>43182.666666666599</v>
      </c>
      <c r="C330">
        <f ca="1">IFERROR(__xludf.DUMMYFUNCTION("""COMPUTED_VALUE"""),39.72)</f>
        <v>39.72</v>
      </c>
      <c r="D330">
        <v>23.35</v>
      </c>
      <c r="E330">
        <v>23.42</v>
      </c>
      <c r="F330">
        <v>31.37</v>
      </c>
      <c r="G330">
        <v>9.39</v>
      </c>
      <c r="H330">
        <v>194.72</v>
      </c>
      <c r="I330">
        <v>26.61</v>
      </c>
      <c r="J330">
        <v>50.86</v>
      </c>
      <c r="K330">
        <v>108.46</v>
      </c>
      <c r="L330">
        <v>32.590000000000003</v>
      </c>
      <c r="M330" s="125">
        <f ca="1">IFERROR(__xludf.DUMMYFUNCTION("""COMPUTED_VALUE"""),43717.6666666666)</f>
        <v>43717.666666666599</v>
      </c>
      <c r="N330">
        <f ca="1">IFERROR(__xludf.DUMMYFUNCTION("""COMPUTED_VALUE"""),31.68)</f>
        <v>31.68</v>
      </c>
      <c r="O330" s="125">
        <f ca="1">IFERROR(__xludf.DUMMYFUNCTION("""COMPUTED_VALUE"""),43182.6666666666)</f>
        <v>43182.666666666599</v>
      </c>
      <c r="P330">
        <f ca="1">IFERROR(__xludf.DUMMYFUNCTION("""COMPUTED_VALUE"""),39.72)</f>
        <v>39.72</v>
      </c>
    </row>
    <row r="331" spans="2:16" ht="12.75">
      <c r="B331" s="125">
        <f ca="1">IFERROR(__xludf.DUMMYFUNCTION("""COMPUTED_VALUE"""),43185.6666666666)</f>
        <v>43185.666666666599</v>
      </c>
      <c r="C331">
        <f ca="1">IFERROR(__xludf.DUMMYFUNCTION("""COMPUTED_VALUE"""),40.87)</f>
        <v>40.869999999999997</v>
      </c>
      <c r="D331">
        <v>23.83</v>
      </c>
      <c r="E331">
        <v>23.31</v>
      </c>
      <c r="F331">
        <v>31.94</v>
      </c>
      <c r="G331">
        <v>9.7200000000000006</v>
      </c>
      <c r="H331">
        <v>199.82</v>
      </c>
      <c r="I331">
        <v>26.93</v>
      </c>
      <c r="J331">
        <v>51.59</v>
      </c>
      <c r="K331">
        <v>109.61</v>
      </c>
      <c r="L331">
        <v>32.159999999999997</v>
      </c>
      <c r="M331" s="125">
        <f ca="1">IFERROR(__xludf.DUMMYFUNCTION("""COMPUTED_VALUE"""),43718.6666666666)</f>
        <v>43718.666666666599</v>
      </c>
      <c r="N331">
        <f ca="1">IFERROR(__xludf.DUMMYFUNCTION("""COMPUTED_VALUE"""),31.06)</f>
        <v>31.06</v>
      </c>
      <c r="O331" s="125">
        <f ca="1">IFERROR(__xludf.DUMMYFUNCTION("""COMPUTED_VALUE"""),43185.6666666666)</f>
        <v>43185.666666666599</v>
      </c>
      <c r="P331">
        <f ca="1">IFERROR(__xludf.DUMMYFUNCTION("""COMPUTED_VALUE"""),40.87)</f>
        <v>40.869999999999997</v>
      </c>
    </row>
    <row r="332" spans="2:16" ht="12.75">
      <c r="B332" s="125">
        <f ca="1">IFERROR(__xludf.DUMMYFUNCTION("""COMPUTED_VALUE"""),43186.6666666666)</f>
        <v>43186.666666666599</v>
      </c>
      <c r="C332">
        <f ca="1">IFERROR(__xludf.DUMMYFUNCTION("""COMPUTED_VALUE"""),39.55)</f>
        <v>39.549999999999997</v>
      </c>
      <c r="D332">
        <v>23.39</v>
      </c>
      <c r="E332">
        <v>23.42</v>
      </c>
      <c r="F332">
        <v>31.59</v>
      </c>
      <c r="G332">
        <v>9.57</v>
      </c>
      <c r="H332">
        <v>196.66</v>
      </c>
      <c r="I332">
        <v>26.76</v>
      </c>
      <c r="J332">
        <v>51.56</v>
      </c>
      <c r="K332">
        <v>111.16</v>
      </c>
      <c r="L332">
        <v>32.32</v>
      </c>
      <c r="M332" s="125">
        <f ca="1">IFERROR(__xludf.DUMMYFUNCTION("""COMPUTED_VALUE"""),43719.6666666666)</f>
        <v>43719.666666666599</v>
      </c>
      <c r="N332">
        <f ca="1">IFERROR(__xludf.DUMMYFUNCTION("""COMPUTED_VALUE"""),31.27)</f>
        <v>31.27</v>
      </c>
      <c r="O332" s="125">
        <f ca="1">IFERROR(__xludf.DUMMYFUNCTION("""COMPUTED_VALUE"""),43186.6666666666)</f>
        <v>43186.666666666599</v>
      </c>
      <c r="P332">
        <f ca="1">IFERROR(__xludf.DUMMYFUNCTION("""COMPUTED_VALUE"""),39.55)</f>
        <v>39.549999999999997</v>
      </c>
    </row>
    <row r="333" spans="2:16" ht="12.75">
      <c r="B333" s="125">
        <f ca="1">IFERROR(__xludf.DUMMYFUNCTION("""COMPUTED_VALUE"""),43187.6666666666)</f>
        <v>43187.666666666599</v>
      </c>
      <c r="C333">
        <f ca="1">IFERROR(__xludf.DUMMYFUNCTION("""COMPUTED_VALUE"""),38.8)</f>
        <v>38.799999999999997</v>
      </c>
      <c r="D333">
        <v>23.03</v>
      </c>
      <c r="E333">
        <v>23.63</v>
      </c>
      <c r="F333">
        <v>31.8</v>
      </c>
      <c r="G333">
        <v>9.48</v>
      </c>
      <c r="H333">
        <v>195.1</v>
      </c>
      <c r="I333">
        <v>26.95</v>
      </c>
      <c r="J333">
        <v>52.27</v>
      </c>
      <c r="K333">
        <v>111.26</v>
      </c>
      <c r="L333">
        <v>32.76</v>
      </c>
      <c r="M333" s="125">
        <f ca="1">IFERROR(__xludf.DUMMYFUNCTION("""COMPUTED_VALUE"""),43720.6666666666)</f>
        <v>43720.666666666599</v>
      </c>
      <c r="N333">
        <f ca="1">IFERROR(__xludf.DUMMYFUNCTION("""COMPUTED_VALUE"""),31.72)</f>
        <v>31.72</v>
      </c>
      <c r="O333" s="125">
        <f ca="1">IFERROR(__xludf.DUMMYFUNCTION("""COMPUTED_VALUE"""),43187.6666666666)</f>
        <v>43187.666666666599</v>
      </c>
      <c r="P333">
        <f ca="1">IFERROR(__xludf.DUMMYFUNCTION("""COMPUTED_VALUE"""),38.8)</f>
        <v>38.799999999999997</v>
      </c>
    </row>
    <row r="334" spans="2:16" ht="12.75">
      <c r="B334" s="125">
        <f ca="1">IFERROR(__xludf.DUMMYFUNCTION("""COMPUTED_VALUE"""),43188.6666666666)</f>
        <v>43188.666666666599</v>
      </c>
      <c r="C334">
        <f ca="1">IFERROR(__xludf.DUMMYFUNCTION("""COMPUTED_VALUE"""),39.47)</f>
        <v>39.47</v>
      </c>
      <c r="D334">
        <v>23.38</v>
      </c>
      <c r="E334">
        <v>23.61</v>
      </c>
      <c r="F334">
        <v>31.97</v>
      </c>
      <c r="G334">
        <v>9.52</v>
      </c>
      <c r="H334">
        <v>197.96</v>
      </c>
      <c r="I334">
        <v>27.4</v>
      </c>
      <c r="J334">
        <v>52.63</v>
      </c>
      <c r="K334">
        <v>111.81</v>
      </c>
      <c r="L334">
        <v>33.01</v>
      </c>
      <c r="M334" s="125">
        <f ca="1">IFERROR(__xludf.DUMMYFUNCTION("""COMPUTED_VALUE"""),43721.6666666666)</f>
        <v>43721.666666666599</v>
      </c>
      <c r="N334">
        <f ca="1">IFERROR(__xludf.DUMMYFUNCTION("""COMPUTED_VALUE"""),31.38)</f>
        <v>31.38</v>
      </c>
      <c r="O334" s="125">
        <f ca="1">IFERROR(__xludf.DUMMYFUNCTION("""COMPUTED_VALUE"""),43188.6666666666)</f>
        <v>43188.666666666599</v>
      </c>
      <c r="P334">
        <f ca="1">IFERROR(__xludf.DUMMYFUNCTION("""COMPUTED_VALUE"""),39.47)</f>
        <v>39.47</v>
      </c>
    </row>
    <row r="335" spans="2:16" ht="12.75">
      <c r="B335" s="125">
        <f ca="1">IFERROR(__xludf.DUMMYFUNCTION("""COMPUTED_VALUE"""),43192.6666666666)</f>
        <v>43192.666666666599</v>
      </c>
      <c r="C335">
        <f ca="1">IFERROR(__xludf.DUMMYFUNCTION("""COMPUTED_VALUE"""),38.62)</f>
        <v>38.619999999999997</v>
      </c>
      <c r="D335">
        <v>22.97</v>
      </c>
      <c r="E335">
        <v>23.6</v>
      </c>
      <c r="F335">
        <v>31.56</v>
      </c>
      <c r="G335">
        <v>9.3800000000000008</v>
      </c>
      <c r="H335">
        <v>194.97</v>
      </c>
      <c r="I335">
        <v>27</v>
      </c>
      <c r="J335">
        <v>51.34</v>
      </c>
      <c r="K335">
        <v>110.84</v>
      </c>
      <c r="L335">
        <v>33.35</v>
      </c>
      <c r="M335" s="125">
        <f ca="1">IFERROR(__xludf.DUMMYFUNCTION("""COMPUTED_VALUE"""),43724.6666666666)</f>
        <v>43724.666666666599</v>
      </c>
      <c r="N335">
        <f ca="1">IFERROR(__xludf.DUMMYFUNCTION("""COMPUTED_VALUE"""),31.67)</f>
        <v>31.67</v>
      </c>
      <c r="O335" s="125">
        <f ca="1">IFERROR(__xludf.DUMMYFUNCTION("""COMPUTED_VALUE"""),43192.6666666666)</f>
        <v>43192.666666666599</v>
      </c>
      <c r="P335">
        <f ca="1">IFERROR(__xludf.DUMMYFUNCTION("""COMPUTED_VALUE"""),38.62)</f>
        <v>38.619999999999997</v>
      </c>
    </row>
    <row r="336" spans="2:16" ht="12.75">
      <c r="B336" s="125">
        <f ca="1">IFERROR(__xludf.DUMMYFUNCTION("""COMPUTED_VALUE"""),43193.6666666666)</f>
        <v>43193.666666666599</v>
      </c>
      <c r="C336">
        <f ca="1">IFERROR(__xludf.DUMMYFUNCTION("""COMPUTED_VALUE"""),38.55)</f>
        <v>38.549999999999997</v>
      </c>
      <c r="D336">
        <v>22.8</v>
      </c>
      <c r="E336">
        <v>23.64</v>
      </c>
      <c r="F336">
        <v>31.82</v>
      </c>
      <c r="G336">
        <v>9.6</v>
      </c>
      <c r="H336">
        <v>197.42</v>
      </c>
      <c r="I336">
        <v>27.23</v>
      </c>
      <c r="J336">
        <v>52.02</v>
      </c>
      <c r="K336">
        <v>111.37</v>
      </c>
      <c r="L336">
        <v>33.22</v>
      </c>
      <c r="M336" s="125">
        <f ca="1">IFERROR(__xludf.DUMMYFUNCTION("""COMPUTED_VALUE"""),43725.6666666666)</f>
        <v>43725.666666666599</v>
      </c>
      <c r="N336">
        <f ca="1">IFERROR(__xludf.DUMMYFUNCTION("""COMPUTED_VALUE"""),32.11)</f>
        <v>32.11</v>
      </c>
      <c r="O336" s="125">
        <f ca="1">IFERROR(__xludf.DUMMYFUNCTION("""COMPUTED_VALUE"""),43193.6666666666)</f>
        <v>43193.666666666599</v>
      </c>
      <c r="P336">
        <f ca="1">IFERROR(__xludf.DUMMYFUNCTION("""COMPUTED_VALUE"""),38.55)</f>
        <v>38.549999999999997</v>
      </c>
    </row>
    <row r="337" spans="2:16" ht="12.75">
      <c r="B337" s="125">
        <f ca="1">IFERROR(__xludf.DUMMYFUNCTION("""COMPUTED_VALUE"""),43194.6666666666)</f>
        <v>43194.666666666599</v>
      </c>
      <c r="C337">
        <f ca="1">IFERROR(__xludf.DUMMYFUNCTION("""COMPUTED_VALUE"""),38.79)</f>
        <v>38.79</v>
      </c>
      <c r="D337">
        <v>22.85</v>
      </c>
      <c r="E337">
        <v>23.63</v>
      </c>
      <c r="F337">
        <v>31.86</v>
      </c>
      <c r="G337">
        <v>9.69</v>
      </c>
      <c r="H337">
        <v>198.61</v>
      </c>
      <c r="I337">
        <v>27.24</v>
      </c>
      <c r="J337">
        <v>52.83</v>
      </c>
      <c r="K337">
        <v>111.55</v>
      </c>
      <c r="L337">
        <v>32.950000000000003</v>
      </c>
      <c r="M337" s="125">
        <f ca="1">IFERROR(__xludf.DUMMYFUNCTION("""COMPUTED_VALUE"""),43726.6666666666)</f>
        <v>43726.666666666599</v>
      </c>
      <c r="N337">
        <f ca="1">IFERROR(__xludf.DUMMYFUNCTION("""COMPUTED_VALUE"""),32)</f>
        <v>32</v>
      </c>
      <c r="O337" s="125">
        <f ca="1">IFERROR(__xludf.DUMMYFUNCTION("""COMPUTED_VALUE"""),43194.6666666666)</f>
        <v>43194.666666666599</v>
      </c>
      <c r="P337">
        <f ca="1">IFERROR(__xludf.DUMMYFUNCTION("""COMPUTED_VALUE"""),38.79)</f>
        <v>38.79</v>
      </c>
    </row>
    <row r="338" spans="2:16" ht="12.75">
      <c r="B338" s="125">
        <f ca="1">IFERROR(__xludf.DUMMYFUNCTION("""COMPUTED_VALUE"""),43195.6666666666)</f>
        <v>43195.666666666599</v>
      </c>
      <c r="C338">
        <f ca="1">IFERROR(__xludf.DUMMYFUNCTION("""COMPUTED_VALUE"""),38.96)</f>
        <v>38.96</v>
      </c>
      <c r="D338">
        <v>23.15</v>
      </c>
      <c r="E338">
        <v>23.72</v>
      </c>
      <c r="F338">
        <v>32.08</v>
      </c>
      <c r="G338">
        <v>9.76</v>
      </c>
      <c r="H338">
        <v>201.56</v>
      </c>
      <c r="I338">
        <v>27.69</v>
      </c>
      <c r="J338">
        <v>52.96</v>
      </c>
      <c r="K338">
        <v>112.45</v>
      </c>
      <c r="L338">
        <v>32.57</v>
      </c>
      <c r="M338" s="125">
        <f ca="1">IFERROR(__xludf.DUMMYFUNCTION("""COMPUTED_VALUE"""),43727.6666666666)</f>
        <v>43727.666666666599</v>
      </c>
      <c r="N338">
        <f ca="1">IFERROR(__xludf.DUMMYFUNCTION("""COMPUTED_VALUE"""),32.33)</f>
        <v>32.33</v>
      </c>
      <c r="O338" s="125">
        <f ca="1">IFERROR(__xludf.DUMMYFUNCTION("""COMPUTED_VALUE"""),43195.6666666666)</f>
        <v>43195.666666666599</v>
      </c>
      <c r="P338">
        <f ca="1">IFERROR(__xludf.DUMMYFUNCTION("""COMPUTED_VALUE"""),38.96)</f>
        <v>38.96</v>
      </c>
    </row>
    <row r="339" spans="2:16" ht="12.75">
      <c r="B339" s="125">
        <f ca="1">IFERROR(__xludf.DUMMYFUNCTION("""COMPUTED_VALUE"""),43196.6666666666)</f>
        <v>43196.666666666599</v>
      </c>
      <c r="C339">
        <f ca="1">IFERROR(__xludf.DUMMYFUNCTION("""COMPUTED_VALUE"""),38.22)</f>
        <v>38.22</v>
      </c>
      <c r="D339">
        <v>22.72</v>
      </c>
      <c r="E339">
        <v>23.63</v>
      </c>
      <c r="F339">
        <v>31.94</v>
      </c>
      <c r="G339">
        <v>9.6199999999999992</v>
      </c>
      <c r="H339">
        <v>196.63</v>
      </c>
      <c r="I339">
        <v>27.48</v>
      </c>
      <c r="J339">
        <v>52.42</v>
      </c>
      <c r="K339">
        <v>111.56</v>
      </c>
      <c r="L339">
        <v>32.549999999999997</v>
      </c>
      <c r="M339" s="125">
        <f ca="1">IFERROR(__xludf.DUMMYFUNCTION("""COMPUTED_VALUE"""),43728.6666666666)</f>
        <v>43728.666666666599</v>
      </c>
      <c r="N339">
        <f ca="1">IFERROR(__xludf.DUMMYFUNCTION("""COMPUTED_VALUE"""),32.45)</f>
        <v>32.450000000000003</v>
      </c>
      <c r="O339" s="125">
        <f ca="1">IFERROR(__xludf.DUMMYFUNCTION("""COMPUTED_VALUE"""),43196.6666666666)</f>
        <v>43196.666666666599</v>
      </c>
      <c r="P339">
        <f ca="1">IFERROR(__xludf.DUMMYFUNCTION("""COMPUTED_VALUE"""),38.22)</f>
        <v>38.22</v>
      </c>
    </row>
    <row r="340" spans="2:16" ht="12.75">
      <c r="B340" s="125">
        <f ca="1">IFERROR(__xludf.DUMMYFUNCTION("""COMPUTED_VALUE"""),43199.6666666666)</f>
        <v>43199.666666666599</v>
      </c>
      <c r="C340">
        <f ca="1">IFERROR(__xludf.DUMMYFUNCTION("""COMPUTED_VALUE"""),38.32)</f>
        <v>38.32</v>
      </c>
      <c r="D340">
        <v>22.96</v>
      </c>
      <c r="E340">
        <v>23.57</v>
      </c>
      <c r="F340">
        <v>32.22</v>
      </c>
      <c r="G340">
        <v>9.75</v>
      </c>
      <c r="H340">
        <v>196.09</v>
      </c>
      <c r="I340">
        <v>27.58</v>
      </c>
      <c r="J340">
        <v>52.39</v>
      </c>
      <c r="K340">
        <v>111.74</v>
      </c>
      <c r="L340">
        <v>32.840000000000003</v>
      </c>
      <c r="M340" s="125">
        <f ca="1">IFERROR(__xludf.DUMMYFUNCTION("""COMPUTED_VALUE"""),43731.6666666666)</f>
        <v>43731.666666666599</v>
      </c>
      <c r="N340">
        <f ca="1">IFERROR(__xludf.DUMMYFUNCTION("""COMPUTED_VALUE"""),32.5)</f>
        <v>32.5</v>
      </c>
      <c r="O340" s="125">
        <f ca="1">IFERROR(__xludf.DUMMYFUNCTION("""COMPUTED_VALUE"""),43199.6666666666)</f>
        <v>43199.666666666599</v>
      </c>
      <c r="P340">
        <f ca="1">IFERROR(__xludf.DUMMYFUNCTION("""COMPUTED_VALUE"""),38.32)</f>
        <v>38.32</v>
      </c>
    </row>
    <row r="341" spans="2:16" ht="12.75">
      <c r="B341" s="125">
        <f ca="1">IFERROR(__xludf.DUMMYFUNCTION("""COMPUTED_VALUE"""),43200.6666666666)</f>
        <v>43200.666666666599</v>
      </c>
      <c r="C341">
        <f ca="1">IFERROR(__xludf.DUMMYFUNCTION("""COMPUTED_VALUE"""),38.9)</f>
        <v>38.9</v>
      </c>
      <c r="D341">
        <v>23.34</v>
      </c>
      <c r="E341">
        <v>23.51</v>
      </c>
      <c r="F341">
        <v>32.61</v>
      </c>
      <c r="G341">
        <v>9.81</v>
      </c>
      <c r="H341">
        <v>197.86</v>
      </c>
      <c r="I341">
        <v>27.89</v>
      </c>
      <c r="J341">
        <v>52.51</v>
      </c>
      <c r="K341">
        <v>111.11</v>
      </c>
      <c r="L341">
        <v>33.14</v>
      </c>
      <c r="M341" s="125">
        <f ca="1">IFERROR(__xludf.DUMMYFUNCTION("""COMPUTED_VALUE"""),43732.6666666666)</f>
        <v>43732.666666666599</v>
      </c>
      <c r="N341">
        <f ca="1">IFERROR(__xludf.DUMMYFUNCTION("""COMPUTED_VALUE"""),32.26)</f>
        <v>32.26</v>
      </c>
      <c r="O341" s="125">
        <f ca="1">IFERROR(__xludf.DUMMYFUNCTION("""COMPUTED_VALUE"""),43200.6666666666)</f>
        <v>43200.666666666599</v>
      </c>
      <c r="P341">
        <f ca="1">IFERROR(__xludf.DUMMYFUNCTION("""COMPUTED_VALUE"""),38.9)</f>
        <v>38.9</v>
      </c>
    </row>
    <row r="342" spans="2:16" ht="12.75">
      <c r="B342" s="125">
        <f ca="1">IFERROR(__xludf.DUMMYFUNCTION("""COMPUTED_VALUE"""),43201.6666666666)</f>
        <v>43201.666666666599</v>
      </c>
      <c r="C342">
        <f ca="1">IFERROR(__xludf.DUMMYFUNCTION("""COMPUTED_VALUE"""),38.71)</f>
        <v>38.71</v>
      </c>
      <c r="D342">
        <v>23.16</v>
      </c>
      <c r="E342">
        <v>23.49</v>
      </c>
      <c r="F342">
        <v>32.479999999999997</v>
      </c>
      <c r="G342">
        <v>9.7799999999999994</v>
      </c>
      <c r="H342">
        <v>198</v>
      </c>
      <c r="I342">
        <v>27.67</v>
      </c>
      <c r="J342">
        <v>52.41</v>
      </c>
      <c r="K342">
        <v>110.92</v>
      </c>
      <c r="L342">
        <v>33.409999999999997</v>
      </c>
      <c r="M342" s="125">
        <f ca="1">IFERROR(__xludf.DUMMYFUNCTION("""COMPUTED_VALUE"""),43733.6666666666)</f>
        <v>43733.666666666599</v>
      </c>
      <c r="N342">
        <f ca="1">IFERROR(__xludf.DUMMYFUNCTION("""COMPUTED_VALUE"""),32.21)</f>
        <v>32.21</v>
      </c>
      <c r="O342" s="125">
        <f ca="1">IFERROR(__xludf.DUMMYFUNCTION("""COMPUTED_VALUE"""),43201.6666666666)</f>
        <v>43201.666666666599</v>
      </c>
      <c r="P342">
        <f ca="1">IFERROR(__xludf.DUMMYFUNCTION("""COMPUTED_VALUE"""),38.71)</f>
        <v>38.71</v>
      </c>
    </row>
    <row r="343" spans="2:16" ht="12.75">
      <c r="B343" s="125">
        <f ca="1">IFERROR(__xludf.DUMMYFUNCTION("""COMPUTED_VALUE"""),43202.6666666666)</f>
        <v>43202.666666666599</v>
      </c>
      <c r="C343">
        <f ca="1">IFERROR(__xludf.DUMMYFUNCTION("""COMPUTED_VALUE"""),38.52)</f>
        <v>38.520000000000003</v>
      </c>
      <c r="D343">
        <v>23.48</v>
      </c>
      <c r="E343">
        <v>23.54</v>
      </c>
      <c r="F343">
        <v>32.68</v>
      </c>
      <c r="G343">
        <v>9.83</v>
      </c>
      <c r="H343">
        <v>200.35</v>
      </c>
      <c r="I343">
        <v>27.99</v>
      </c>
      <c r="J343">
        <v>52.33</v>
      </c>
      <c r="K343">
        <v>109.62</v>
      </c>
      <c r="L343">
        <v>33.51</v>
      </c>
      <c r="M343" s="125">
        <f ca="1">IFERROR(__xludf.DUMMYFUNCTION("""COMPUTED_VALUE"""),43734.6666666666)</f>
        <v>43734.666666666599</v>
      </c>
      <c r="N343">
        <f ca="1">IFERROR(__xludf.DUMMYFUNCTION("""COMPUTED_VALUE"""),32.39)</f>
        <v>32.39</v>
      </c>
      <c r="O343" s="125">
        <f ca="1">IFERROR(__xludf.DUMMYFUNCTION("""COMPUTED_VALUE"""),43202.6666666666)</f>
        <v>43202.666666666599</v>
      </c>
      <c r="P343">
        <f ca="1">IFERROR(__xludf.DUMMYFUNCTION("""COMPUTED_VALUE"""),38.52)</f>
        <v>38.520000000000003</v>
      </c>
    </row>
    <row r="344" spans="2:16" ht="12.75">
      <c r="B344" s="125">
        <f ca="1">IFERROR(__xludf.DUMMYFUNCTION("""COMPUTED_VALUE"""),43203.6666666666)</f>
        <v>43203.666666666599</v>
      </c>
      <c r="C344">
        <f ca="1">IFERROR(__xludf.DUMMYFUNCTION("""COMPUTED_VALUE"""),37.81)</f>
        <v>37.81</v>
      </c>
      <c r="D344">
        <v>23.29</v>
      </c>
      <c r="E344">
        <v>23.54</v>
      </c>
      <c r="F344">
        <v>32.700000000000003</v>
      </c>
      <c r="G344">
        <v>9.74</v>
      </c>
      <c r="H344">
        <v>199.58</v>
      </c>
      <c r="I344">
        <v>28.05</v>
      </c>
      <c r="J344">
        <v>52.59</v>
      </c>
      <c r="K344">
        <v>110.34</v>
      </c>
      <c r="L344">
        <v>33.65</v>
      </c>
      <c r="M344" s="125">
        <f ca="1">IFERROR(__xludf.DUMMYFUNCTION("""COMPUTED_VALUE"""),43735.6666666666)</f>
        <v>43735.666666666599</v>
      </c>
      <c r="N344">
        <f ca="1">IFERROR(__xludf.DUMMYFUNCTION("""COMPUTED_VALUE"""),31.95)</f>
        <v>31.95</v>
      </c>
      <c r="O344" s="125">
        <f ca="1">IFERROR(__xludf.DUMMYFUNCTION("""COMPUTED_VALUE"""),43203.6666666666)</f>
        <v>43203.666666666599</v>
      </c>
      <c r="P344">
        <f ca="1">IFERROR(__xludf.DUMMYFUNCTION("""COMPUTED_VALUE"""),37.81)</f>
        <v>37.81</v>
      </c>
    </row>
    <row r="345" spans="2:16" ht="12.75">
      <c r="B345" s="125">
        <f ca="1">IFERROR(__xludf.DUMMYFUNCTION("""COMPUTED_VALUE"""),43206.6666666666)</f>
        <v>43206.666666666599</v>
      </c>
      <c r="C345">
        <f ca="1">IFERROR(__xludf.DUMMYFUNCTION("""COMPUTED_VALUE"""),37.79)</f>
        <v>37.79</v>
      </c>
      <c r="D345">
        <v>23.4</v>
      </c>
      <c r="E345">
        <v>23.46</v>
      </c>
      <c r="F345">
        <v>32.81</v>
      </c>
      <c r="G345">
        <v>9.68</v>
      </c>
      <c r="H345">
        <v>201.68</v>
      </c>
      <c r="I345">
        <v>27.96</v>
      </c>
      <c r="J345">
        <v>53.16</v>
      </c>
      <c r="K345">
        <v>111.89</v>
      </c>
      <c r="L345">
        <v>33.299999999999997</v>
      </c>
      <c r="M345" s="125">
        <f ca="1">IFERROR(__xludf.DUMMYFUNCTION("""COMPUTED_VALUE"""),43738.6666666666)</f>
        <v>43738.666666666599</v>
      </c>
      <c r="N345">
        <f ca="1">IFERROR(__xludf.DUMMYFUNCTION("""COMPUTED_VALUE"""),32.2)</f>
        <v>32.200000000000003</v>
      </c>
      <c r="O345" s="125">
        <f ca="1">IFERROR(__xludf.DUMMYFUNCTION("""COMPUTED_VALUE"""),43206.6666666666)</f>
        <v>43206.666666666599</v>
      </c>
      <c r="P345">
        <f ca="1">IFERROR(__xludf.DUMMYFUNCTION("""COMPUTED_VALUE"""),37.79)</f>
        <v>37.79</v>
      </c>
    </row>
    <row r="346" spans="2:16" ht="12.75">
      <c r="B346" s="125">
        <f ca="1">IFERROR(__xludf.DUMMYFUNCTION("""COMPUTED_VALUE"""),43207.6666666666)</f>
        <v>43207.666666666599</v>
      </c>
      <c r="C346">
        <f ca="1">IFERROR(__xludf.DUMMYFUNCTION("""COMPUTED_VALUE"""),38.35)</f>
        <v>38.35</v>
      </c>
      <c r="D346">
        <v>23.86</v>
      </c>
      <c r="E346">
        <v>23.46</v>
      </c>
      <c r="F346">
        <v>33.020000000000003</v>
      </c>
      <c r="G346">
        <v>9.75</v>
      </c>
      <c r="H346">
        <v>203.66</v>
      </c>
      <c r="I346">
        <v>28.34</v>
      </c>
      <c r="J346">
        <v>53.28</v>
      </c>
      <c r="K346">
        <v>113.01</v>
      </c>
      <c r="L346">
        <v>33.06</v>
      </c>
      <c r="M346" s="125">
        <f ca="1">IFERROR(__xludf.DUMMYFUNCTION("""COMPUTED_VALUE"""),43739.6666666666)</f>
        <v>43739.666666666599</v>
      </c>
      <c r="N346">
        <f ca="1">IFERROR(__xludf.DUMMYFUNCTION("""COMPUTED_VALUE"""),31.82)</f>
        <v>31.82</v>
      </c>
      <c r="O346" s="125">
        <f ca="1">IFERROR(__xludf.DUMMYFUNCTION("""COMPUTED_VALUE"""),43207.6666666666)</f>
        <v>43207.666666666599</v>
      </c>
      <c r="P346">
        <f ca="1">IFERROR(__xludf.DUMMYFUNCTION("""COMPUTED_VALUE"""),38.35)</f>
        <v>38.35</v>
      </c>
    </row>
    <row r="347" spans="2:16" ht="12.75">
      <c r="B347" s="125">
        <f ca="1">IFERROR(__xludf.DUMMYFUNCTION("""COMPUTED_VALUE"""),43208.6666666666)</f>
        <v>43208.666666666599</v>
      </c>
      <c r="C347">
        <f ca="1">IFERROR(__xludf.DUMMYFUNCTION("""COMPUTED_VALUE"""),38.66)</f>
        <v>38.659999999999997</v>
      </c>
      <c r="D347">
        <v>24.11</v>
      </c>
      <c r="E347">
        <v>23.51</v>
      </c>
      <c r="F347">
        <v>33.04</v>
      </c>
      <c r="G347">
        <v>9.84</v>
      </c>
      <c r="H347">
        <v>205.41</v>
      </c>
      <c r="I347">
        <v>28.34</v>
      </c>
      <c r="J347">
        <v>52.88</v>
      </c>
      <c r="K347">
        <v>112.61</v>
      </c>
      <c r="L347">
        <v>33.01</v>
      </c>
      <c r="M347" s="125">
        <f ca="1">IFERROR(__xludf.DUMMYFUNCTION("""COMPUTED_VALUE"""),43740.6666666666)</f>
        <v>43740.666666666599</v>
      </c>
      <c r="N347">
        <f ca="1">IFERROR(__xludf.DUMMYFUNCTION("""COMPUTED_VALUE"""),31.55)</f>
        <v>31.55</v>
      </c>
      <c r="O347" s="125">
        <f ca="1">IFERROR(__xludf.DUMMYFUNCTION("""COMPUTED_VALUE"""),43208.6666666666)</f>
        <v>43208.666666666599</v>
      </c>
      <c r="P347">
        <f ca="1">IFERROR(__xludf.DUMMYFUNCTION("""COMPUTED_VALUE"""),38.66)</f>
        <v>38.659999999999997</v>
      </c>
    </row>
    <row r="348" spans="2:16" ht="12.75">
      <c r="B348" s="125">
        <f ca="1">IFERROR(__xludf.DUMMYFUNCTION("""COMPUTED_VALUE"""),43209.6666666666)</f>
        <v>43209.666666666599</v>
      </c>
      <c r="C348">
        <f ca="1">IFERROR(__xludf.DUMMYFUNCTION("""COMPUTED_VALUE"""),38.28)</f>
        <v>38.28</v>
      </c>
      <c r="D348">
        <v>24.02</v>
      </c>
      <c r="E348">
        <v>23.58</v>
      </c>
      <c r="F348">
        <v>32.54</v>
      </c>
      <c r="G348">
        <v>9.83</v>
      </c>
      <c r="H348">
        <v>205.82</v>
      </c>
      <c r="I348">
        <v>28.29</v>
      </c>
      <c r="J348">
        <v>51.35</v>
      </c>
      <c r="K348">
        <v>112.47</v>
      </c>
      <c r="L348">
        <v>33.26</v>
      </c>
      <c r="M348" s="125">
        <f ca="1">IFERROR(__xludf.DUMMYFUNCTION("""COMPUTED_VALUE"""),43741.6666666666)</f>
        <v>43741.666666666599</v>
      </c>
      <c r="N348">
        <f ca="1">IFERROR(__xludf.DUMMYFUNCTION("""COMPUTED_VALUE"""),32)</f>
        <v>32</v>
      </c>
      <c r="O348" s="125">
        <f ca="1">IFERROR(__xludf.DUMMYFUNCTION("""COMPUTED_VALUE"""),43209.6666666666)</f>
        <v>43209.666666666599</v>
      </c>
      <c r="P348">
        <f ca="1">IFERROR(__xludf.DUMMYFUNCTION("""COMPUTED_VALUE"""),38.28)</f>
        <v>38.28</v>
      </c>
    </row>
    <row r="349" spans="2:16" ht="12.75">
      <c r="B349" s="125">
        <f ca="1">IFERROR(__xludf.DUMMYFUNCTION("""COMPUTED_VALUE"""),43210.6666666666)</f>
        <v>43210.666666666599</v>
      </c>
      <c r="C349">
        <f ca="1">IFERROR(__xludf.DUMMYFUNCTION("""COMPUTED_VALUE"""),37.66)</f>
        <v>37.659999999999997</v>
      </c>
      <c r="D349">
        <v>23.89</v>
      </c>
      <c r="E349">
        <v>23.72</v>
      </c>
      <c r="F349">
        <v>32.32</v>
      </c>
      <c r="G349">
        <v>9.83</v>
      </c>
      <c r="H349">
        <v>204.67</v>
      </c>
      <c r="I349">
        <v>28.24</v>
      </c>
      <c r="J349">
        <v>50.49</v>
      </c>
      <c r="K349">
        <v>111.59</v>
      </c>
      <c r="L349">
        <v>33.119999999999997</v>
      </c>
      <c r="M349" s="125">
        <f ca="1">IFERROR(__xludf.DUMMYFUNCTION("""COMPUTED_VALUE"""),43742.6666666666)</f>
        <v>43742.666666666599</v>
      </c>
      <c r="N349">
        <f ca="1">IFERROR(__xludf.DUMMYFUNCTION("""COMPUTED_VALUE"""),32.27)</f>
        <v>32.270000000000003</v>
      </c>
      <c r="O349" s="125">
        <f ca="1">IFERROR(__xludf.DUMMYFUNCTION("""COMPUTED_VALUE"""),43210.6666666666)</f>
        <v>43210.666666666599</v>
      </c>
      <c r="P349">
        <f ca="1">IFERROR(__xludf.DUMMYFUNCTION("""COMPUTED_VALUE"""),37.66)</f>
        <v>37.659999999999997</v>
      </c>
    </row>
    <row r="350" spans="2:16" ht="12.75">
      <c r="B350" s="125">
        <f ca="1">IFERROR(__xludf.DUMMYFUNCTION("""COMPUTED_VALUE"""),43213.6666666666)</f>
        <v>43213.666666666599</v>
      </c>
      <c r="C350">
        <f ca="1">IFERROR(__xludf.DUMMYFUNCTION("""COMPUTED_VALUE"""),37.32)</f>
        <v>37.32</v>
      </c>
      <c r="D350">
        <v>23.9</v>
      </c>
      <c r="E350">
        <v>23.87</v>
      </c>
      <c r="F350">
        <v>32.29</v>
      </c>
      <c r="G350">
        <v>9.7100000000000009</v>
      </c>
      <c r="H350">
        <v>204.88</v>
      </c>
      <c r="I350">
        <v>28.3</v>
      </c>
      <c r="J350">
        <v>50.43</v>
      </c>
      <c r="K350">
        <v>111.87</v>
      </c>
      <c r="L350">
        <v>33.11</v>
      </c>
      <c r="M350" s="125">
        <f ca="1">IFERROR(__xludf.DUMMYFUNCTION("""COMPUTED_VALUE"""),43745.6666666666)</f>
        <v>43745.666666666599</v>
      </c>
      <c r="N350">
        <f ca="1">IFERROR(__xludf.DUMMYFUNCTION("""COMPUTED_VALUE"""),32.05)</f>
        <v>32.049999999999997</v>
      </c>
      <c r="O350" s="125">
        <f ca="1">IFERROR(__xludf.DUMMYFUNCTION("""COMPUTED_VALUE"""),43213.6666666666)</f>
        <v>43213.666666666599</v>
      </c>
      <c r="P350">
        <f ca="1">IFERROR(__xludf.DUMMYFUNCTION("""COMPUTED_VALUE"""),37.32)</f>
        <v>37.32</v>
      </c>
    </row>
    <row r="351" spans="2:16" ht="12.75">
      <c r="B351" s="125">
        <f ca="1">IFERROR(__xludf.DUMMYFUNCTION("""COMPUTED_VALUE"""),43214.6666666666)</f>
        <v>43214.666666666599</v>
      </c>
      <c r="C351">
        <f ca="1">IFERROR(__xludf.DUMMYFUNCTION("""COMPUTED_VALUE"""),36.85)</f>
        <v>36.85</v>
      </c>
      <c r="D351">
        <v>23.53</v>
      </c>
      <c r="E351">
        <v>23.84</v>
      </c>
      <c r="F351">
        <v>32.21</v>
      </c>
      <c r="G351">
        <v>9.64</v>
      </c>
      <c r="H351">
        <v>200.18</v>
      </c>
      <c r="I351">
        <v>28.01</v>
      </c>
      <c r="J351">
        <v>50.11</v>
      </c>
      <c r="K351">
        <v>112.66</v>
      </c>
      <c r="L351">
        <v>33.14</v>
      </c>
      <c r="M351" s="125">
        <f ca="1">IFERROR(__xludf.DUMMYFUNCTION("""COMPUTED_VALUE"""),43746.6666666666)</f>
        <v>43746.666666666599</v>
      </c>
      <c r="N351">
        <f ca="1">IFERROR(__xludf.DUMMYFUNCTION("""COMPUTED_VALUE"""),31.75)</f>
        <v>31.75</v>
      </c>
      <c r="O351" s="125">
        <f ca="1">IFERROR(__xludf.DUMMYFUNCTION("""COMPUTED_VALUE"""),43214.6666666666)</f>
        <v>43214.666666666599</v>
      </c>
      <c r="P351">
        <f ca="1">IFERROR(__xludf.DUMMYFUNCTION("""COMPUTED_VALUE"""),36.85)</f>
        <v>36.85</v>
      </c>
    </row>
    <row r="352" spans="2:16" ht="12.75">
      <c r="B352" s="125">
        <f ca="1">IFERROR(__xludf.DUMMYFUNCTION("""COMPUTED_VALUE"""),43215.6666666666)</f>
        <v>43215.666666666599</v>
      </c>
      <c r="C352">
        <f ca="1">IFERROR(__xludf.DUMMYFUNCTION("""COMPUTED_VALUE"""),36.45)</f>
        <v>36.450000000000003</v>
      </c>
      <c r="D352">
        <v>23.16</v>
      </c>
      <c r="E352">
        <v>23.94</v>
      </c>
      <c r="F352">
        <v>32.090000000000003</v>
      </c>
      <c r="G352">
        <v>9.61</v>
      </c>
      <c r="H352">
        <v>198.25</v>
      </c>
      <c r="I352">
        <v>28.01</v>
      </c>
      <c r="J352">
        <v>50.2</v>
      </c>
      <c r="K352">
        <v>112.63</v>
      </c>
      <c r="L352">
        <v>32.99</v>
      </c>
      <c r="M352" s="125">
        <f ca="1">IFERROR(__xludf.DUMMYFUNCTION("""COMPUTED_VALUE"""),43747.6666666666)</f>
        <v>43747.666666666599</v>
      </c>
      <c r="N352">
        <f ca="1">IFERROR(__xludf.DUMMYFUNCTION("""COMPUTED_VALUE"""),31.91)</f>
        <v>31.91</v>
      </c>
      <c r="O352" s="125">
        <f ca="1">IFERROR(__xludf.DUMMYFUNCTION("""COMPUTED_VALUE"""),43215.6666666666)</f>
        <v>43215.666666666599</v>
      </c>
      <c r="P352">
        <f ca="1">IFERROR(__xludf.DUMMYFUNCTION("""COMPUTED_VALUE"""),36.45)</f>
        <v>36.450000000000003</v>
      </c>
    </row>
    <row r="353" spans="2:16" ht="12.75">
      <c r="B353" s="125">
        <f ca="1">IFERROR(__xludf.DUMMYFUNCTION("""COMPUTED_VALUE"""),43216.6666666666)</f>
        <v>43216.666666666599</v>
      </c>
      <c r="C353">
        <f ca="1">IFERROR(__xludf.DUMMYFUNCTION("""COMPUTED_VALUE"""),36.85)</f>
        <v>36.85</v>
      </c>
      <c r="D353">
        <v>23.4</v>
      </c>
      <c r="E353">
        <v>24.05</v>
      </c>
      <c r="F353">
        <v>32.25</v>
      </c>
      <c r="G353">
        <v>9.73</v>
      </c>
      <c r="H353">
        <v>198.14</v>
      </c>
      <c r="I353">
        <v>28.27</v>
      </c>
      <c r="J353">
        <v>50.5</v>
      </c>
      <c r="K353">
        <v>113.89</v>
      </c>
      <c r="L353">
        <v>32.92</v>
      </c>
      <c r="M353" s="125">
        <f ca="1">IFERROR(__xludf.DUMMYFUNCTION("""COMPUTED_VALUE"""),43748.6666666666)</f>
        <v>43748.666666666599</v>
      </c>
      <c r="N353">
        <f ca="1">IFERROR(__xludf.DUMMYFUNCTION("""COMPUTED_VALUE"""),32.02)</f>
        <v>32.020000000000003</v>
      </c>
      <c r="O353" s="125">
        <f ca="1">IFERROR(__xludf.DUMMYFUNCTION("""COMPUTED_VALUE"""),43216.6666666666)</f>
        <v>43216.666666666599</v>
      </c>
      <c r="P353">
        <f ca="1">IFERROR(__xludf.DUMMYFUNCTION("""COMPUTED_VALUE"""),36.85)</f>
        <v>36.85</v>
      </c>
    </row>
    <row r="354" spans="2:16" ht="12.75">
      <c r="B354" s="125">
        <f ca="1">IFERROR(__xludf.DUMMYFUNCTION("""COMPUTED_VALUE"""),43217.6666666666)</f>
        <v>43217.666666666599</v>
      </c>
      <c r="C354">
        <f ca="1">IFERROR(__xludf.DUMMYFUNCTION("""COMPUTED_VALUE"""),37.17)</f>
        <v>37.17</v>
      </c>
      <c r="D354">
        <v>23.47</v>
      </c>
      <c r="E354">
        <v>24.03</v>
      </c>
      <c r="F354">
        <v>32.340000000000003</v>
      </c>
      <c r="G354">
        <v>9.9</v>
      </c>
      <c r="H354">
        <v>195.28</v>
      </c>
      <c r="I354">
        <v>28.33</v>
      </c>
      <c r="J354">
        <v>50.77</v>
      </c>
      <c r="K354">
        <v>114.97</v>
      </c>
      <c r="L354">
        <v>32.92</v>
      </c>
      <c r="M354" s="125">
        <f ca="1">IFERROR(__xludf.DUMMYFUNCTION("""COMPUTED_VALUE"""),43749.6666666666)</f>
        <v>43749.666666666599</v>
      </c>
      <c r="N354">
        <f ca="1">IFERROR(__xludf.DUMMYFUNCTION("""COMPUTED_VALUE"""),32.06)</f>
        <v>32.06</v>
      </c>
      <c r="O354" s="125">
        <f ca="1">IFERROR(__xludf.DUMMYFUNCTION("""COMPUTED_VALUE"""),43217.6666666666)</f>
        <v>43217.666666666599</v>
      </c>
      <c r="P354">
        <f ca="1">IFERROR(__xludf.DUMMYFUNCTION("""COMPUTED_VALUE"""),37.17)</f>
        <v>37.17</v>
      </c>
    </row>
    <row r="355" spans="2:16" ht="12.75">
      <c r="B355" s="125">
        <f ca="1">IFERROR(__xludf.DUMMYFUNCTION("""COMPUTED_VALUE"""),43220.6666666666)</f>
        <v>43220.666666666599</v>
      </c>
      <c r="C355">
        <f ca="1">IFERROR(__xludf.DUMMYFUNCTION("""COMPUTED_VALUE"""),37.26)</f>
        <v>37.26</v>
      </c>
      <c r="D355">
        <v>23.6</v>
      </c>
      <c r="E355">
        <v>24.13</v>
      </c>
      <c r="F355">
        <v>32.130000000000003</v>
      </c>
      <c r="G355">
        <v>9.85</v>
      </c>
      <c r="H355">
        <v>192.35</v>
      </c>
      <c r="I355">
        <v>28.28</v>
      </c>
      <c r="J355">
        <v>50.45</v>
      </c>
      <c r="K355">
        <v>114.57</v>
      </c>
      <c r="L355">
        <v>33.04</v>
      </c>
      <c r="M355" s="125">
        <f ca="1">IFERROR(__xludf.DUMMYFUNCTION("""COMPUTED_VALUE"""),43752.6666666666)</f>
        <v>43752.666666666599</v>
      </c>
      <c r="N355">
        <f ca="1">IFERROR(__xludf.DUMMYFUNCTION("""COMPUTED_VALUE"""),32.02)</f>
        <v>32.020000000000003</v>
      </c>
      <c r="O355" s="125">
        <f ca="1">IFERROR(__xludf.DUMMYFUNCTION("""COMPUTED_VALUE"""),43220.6666666666)</f>
        <v>43220.666666666599</v>
      </c>
      <c r="P355">
        <f ca="1">IFERROR(__xludf.DUMMYFUNCTION("""COMPUTED_VALUE"""),37.26)</f>
        <v>37.26</v>
      </c>
    </row>
    <row r="356" spans="2:16" ht="12.75">
      <c r="B356" s="125">
        <f ca="1">IFERROR(__xludf.DUMMYFUNCTION("""COMPUTED_VALUE"""),43221.6666666666)</f>
        <v>43221.666666666599</v>
      </c>
      <c r="C356">
        <f ca="1">IFERROR(__xludf.DUMMYFUNCTION("""COMPUTED_VALUE"""),37.31)</f>
        <v>37.31</v>
      </c>
      <c r="D356">
        <v>23.77</v>
      </c>
      <c r="E356">
        <v>24.29</v>
      </c>
      <c r="F356">
        <v>31.96</v>
      </c>
      <c r="G356">
        <v>9.86</v>
      </c>
      <c r="H356">
        <v>188.76</v>
      </c>
      <c r="I356">
        <v>28.34</v>
      </c>
      <c r="J356">
        <v>50.01</v>
      </c>
      <c r="K356">
        <v>114.34</v>
      </c>
      <c r="L356">
        <v>33.200000000000003</v>
      </c>
      <c r="M356" s="125">
        <f ca="1">IFERROR(__xludf.DUMMYFUNCTION("""COMPUTED_VALUE"""),43753.6666666666)</f>
        <v>43753.666666666599</v>
      </c>
      <c r="N356">
        <f ca="1">IFERROR(__xludf.DUMMYFUNCTION("""COMPUTED_VALUE"""),32)</f>
        <v>32</v>
      </c>
      <c r="O356" s="125">
        <f ca="1">IFERROR(__xludf.DUMMYFUNCTION("""COMPUTED_VALUE"""),43221.6666666666)</f>
        <v>43221.666666666599</v>
      </c>
      <c r="P356">
        <f ca="1">IFERROR(__xludf.DUMMYFUNCTION("""COMPUTED_VALUE"""),37.31)</f>
        <v>37.31</v>
      </c>
    </row>
    <row r="357" spans="2:16" ht="12.75">
      <c r="B357" s="125">
        <f ca="1">IFERROR(__xludf.DUMMYFUNCTION("""COMPUTED_VALUE"""),43222.6666666666)</f>
        <v>43222.666666666599</v>
      </c>
      <c r="C357">
        <f ca="1">IFERROR(__xludf.DUMMYFUNCTION("""COMPUTED_VALUE"""),37.28)</f>
        <v>37.28</v>
      </c>
      <c r="D357">
        <v>23.73</v>
      </c>
      <c r="E357">
        <v>24.4</v>
      </c>
      <c r="F357">
        <v>31.84</v>
      </c>
      <c r="G357">
        <v>9.81</v>
      </c>
      <c r="H357">
        <v>187.72</v>
      </c>
      <c r="I357">
        <v>28.77</v>
      </c>
      <c r="J357">
        <v>49.03</v>
      </c>
      <c r="K357">
        <v>114.19</v>
      </c>
      <c r="L357">
        <v>33.51</v>
      </c>
      <c r="M357" s="125">
        <f ca="1">IFERROR(__xludf.DUMMYFUNCTION("""COMPUTED_VALUE"""),43754.6666666666)</f>
        <v>43754.666666666599</v>
      </c>
      <c r="N357">
        <f ca="1">IFERROR(__xludf.DUMMYFUNCTION("""COMPUTED_VALUE"""),31.97)</f>
        <v>31.97</v>
      </c>
      <c r="O357" s="125">
        <f ca="1">IFERROR(__xludf.DUMMYFUNCTION("""COMPUTED_VALUE"""),43222.6666666666)</f>
        <v>43222.666666666599</v>
      </c>
      <c r="P357">
        <f ca="1">IFERROR(__xludf.DUMMYFUNCTION("""COMPUTED_VALUE"""),37.28)</f>
        <v>37.28</v>
      </c>
    </row>
    <row r="358" spans="2:16" ht="12.75">
      <c r="B358" s="125">
        <f ca="1">IFERROR(__xludf.DUMMYFUNCTION("""COMPUTED_VALUE"""),43223.6666666666)</f>
        <v>43223.666666666599</v>
      </c>
      <c r="C358">
        <f ca="1">IFERROR(__xludf.DUMMYFUNCTION("""COMPUTED_VALUE"""),37.11)</f>
        <v>37.11</v>
      </c>
      <c r="D358">
        <v>23.91</v>
      </c>
      <c r="E358">
        <v>24.3</v>
      </c>
      <c r="F358">
        <v>31.75</v>
      </c>
      <c r="G358">
        <v>9.7899999999999991</v>
      </c>
      <c r="H358">
        <v>187.97</v>
      </c>
      <c r="I358">
        <v>28.68</v>
      </c>
      <c r="J358">
        <v>48.98</v>
      </c>
      <c r="K358">
        <v>114.38</v>
      </c>
      <c r="L358">
        <v>33.880000000000003</v>
      </c>
      <c r="M358" s="125">
        <f ca="1">IFERROR(__xludf.DUMMYFUNCTION("""COMPUTED_VALUE"""),43755.6666666666)</f>
        <v>43755.666666666599</v>
      </c>
      <c r="N358">
        <f ca="1">IFERROR(__xludf.DUMMYFUNCTION("""COMPUTED_VALUE"""),32.38)</f>
        <v>32.380000000000003</v>
      </c>
      <c r="O358" s="125">
        <f ca="1">IFERROR(__xludf.DUMMYFUNCTION("""COMPUTED_VALUE"""),43223.6666666666)</f>
        <v>43223.666666666599</v>
      </c>
      <c r="P358">
        <f ca="1">IFERROR(__xludf.DUMMYFUNCTION("""COMPUTED_VALUE"""),37.11)</f>
        <v>37.11</v>
      </c>
    </row>
    <row r="359" spans="2:16" ht="12.75">
      <c r="B359" s="125">
        <f ca="1">IFERROR(__xludf.DUMMYFUNCTION("""COMPUTED_VALUE"""),43224.6666666666)</f>
        <v>43224.666666666599</v>
      </c>
      <c r="C359">
        <f ca="1">IFERROR(__xludf.DUMMYFUNCTION("""COMPUTED_VALUE"""),37.46)</f>
        <v>37.46</v>
      </c>
      <c r="D359">
        <v>24.1</v>
      </c>
      <c r="E359">
        <v>24.33</v>
      </c>
      <c r="F359">
        <v>31.96</v>
      </c>
      <c r="G359">
        <v>9.81</v>
      </c>
      <c r="H359">
        <v>190.2</v>
      </c>
      <c r="I359">
        <v>28.89</v>
      </c>
      <c r="J359">
        <v>49.69</v>
      </c>
      <c r="K359">
        <v>114.86</v>
      </c>
      <c r="L359">
        <v>33.340000000000003</v>
      </c>
      <c r="M359" s="125">
        <f ca="1">IFERROR(__xludf.DUMMYFUNCTION("""COMPUTED_VALUE"""),43756.6666666666)</f>
        <v>43756.666666666599</v>
      </c>
      <c r="N359">
        <f ca="1">IFERROR(__xludf.DUMMYFUNCTION("""COMPUTED_VALUE"""),32.6)</f>
        <v>32.6</v>
      </c>
      <c r="O359" s="125">
        <f ca="1">IFERROR(__xludf.DUMMYFUNCTION("""COMPUTED_VALUE"""),43224.6666666666)</f>
        <v>43224.666666666599</v>
      </c>
      <c r="P359">
        <f ca="1">IFERROR(__xludf.DUMMYFUNCTION("""COMPUTED_VALUE"""),37.46)</f>
        <v>37.46</v>
      </c>
    </row>
    <row r="360" spans="2:16" ht="12.75">
      <c r="B360" s="125">
        <f ca="1">IFERROR(__xludf.DUMMYFUNCTION("""COMPUTED_VALUE"""),43227.6666666666)</f>
        <v>43227.666666666599</v>
      </c>
      <c r="C360">
        <f ca="1">IFERROR(__xludf.DUMMYFUNCTION("""COMPUTED_VALUE"""),38.02)</f>
        <v>38.020000000000003</v>
      </c>
      <c r="D360">
        <v>24.4</v>
      </c>
      <c r="E360">
        <v>24.38</v>
      </c>
      <c r="F360">
        <v>31.87</v>
      </c>
      <c r="G360">
        <v>9.86</v>
      </c>
      <c r="H360">
        <v>192.76</v>
      </c>
      <c r="I360">
        <v>29.09</v>
      </c>
      <c r="J360">
        <v>49.38</v>
      </c>
      <c r="K360">
        <v>114.34</v>
      </c>
      <c r="L360">
        <v>33.549999999999997</v>
      </c>
      <c r="M360" s="125">
        <f ca="1">IFERROR(__xludf.DUMMYFUNCTION("""COMPUTED_VALUE"""),43759.6666666666)</f>
        <v>43759.666666666599</v>
      </c>
      <c r="N360">
        <f ca="1">IFERROR(__xludf.DUMMYFUNCTION("""COMPUTED_VALUE"""),32.65)</f>
        <v>32.65</v>
      </c>
      <c r="O360" s="125">
        <f ca="1">IFERROR(__xludf.DUMMYFUNCTION("""COMPUTED_VALUE"""),43227.6666666666)</f>
        <v>43227.666666666599</v>
      </c>
      <c r="P360">
        <f ca="1">IFERROR(__xludf.DUMMYFUNCTION("""COMPUTED_VALUE"""),38.02)</f>
        <v>38.020000000000003</v>
      </c>
    </row>
    <row r="361" spans="2:16" ht="12.75">
      <c r="B361" s="125">
        <f ca="1">IFERROR(__xludf.DUMMYFUNCTION("""COMPUTED_VALUE"""),43228.6666666666)</f>
        <v>43228.666666666599</v>
      </c>
      <c r="C361">
        <f ca="1">IFERROR(__xludf.DUMMYFUNCTION("""COMPUTED_VALUE"""),38.03)</f>
        <v>38.03</v>
      </c>
      <c r="D361">
        <v>24.6</v>
      </c>
      <c r="E361">
        <v>24.47</v>
      </c>
      <c r="F361">
        <v>31.95</v>
      </c>
      <c r="G361">
        <v>9.74</v>
      </c>
      <c r="H361">
        <v>195.71</v>
      </c>
      <c r="I361">
        <v>29.13</v>
      </c>
      <c r="J361">
        <v>49.18</v>
      </c>
      <c r="K361">
        <v>111.66</v>
      </c>
      <c r="L361">
        <v>33.36</v>
      </c>
      <c r="M361" s="125">
        <f ca="1">IFERROR(__xludf.DUMMYFUNCTION("""COMPUTED_VALUE"""),43760.6666666666)</f>
        <v>43760.666666666599</v>
      </c>
      <c r="N361">
        <f ca="1">IFERROR(__xludf.DUMMYFUNCTION("""COMPUTED_VALUE"""),32.36)</f>
        <v>32.36</v>
      </c>
      <c r="O361" s="125">
        <f ca="1">IFERROR(__xludf.DUMMYFUNCTION("""COMPUTED_VALUE"""),43228.6666666666)</f>
        <v>43228.666666666599</v>
      </c>
      <c r="P361">
        <f ca="1">IFERROR(__xludf.DUMMYFUNCTION("""COMPUTED_VALUE"""),38.03)</f>
        <v>38.03</v>
      </c>
    </row>
    <row r="362" spans="2:16" ht="12.75">
      <c r="B362" s="125">
        <f ca="1">IFERROR(__xludf.DUMMYFUNCTION("""COMPUTED_VALUE"""),43229.6666666666)</f>
        <v>43229.666666666599</v>
      </c>
      <c r="C362">
        <f ca="1">IFERROR(__xludf.DUMMYFUNCTION("""COMPUTED_VALUE"""),37.91)</f>
        <v>37.909999999999997</v>
      </c>
      <c r="D362">
        <v>24.9</v>
      </c>
      <c r="E362">
        <v>24.47</v>
      </c>
      <c r="F362">
        <v>31.92</v>
      </c>
      <c r="G362">
        <v>9.83</v>
      </c>
      <c r="H362">
        <v>197.67</v>
      </c>
      <c r="I362">
        <v>29.19</v>
      </c>
      <c r="J362">
        <v>49.25</v>
      </c>
      <c r="K362">
        <v>111</v>
      </c>
      <c r="L362">
        <v>33.33</v>
      </c>
      <c r="M362" s="125">
        <f ca="1">IFERROR(__xludf.DUMMYFUNCTION("""COMPUTED_VALUE"""),43761.6666666666)</f>
        <v>43761.666666666599</v>
      </c>
      <c r="N362">
        <f ca="1">IFERROR(__xludf.DUMMYFUNCTION("""COMPUTED_VALUE"""),32.4)</f>
        <v>32.4</v>
      </c>
      <c r="O362" s="125">
        <f ca="1">IFERROR(__xludf.DUMMYFUNCTION("""COMPUTED_VALUE"""),43229.6666666666)</f>
        <v>43229.666666666599</v>
      </c>
      <c r="P362">
        <f ca="1">IFERROR(__xludf.DUMMYFUNCTION("""COMPUTED_VALUE"""),37.91)</f>
        <v>37.909999999999997</v>
      </c>
    </row>
    <row r="363" spans="2:16" ht="12.75">
      <c r="B363" s="125">
        <f ca="1">IFERROR(__xludf.DUMMYFUNCTION("""COMPUTED_VALUE"""),43230.6666666666)</f>
        <v>43230.666666666599</v>
      </c>
      <c r="C363">
        <f ca="1">IFERROR(__xludf.DUMMYFUNCTION("""COMPUTED_VALUE"""),38.59)</f>
        <v>38.590000000000003</v>
      </c>
      <c r="D363">
        <v>25.19</v>
      </c>
      <c r="E363">
        <v>24.36</v>
      </c>
      <c r="F363">
        <v>32.15</v>
      </c>
      <c r="G363">
        <v>10.01</v>
      </c>
      <c r="H363">
        <v>198.05</v>
      </c>
      <c r="I363">
        <v>29.29</v>
      </c>
      <c r="J363">
        <v>49.54</v>
      </c>
      <c r="K363">
        <v>112.44</v>
      </c>
      <c r="L363">
        <v>32.979999999999997</v>
      </c>
      <c r="M363" s="125">
        <f ca="1">IFERROR(__xludf.DUMMYFUNCTION("""COMPUTED_VALUE"""),43762.6666666666)</f>
        <v>43762.666666666599</v>
      </c>
      <c r="N363">
        <f ca="1">IFERROR(__xludf.DUMMYFUNCTION("""COMPUTED_VALUE"""),32.39)</f>
        <v>32.39</v>
      </c>
      <c r="O363" s="125">
        <f ca="1">IFERROR(__xludf.DUMMYFUNCTION("""COMPUTED_VALUE"""),43230.6666666666)</f>
        <v>43230.666666666599</v>
      </c>
      <c r="P363">
        <f ca="1">IFERROR(__xludf.DUMMYFUNCTION("""COMPUTED_VALUE"""),38.59)</f>
        <v>38.590000000000003</v>
      </c>
    </row>
    <row r="364" spans="2:16" ht="12.75">
      <c r="B364" s="125">
        <f ca="1">IFERROR(__xludf.DUMMYFUNCTION("""COMPUTED_VALUE"""),43231.6666666666)</f>
        <v>43231.666666666599</v>
      </c>
      <c r="C364">
        <f ca="1">IFERROR(__xludf.DUMMYFUNCTION("""COMPUTED_VALUE"""),38.21)</f>
        <v>38.21</v>
      </c>
      <c r="D364">
        <v>25.2</v>
      </c>
      <c r="E364">
        <v>24.32</v>
      </c>
      <c r="F364">
        <v>32.11</v>
      </c>
      <c r="G364">
        <v>9.93</v>
      </c>
      <c r="H364">
        <v>198.47</v>
      </c>
      <c r="I364">
        <v>29.2</v>
      </c>
      <c r="J364">
        <v>49.54</v>
      </c>
      <c r="K364">
        <v>112.62</v>
      </c>
      <c r="L364">
        <v>32.49</v>
      </c>
      <c r="M364" s="125">
        <f ca="1">IFERROR(__xludf.DUMMYFUNCTION("""COMPUTED_VALUE"""),43763.6666666666)</f>
        <v>43763.666666666599</v>
      </c>
      <c r="N364">
        <f ca="1">IFERROR(__xludf.DUMMYFUNCTION("""COMPUTED_VALUE"""),32.15)</f>
        <v>32.15</v>
      </c>
      <c r="O364" s="125">
        <f ca="1">IFERROR(__xludf.DUMMYFUNCTION("""COMPUTED_VALUE"""),43231.6666666666)</f>
        <v>43231.666666666599</v>
      </c>
      <c r="P364">
        <f ca="1">IFERROR(__xludf.DUMMYFUNCTION("""COMPUTED_VALUE"""),38.21)</f>
        <v>38.21</v>
      </c>
    </row>
    <row r="365" spans="2:16" ht="12.75">
      <c r="B365" s="125">
        <f ca="1">IFERROR(__xludf.DUMMYFUNCTION("""COMPUTED_VALUE"""),43234.6666666666)</f>
        <v>43234.666666666599</v>
      </c>
      <c r="C365">
        <f ca="1">IFERROR(__xludf.DUMMYFUNCTION("""COMPUTED_VALUE"""),38.27)</f>
        <v>38.270000000000003</v>
      </c>
      <c r="D365">
        <v>25.04</v>
      </c>
      <c r="E365">
        <v>24.35</v>
      </c>
      <c r="F365">
        <v>32.299999999999997</v>
      </c>
      <c r="G365">
        <v>9.98</v>
      </c>
      <c r="H365">
        <v>197.37</v>
      </c>
      <c r="I365">
        <v>29.15</v>
      </c>
      <c r="J365">
        <v>49.52</v>
      </c>
      <c r="K365">
        <v>112.19</v>
      </c>
      <c r="L365">
        <v>31.93</v>
      </c>
      <c r="M365" s="125">
        <f ca="1">IFERROR(__xludf.DUMMYFUNCTION("""COMPUTED_VALUE"""),43766.6666666666)</f>
        <v>43766.666666666599</v>
      </c>
      <c r="N365">
        <f ca="1">IFERROR(__xludf.DUMMYFUNCTION("""COMPUTED_VALUE"""),32.01)</f>
        <v>32.01</v>
      </c>
      <c r="O365" s="125">
        <f ca="1">IFERROR(__xludf.DUMMYFUNCTION("""COMPUTED_VALUE"""),43234.6666666666)</f>
        <v>43234.666666666599</v>
      </c>
      <c r="P365">
        <f ca="1">IFERROR(__xludf.DUMMYFUNCTION("""COMPUTED_VALUE"""),38.27)</f>
        <v>38.270000000000003</v>
      </c>
    </row>
    <row r="366" spans="2:16" ht="12.75">
      <c r="B366" s="125">
        <f ca="1">IFERROR(__xludf.DUMMYFUNCTION("""COMPUTED_VALUE"""),43235.6666666666)</f>
        <v>43235.666666666599</v>
      </c>
      <c r="C366">
        <f ca="1">IFERROR(__xludf.DUMMYFUNCTION("""COMPUTED_VALUE"""),37.46)</f>
        <v>37.46</v>
      </c>
      <c r="D366">
        <v>25.05</v>
      </c>
      <c r="E366">
        <v>24.5</v>
      </c>
      <c r="F366">
        <v>32.07</v>
      </c>
      <c r="G366">
        <v>9.9499999999999993</v>
      </c>
      <c r="H366">
        <v>196.35</v>
      </c>
      <c r="I366">
        <v>29.2</v>
      </c>
      <c r="J366">
        <v>49.33</v>
      </c>
      <c r="K366">
        <v>111.25</v>
      </c>
      <c r="L366">
        <v>30.85</v>
      </c>
      <c r="M366" s="125">
        <f ca="1">IFERROR(__xludf.DUMMYFUNCTION("""COMPUTED_VALUE"""),43767.6666666666)</f>
        <v>43767.666666666599</v>
      </c>
      <c r="N366">
        <f ca="1">IFERROR(__xludf.DUMMYFUNCTION("""COMPUTED_VALUE"""),32.08)</f>
        <v>32.08</v>
      </c>
      <c r="O366" s="125">
        <f ca="1">IFERROR(__xludf.DUMMYFUNCTION("""COMPUTED_VALUE"""),43235.6666666666)</f>
        <v>43235.666666666599</v>
      </c>
      <c r="P366">
        <f ca="1">IFERROR(__xludf.DUMMYFUNCTION("""COMPUTED_VALUE"""),37.46)</f>
        <v>37.46</v>
      </c>
    </row>
    <row r="367" spans="2:16" ht="12.75">
      <c r="B367" s="125">
        <f ca="1">IFERROR(__xludf.DUMMYFUNCTION("""COMPUTED_VALUE"""),43236.6666666666)</f>
        <v>43236.666666666599</v>
      </c>
      <c r="C367">
        <f ca="1">IFERROR(__xludf.DUMMYFUNCTION("""COMPUTED_VALUE"""),38.24)</f>
        <v>38.24</v>
      </c>
      <c r="D367">
        <v>25.28</v>
      </c>
      <c r="E367">
        <v>24.56</v>
      </c>
      <c r="F367">
        <v>32.090000000000003</v>
      </c>
      <c r="G367">
        <v>9.98</v>
      </c>
      <c r="H367">
        <v>196.39</v>
      </c>
      <c r="I367">
        <v>29.25</v>
      </c>
      <c r="J367">
        <v>49.68</v>
      </c>
      <c r="K367">
        <v>110.46</v>
      </c>
      <c r="L367">
        <v>31.22</v>
      </c>
      <c r="M367" s="125">
        <f ca="1">IFERROR(__xludf.DUMMYFUNCTION("""COMPUTED_VALUE"""),43768.6666666666)</f>
        <v>43768.666666666599</v>
      </c>
      <c r="N367">
        <f ca="1">IFERROR(__xludf.DUMMYFUNCTION("""COMPUTED_VALUE"""),32.09)</f>
        <v>32.090000000000003</v>
      </c>
      <c r="O367" s="125">
        <f ca="1">IFERROR(__xludf.DUMMYFUNCTION("""COMPUTED_VALUE"""),43236.6666666666)</f>
        <v>43236.666666666599</v>
      </c>
      <c r="P367">
        <f ca="1">IFERROR(__xludf.DUMMYFUNCTION("""COMPUTED_VALUE"""),38.24)</f>
        <v>38.24</v>
      </c>
    </row>
    <row r="368" spans="2:16" ht="12.75">
      <c r="B368" s="125">
        <f ca="1">IFERROR(__xludf.DUMMYFUNCTION("""COMPUTED_VALUE"""),43237.6666666666)</f>
        <v>43237.666666666599</v>
      </c>
      <c r="C368">
        <f ca="1">IFERROR(__xludf.DUMMYFUNCTION("""COMPUTED_VALUE"""),37.76)</f>
        <v>37.76</v>
      </c>
      <c r="D368">
        <v>25.36</v>
      </c>
      <c r="E368">
        <v>24.59</v>
      </c>
      <c r="F368">
        <v>32</v>
      </c>
      <c r="G368">
        <v>9.9499999999999993</v>
      </c>
      <c r="H368">
        <v>197.77</v>
      </c>
      <c r="I368">
        <v>29.44</v>
      </c>
      <c r="J368">
        <v>49.85</v>
      </c>
      <c r="K368">
        <v>109.57</v>
      </c>
      <c r="L368">
        <v>31.32</v>
      </c>
      <c r="M368" s="125">
        <f ca="1">IFERROR(__xludf.DUMMYFUNCTION("""COMPUTED_VALUE"""),43769.6666666666)</f>
        <v>43769.666666666599</v>
      </c>
      <c r="N368">
        <f ca="1">IFERROR(__xludf.DUMMYFUNCTION("""COMPUTED_VALUE"""),31.73)</f>
        <v>31.73</v>
      </c>
      <c r="O368" s="125">
        <f ca="1">IFERROR(__xludf.DUMMYFUNCTION("""COMPUTED_VALUE"""),43237.6666666666)</f>
        <v>43237.666666666599</v>
      </c>
      <c r="P368">
        <f ca="1">IFERROR(__xludf.DUMMYFUNCTION("""COMPUTED_VALUE"""),37.76)</f>
        <v>37.76</v>
      </c>
    </row>
    <row r="369" spans="2:16" ht="12.75">
      <c r="B369" s="125">
        <f ca="1">IFERROR(__xludf.DUMMYFUNCTION("""COMPUTED_VALUE"""),43238.6666666666)</f>
        <v>43238.666666666599</v>
      </c>
      <c r="C369">
        <f ca="1">IFERROR(__xludf.DUMMYFUNCTION("""COMPUTED_VALUE"""),37.24)</f>
        <v>37.24</v>
      </c>
      <c r="D369">
        <v>25.59</v>
      </c>
      <c r="E369">
        <v>24.64</v>
      </c>
      <c r="F369">
        <v>31.95</v>
      </c>
      <c r="G369">
        <v>9.9499999999999993</v>
      </c>
      <c r="H369">
        <v>199.1</v>
      </c>
      <c r="I369">
        <v>29.39</v>
      </c>
      <c r="J369">
        <v>49.54</v>
      </c>
      <c r="K369">
        <v>109.63</v>
      </c>
      <c r="L369">
        <v>31.86</v>
      </c>
      <c r="M369" s="125">
        <f ca="1">IFERROR(__xludf.DUMMYFUNCTION("""COMPUTED_VALUE"""),43770.6666666666)</f>
        <v>43770.666666666599</v>
      </c>
      <c r="N369">
        <f ca="1">IFERROR(__xludf.DUMMYFUNCTION("""COMPUTED_VALUE"""),31.71)</f>
        <v>31.71</v>
      </c>
      <c r="O369" s="125">
        <f ca="1">IFERROR(__xludf.DUMMYFUNCTION("""COMPUTED_VALUE"""),43238.6666666666)</f>
        <v>43238.666666666599</v>
      </c>
      <c r="P369">
        <f ca="1">IFERROR(__xludf.DUMMYFUNCTION("""COMPUTED_VALUE"""),37.24)</f>
        <v>37.24</v>
      </c>
    </row>
    <row r="370" spans="2:16" ht="12.75">
      <c r="B370" s="125">
        <f ca="1">IFERROR(__xludf.DUMMYFUNCTION("""COMPUTED_VALUE"""),43241.6666666666)</f>
        <v>43241.666666666599</v>
      </c>
      <c r="C370">
        <f ca="1">IFERROR(__xludf.DUMMYFUNCTION("""COMPUTED_VALUE"""),37.26)</f>
        <v>37.26</v>
      </c>
      <c r="D370">
        <v>25.68</v>
      </c>
      <c r="E370">
        <v>24.62</v>
      </c>
      <c r="F370">
        <v>32.31</v>
      </c>
      <c r="G370">
        <v>9.99</v>
      </c>
      <c r="H370">
        <v>202.09</v>
      </c>
      <c r="I370">
        <v>29.56</v>
      </c>
      <c r="J370">
        <v>49.75</v>
      </c>
      <c r="K370">
        <v>110.19</v>
      </c>
      <c r="L370">
        <v>31.78</v>
      </c>
      <c r="M370" s="125">
        <f ca="1">IFERROR(__xludf.DUMMYFUNCTION("""COMPUTED_VALUE"""),43773.6666666666)</f>
        <v>43773.666666666599</v>
      </c>
      <c r="N370">
        <f ca="1">IFERROR(__xludf.DUMMYFUNCTION("""COMPUTED_VALUE"""),31.31)</f>
        <v>31.31</v>
      </c>
      <c r="O370" s="125">
        <f ca="1">IFERROR(__xludf.DUMMYFUNCTION("""COMPUTED_VALUE"""),43241.6666666666)</f>
        <v>43241.666666666599</v>
      </c>
      <c r="P370">
        <f ca="1">IFERROR(__xludf.DUMMYFUNCTION("""COMPUTED_VALUE"""),37.26)</f>
        <v>37.26</v>
      </c>
    </row>
    <row r="371" spans="2:16" ht="12.75">
      <c r="B371" s="125">
        <f ca="1">IFERROR(__xludf.DUMMYFUNCTION("""COMPUTED_VALUE"""),43242.6666666666)</f>
        <v>43242.666666666599</v>
      </c>
      <c r="C371">
        <f ca="1">IFERROR(__xludf.DUMMYFUNCTION("""COMPUTED_VALUE"""),37.3)</f>
        <v>37.299999999999997</v>
      </c>
      <c r="D371">
        <v>25.32</v>
      </c>
      <c r="E371">
        <v>24.61</v>
      </c>
      <c r="F371">
        <v>32.35</v>
      </c>
      <c r="G371">
        <v>10.02</v>
      </c>
      <c r="H371">
        <v>199.46</v>
      </c>
      <c r="I371">
        <v>29.53</v>
      </c>
      <c r="J371">
        <v>49.66</v>
      </c>
      <c r="K371">
        <v>110.64</v>
      </c>
      <c r="L371">
        <v>31.29</v>
      </c>
      <c r="M371" s="125">
        <f ca="1">IFERROR(__xludf.DUMMYFUNCTION("""COMPUTED_VALUE"""),43774.6666666666)</f>
        <v>43774.666666666599</v>
      </c>
      <c r="N371">
        <f ca="1">IFERROR(__xludf.DUMMYFUNCTION("""COMPUTED_VALUE"""),30.82)</f>
        <v>30.82</v>
      </c>
      <c r="O371" s="125">
        <f ca="1">IFERROR(__xludf.DUMMYFUNCTION("""COMPUTED_VALUE"""),43242.6666666666)</f>
        <v>43242.666666666599</v>
      </c>
      <c r="P371">
        <f ca="1">IFERROR(__xludf.DUMMYFUNCTION("""COMPUTED_VALUE"""),37.3)</f>
        <v>37.299999999999997</v>
      </c>
    </row>
    <row r="372" spans="2:16" ht="12.75">
      <c r="B372" s="125">
        <f ca="1">IFERROR(__xludf.DUMMYFUNCTION("""COMPUTED_VALUE"""),43243.6666666666)</f>
        <v>43243.666666666599</v>
      </c>
      <c r="C372">
        <f ca="1">IFERROR(__xludf.DUMMYFUNCTION("""COMPUTED_VALUE"""),37.51)</f>
        <v>37.51</v>
      </c>
      <c r="D372">
        <v>25.45</v>
      </c>
      <c r="E372">
        <v>24.71</v>
      </c>
      <c r="F372">
        <v>32.01</v>
      </c>
      <c r="G372">
        <v>9.98</v>
      </c>
      <c r="H372">
        <v>200.83</v>
      </c>
      <c r="I372">
        <v>29.23</v>
      </c>
      <c r="J372">
        <v>49.84</v>
      </c>
      <c r="K372">
        <v>111.65</v>
      </c>
      <c r="L372">
        <v>31.68</v>
      </c>
      <c r="M372" s="125">
        <f ca="1">IFERROR(__xludf.DUMMYFUNCTION("""COMPUTED_VALUE"""),43775.6666666666)</f>
        <v>43775.666666666599</v>
      </c>
      <c r="N372">
        <f ca="1">IFERROR(__xludf.DUMMYFUNCTION("""COMPUTED_VALUE"""),30.78)</f>
        <v>30.78</v>
      </c>
      <c r="O372" s="125">
        <f ca="1">IFERROR(__xludf.DUMMYFUNCTION("""COMPUTED_VALUE"""),43243.6666666666)</f>
        <v>43243.666666666599</v>
      </c>
      <c r="P372">
        <f ca="1">IFERROR(__xludf.DUMMYFUNCTION("""COMPUTED_VALUE"""),37.51)</f>
        <v>37.51</v>
      </c>
    </row>
    <row r="373" spans="2:16" ht="12.75">
      <c r="B373" s="125">
        <f ca="1">IFERROR(__xludf.DUMMYFUNCTION("""COMPUTED_VALUE"""),43244.6666666666)</f>
        <v>43244.666666666599</v>
      </c>
      <c r="C373">
        <f ca="1">IFERROR(__xludf.DUMMYFUNCTION("""COMPUTED_VALUE"""),37.33)</f>
        <v>37.33</v>
      </c>
      <c r="D373">
        <v>25.56</v>
      </c>
      <c r="E373">
        <v>24.68</v>
      </c>
      <c r="F373">
        <v>31.95</v>
      </c>
      <c r="G373">
        <v>9.86</v>
      </c>
      <c r="H373">
        <v>202.2</v>
      </c>
      <c r="I373">
        <v>28.99</v>
      </c>
      <c r="J373">
        <v>49.8</v>
      </c>
      <c r="K373">
        <v>112.49</v>
      </c>
      <c r="L373">
        <v>30.79</v>
      </c>
      <c r="M373" s="125">
        <f ca="1">IFERROR(__xludf.DUMMYFUNCTION("""COMPUTED_VALUE"""),43776.6666666666)</f>
        <v>43776.666666666599</v>
      </c>
      <c r="N373">
        <f ca="1">IFERROR(__xludf.DUMMYFUNCTION("""COMPUTED_VALUE"""),30.32)</f>
        <v>30.32</v>
      </c>
      <c r="O373" s="125">
        <f ca="1">IFERROR(__xludf.DUMMYFUNCTION("""COMPUTED_VALUE"""),43244.6666666666)</f>
        <v>43244.666666666599</v>
      </c>
      <c r="P373">
        <f ca="1">IFERROR(__xludf.DUMMYFUNCTION("""COMPUTED_VALUE"""),37.33)</f>
        <v>37.33</v>
      </c>
    </row>
    <row r="374" spans="2:16" ht="12.75">
      <c r="B374" s="125">
        <f ca="1">IFERROR(__xludf.DUMMYFUNCTION("""COMPUTED_VALUE"""),43245.6666666666)</f>
        <v>43245.666666666599</v>
      </c>
      <c r="C374">
        <f ca="1">IFERROR(__xludf.DUMMYFUNCTION("""COMPUTED_VALUE"""),37.36)</f>
        <v>37.36</v>
      </c>
      <c r="D374">
        <v>25.64</v>
      </c>
      <c r="E374">
        <v>24.8</v>
      </c>
      <c r="F374">
        <v>31.91</v>
      </c>
      <c r="G374">
        <v>9.74</v>
      </c>
      <c r="H374">
        <v>201.24</v>
      </c>
      <c r="I374">
        <v>29.06</v>
      </c>
      <c r="J374">
        <v>49.88</v>
      </c>
      <c r="K374">
        <v>112.97</v>
      </c>
      <c r="L374">
        <v>30.7</v>
      </c>
      <c r="M374" s="125">
        <f ca="1">IFERROR(__xludf.DUMMYFUNCTION("""COMPUTED_VALUE"""),43777.6666666666)</f>
        <v>43777.666666666599</v>
      </c>
      <c r="N374">
        <f ca="1">IFERROR(__xludf.DUMMYFUNCTION("""COMPUTED_VALUE"""),30.15)</f>
        <v>30.15</v>
      </c>
      <c r="O374" s="125">
        <f ca="1">IFERROR(__xludf.DUMMYFUNCTION("""COMPUTED_VALUE"""),43245.6666666666)</f>
        <v>43245.666666666599</v>
      </c>
      <c r="P374">
        <f ca="1">IFERROR(__xludf.DUMMYFUNCTION("""COMPUTED_VALUE"""),37.36)</f>
        <v>37.36</v>
      </c>
    </row>
    <row r="375" spans="2:16" ht="12.75">
      <c r="B375" s="125">
        <f ca="1">IFERROR(__xludf.DUMMYFUNCTION("""COMPUTED_VALUE"""),43249.6666666666)</f>
        <v>43249.666666666599</v>
      </c>
      <c r="C375">
        <f ca="1">IFERROR(__xludf.DUMMYFUNCTION("""COMPUTED_VALUE"""),36.73)</f>
        <v>36.729999999999997</v>
      </c>
      <c r="D375">
        <v>25.51</v>
      </c>
      <c r="E375">
        <v>24.97</v>
      </c>
      <c r="F375">
        <v>31.07</v>
      </c>
      <c r="G375">
        <v>9.59</v>
      </c>
      <c r="H375">
        <v>198.94</v>
      </c>
      <c r="I375">
        <v>28.5</v>
      </c>
      <c r="J375">
        <v>49.77</v>
      </c>
      <c r="K375">
        <v>113.15</v>
      </c>
      <c r="L375">
        <v>31.3</v>
      </c>
      <c r="M375" s="125">
        <f ca="1">IFERROR(__xludf.DUMMYFUNCTION("""COMPUTED_VALUE"""),43780.6666666666)</f>
        <v>43780.666666666599</v>
      </c>
      <c r="N375">
        <f ca="1">IFERROR(__xludf.DUMMYFUNCTION("""COMPUTED_VALUE"""),30.3)</f>
        <v>30.3</v>
      </c>
      <c r="O375" s="125">
        <f ca="1">IFERROR(__xludf.DUMMYFUNCTION("""COMPUTED_VALUE"""),43249.6666666666)</f>
        <v>43249.666666666599</v>
      </c>
      <c r="P375">
        <f ca="1">IFERROR(__xludf.DUMMYFUNCTION("""COMPUTED_VALUE"""),36.73)</f>
        <v>36.729999999999997</v>
      </c>
    </row>
    <row r="376" spans="2:16" ht="12.75">
      <c r="B376" s="125">
        <f ca="1">IFERROR(__xludf.DUMMYFUNCTION("""COMPUTED_VALUE"""),43250.6666666666)</f>
        <v>43250.666666666599</v>
      </c>
      <c r="C376">
        <f ca="1">IFERROR(__xludf.DUMMYFUNCTION("""COMPUTED_VALUE"""),36.98)</f>
        <v>36.979999999999997</v>
      </c>
      <c r="D376">
        <v>25.75</v>
      </c>
      <c r="E376">
        <v>24.78</v>
      </c>
      <c r="F376">
        <v>31.54</v>
      </c>
      <c r="G376">
        <v>9.75</v>
      </c>
      <c r="H376">
        <v>201.55</v>
      </c>
      <c r="I376">
        <v>28.82</v>
      </c>
      <c r="J376">
        <v>50.47</v>
      </c>
      <c r="K376">
        <v>114.09</v>
      </c>
      <c r="L376">
        <v>31.62</v>
      </c>
      <c r="M376" s="125">
        <f ca="1">IFERROR(__xludf.DUMMYFUNCTION("""COMPUTED_VALUE"""),43781.6666666666)</f>
        <v>43781.666666666599</v>
      </c>
      <c r="N376">
        <f ca="1">IFERROR(__xludf.DUMMYFUNCTION("""COMPUTED_VALUE"""),30.19)</f>
        <v>30.19</v>
      </c>
      <c r="O376" s="125">
        <f ca="1">IFERROR(__xludf.DUMMYFUNCTION("""COMPUTED_VALUE"""),43250.6666666666)</f>
        <v>43250.666666666599</v>
      </c>
      <c r="P376">
        <f ca="1">IFERROR(__xludf.DUMMYFUNCTION("""COMPUTED_VALUE"""),36.98)</f>
        <v>36.979999999999997</v>
      </c>
    </row>
    <row r="377" spans="2:16" ht="12.75">
      <c r="B377" s="125">
        <f ca="1">IFERROR(__xludf.DUMMYFUNCTION("""COMPUTED_VALUE"""),43251.6666666666)</f>
        <v>43251.666666666599</v>
      </c>
      <c r="C377">
        <f ca="1">IFERROR(__xludf.DUMMYFUNCTION("""COMPUTED_VALUE"""),36.98)</f>
        <v>36.979999999999997</v>
      </c>
      <c r="D377">
        <v>25.75</v>
      </c>
      <c r="E377">
        <v>24.76</v>
      </c>
      <c r="F377">
        <v>31.35</v>
      </c>
      <c r="G377">
        <v>9.7100000000000009</v>
      </c>
      <c r="H377">
        <v>201.55</v>
      </c>
      <c r="I377">
        <v>28.53</v>
      </c>
      <c r="J377">
        <v>49.66</v>
      </c>
      <c r="K377">
        <v>114.21</v>
      </c>
      <c r="L377">
        <v>31.47</v>
      </c>
      <c r="M377" s="125">
        <f ca="1">IFERROR(__xludf.DUMMYFUNCTION("""COMPUTED_VALUE"""),43782.6666666666)</f>
        <v>43782.666666666599</v>
      </c>
      <c r="N377">
        <f ca="1">IFERROR(__xludf.DUMMYFUNCTION("""COMPUTED_VALUE"""),30.48)</f>
        <v>30.48</v>
      </c>
      <c r="O377" s="125">
        <f ca="1">IFERROR(__xludf.DUMMYFUNCTION("""COMPUTED_VALUE"""),43251.6666666666)</f>
        <v>43251.666666666599</v>
      </c>
      <c r="P377">
        <f ca="1">IFERROR(__xludf.DUMMYFUNCTION("""COMPUTED_VALUE"""),36.98)</f>
        <v>36.979999999999997</v>
      </c>
    </row>
    <row r="378" spans="2:16" ht="12.75">
      <c r="B378" s="125">
        <f ca="1">IFERROR(__xludf.DUMMYFUNCTION("""COMPUTED_VALUE"""),43252.6666666666)</f>
        <v>43252.666666666599</v>
      </c>
      <c r="C378">
        <f ca="1">IFERROR(__xludf.DUMMYFUNCTION("""COMPUTED_VALUE"""),37.93)</f>
        <v>37.93</v>
      </c>
      <c r="D378">
        <v>25.73</v>
      </c>
      <c r="E378">
        <v>24.8</v>
      </c>
      <c r="F378">
        <v>31.65</v>
      </c>
      <c r="G378">
        <v>9.66</v>
      </c>
      <c r="H378">
        <v>201.06</v>
      </c>
      <c r="I378">
        <v>28.77</v>
      </c>
      <c r="J378">
        <v>49.66</v>
      </c>
      <c r="K378">
        <v>112.52</v>
      </c>
      <c r="L378">
        <v>31.86</v>
      </c>
      <c r="M378" s="125">
        <f ca="1">IFERROR(__xludf.DUMMYFUNCTION("""COMPUTED_VALUE"""),43783.6666666666)</f>
        <v>43783.666666666599</v>
      </c>
      <c r="N378">
        <f ca="1">IFERROR(__xludf.DUMMYFUNCTION("""COMPUTED_VALUE"""),30.77)</f>
        <v>30.77</v>
      </c>
      <c r="O378" s="125">
        <f ca="1">IFERROR(__xludf.DUMMYFUNCTION("""COMPUTED_VALUE"""),43252.6666666666)</f>
        <v>43252.666666666599</v>
      </c>
      <c r="P378">
        <f ca="1">IFERROR(__xludf.DUMMYFUNCTION("""COMPUTED_VALUE"""),37.93)</f>
        <v>37.93</v>
      </c>
    </row>
    <row r="379" spans="2:16" ht="12.75">
      <c r="B379" s="125">
        <f ca="1">IFERROR(__xludf.DUMMYFUNCTION("""COMPUTED_VALUE"""),43255.6666666666)</f>
        <v>43255.666666666599</v>
      </c>
      <c r="C379">
        <f ca="1">IFERROR(__xludf.DUMMYFUNCTION("""COMPUTED_VALUE"""),38.8)</f>
        <v>38.799999999999997</v>
      </c>
      <c r="D379">
        <v>26.16</v>
      </c>
      <c r="E379">
        <v>24.78</v>
      </c>
      <c r="F379">
        <v>31.83</v>
      </c>
      <c r="G379">
        <v>9.44</v>
      </c>
      <c r="H379">
        <v>201.79</v>
      </c>
      <c r="I379">
        <v>28.84</v>
      </c>
      <c r="J379">
        <v>50.07</v>
      </c>
      <c r="K379">
        <v>111.73</v>
      </c>
      <c r="L379">
        <v>31.8</v>
      </c>
      <c r="M379" s="125">
        <f ca="1">IFERROR(__xludf.DUMMYFUNCTION("""COMPUTED_VALUE"""),43784.6666666666)</f>
        <v>43784.666666666599</v>
      </c>
      <c r="N379">
        <f ca="1">IFERROR(__xludf.DUMMYFUNCTION("""COMPUTED_VALUE"""),31.12)</f>
        <v>31.12</v>
      </c>
      <c r="O379" s="125">
        <f ca="1">IFERROR(__xludf.DUMMYFUNCTION("""COMPUTED_VALUE"""),43255.6666666666)</f>
        <v>43255.666666666599</v>
      </c>
      <c r="P379">
        <f ca="1">IFERROR(__xludf.DUMMYFUNCTION("""COMPUTED_VALUE"""),38.8)</f>
        <v>38.799999999999997</v>
      </c>
    </row>
    <row r="380" spans="2:16" ht="12.75">
      <c r="B380" s="125">
        <f ca="1">IFERROR(__xludf.DUMMYFUNCTION("""COMPUTED_VALUE"""),43256.6666666666)</f>
        <v>43256.666666666599</v>
      </c>
      <c r="C380">
        <f ca="1">IFERROR(__xludf.DUMMYFUNCTION("""COMPUTED_VALUE"""),38.87)</f>
        <v>38.869999999999997</v>
      </c>
      <c r="D380">
        <v>26.39</v>
      </c>
      <c r="E380">
        <v>24.75</v>
      </c>
      <c r="F380">
        <v>31.95</v>
      </c>
      <c r="G380">
        <v>9.3000000000000007</v>
      </c>
      <c r="H380">
        <v>201.81</v>
      </c>
      <c r="I380">
        <v>28.81</v>
      </c>
      <c r="J380">
        <v>49.84</v>
      </c>
      <c r="K380">
        <v>110.94</v>
      </c>
      <c r="L380">
        <v>31</v>
      </c>
      <c r="M380" s="125">
        <f ca="1">IFERROR(__xludf.DUMMYFUNCTION("""COMPUTED_VALUE"""),43787.6666666666)</f>
        <v>43787.666666666599</v>
      </c>
      <c r="N380">
        <f ca="1">IFERROR(__xludf.DUMMYFUNCTION("""COMPUTED_VALUE"""),31.21)</f>
        <v>31.21</v>
      </c>
      <c r="O380" s="125">
        <f ca="1">IFERROR(__xludf.DUMMYFUNCTION("""COMPUTED_VALUE"""),43256.6666666666)</f>
        <v>43256.666666666599</v>
      </c>
      <c r="P380">
        <f ca="1">IFERROR(__xludf.DUMMYFUNCTION("""COMPUTED_VALUE"""),38.87)</f>
        <v>38.869999999999997</v>
      </c>
    </row>
    <row r="381" spans="2:16" ht="12.75">
      <c r="B381" s="125">
        <f ca="1">IFERROR(__xludf.DUMMYFUNCTION("""COMPUTED_VALUE"""),43257.6666666666)</f>
        <v>43257.666666666599</v>
      </c>
      <c r="C381">
        <f ca="1">IFERROR(__xludf.DUMMYFUNCTION("""COMPUTED_VALUE"""),39.15)</f>
        <v>39.15</v>
      </c>
      <c r="D381">
        <v>26.74</v>
      </c>
      <c r="E381">
        <v>24.68</v>
      </c>
      <c r="F381">
        <v>32.26</v>
      </c>
      <c r="G381">
        <v>9.2899999999999991</v>
      </c>
      <c r="H381">
        <v>203.77</v>
      </c>
      <c r="I381">
        <v>29.09</v>
      </c>
      <c r="J381">
        <v>49.9</v>
      </c>
      <c r="K381">
        <v>108.69</v>
      </c>
      <c r="L381">
        <v>31.12</v>
      </c>
      <c r="M381" s="125">
        <f ca="1">IFERROR(__xludf.DUMMYFUNCTION("""COMPUTED_VALUE"""),43788.6666666666)</f>
        <v>43788.666666666599</v>
      </c>
      <c r="N381">
        <f ca="1">IFERROR(__xludf.DUMMYFUNCTION("""COMPUTED_VALUE"""),31.38)</f>
        <v>31.38</v>
      </c>
      <c r="O381" s="125">
        <f ca="1">IFERROR(__xludf.DUMMYFUNCTION("""COMPUTED_VALUE"""),43257.6666666666)</f>
        <v>43257.666666666599</v>
      </c>
      <c r="P381">
        <f ca="1">IFERROR(__xludf.DUMMYFUNCTION("""COMPUTED_VALUE"""),39.15)</f>
        <v>39.15</v>
      </c>
    </row>
    <row r="382" spans="2:16" ht="12.75">
      <c r="B382" s="125">
        <f ca="1">IFERROR(__xludf.DUMMYFUNCTION("""COMPUTED_VALUE"""),43258.6666666666)</f>
        <v>43258.666666666599</v>
      </c>
      <c r="C382">
        <f ca="1">IFERROR(__xludf.DUMMYFUNCTION("""COMPUTED_VALUE"""),38.58)</f>
        <v>38.58</v>
      </c>
      <c r="D382">
        <v>26.17</v>
      </c>
      <c r="E382">
        <v>24.63</v>
      </c>
      <c r="F382">
        <v>32.08</v>
      </c>
      <c r="G382">
        <v>9.1999999999999993</v>
      </c>
      <c r="H382">
        <v>203.59</v>
      </c>
      <c r="I382">
        <v>28.7</v>
      </c>
      <c r="J382">
        <v>50.21</v>
      </c>
      <c r="K382">
        <v>109.18</v>
      </c>
      <c r="L382">
        <v>31.11</v>
      </c>
      <c r="M382" s="125">
        <f ca="1">IFERROR(__xludf.DUMMYFUNCTION("""COMPUTED_VALUE"""),43789.6666666666)</f>
        <v>43789.666666666599</v>
      </c>
      <c r="N382">
        <f ca="1">IFERROR(__xludf.DUMMYFUNCTION("""COMPUTED_VALUE"""),31.34)</f>
        <v>31.34</v>
      </c>
      <c r="O382" s="125">
        <f ca="1">IFERROR(__xludf.DUMMYFUNCTION("""COMPUTED_VALUE"""),43258.6666666666)</f>
        <v>43258.666666666599</v>
      </c>
      <c r="P382">
        <f ca="1">IFERROR(__xludf.DUMMYFUNCTION("""COMPUTED_VALUE"""),38.58)</f>
        <v>38.58</v>
      </c>
    </row>
    <row r="383" spans="2:16" ht="12.75">
      <c r="B383" s="125">
        <f ca="1">IFERROR(__xludf.DUMMYFUNCTION("""COMPUTED_VALUE"""),43259.6666666666)</f>
        <v>43259.666666666599</v>
      </c>
      <c r="C383">
        <f ca="1">IFERROR(__xludf.DUMMYFUNCTION("""COMPUTED_VALUE"""),38.72)</f>
        <v>38.72</v>
      </c>
      <c r="D383">
        <v>26.56</v>
      </c>
      <c r="E383">
        <v>24.64</v>
      </c>
      <c r="F383">
        <v>32.159999999999997</v>
      </c>
      <c r="G383">
        <v>9.27</v>
      </c>
      <c r="H383">
        <v>205</v>
      </c>
      <c r="I383">
        <v>28.89</v>
      </c>
      <c r="J383">
        <v>50.83</v>
      </c>
      <c r="K383">
        <v>109.2</v>
      </c>
      <c r="L383">
        <v>30.96</v>
      </c>
      <c r="M383" s="125">
        <f ca="1">IFERROR(__xludf.DUMMYFUNCTION("""COMPUTED_VALUE"""),43790.6666666666)</f>
        <v>43790.666666666599</v>
      </c>
      <c r="N383">
        <f ca="1">IFERROR(__xludf.DUMMYFUNCTION("""COMPUTED_VALUE"""),31.04)</f>
        <v>31.04</v>
      </c>
      <c r="O383" s="125">
        <f ca="1">IFERROR(__xludf.DUMMYFUNCTION("""COMPUTED_VALUE"""),43259.6666666666)</f>
        <v>43259.666666666599</v>
      </c>
      <c r="P383">
        <f ca="1">IFERROR(__xludf.DUMMYFUNCTION("""COMPUTED_VALUE"""),38.72)</f>
        <v>38.72</v>
      </c>
    </row>
    <row r="384" spans="2:16" ht="12.75">
      <c r="B384" s="125">
        <f ca="1">IFERROR(__xludf.DUMMYFUNCTION("""COMPUTED_VALUE"""),43262.6666666666)</f>
        <v>43262.666666666599</v>
      </c>
      <c r="C384">
        <f ca="1">IFERROR(__xludf.DUMMYFUNCTION("""COMPUTED_VALUE"""),39)</f>
        <v>39</v>
      </c>
      <c r="D384">
        <v>26.58</v>
      </c>
      <c r="E384">
        <v>24.66</v>
      </c>
      <c r="F384">
        <v>32.4</v>
      </c>
      <c r="G384">
        <v>9.2100000000000009</v>
      </c>
      <c r="H384">
        <v>204.22</v>
      </c>
      <c r="I384">
        <v>29.05</v>
      </c>
      <c r="J384">
        <v>51.25</v>
      </c>
      <c r="K384">
        <v>108.7</v>
      </c>
      <c r="L384">
        <v>31.37</v>
      </c>
      <c r="M384" s="125">
        <f ca="1">IFERROR(__xludf.DUMMYFUNCTION("""COMPUTED_VALUE"""),43791.6666666666)</f>
        <v>43791.666666666599</v>
      </c>
      <c r="N384">
        <f ca="1">IFERROR(__xludf.DUMMYFUNCTION("""COMPUTED_VALUE"""),30.83)</f>
        <v>30.83</v>
      </c>
      <c r="O384" s="125">
        <f ca="1">IFERROR(__xludf.DUMMYFUNCTION("""COMPUTED_VALUE"""),43262.6666666666)</f>
        <v>43262.666666666599</v>
      </c>
      <c r="P384">
        <f ca="1">IFERROR(__xludf.DUMMYFUNCTION("""COMPUTED_VALUE"""),39)</f>
        <v>39</v>
      </c>
    </row>
    <row r="385" spans="2:16" ht="12.75">
      <c r="B385" s="125">
        <f ca="1">IFERROR(__xludf.DUMMYFUNCTION("""COMPUTED_VALUE"""),43263.6666666666)</f>
        <v>43263.666666666599</v>
      </c>
      <c r="C385">
        <f ca="1">IFERROR(__xludf.DUMMYFUNCTION("""COMPUTED_VALUE"""),39.24)</f>
        <v>39.24</v>
      </c>
      <c r="D385">
        <v>26.88</v>
      </c>
      <c r="E385">
        <v>24.71</v>
      </c>
      <c r="F385">
        <v>32.229999999999997</v>
      </c>
      <c r="G385">
        <v>9.2100000000000009</v>
      </c>
      <c r="H385">
        <v>202.28</v>
      </c>
      <c r="I385">
        <v>29.02</v>
      </c>
      <c r="J385">
        <v>51.35</v>
      </c>
      <c r="K385">
        <v>110.07</v>
      </c>
      <c r="L385">
        <v>31.61</v>
      </c>
      <c r="M385" s="125">
        <f ca="1">IFERROR(__xludf.DUMMYFUNCTION("""COMPUTED_VALUE"""),43794.6666666666)</f>
        <v>43794.666666666599</v>
      </c>
      <c r="N385">
        <f ca="1">IFERROR(__xludf.DUMMYFUNCTION("""COMPUTED_VALUE"""),30.82)</f>
        <v>30.82</v>
      </c>
      <c r="O385" s="125">
        <f ca="1">IFERROR(__xludf.DUMMYFUNCTION("""COMPUTED_VALUE"""),43263.6666666666)</f>
        <v>43263.666666666599</v>
      </c>
      <c r="P385">
        <f ca="1">IFERROR(__xludf.DUMMYFUNCTION("""COMPUTED_VALUE"""),39.24)</f>
        <v>39.24</v>
      </c>
    </row>
    <row r="386" spans="2:16" ht="12.75">
      <c r="B386" s="125">
        <f ca="1">IFERROR(__xludf.DUMMYFUNCTION("""COMPUTED_VALUE"""),43264.6666666666)</f>
        <v>43264.666666666599</v>
      </c>
      <c r="C386">
        <f ca="1">IFERROR(__xludf.DUMMYFUNCTION("""COMPUTED_VALUE"""),39.04)</f>
        <v>39.04</v>
      </c>
      <c r="D386">
        <v>26.98</v>
      </c>
      <c r="E386">
        <v>24.67</v>
      </c>
      <c r="F386">
        <v>32.24</v>
      </c>
      <c r="G386">
        <v>9.2100000000000009</v>
      </c>
      <c r="H386">
        <v>201.21</v>
      </c>
      <c r="I386">
        <v>29.05</v>
      </c>
      <c r="J386">
        <v>51.19</v>
      </c>
      <c r="K386">
        <v>109.74</v>
      </c>
      <c r="L386">
        <v>31.32</v>
      </c>
      <c r="M386" s="125">
        <f ca="1">IFERROR(__xludf.DUMMYFUNCTION("""COMPUTED_VALUE"""),43795.6666666666)</f>
        <v>43795.666666666599</v>
      </c>
      <c r="N386">
        <f ca="1">IFERROR(__xludf.DUMMYFUNCTION("""COMPUTED_VALUE"""),31.14)</f>
        <v>31.14</v>
      </c>
      <c r="O386" s="125">
        <f ca="1">IFERROR(__xludf.DUMMYFUNCTION("""COMPUTED_VALUE"""),43264.6666666666)</f>
        <v>43264.666666666599</v>
      </c>
      <c r="P386">
        <f ca="1">IFERROR(__xludf.DUMMYFUNCTION("""COMPUTED_VALUE"""),39.04)</f>
        <v>39.04</v>
      </c>
    </row>
    <row r="387" spans="2:16" ht="12.75">
      <c r="B387" s="125">
        <f ca="1">IFERROR(__xludf.DUMMYFUNCTION("""COMPUTED_VALUE"""),43265.6666666666)</f>
        <v>43265.666666666599</v>
      </c>
      <c r="C387">
        <f ca="1">IFERROR(__xludf.DUMMYFUNCTION("""COMPUTED_VALUE"""),39.28)</f>
        <v>39.28</v>
      </c>
      <c r="D387">
        <v>27.27</v>
      </c>
      <c r="E387">
        <v>24.99</v>
      </c>
      <c r="F387">
        <v>31.92</v>
      </c>
      <c r="G387">
        <v>9.19</v>
      </c>
      <c r="H387">
        <v>199.75</v>
      </c>
      <c r="I387">
        <v>29.68</v>
      </c>
      <c r="J387">
        <v>51.28</v>
      </c>
      <c r="K387">
        <v>111.01</v>
      </c>
      <c r="L387">
        <v>31.79</v>
      </c>
      <c r="M387" s="125">
        <f ca="1">IFERROR(__xludf.DUMMYFUNCTION("""COMPUTED_VALUE"""),43796.6666666666)</f>
        <v>43796.666666666599</v>
      </c>
      <c r="N387">
        <f ca="1">IFERROR(__xludf.DUMMYFUNCTION("""COMPUTED_VALUE"""),31.23)</f>
        <v>31.23</v>
      </c>
      <c r="O387" s="125">
        <f ca="1">IFERROR(__xludf.DUMMYFUNCTION("""COMPUTED_VALUE"""),43265.6666666666)</f>
        <v>43265.666666666599</v>
      </c>
      <c r="P387">
        <f ca="1">IFERROR(__xludf.DUMMYFUNCTION("""COMPUTED_VALUE"""),39.28)</f>
        <v>39.28</v>
      </c>
    </row>
    <row r="388" spans="2:16" ht="12.75">
      <c r="B388" s="125">
        <f ca="1">IFERROR(__xludf.DUMMYFUNCTION("""COMPUTED_VALUE"""),43266.6666666666)</f>
        <v>43266.666666666599</v>
      </c>
      <c r="C388">
        <f ca="1">IFERROR(__xludf.DUMMYFUNCTION("""COMPUTED_VALUE"""),38.98)</f>
        <v>38.979999999999997</v>
      </c>
      <c r="D388">
        <v>27.13</v>
      </c>
      <c r="E388">
        <v>24.97</v>
      </c>
      <c r="F388">
        <v>31.88</v>
      </c>
      <c r="G388">
        <v>9.16</v>
      </c>
      <c r="H388">
        <v>198.82</v>
      </c>
      <c r="I388">
        <v>29.47</v>
      </c>
      <c r="J388">
        <v>51.54</v>
      </c>
      <c r="K388">
        <v>111.78</v>
      </c>
      <c r="L388">
        <v>32.35</v>
      </c>
      <c r="M388" s="125">
        <f ca="1">IFERROR(__xludf.DUMMYFUNCTION("""COMPUTED_VALUE"""),43798.5416666666)</f>
        <v>43798.541666666599</v>
      </c>
      <c r="N388">
        <f ca="1">IFERROR(__xludf.DUMMYFUNCTION("""COMPUTED_VALUE"""),31.16)</f>
        <v>31.16</v>
      </c>
      <c r="O388" s="125">
        <f ca="1">IFERROR(__xludf.DUMMYFUNCTION("""COMPUTED_VALUE"""),43266.6666666666)</f>
        <v>43266.666666666599</v>
      </c>
      <c r="P388">
        <f ca="1">IFERROR(__xludf.DUMMYFUNCTION("""COMPUTED_VALUE"""),38.98)</f>
        <v>38.979999999999997</v>
      </c>
    </row>
    <row r="389" spans="2:16" ht="12.75">
      <c r="B389" s="125">
        <f ca="1">IFERROR(__xludf.DUMMYFUNCTION("""COMPUTED_VALUE"""),43269.6666666666)</f>
        <v>43269.666666666599</v>
      </c>
      <c r="C389">
        <f ca="1">IFERROR(__xludf.DUMMYFUNCTION("""COMPUTED_VALUE"""),38.77)</f>
        <v>38.770000000000003</v>
      </c>
      <c r="D389">
        <v>27.24</v>
      </c>
      <c r="E389">
        <v>24.97</v>
      </c>
      <c r="F389">
        <v>31.69</v>
      </c>
      <c r="G389">
        <v>9.11</v>
      </c>
      <c r="H389">
        <v>199</v>
      </c>
      <c r="I389">
        <v>29.03</v>
      </c>
      <c r="J389">
        <v>50.79</v>
      </c>
      <c r="K389">
        <v>112.28</v>
      </c>
      <c r="L389">
        <v>32.35</v>
      </c>
      <c r="M389" s="125">
        <f ca="1">IFERROR(__xludf.DUMMYFUNCTION("""COMPUTED_VALUE"""),43801.6666666666)</f>
        <v>43801.666666666599</v>
      </c>
      <c r="N389">
        <f ca="1">IFERROR(__xludf.DUMMYFUNCTION("""COMPUTED_VALUE"""),30.75)</f>
        <v>30.75</v>
      </c>
      <c r="O389" s="125">
        <f ca="1">IFERROR(__xludf.DUMMYFUNCTION("""COMPUTED_VALUE"""),43269.6666666666)</f>
        <v>43269.666666666599</v>
      </c>
      <c r="P389">
        <f ca="1">IFERROR(__xludf.DUMMYFUNCTION("""COMPUTED_VALUE"""),38.77)</f>
        <v>38.770000000000003</v>
      </c>
    </row>
    <row r="390" spans="2:16" ht="12.75">
      <c r="B390" s="125">
        <f ca="1">IFERROR(__xludf.DUMMYFUNCTION("""COMPUTED_VALUE"""),43270.6666666666)</f>
        <v>43270.666666666599</v>
      </c>
      <c r="C390">
        <f ca="1">IFERROR(__xludf.DUMMYFUNCTION("""COMPUTED_VALUE"""),37.87)</f>
        <v>37.869999999999997</v>
      </c>
      <c r="D390">
        <v>27.21</v>
      </c>
      <c r="E390">
        <v>25.04</v>
      </c>
      <c r="F390">
        <v>30.82</v>
      </c>
      <c r="G390">
        <v>8.94</v>
      </c>
      <c r="H390">
        <v>194.39</v>
      </c>
      <c r="I390">
        <v>28.75</v>
      </c>
      <c r="J390">
        <v>51.06</v>
      </c>
      <c r="K390">
        <v>113.48</v>
      </c>
      <c r="L390">
        <v>32.21</v>
      </c>
      <c r="M390" s="125">
        <f ca="1">IFERROR(__xludf.DUMMYFUNCTION("""COMPUTED_VALUE"""),43802.6666666666)</f>
        <v>43802.666666666599</v>
      </c>
      <c r="N390">
        <f ca="1">IFERROR(__xludf.DUMMYFUNCTION("""COMPUTED_VALUE"""),30.95)</f>
        <v>30.95</v>
      </c>
      <c r="O390" s="125">
        <f ca="1">IFERROR(__xludf.DUMMYFUNCTION("""COMPUTED_VALUE"""),43270.6666666666)</f>
        <v>43270.666666666599</v>
      </c>
      <c r="P390">
        <f ca="1">IFERROR(__xludf.DUMMYFUNCTION("""COMPUTED_VALUE"""),37.87)</f>
        <v>37.869999999999997</v>
      </c>
    </row>
    <row r="391" spans="2:16" ht="12.75">
      <c r="B391" s="125">
        <f ca="1">IFERROR(__xludf.DUMMYFUNCTION("""COMPUTED_VALUE"""),43271.6666666666)</f>
        <v>43271.666666666599</v>
      </c>
      <c r="C391">
        <f ca="1">IFERROR(__xludf.DUMMYFUNCTION("""COMPUTED_VALUE"""),38.15)</f>
        <v>38.15</v>
      </c>
      <c r="D391">
        <v>27.29</v>
      </c>
      <c r="E391">
        <v>25.06</v>
      </c>
      <c r="F391">
        <v>30.86</v>
      </c>
      <c r="G391">
        <v>8.94</v>
      </c>
      <c r="H391">
        <v>195.21</v>
      </c>
      <c r="I391">
        <v>28.73</v>
      </c>
      <c r="J391">
        <v>51.11</v>
      </c>
      <c r="K391">
        <v>113.47</v>
      </c>
      <c r="L391">
        <v>32.08</v>
      </c>
      <c r="M391" s="125">
        <f ca="1">IFERROR(__xludf.DUMMYFUNCTION("""COMPUTED_VALUE"""),43803.6666666666)</f>
        <v>43803.666666666599</v>
      </c>
      <c r="N391">
        <f ca="1">IFERROR(__xludf.DUMMYFUNCTION("""COMPUTED_VALUE"""),31.18)</f>
        <v>31.18</v>
      </c>
      <c r="O391" s="125">
        <f ca="1">IFERROR(__xludf.DUMMYFUNCTION("""COMPUTED_VALUE"""),43271.6666666666)</f>
        <v>43271.666666666599</v>
      </c>
      <c r="P391">
        <f ca="1">IFERROR(__xludf.DUMMYFUNCTION("""COMPUTED_VALUE"""),38.15)</f>
        <v>38.15</v>
      </c>
    </row>
    <row r="392" spans="2:16" ht="12.75">
      <c r="B392" s="125">
        <f ca="1">IFERROR(__xludf.DUMMYFUNCTION("""COMPUTED_VALUE"""),43272.6666666666)</f>
        <v>43272.666666666599</v>
      </c>
      <c r="C392">
        <f ca="1">IFERROR(__xludf.DUMMYFUNCTION("""COMPUTED_VALUE"""),37.57)</f>
        <v>37.57</v>
      </c>
      <c r="D392">
        <v>27.15</v>
      </c>
      <c r="E392">
        <v>24.99</v>
      </c>
      <c r="F392">
        <v>30.74</v>
      </c>
      <c r="G392">
        <v>8.8800000000000008</v>
      </c>
      <c r="H392">
        <v>193.18</v>
      </c>
      <c r="I392">
        <v>28.25</v>
      </c>
      <c r="J392">
        <v>51.21</v>
      </c>
      <c r="K392">
        <v>113.84</v>
      </c>
      <c r="L392">
        <v>32.619999999999997</v>
      </c>
      <c r="M392" s="125">
        <f ca="1">IFERROR(__xludf.DUMMYFUNCTION("""COMPUTED_VALUE"""),43804.6666666666)</f>
        <v>43804.666666666599</v>
      </c>
      <c r="N392">
        <f ca="1">IFERROR(__xludf.DUMMYFUNCTION("""COMPUTED_VALUE"""),31.2)</f>
        <v>31.2</v>
      </c>
      <c r="O392" s="125">
        <f ca="1">IFERROR(__xludf.DUMMYFUNCTION("""COMPUTED_VALUE"""),43272.6666666666)</f>
        <v>43272.666666666599</v>
      </c>
      <c r="P392">
        <f ca="1">IFERROR(__xludf.DUMMYFUNCTION("""COMPUTED_VALUE"""),37.57)</f>
        <v>37.57</v>
      </c>
    </row>
    <row r="393" spans="2:16" ht="12.75">
      <c r="B393" s="125">
        <f ca="1">IFERROR(__xludf.DUMMYFUNCTION("""COMPUTED_VALUE"""),43273.6666666666)</f>
        <v>43273.666666666599</v>
      </c>
      <c r="C393">
        <f ca="1">IFERROR(__xludf.DUMMYFUNCTION("""COMPUTED_VALUE"""),37.91)</f>
        <v>37.909999999999997</v>
      </c>
      <c r="D393">
        <v>27.12</v>
      </c>
      <c r="E393">
        <v>24.9</v>
      </c>
      <c r="F393">
        <v>31.05</v>
      </c>
      <c r="G393">
        <v>8.9499999999999993</v>
      </c>
      <c r="H393">
        <v>193.74</v>
      </c>
      <c r="I393">
        <v>28.41</v>
      </c>
      <c r="J393">
        <v>51.63</v>
      </c>
      <c r="K393">
        <v>114.62</v>
      </c>
      <c r="L393">
        <v>32.86</v>
      </c>
      <c r="M393" s="125">
        <f ca="1">IFERROR(__xludf.DUMMYFUNCTION("""COMPUTED_VALUE"""),43805.6666666666)</f>
        <v>43805.666666666599</v>
      </c>
      <c r="N393">
        <f ca="1">IFERROR(__xludf.DUMMYFUNCTION("""COMPUTED_VALUE"""),31.23)</f>
        <v>31.23</v>
      </c>
      <c r="O393" s="125">
        <f ca="1">IFERROR(__xludf.DUMMYFUNCTION("""COMPUTED_VALUE"""),43273.6666666666)</f>
        <v>43273.666666666599</v>
      </c>
      <c r="P393">
        <f ca="1">IFERROR(__xludf.DUMMYFUNCTION("""COMPUTED_VALUE"""),37.91)</f>
        <v>37.909999999999997</v>
      </c>
    </row>
    <row r="394" spans="2:16" ht="12.75">
      <c r="B394" s="125">
        <f ca="1">IFERROR(__xludf.DUMMYFUNCTION("""COMPUTED_VALUE"""),43276.6666666666)</f>
        <v>43276.666666666599</v>
      </c>
      <c r="C394">
        <f ca="1">IFERROR(__xludf.DUMMYFUNCTION("""COMPUTED_VALUE"""),36.73)</f>
        <v>36.729999999999997</v>
      </c>
      <c r="D394">
        <v>26.29</v>
      </c>
      <c r="E394">
        <v>24.86</v>
      </c>
      <c r="F394">
        <v>30.64</v>
      </c>
      <c r="G394">
        <v>8.9</v>
      </c>
      <c r="H394">
        <v>191.89</v>
      </c>
      <c r="I394">
        <v>27.83</v>
      </c>
      <c r="J394">
        <v>51.89</v>
      </c>
      <c r="K394">
        <v>116.29</v>
      </c>
      <c r="L394">
        <v>32.840000000000003</v>
      </c>
      <c r="M394" s="125">
        <f ca="1">IFERROR(__xludf.DUMMYFUNCTION("""COMPUTED_VALUE"""),43808.6666666666)</f>
        <v>43808.666666666599</v>
      </c>
      <c r="N394">
        <f ca="1">IFERROR(__xludf.DUMMYFUNCTION("""COMPUTED_VALUE"""),31.35)</f>
        <v>31.35</v>
      </c>
      <c r="O394" s="125">
        <f ca="1">IFERROR(__xludf.DUMMYFUNCTION("""COMPUTED_VALUE"""),43276.6666666666)</f>
        <v>43276.666666666599</v>
      </c>
      <c r="P394">
        <f ca="1">IFERROR(__xludf.DUMMYFUNCTION("""COMPUTED_VALUE"""),36.73)</f>
        <v>36.729999999999997</v>
      </c>
    </row>
    <row r="395" spans="2:16" ht="12.75">
      <c r="B395" s="125">
        <f ca="1">IFERROR(__xludf.DUMMYFUNCTION("""COMPUTED_VALUE"""),43277.6666666666)</f>
        <v>43277.666666666599</v>
      </c>
      <c r="C395">
        <f ca="1">IFERROR(__xludf.DUMMYFUNCTION("""COMPUTED_VALUE"""),36.65)</f>
        <v>36.65</v>
      </c>
      <c r="D395">
        <v>26.39</v>
      </c>
      <c r="E395">
        <v>24.99</v>
      </c>
      <c r="F395">
        <v>30.49</v>
      </c>
      <c r="G395">
        <v>8.82</v>
      </c>
      <c r="H395">
        <v>192.29</v>
      </c>
      <c r="I395">
        <v>27.86</v>
      </c>
      <c r="J395">
        <v>51.67</v>
      </c>
      <c r="K395">
        <v>116.28</v>
      </c>
      <c r="L395">
        <v>32.67</v>
      </c>
      <c r="M395" s="125">
        <f ca="1">IFERROR(__xludf.DUMMYFUNCTION("""COMPUTED_VALUE"""),43809.6666666666)</f>
        <v>43809.666666666599</v>
      </c>
      <c r="N395">
        <f ca="1">IFERROR(__xludf.DUMMYFUNCTION("""COMPUTED_VALUE"""),31.14)</f>
        <v>31.14</v>
      </c>
      <c r="O395" s="125">
        <f ca="1">IFERROR(__xludf.DUMMYFUNCTION("""COMPUTED_VALUE"""),43277.6666666666)</f>
        <v>43277.666666666599</v>
      </c>
      <c r="P395">
        <f ca="1">IFERROR(__xludf.DUMMYFUNCTION("""COMPUTED_VALUE"""),36.65)</f>
        <v>36.65</v>
      </c>
    </row>
    <row r="396" spans="2:16" ht="12.75">
      <c r="B396" s="125">
        <f ca="1">IFERROR(__xludf.DUMMYFUNCTION("""COMPUTED_VALUE"""),43278.6666666666)</f>
        <v>43278.666666666599</v>
      </c>
      <c r="C396">
        <f ca="1">IFERROR(__xludf.DUMMYFUNCTION("""COMPUTED_VALUE"""),35.55)</f>
        <v>35.549999999999997</v>
      </c>
      <c r="D396">
        <v>25.75</v>
      </c>
      <c r="E396">
        <v>25.14</v>
      </c>
      <c r="F396">
        <v>30.17</v>
      </c>
      <c r="G396">
        <v>8.66</v>
      </c>
      <c r="H396">
        <v>190.91</v>
      </c>
      <c r="I396">
        <v>27.8</v>
      </c>
      <c r="J396">
        <v>51.56</v>
      </c>
      <c r="K396">
        <v>116.94</v>
      </c>
      <c r="L396">
        <v>32.81</v>
      </c>
      <c r="M396" s="125">
        <f ca="1">IFERROR(__xludf.DUMMYFUNCTION("""COMPUTED_VALUE"""),43810.6666666666)</f>
        <v>43810.666666666599</v>
      </c>
      <c r="N396">
        <f ca="1">IFERROR(__xludf.DUMMYFUNCTION("""COMPUTED_VALUE"""),31.17)</f>
        <v>31.17</v>
      </c>
      <c r="O396" s="125">
        <f ca="1">IFERROR(__xludf.DUMMYFUNCTION("""COMPUTED_VALUE"""),43278.6666666666)</f>
        <v>43278.666666666599</v>
      </c>
      <c r="P396">
        <f ca="1">IFERROR(__xludf.DUMMYFUNCTION("""COMPUTED_VALUE"""),35.55)</f>
        <v>35.549999999999997</v>
      </c>
    </row>
    <row r="397" spans="2:16" ht="12.75">
      <c r="B397" s="125">
        <f ca="1">IFERROR(__xludf.DUMMYFUNCTION("""COMPUTED_VALUE"""),43279.6666666666)</f>
        <v>43279.666666666599</v>
      </c>
      <c r="C397">
        <f ca="1">IFERROR(__xludf.DUMMYFUNCTION("""COMPUTED_VALUE"""),36.17)</f>
        <v>36.17</v>
      </c>
      <c r="D397">
        <v>25.8</v>
      </c>
      <c r="E397">
        <v>25.14</v>
      </c>
      <c r="F397">
        <v>30.21</v>
      </c>
      <c r="G397">
        <v>8.66</v>
      </c>
      <c r="H397">
        <v>191.9</v>
      </c>
      <c r="I397">
        <v>27.63</v>
      </c>
      <c r="J397">
        <v>51.56</v>
      </c>
      <c r="K397">
        <v>115.89</v>
      </c>
      <c r="L397">
        <v>32.54</v>
      </c>
      <c r="M397" s="125">
        <f ca="1">IFERROR(__xludf.DUMMYFUNCTION("""COMPUTED_VALUE"""),43811.6666666666)</f>
        <v>43811.666666666599</v>
      </c>
      <c r="N397">
        <f ca="1">IFERROR(__xludf.DUMMYFUNCTION("""COMPUTED_VALUE"""),30.88)</f>
        <v>30.88</v>
      </c>
      <c r="O397" s="125">
        <f ca="1">IFERROR(__xludf.DUMMYFUNCTION("""COMPUTED_VALUE"""),43279.6666666666)</f>
        <v>43279.666666666599</v>
      </c>
      <c r="P397">
        <f ca="1">IFERROR(__xludf.DUMMYFUNCTION("""COMPUTED_VALUE"""),36.17)</f>
        <v>36.17</v>
      </c>
    </row>
    <row r="398" spans="2:16" ht="12.75">
      <c r="B398" s="125">
        <f ca="1">IFERROR(__xludf.DUMMYFUNCTION("""COMPUTED_VALUE"""),43280.6666666666)</f>
        <v>43280.666666666599</v>
      </c>
      <c r="C398">
        <f ca="1">IFERROR(__xludf.DUMMYFUNCTION("""COMPUTED_VALUE"""),36.7)</f>
        <v>36.700000000000003</v>
      </c>
      <c r="D398">
        <v>26.05</v>
      </c>
      <c r="E398">
        <v>24.94</v>
      </c>
      <c r="F398">
        <v>30.51</v>
      </c>
      <c r="G398">
        <v>8.73</v>
      </c>
      <c r="H398">
        <v>192.47</v>
      </c>
      <c r="I398">
        <v>27.76</v>
      </c>
      <c r="J398">
        <v>51.53</v>
      </c>
      <c r="K398">
        <v>115.96</v>
      </c>
      <c r="L398">
        <v>32.78</v>
      </c>
      <c r="M398" s="125">
        <f ca="1">IFERROR(__xludf.DUMMYFUNCTION("""COMPUTED_VALUE"""),43812.6666666666)</f>
        <v>43812.666666666599</v>
      </c>
      <c r="N398">
        <f ca="1">IFERROR(__xludf.DUMMYFUNCTION("""COMPUTED_VALUE"""),31.01)</f>
        <v>31.01</v>
      </c>
      <c r="O398" s="125">
        <f ca="1">IFERROR(__xludf.DUMMYFUNCTION("""COMPUTED_VALUE"""),43280.6666666666)</f>
        <v>43280.666666666599</v>
      </c>
      <c r="P398">
        <f ca="1">IFERROR(__xludf.DUMMYFUNCTION("""COMPUTED_VALUE"""),36.7)</f>
        <v>36.700000000000003</v>
      </c>
    </row>
    <row r="399" spans="2:16" ht="12.75">
      <c r="B399" s="125">
        <f ca="1">IFERROR(__xludf.DUMMYFUNCTION("""COMPUTED_VALUE"""),43283.6666666666)</f>
        <v>43283.666666666599</v>
      </c>
      <c r="C399">
        <f ca="1">IFERROR(__xludf.DUMMYFUNCTION("""COMPUTED_VALUE"""),36.48)</f>
        <v>36.479999999999997</v>
      </c>
      <c r="D399">
        <v>26.06</v>
      </c>
      <c r="E399">
        <v>25.06</v>
      </c>
      <c r="F399">
        <v>30.36</v>
      </c>
      <c r="G399">
        <v>8.73</v>
      </c>
      <c r="H399">
        <v>192.92</v>
      </c>
      <c r="I399">
        <v>27.79</v>
      </c>
      <c r="J399">
        <v>51.23</v>
      </c>
      <c r="K399">
        <v>116.84</v>
      </c>
      <c r="L399">
        <v>32.58</v>
      </c>
      <c r="M399" s="125">
        <f ca="1">IFERROR(__xludf.DUMMYFUNCTION("""COMPUTED_VALUE"""),43815.6666666666)</f>
        <v>43815.666666666599</v>
      </c>
      <c r="N399">
        <f ca="1">IFERROR(__xludf.DUMMYFUNCTION("""COMPUTED_VALUE"""),31.28)</f>
        <v>31.28</v>
      </c>
      <c r="O399" s="125">
        <f ca="1">IFERROR(__xludf.DUMMYFUNCTION("""COMPUTED_VALUE"""),43283.6666666666)</f>
        <v>43283.666666666599</v>
      </c>
      <c r="P399">
        <f ca="1">IFERROR(__xludf.DUMMYFUNCTION("""COMPUTED_VALUE"""),36.48)</f>
        <v>36.479999999999997</v>
      </c>
    </row>
    <row r="400" spans="2:16" ht="12.75">
      <c r="B400" s="125">
        <f ca="1">IFERROR(__xludf.DUMMYFUNCTION("""COMPUTED_VALUE"""),43284.5416666666)</f>
        <v>43284.541666666599</v>
      </c>
      <c r="C400">
        <f ca="1">IFERROR(__xludf.DUMMYFUNCTION("""COMPUTED_VALUE"""),36.29)</f>
        <v>36.29</v>
      </c>
      <c r="D400">
        <v>26.06</v>
      </c>
      <c r="E400">
        <v>24.98</v>
      </c>
      <c r="F400">
        <v>30.37</v>
      </c>
      <c r="G400">
        <v>8.77</v>
      </c>
      <c r="H400">
        <v>193.02</v>
      </c>
      <c r="I400">
        <v>27.14</v>
      </c>
      <c r="J400">
        <v>51.35</v>
      </c>
      <c r="K400">
        <v>117.14</v>
      </c>
      <c r="L400">
        <v>32.380000000000003</v>
      </c>
      <c r="M400" s="125">
        <f ca="1">IFERROR(__xludf.DUMMYFUNCTION("""COMPUTED_VALUE"""),43816.6666666666)</f>
        <v>43816.666666666599</v>
      </c>
      <c r="N400">
        <f ca="1">IFERROR(__xludf.DUMMYFUNCTION("""COMPUTED_VALUE"""),31.06)</f>
        <v>31.06</v>
      </c>
      <c r="O400" s="125">
        <f ca="1">IFERROR(__xludf.DUMMYFUNCTION("""COMPUTED_VALUE"""),43284.5416666666)</f>
        <v>43284.541666666599</v>
      </c>
      <c r="P400">
        <f ca="1">IFERROR(__xludf.DUMMYFUNCTION("""COMPUTED_VALUE"""),36.29)</f>
        <v>36.29</v>
      </c>
    </row>
    <row r="401" spans="2:16" ht="12.75">
      <c r="B401" s="125">
        <f ca="1">IFERROR(__xludf.DUMMYFUNCTION("""COMPUTED_VALUE"""),43286.6666666666)</f>
        <v>43286.666666666599</v>
      </c>
      <c r="C401">
        <f ca="1">IFERROR(__xludf.DUMMYFUNCTION("""COMPUTED_VALUE"""),36.44)</f>
        <v>36.44</v>
      </c>
      <c r="D401">
        <v>26.43</v>
      </c>
      <c r="E401">
        <v>24.9</v>
      </c>
      <c r="F401">
        <v>30.73</v>
      </c>
      <c r="G401">
        <v>8.7899999999999991</v>
      </c>
      <c r="H401">
        <v>193.23</v>
      </c>
      <c r="I401">
        <v>27.54</v>
      </c>
      <c r="J401">
        <v>52.06</v>
      </c>
      <c r="K401">
        <v>117.87</v>
      </c>
      <c r="L401">
        <v>31.67</v>
      </c>
      <c r="M401" s="125">
        <f ca="1">IFERROR(__xludf.DUMMYFUNCTION("""COMPUTED_VALUE"""),43817.6666666666)</f>
        <v>43817.666666666599</v>
      </c>
      <c r="N401">
        <f ca="1">IFERROR(__xludf.DUMMYFUNCTION("""COMPUTED_VALUE"""),31.86)</f>
        <v>31.86</v>
      </c>
      <c r="O401" s="125">
        <f ca="1">IFERROR(__xludf.DUMMYFUNCTION("""COMPUTED_VALUE"""),43286.6666666666)</f>
        <v>43286.666666666599</v>
      </c>
      <c r="P401">
        <f ca="1">IFERROR(__xludf.DUMMYFUNCTION("""COMPUTED_VALUE"""),36.44)</f>
        <v>36.44</v>
      </c>
    </row>
    <row r="402" spans="2:16" ht="12.75">
      <c r="B402" s="125">
        <f ca="1">IFERROR(__xludf.DUMMYFUNCTION("""COMPUTED_VALUE"""),43287.6666666666)</f>
        <v>43287.666666666599</v>
      </c>
      <c r="C402">
        <f ca="1">IFERROR(__xludf.DUMMYFUNCTION("""COMPUTED_VALUE"""),37.05)</f>
        <v>37.049999999999997</v>
      </c>
      <c r="D402">
        <v>26.72</v>
      </c>
      <c r="E402">
        <v>24.82</v>
      </c>
      <c r="F402">
        <v>30.87</v>
      </c>
      <c r="G402">
        <v>8.8800000000000008</v>
      </c>
      <c r="H402">
        <v>193.63</v>
      </c>
      <c r="I402">
        <v>27.57</v>
      </c>
      <c r="J402">
        <v>52.22</v>
      </c>
      <c r="K402">
        <v>118.84</v>
      </c>
      <c r="L402">
        <v>31.69</v>
      </c>
      <c r="M402" s="125">
        <f ca="1">IFERROR(__xludf.DUMMYFUNCTION("""COMPUTED_VALUE"""),43818.6666666666)</f>
        <v>43818.666666666599</v>
      </c>
      <c r="N402">
        <f ca="1">IFERROR(__xludf.DUMMYFUNCTION("""COMPUTED_VALUE"""),32.38)</f>
        <v>32.380000000000003</v>
      </c>
      <c r="O402" s="125">
        <f ca="1">IFERROR(__xludf.DUMMYFUNCTION("""COMPUTED_VALUE"""),43287.6666666666)</f>
        <v>43287.666666666599</v>
      </c>
      <c r="P402">
        <f ca="1">IFERROR(__xludf.DUMMYFUNCTION("""COMPUTED_VALUE"""),37.05)</f>
        <v>37.049999999999997</v>
      </c>
    </row>
    <row r="403" spans="2:16" ht="12.75">
      <c r="B403" s="125">
        <f ca="1">IFERROR(__xludf.DUMMYFUNCTION("""COMPUTED_VALUE"""),43290.6666666666)</f>
        <v>43290.666666666599</v>
      </c>
      <c r="C403">
        <f ca="1">IFERROR(__xludf.DUMMYFUNCTION("""COMPUTED_VALUE"""),37.54)</f>
        <v>37.54</v>
      </c>
      <c r="D403">
        <v>26.99</v>
      </c>
      <c r="E403">
        <v>24.83</v>
      </c>
      <c r="F403">
        <v>31.01</v>
      </c>
      <c r="G403">
        <v>9</v>
      </c>
      <c r="H403">
        <v>196.92</v>
      </c>
      <c r="I403">
        <v>27.73</v>
      </c>
      <c r="J403">
        <v>52.02</v>
      </c>
      <c r="K403">
        <v>115.2</v>
      </c>
      <c r="L403">
        <v>31.73</v>
      </c>
      <c r="M403" s="125">
        <f ca="1">IFERROR(__xludf.DUMMYFUNCTION("""COMPUTED_VALUE"""),43819.6666666666)</f>
        <v>43819.666666666599</v>
      </c>
      <c r="N403">
        <f ca="1">IFERROR(__xludf.DUMMYFUNCTION("""COMPUTED_VALUE"""),32.58)</f>
        <v>32.58</v>
      </c>
      <c r="O403" s="125">
        <f ca="1">IFERROR(__xludf.DUMMYFUNCTION("""COMPUTED_VALUE"""),43290.6666666666)</f>
        <v>43290.666666666599</v>
      </c>
      <c r="P403">
        <f ca="1">IFERROR(__xludf.DUMMYFUNCTION("""COMPUTED_VALUE"""),37.54)</f>
        <v>37.54</v>
      </c>
    </row>
    <row r="404" spans="2:16" ht="12.75">
      <c r="B404" s="125">
        <f ca="1">IFERROR(__xludf.DUMMYFUNCTION("""COMPUTED_VALUE"""),43291.6666666666)</f>
        <v>43291.666666666599</v>
      </c>
      <c r="C404">
        <f ca="1">IFERROR(__xludf.DUMMYFUNCTION("""COMPUTED_VALUE"""),37.09)</f>
        <v>37.090000000000003</v>
      </c>
      <c r="D404">
        <v>27</v>
      </c>
      <c r="E404">
        <v>24.84</v>
      </c>
      <c r="F404">
        <v>31.22</v>
      </c>
      <c r="G404">
        <v>8.9700000000000006</v>
      </c>
      <c r="H404">
        <v>197.63</v>
      </c>
      <c r="I404">
        <v>27.84</v>
      </c>
      <c r="J404">
        <v>52.64</v>
      </c>
      <c r="K404">
        <v>116.24</v>
      </c>
      <c r="L404">
        <v>31.36</v>
      </c>
      <c r="M404" s="125">
        <f ca="1">IFERROR(__xludf.DUMMYFUNCTION("""COMPUTED_VALUE"""),43822.6666666666)</f>
        <v>43822.666666666599</v>
      </c>
      <c r="N404">
        <f ca="1">IFERROR(__xludf.DUMMYFUNCTION("""COMPUTED_VALUE"""),32.38)</f>
        <v>32.380000000000003</v>
      </c>
      <c r="O404" s="125">
        <f ca="1">IFERROR(__xludf.DUMMYFUNCTION("""COMPUTED_VALUE"""),43291.6666666666)</f>
        <v>43291.666666666599</v>
      </c>
      <c r="P404">
        <f ca="1">IFERROR(__xludf.DUMMYFUNCTION("""COMPUTED_VALUE"""),37.09)</f>
        <v>37.090000000000003</v>
      </c>
    </row>
    <row r="405" spans="2:16" ht="12.75">
      <c r="B405" s="125">
        <f ca="1">IFERROR(__xludf.DUMMYFUNCTION("""COMPUTED_VALUE"""),43292.6666666666)</f>
        <v>43292.666666666599</v>
      </c>
      <c r="C405">
        <f ca="1">IFERROR(__xludf.DUMMYFUNCTION("""COMPUTED_VALUE"""),36.56)</f>
        <v>36.56</v>
      </c>
      <c r="D405">
        <v>26.93</v>
      </c>
      <c r="E405">
        <v>25.01</v>
      </c>
      <c r="F405">
        <v>30.73</v>
      </c>
      <c r="G405">
        <v>8.86</v>
      </c>
      <c r="H405">
        <v>194.85</v>
      </c>
      <c r="I405">
        <v>27.46</v>
      </c>
      <c r="J405">
        <v>52.47</v>
      </c>
      <c r="K405">
        <v>117.18</v>
      </c>
      <c r="L405">
        <v>31.61</v>
      </c>
      <c r="M405" s="125">
        <f ca="1">IFERROR(__xludf.DUMMYFUNCTION("""COMPUTED_VALUE"""),43823.5416666666)</f>
        <v>43823.541666666599</v>
      </c>
      <c r="N405">
        <f ca="1">IFERROR(__xludf.DUMMYFUNCTION("""COMPUTED_VALUE"""),32.24)</f>
        <v>32.24</v>
      </c>
      <c r="O405" s="125">
        <f ca="1">IFERROR(__xludf.DUMMYFUNCTION("""COMPUTED_VALUE"""),43292.6666666666)</f>
        <v>43292.666666666599</v>
      </c>
      <c r="P405">
        <f ca="1">IFERROR(__xludf.DUMMYFUNCTION("""COMPUTED_VALUE"""),36.56)</f>
        <v>36.56</v>
      </c>
    </row>
    <row r="406" spans="2:16" ht="12.75">
      <c r="B406" s="125">
        <f ca="1">IFERROR(__xludf.DUMMYFUNCTION("""COMPUTED_VALUE"""),43293.6666666666)</f>
        <v>43293.666666666599</v>
      </c>
      <c r="C406">
        <f ca="1">IFERROR(__xludf.DUMMYFUNCTION("""COMPUTED_VALUE"""),37.42)</f>
        <v>37.42</v>
      </c>
      <c r="D406">
        <v>27.17</v>
      </c>
      <c r="E406">
        <v>25.03</v>
      </c>
      <c r="F406">
        <v>31</v>
      </c>
      <c r="G406">
        <v>8.9700000000000006</v>
      </c>
      <c r="H406">
        <v>198.13</v>
      </c>
      <c r="I406">
        <v>27.65</v>
      </c>
      <c r="J406">
        <v>52.4</v>
      </c>
      <c r="K406">
        <v>117.27</v>
      </c>
      <c r="L406">
        <v>31.26</v>
      </c>
      <c r="M406" s="125">
        <f ca="1">IFERROR(__xludf.DUMMYFUNCTION("""COMPUTED_VALUE"""),43825.6666666666)</f>
        <v>43825.666666666599</v>
      </c>
      <c r="N406">
        <f ca="1">IFERROR(__xludf.DUMMYFUNCTION("""COMPUTED_VALUE"""),32.41)</f>
        <v>32.409999999999997</v>
      </c>
      <c r="O406" s="125">
        <f ca="1">IFERROR(__xludf.DUMMYFUNCTION("""COMPUTED_VALUE"""),43293.6666666666)</f>
        <v>43293.666666666599</v>
      </c>
      <c r="P406">
        <f ca="1">IFERROR(__xludf.DUMMYFUNCTION("""COMPUTED_VALUE"""),37.42)</f>
        <v>37.42</v>
      </c>
    </row>
    <row r="407" spans="2:16" ht="12.75">
      <c r="B407" s="125">
        <f ca="1">IFERROR(__xludf.DUMMYFUNCTION("""COMPUTED_VALUE"""),43294.6666666666)</f>
        <v>43294.666666666599</v>
      </c>
      <c r="C407">
        <f ca="1">IFERROR(__xludf.DUMMYFUNCTION("""COMPUTED_VALUE"""),37.1)</f>
        <v>37.1</v>
      </c>
      <c r="D407">
        <v>27.1</v>
      </c>
      <c r="E407">
        <v>25</v>
      </c>
      <c r="F407">
        <v>31.09</v>
      </c>
      <c r="G407">
        <v>8.92</v>
      </c>
      <c r="H407">
        <v>200.04</v>
      </c>
      <c r="I407">
        <v>27.73</v>
      </c>
      <c r="J407">
        <v>52.74</v>
      </c>
      <c r="K407">
        <v>117.31</v>
      </c>
      <c r="L407">
        <v>30.71</v>
      </c>
      <c r="M407" s="125">
        <f ca="1">IFERROR(__xludf.DUMMYFUNCTION("""COMPUTED_VALUE"""),43826.6666666666)</f>
        <v>43826.666666666599</v>
      </c>
      <c r="N407">
        <f ca="1">IFERROR(__xludf.DUMMYFUNCTION("""COMPUTED_VALUE"""),32.49)</f>
        <v>32.49</v>
      </c>
      <c r="O407" s="125">
        <f ca="1">IFERROR(__xludf.DUMMYFUNCTION("""COMPUTED_VALUE"""),43294.6666666666)</f>
        <v>43294.666666666599</v>
      </c>
      <c r="P407">
        <f ca="1">IFERROR(__xludf.DUMMYFUNCTION("""COMPUTED_VALUE"""),37.1)</f>
        <v>37.1</v>
      </c>
    </row>
    <row r="408" spans="2:16" ht="12.75">
      <c r="B408" s="125">
        <f ca="1">IFERROR(__xludf.DUMMYFUNCTION("""COMPUTED_VALUE"""),43297.6666666666)</f>
        <v>43297.666666666599</v>
      </c>
      <c r="C408">
        <f ca="1">IFERROR(__xludf.DUMMYFUNCTION("""COMPUTED_VALUE"""),37.1)</f>
        <v>37.1</v>
      </c>
      <c r="D408">
        <v>27.15</v>
      </c>
      <c r="E408">
        <v>24.96</v>
      </c>
      <c r="F408">
        <v>31.21</v>
      </c>
      <c r="G408">
        <v>8.8800000000000008</v>
      </c>
      <c r="H408">
        <v>200.61</v>
      </c>
      <c r="I408">
        <v>27.8</v>
      </c>
      <c r="J408">
        <v>52.49</v>
      </c>
      <c r="K408">
        <v>117.12</v>
      </c>
      <c r="L408">
        <v>30.75</v>
      </c>
      <c r="M408" s="125">
        <f ca="1">IFERROR(__xludf.DUMMYFUNCTION("""COMPUTED_VALUE"""),43829.6666666666)</f>
        <v>43829.666666666599</v>
      </c>
      <c r="N408">
        <f ca="1">IFERROR(__xludf.DUMMYFUNCTION("""COMPUTED_VALUE"""),32.45)</f>
        <v>32.450000000000003</v>
      </c>
      <c r="O408" s="125">
        <f ca="1">IFERROR(__xludf.DUMMYFUNCTION("""COMPUTED_VALUE"""),43297.6666666666)</f>
        <v>43297.666666666599</v>
      </c>
      <c r="P408">
        <f ca="1">IFERROR(__xludf.DUMMYFUNCTION("""COMPUTED_VALUE"""),37.1)</f>
        <v>37.1</v>
      </c>
    </row>
    <row r="409" spans="2:16" ht="12.75">
      <c r="B409" s="125">
        <f ca="1">IFERROR(__xludf.DUMMYFUNCTION("""COMPUTED_VALUE"""),43298.6666666666)</f>
        <v>43298.666666666599</v>
      </c>
      <c r="C409">
        <f ca="1">IFERROR(__xludf.DUMMYFUNCTION("""COMPUTED_VALUE"""),37.4)</f>
        <v>37.4</v>
      </c>
      <c r="D409">
        <v>27.27</v>
      </c>
      <c r="E409">
        <v>25.07</v>
      </c>
      <c r="F409">
        <v>31.15</v>
      </c>
      <c r="G409">
        <v>8.8800000000000008</v>
      </c>
      <c r="H409">
        <v>201.88</v>
      </c>
      <c r="I409">
        <v>28.07</v>
      </c>
      <c r="J409">
        <v>52.94</v>
      </c>
      <c r="K409">
        <v>117.04</v>
      </c>
      <c r="L409">
        <v>31.33</v>
      </c>
      <c r="M409" s="125">
        <f ca="1">IFERROR(__xludf.DUMMYFUNCTION("""COMPUTED_VALUE"""),43830.6666666666)</f>
        <v>43830.666666666599</v>
      </c>
      <c r="N409">
        <f ca="1">IFERROR(__xludf.DUMMYFUNCTION("""COMPUTED_VALUE"""),32.58)</f>
        <v>32.58</v>
      </c>
      <c r="O409" s="125">
        <f ca="1">IFERROR(__xludf.DUMMYFUNCTION("""COMPUTED_VALUE"""),43298.6666666666)</f>
        <v>43298.666666666599</v>
      </c>
      <c r="P409">
        <f ca="1">IFERROR(__xludf.DUMMYFUNCTION("""COMPUTED_VALUE"""),37.4)</f>
        <v>37.4</v>
      </c>
    </row>
    <row r="410" spans="2:16" ht="12.75">
      <c r="B410" s="125">
        <f ca="1">IFERROR(__xludf.DUMMYFUNCTION("""COMPUTED_VALUE"""),43299.6666666666)</f>
        <v>43299.666666666599</v>
      </c>
      <c r="C410">
        <f ca="1">IFERROR(__xludf.DUMMYFUNCTION("""COMPUTED_VALUE"""),37.24)</f>
        <v>37.24</v>
      </c>
      <c r="D410">
        <v>27.35</v>
      </c>
      <c r="E410">
        <v>25.1</v>
      </c>
      <c r="F410">
        <v>31.6</v>
      </c>
      <c r="G410">
        <v>8.9</v>
      </c>
      <c r="H410">
        <v>203.21</v>
      </c>
      <c r="I410">
        <v>28.17</v>
      </c>
      <c r="J410">
        <v>52.51</v>
      </c>
      <c r="K410">
        <v>116.47</v>
      </c>
      <c r="L410">
        <v>31.18</v>
      </c>
      <c r="M410" s="125">
        <f ca="1">IFERROR(__xludf.DUMMYFUNCTION("""COMPUTED_VALUE"""),43832.6666666666)</f>
        <v>43832.666666666599</v>
      </c>
      <c r="N410">
        <f ca="1">IFERROR(__xludf.DUMMYFUNCTION("""COMPUTED_VALUE"""),32.49)</f>
        <v>32.49</v>
      </c>
      <c r="O410" s="125">
        <f ca="1">IFERROR(__xludf.DUMMYFUNCTION("""COMPUTED_VALUE"""),43299.6666666666)</f>
        <v>43299.666666666599</v>
      </c>
      <c r="P410">
        <f ca="1">IFERROR(__xludf.DUMMYFUNCTION("""COMPUTED_VALUE"""),37.24)</f>
        <v>37.24</v>
      </c>
    </row>
    <row r="411" spans="2:16" ht="12.75">
      <c r="B411" s="125">
        <f ca="1">IFERROR(__xludf.DUMMYFUNCTION("""COMPUTED_VALUE"""),43300.6666666666)</f>
        <v>43300.666666666599</v>
      </c>
      <c r="C411">
        <f ca="1">IFERROR(__xludf.DUMMYFUNCTION("""COMPUTED_VALUE"""),36.62)</f>
        <v>36.619999999999997</v>
      </c>
      <c r="D411">
        <v>27.21</v>
      </c>
      <c r="E411">
        <v>25.15</v>
      </c>
      <c r="F411">
        <v>31.54</v>
      </c>
      <c r="G411">
        <v>8.9</v>
      </c>
      <c r="H411">
        <v>202.67</v>
      </c>
      <c r="I411">
        <v>28.01</v>
      </c>
      <c r="J411">
        <v>52.54</v>
      </c>
      <c r="K411">
        <v>117.63</v>
      </c>
      <c r="L411">
        <v>30.66</v>
      </c>
      <c r="M411" s="125">
        <f ca="1">IFERROR(__xludf.DUMMYFUNCTION("""COMPUTED_VALUE"""),43833.6666666666)</f>
        <v>43833.666666666599</v>
      </c>
      <c r="N411">
        <f ca="1">IFERROR(__xludf.DUMMYFUNCTION("""COMPUTED_VALUE"""),32.71)</f>
        <v>32.71</v>
      </c>
      <c r="O411" s="125">
        <f ca="1">IFERROR(__xludf.DUMMYFUNCTION("""COMPUTED_VALUE"""),43300.6666666666)</f>
        <v>43300.666666666599</v>
      </c>
      <c r="P411">
        <f ca="1">IFERROR(__xludf.DUMMYFUNCTION("""COMPUTED_VALUE"""),36.62)</f>
        <v>36.619999999999997</v>
      </c>
    </row>
    <row r="412" spans="2:16" ht="12.75">
      <c r="B412" s="125">
        <f ca="1">IFERROR(__xludf.DUMMYFUNCTION("""COMPUTED_VALUE"""),43301.6666666666)</f>
        <v>43301.666666666599</v>
      </c>
      <c r="C412">
        <f ca="1">IFERROR(__xludf.DUMMYFUNCTION("""COMPUTED_VALUE"""),36.76)</f>
        <v>36.76</v>
      </c>
      <c r="D412">
        <v>27.48</v>
      </c>
      <c r="E412">
        <v>24.95</v>
      </c>
      <c r="F412">
        <v>31.84</v>
      </c>
      <c r="G412">
        <v>8.9499999999999993</v>
      </c>
      <c r="H412">
        <v>202.89</v>
      </c>
      <c r="I412">
        <v>27.73</v>
      </c>
      <c r="J412">
        <v>52.86</v>
      </c>
      <c r="K412">
        <v>116.78</v>
      </c>
      <c r="L412">
        <v>30.97</v>
      </c>
      <c r="M412" s="125">
        <f ca="1">IFERROR(__xludf.DUMMYFUNCTION("""COMPUTED_VALUE"""),43836.6666666666)</f>
        <v>43836.666666666599</v>
      </c>
      <c r="N412">
        <f ca="1">IFERROR(__xludf.DUMMYFUNCTION("""COMPUTED_VALUE"""),32.58)</f>
        <v>32.58</v>
      </c>
      <c r="O412" s="125">
        <f ca="1">IFERROR(__xludf.DUMMYFUNCTION("""COMPUTED_VALUE"""),43301.6666666666)</f>
        <v>43301.666666666599</v>
      </c>
      <c r="P412">
        <f ca="1">IFERROR(__xludf.DUMMYFUNCTION("""COMPUTED_VALUE"""),36.76)</f>
        <v>36.76</v>
      </c>
    </row>
    <row r="413" spans="2:16" ht="12.75">
      <c r="B413" s="125">
        <f ca="1">IFERROR(__xludf.DUMMYFUNCTION("""COMPUTED_VALUE"""),43304.6666666666)</f>
        <v>43304.666666666599</v>
      </c>
      <c r="C413">
        <f ca="1">IFERROR(__xludf.DUMMYFUNCTION("""COMPUTED_VALUE"""),36.59)</f>
        <v>36.590000000000003</v>
      </c>
      <c r="D413">
        <v>27.67</v>
      </c>
      <c r="E413">
        <v>24.99</v>
      </c>
      <c r="F413">
        <v>31.81</v>
      </c>
      <c r="G413">
        <v>8.94</v>
      </c>
      <c r="H413">
        <v>200.85</v>
      </c>
      <c r="I413">
        <v>27.82</v>
      </c>
      <c r="J413">
        <v>52.53</v>
      </c>
      <c r="K413">
        <v>116.02</v>
      </c>
      <c r="L413">
        <v>30.98</v>
      </c>
      <c r="M413" s="125">
        <f ca="1">IFERROR(__xludf.DUMMYFUNCTION("""COMPUTED_VALUE"""),43837.6666666666)</f>
        <v>43837.666666666599</v>
      </c>
      <c r="N413">
        <f ca="1">IFERROR(__xludf.DUMMYFUNCTION("""COMPUTED_VALUE"""),32.19)</f>
        <v>32.19</v>
      </c>
      <c r="O413" s="125">
        <f ca="1">IFERROR(__xludf.DUMMYFUNCTION("""COMPUTED_VALUE"""),43304.6666666666)</f>
        <v>43304.666666666599</v>
      </c>
      <c r="P413">
        <f ca="1">IFERROR(__xludf.DUMMYFUNCTION("""COMPUTED_VALUE"""),36.59)</f>
        <v>36.590000000000003</v>
      </c>
    </row>
    <row r="414" spans="2:16" ht="12.75">
      <c r="B414" s="125">
        <f ca="1">IFERROR(__xludf.DUMMYFUNCTION("""COMPUTED_VALUE"""),43305.6666666666)</f>
        <v>43305.666666666599</v>
      </c>
      <c r="C414">
        <f ca="1">IFERROR(__xludf.DUMMYFUNCTION("""COMPUTED_VALUE"""),36.58)</f>
        <v>36.58</v>
      </c>
      <c r="D414">
        <v>27.54</v>
      </c>
      <c r="E414">
        <v>25</v>
      </c>
      <c r="F414">
        <v>31.64</v>
      </c>
      <c r="G414">
        <v>9.0500000000000007</v>
      </c>
      <c r="H414">
        <v>202.15</v>
      </c>
      <c r="I414">
        <v>28.02</v>
      </c>
      <c r="J414">
        <v>52.63</v>
      </c>
      <c r="K414">
        <v>116.34</v>
      </c>
      <c r="L414">
        <v>31.67</v>
      </c>
      <c r="M414" s="125">
        <f ca="1">IFERROR(__xludf.DUMMYFUNCTION("""COMPUTED_VALUE"""),43838.6666666666)</f>
        <v>43838.666666666599</v>
      </c>
      <c r="N414">
        <f ca="1">IFERROR(__xludf.DUMMYFUNCTION("""COMPUTED_VALUE"""),32.42)</f>
        <v>32.42</v>
      </c>
      <c r="O414" s="125">
        <f ca="1">IFERROR(__xludf.DUMMYFUNCTION("""COMPUTED_VALUE"""),43305.6666666666)</f>
        <v>43305.666666666599</v>
      </c>
      <c r="P414">
        <f ca="1">IFERROR(__xludf.DUMMYFUNCTION("""COMPUTED_VALUE"""),36.58)</f>
        <v>36.58</v>
      </c>
    </row>
    <row r="415" spans="2:16" ht="12.75">
      <c r="B415" s="125">
        <f ca="1">IFERROR(__xludf.DUMMYFUNCTION("""COMPUTED_VALUE"""),43306.6666666666)</f>
        <v>43306.666666666599</v>
      </c>
      <c r="C415">
        <f ca="1">IFERROR(__xludf.DUMMYFUNCTION("""COMPUTED_VALUE"""),37.53)</f>
        <v>37.53</v>
      </c>
      <c r="D415">
        <v>27.92</v>
      </c>
      <c r="E415">
        <v>24.88</v>
      </c>
      <c r="F415">
        <v>31.97</v>
      </c>
      <c r="G415">
        <v>9.1999999999999993</v>
      </c>
      <c r="H415">
        <v>202.24</v>
      </c>
      <c r="I415">
        <v>28.2</v>
      </c>
      <c r="J415">
        <v>53.03</v>
      </c>
      <c r="K415">
        <v>116.54</v>
      </c>
      <c r="L415">
        <v>31.63</v>
      </c>
      <c r="M415" s="125">
        <f ca="1">IFERROR(__xludf.DUMMYFUNCTION("""COMPUTED_VALUE"""),43839.6666666666)</f>
        <v>43839.666666666599</v>
      </c>
      <c r="N415">
        <f ca="1">IFERROR(__xludf.DUMMYFUNCTION("""COMPUTED_VALUE"""),32.53)</f>
        <v>32.53</v>
      </c>
      <c r="O415" s="125">
        <f ca="1">IFERROR(__xludf.DUMMYFUNCTION("""COMPUTED_VALUE"""),43306.6666666666)</f>
        <v>43306.666666666599</v>
      </c>
      <c r="P415">
        <f ca="1">IFERROR(__xludf.DUMMYFUNCTION("""COMPUTED_VALUE"""),37.53)</f>
        <v>37.53</v>
      </c>
    </row>
    <row r="416" spans="2:16" ht="12.75">
      <c r="B416" s="125">
        <f ca="1">IFERROR(__xludf.DUMMYFUNCTION("""COMPUTED_VALUE"""),43307.6666666666)</f>
        <v>43307.666666666599</v>
      </c>
      <c r="C416">
        <f ca="1">IFERROR(__xludf.DUMMYFUNCTION("""COMPUTED_VALUE"""),36.95)</f>
        <v>36.950000000000003</v>
      </c>
      <c r="D416">
        <v>27.66</v>
      </c>
      <c r="E416">
        <v>25.05</v>
      </c>
      <c r="F416">
        <v>31.63</v>
      </c>
      <c r="G416">
        <v>9.08</v>
      </c>
      <c r="H416">
        <v>204.46</v>
      </c>
      <c r="I416">
        <v>28.35</v>
      </c>
      <c r="J416">
        <v>53.31</v>
      </c>
      <c r="K416">
        <v>117.84</v>
      </c>
      <c r="L416">
        <v>32.049999999999997</v>
      </c>
      <c r="M416" s="125">
        <f ca="1">IFERROR(__xludf.DUMMYFUNCTION("""COMPUTED_VALUE"""),43840.6666666666)</f>
        <v>43840.666666666599</v>
      </c>
      <c r="N416">
        <f ca="1">IFERROR(__xludf.DUMMYFUNCTION("""COMPUTED_VALUE"""),32.91)</f>
        <v>32.909999999999997</v>
      </c>
      <c r="O416" s="125">
        <f ca="1">IFERROR(__xludf.DUMMYFUNCTION("""COMPUTED_VALUE"""),43307.6666666666)</f>
        <v>43307.666666666599</v>
      </c>
      <c r="P416">
        <f ca="1">IFERROR(__xludf.DUMMYFUNCTION("""COMPUTED_VALUE"""),36.95)</f>
        <v>36.950000000000003</v>
      </c>
    </row>
    <row r="417" spans="2:16" ht="12.75">
      <c r="B417" s="125">
        <f ca="1">IFERROR(__xludf.DUMMYFUNCTION("""COMPUTED_VALUE"""),43308.6666666666)</f>
        <v>43308.666666666599</v>
      </c>
      <c r="C417">
        <f ca="1">IFERROR(__xludf.DUMMYFUNCTION("""COMPUTED_VALUE"""),36.46)</f>
        <v>36.46</v>
      </c>
      <c r="D417">
        <v>26.96</v>
      </c>
      <c r="E417">
        <v>25.02</v>
      </c>
      <c r="F417">
        <v>31.73</v>
      </c>
      <c r="G417">
        <v>9.1</v>
      </c>
      <c r="H417">
        <v>203.6</v>
      </c>
      <c r="I417">
        <v>28.35</v>
      </c>
      <c r="J417">
        <v>53.38</v>
      </c>
      <c r="K417">
        <v>117.34</v>
      </c>
      <c r="L417">
        <v>31.86</v>
      </c>
      <c r="M417" s="125">
        <f ca="1">IFERROR(__xludf.DUMMYFUNCTION("""COMPUTED_VALUE"""),43843.6666666666)</f>
        <v>43843.666666666599</v>
      </c>
      <c r="N417">
        <f ca="1">IFERROR(__xludf.DUMMYFUNCTION("""COMPUTED_VALUE"""),33.06)</f>
        <v>33.06</v>
      </c>
      <c r="O417" s="125">
        <f ca="1">IFERROR(__xludf.DUMMYFUNCTION("""COMPUTED_VALUE"""),43308.6666666666)</f>
        <v>43308.666666666599</v>
      </c>
      <c r="P417">
        <f ca="1">IFERROR(__xludf.DUMMYFUNCTION("""COMPUTED_VALUE"""),36.46)</f>
        <v>36.46</v>
      </c>
    </row>
    <row r="418" spans="2:16" ht="12.75">
      <c r="B418" s="125">
        <f ca="1">IFERROR(__xludf.DUMMYFUNCTION("""COMPUTED_VALUE"""),43311.6666666666)</f>
        <v>43311.666666666599</v>
      </c>
      <c r="C418">
        <f ca="1">IFERROR(__xludf.DUMMYFUNCTION("""COMPUTED_VALUE"""),35.72)</f>
        <v>35.72</v>
      </c>
      <c r="D418">
        <v>26.35</v>
      </c>
      <c r="E418">
        <v>24.93</v>
      </c>
      <c r="F418">
        <v>31.73</v>
      </c>
      <c r="G418">
        <v>9.1199999999999992</v>
      </c>
      <c r="H418">
        <v>200.7</v>
      </c>
      <c r="I418">
        <v>28.29</v>
      </c>
      <c r="J418">
        <v>53.32</v>
      </c>
      <c r="K418">
        <v>116.64</v>
      </c>
      <c r="L418">
        <v>31.92</v>
      </c>
      <c r="M418" s="125">
        <f ca="1">IFERROR(__xludf.DUMMYFUNCTION("""COMPUTED_VALUE"""),43844.6666666666)</f>
        <v>43844.666666666599</v>
      </c>
      <c r="N418">
        <f ca="1">IFERROR(__xludf.DUMMYFUNCTION("""COMPUTED_VALUE"""),32.86)</f>
        <v>32.86</v>
      </c>
      <c r="O418" s="125">
        <f ca="1">IFERROR(__xludf.DUMMYFUNCTION("""COMPUTED_VALUE"""),43311.6666666666)</f>
        <v>43311.666666666599</v>
      </c>
      <c r="P418">
        <f ca="1">IFERROR(__xludf.DUMMYFUNCTION("""COMPUTED_VALUE"""),35.72)</f>
        <v>35.72</v>
      </c>
    </row>
    <row r="419" spans="2:16" ht="12.75">
      <c r="B419" s="125">
        <f ca="1">IFERROR(__xludf.DUMMYFUNCTION("""COMPUTED_VALUE"""),43312.6666666666)</f>
        <v>43312.666666666599</v>
      </c>
      <c r="C419">
        <f ca="1">IFERROR(__xludf.DUMMYFUNCTION("""COMPUTED_VALUE"""),35.42)</f>
        <v>35.42</v>
      </c>
      <c r="D419">
        <v>26.26</v>
      </c>
      <c r="E419">
        <v>24.98</v>
      </c>
      <c r="F419">
        <v>31.72</v>
      </c>
      <c r="G419">
        <v>9.11</v>
      </c>
      <c r="H419">
        <v>205.84</v>
      </c>
      <c r="I419">
        <v>28.33</v>
      </c>
      <c r="J419">
        <v>53.57</v>
      </c>
      <c r="K419">
        <v>117.9</v>
      </c>
      <c r="L419">
        <v>31.76</v>
      </c>
      <c r="M419" s="125">
        <f ca="1">IFERROR(__xludf.DUMMYFUNCTION("""COMPUTED_VALUE"""),43845.6666666666)</f>
        <v>43845.666666666599</v>
      </c>
      <c r="N419">
        <f ca="1">IFERROR(__xludf.DUMMYFUNCTION("""COMPUTED_VALUE"""),33.17)</f>
        <v>33.17</v>
      </c>
      <c r="O419" s="125">
        <f ca="1">IFERROR(__xludf.DUMMYFUNCTION("""COMPUTED_VALUE"""),43312.6666666666)</f>
        <v>43312.666666666599</v>
      </c>
      <c r="P419">
        <f ca="1">IFERROR(__xludf.DUMMYFUNCTION("""COMPUTED_VALUE"""),35.42)</f>
        <v>35.42</v>
      </c>
    </row>
    <row r="420" spans="2:16" ht="12.75">
      <c r="B420" s="125">
        <f ca="1">IFERROR(__xludf.DUMMYFUNCTION("""COMPUTED_VALUE"""),43313.6666666666)</f>
        <v>43313.666666666599</v>
      </c>
      <c r="C420">
        <f ca="1">IFERROR(__xludf.DUMMYFUNCTION("""COMPUTED_VALUE"""),35.14)</f>
        <v>35.14</v>
      </c>
      <c r="D420">
        <v>26.36</v>
      </c>
      <c r="E420">
        <v>25.01</v>
      </c>
      <c r="F420">
        <v>31.66</v>
      </c>
      <c r="G420">
        <v>9.06</v>
      </c>
      <c r="H420">
        <v>204.65</v>
      </c>
      <c r="I420">
        <v>28.18</v>
      </c>
      <c r="J420">
        <v>53.12</v>
      </c>
      <c r="K420">
        <v>116.91</v>
      </c>
      <c r="L420">
        <v>31.84</v>
      </c>
      <c r="M420" s="125">
        <f ca="1">IFERROR(__xludf.DUMMYFUNCTION("""COMPUTED_VALUE"""),43846.6666666666)</f>
        <v>43846.666666666599</v>
      </c>
      <c r="N420">
        <f ca="1">IFERROR(__xludf.DUMMYFUNCTION("""COMPUTED_VALUE"""),33.42)</f>
        <v>33.42</v>
      </c>
      <c r="O420" s="125">
        <f ca="1">IFERROR(__xludf.DUMMYFUNCTION("""COMPUTED_VALUE"""),43313.6666666666)</f>
        <v>43313.666666666599</v>
      </c>
      <c r="P420">
        <f ca="1">IFERROR(__xludf.DUMMYFUNCTION("""COMPUTED_VALUE"""),35.14)</f>
        <v>35.14</v>
      </c>
    </row>
    <row r="421" spans="2:16" ht="12.75">
      <c r="B421" s="125">
        <f ca="1">IFERROR(__xludf.DUMMYFUNCTION("""COMPUTED_VALUE"""),43314.6666666666)</f>
        <v>43314.666666666599</v>
      </c>
      <c r="C421">
        <f ca="1">IFERROR(__xludf.DUMMYFUNCTION("""COMPUTED_VALUE"""),34.74)</f>
        <v>34.74</v>
      </c>
      <c r="D421">
        <v>26.87</v>
      </c>
      <c r="E421">
        <v>25.15</v>
      </c>
      <c r="F421">
        <v>31.64</v>
      </c>
      <c r="G421">
        <v>9.02</v>
      </c>
      <c r="H421">
        <v>204.47</v>
      </c>
      <c r="I421">
        <v>27.98</v>
      </c>
      <c r="J421">
        <v>53.66</v>
      </c>
      <c r="K421">
        <v>117.65</v>
      </c>
      <c r="L421">
        <v>31.52</v>
      </c>
      <c r="M421" s="125">
        <f ca="1">IFERROR(__xludf.DUMMYFUNCTION("""COMPUTED_VALUE"""),43847.6666666666)</f>
        <v>43847.666666666599</v>
      </c>
      <c r="N421">
        <f ca="1">IFERROR(__xludf.DUMMYFUNCTION("""COMPUTED_VALUE"""),33.31)</f>
        <v>33.31</v>
      </c>
      <c r="O421" s="125">
        <f ca="1">IFERROR(__xludf.DUMMYFUNCTION("""COMPUTED_VALUE"""),43314.6666666666)</f>
        <v>43314.666666666599</v>
      </c>
      <c r="P421">
        <f ca="1">IFERROR(__xludf.DUMMYFUNCTION("""COMPUTED_VALUE"""),34.74)</f>
        <v>34.74</v>
      </c>
    </row>
    <row r="422" spans="2:16" ht="12.75">
      <c r="B422" s="125">
        <f ca="1">IFERROR(__xludf.DUMMYFUNCTION("""COMPUTED_VALUE"""),43315.6666666666)</f>
        <v>43315.666666666599</v>
      </c>
      <c r="C422">
        <f ca="1">IFERROR(__xludf.DUMMYFUNCTION("""COMPUTED_VALUE"""),34.78)</f>
        <v>34.78</v>
      </c>
      <c r="D422">
        <v>26.86</v>
      </c>
      <c r="E422">
        <v>25.17</v>
      </c>
      <c r="F422">
        <v>31.65</v>
      </c>
      <c r="G422">
        <v>8.9700000000000006</v>
      </c>
      <c r="H422">
        <v>203.78</v>
      </c>
      <c r="I422">
        <v>28.08</v>
      </c>
      <c r="J422">
        <v>54.29</v>
      </c>
      <c r="K422">
        <v>118.7</v>
      </c>
      <c r="L422">
        <v>31.52</v>
      </c>
      <c r="M422" s="125">
        <f ca="1">IFERROR(__xludf.DUMMYFUNCTION("""COMPUTED_VALUE"""),43851.6666666666)</f>
        <v>43851.666666666599</v>
      </c>
      <c r="N422">
        <f ca="1">IFERROR(__xludf.DUMMYFUNCTION("""COMPUTED_VALUE"""),33.64)</f>
        <v>33.64</v>
      </c>
      <c r="O422" s="125">
        <f ca="1">IFERROR(__xludf.DUMMYFUNCTION("""COMPUTED_VALUE"""),43315.6666666666)</f>
        <v>43315.666666666599</v>
      </c>
      <c r="P422">
        <f ca="1">IFERROR(__xludf.DUMMYFUNCTION("""COMPUTED_VALUE"""),34.78)</f>
        <v>34.78</v>
      </c>
    </row>
    <row r="423" spans="2:16" ht="12.75">
      <c r="B423" s="125">
        <f ca="1">IFERROR(__xludf.DUMMYFUNCTION("""COMPUTED_VALUE"""),43318.6666666666)</f>
        <v>43318.666666666599</v>
      </c>
      <c r="C423">
        <f ca="1">IFERROR(__xludf.DUMMYFUNCTION("""COMPUTED_VALUE"""),34.64)</f>
        <v>34.64</v>
      </c>
      <c r="D423">
        <v>26.95</v>
      </c>
      <c r="E423">
        <v>25.21</v>
      </c>
      <c r="F423">
        <v>31.6</v>
      </c>
      <c r="G423">
        <v>8.94</v>
      </c>
      <c r="H423">
        <v>203.44</v>
      </c>
      <c r="I423">
        <v>28.01</v>
      </c>
      <c r="J423">
        <v>54.34</v>
      </c>
      <c r="K423">
        <v>118.9</v>
      </c>
      <c r="L423">
        <v>31.81</v>
      </c>
      <c r="M423" s="125">
        <f ca="1">IFERROR(__xludf.DUMMYFUNCTION("""COMPUTED_VALUE"""),43852.6666666666)</f>
        <v>43852.666666666599</v>
      </c>
      <c r="N423">
        <f ca="1">IFERROR(__xludf.DUMMYFUNCTION("""COMPUTED_VALUE"""),33.72)</f>
        <v>33.72</v>
      </c>
      <c r="O423" s="125">
        <f ca="1">IFERROR(__xludf.DUMMYFUNCTION("""COMPUTED_VALUE"""),43318.6666666666)</f>
        <v>43318.666666666599</v>
      </c>
      <c r="P423">
        <f ca="1">IFERROR(__xludf.DUMMYFUNCTION("""COMPUTED_VALUE"""),34.64)</f>
        <v>34.64</v>
      </c>
    </row>
    <row r="424" spans="2:16" ht="12.75">
      <c r="B424" s="125">
        <f ca="1">IFERROR(__xludf.DUMMYFUNCTION("""COMPUTED_VALUE"""),43319.6666666666)</f>
        <v>43319.666666666599</v>
      </c>
      <c r="C424">
        <f ca="1">IFERROR(__xludf.DUMMYFUNCTION("""COMPUTED_VALUE"""),35.03)</f>
        <v>35.03</v>
      </c>
      <c r="D424">
        <v>27.17</v>
      </c>
      <c r="E424">
        <v>25.18</v>
      </c>
      <c r="F424">
        <v>31.63</v>
      </c>
      <c r="G424">
        <v>8.93</v>
      </c>
      <c r="H424">
        <v>204.32</v>
      </c>
      <c r="I424">
        <v>28.08</v>
      </c>
      <c r="J424">
        <v>54.01</v>
      </c>
      <c r="K424">
        <v>118.72</v>
      </c>
      <c r="L424">
        <v>31.88</v>
      </c>
      <c r="M424" s="125">
        <f ca="1">IFERROR(__xludf.DUMMYFUNCTION("""COMPUTED_VALUE"""),43853.6666666666)</f>
        <v>43853.666666666599</v>
      </c>
      <c r="N424">
        <f ca="1">IFERROR(__xludf.DUMMYFUNCTION("""COMPUTED_VALUE"""),33.72)</f>
        <v>33.72</v>
      </c>
      <c r="O424" s="125">
        <f ca="1">IFERROR(__xludf.DUMMYFUNCTION("""COMPUTED_VALUE"""),43319.6666666666)</f>
        <v>43319.666666666599</v>
      </c>
      <c r="P424">
        <f ca="1">IFERROR(__xludf.DUMMYFUNCTION("""COMPUTED_VALUE"""),35.03)</f>
        <v>35.03</v>
      </c>
    </row>
    <row r="425" spans="2:16" ht="12.75">
      <c r="B425" s="125">
        <f ca="1">IFERROR(__xludf.DUMMYFUNCTION("""COMPUTED_VALUE"""),43320.6666666666)</f>
        <v>43320.666666666599</v>
      </c>
      <c r="C425">
        <f ca="1">IFERROR(__xludf.DUMMYFUNCTION("""COMPUTED_VALUE"""),34.45)</f>
        <v>34.450000000000003</v>
      </c>
      <c r="D425">
        <v>27.23</v>
      </c>
      <c r="E425">
        <v>25.15</v>
      </c>
      <c r="F425">
        <v>31.7</v>
      </c>
      <c r="G425">
        <v>8.93</v>
      </c>
      <c r="H425">
        <v>204.05</v>
      </c>
      <c r="I425">
        <v>28</v>
      </c>
      <c r="J425">
        <v>53.6</v>
      </c>
      <c r="K425">
        <v>118.2</v>
      </c>
      <c r="L425">
        <v>32.270000000000003</v>
      </c>
      <c r="M425" s="125">
        <f ca="1">IFERROR(__xludf.DUMMYFUNCTION("""COMPUTED_VALUE"""),43854.6666666666)</f>
        <v>43854.666666666599</v>
      </c>
      <c r="N425">
        <f ca="1">IFERROR(__xludf.DUMMYFUNCTION("""COMPUTED_VALUE"""),33.61)</f>
        <v>33.61</v>
      </c>
      <c r="O425" s="125">
        <f ca="1">IFERROR(__xludf.DUMMYFUNCTION("""COMPUTED_VALUE"""),43320.6666666666)</f>
        <v>43320.666666666599</v>
      </c>
      <c r="P425">
        <f ca="1">IFERROR(__xludf.DUMMYFUNCTION("""COMPUTED_VALUE"""),34.45)</f>
        <v>34.450000000000003</v>
      </c>
    </row>
    <row r="426" spans="2:16" ht="12.75">
      <c r="B426" s="125">
        <f ca="1">IFERROR(__xludf.DUMMYFUNCTION("""COMPUTED_VALUE"""),43321.6666666666)</f>
        <v>43321.666666666599</v>
      </c>
      <c r="C426">
        <f ca="1">IFERROR(__xludf.DUMMYFUNCTION("""COMPUTED_VALUE"""),34.69)</f>
        <v>34.69</v>
      </c>
      <c r="D426">
        <v>27.37</v>
      </c>
      <c r="E426">
        <v>25.3</v>
      </c>
      <c r="F426">
        <v>31.55</v>
      </c>
      <c r="G426">
        <v>8.91</v>
      </c>
      <c r="H426">
        <v>203.69</v>
      </c>
      <c r="I426">
        <v>28.17</v>
      </c>
      <c r="J426">
        <v>53.44</v>
      </c>
      <c r="K426">
        <v>118.82</v>
      </c>
      <c r="L426">
        <v>32.200000000000003</v>
      </c>
      <c r="M426" s="125">
        <f ca="1">IFERROR(__xludf.DUMMYFUNCTION("""COMPUTED_VALUE"""),43857.6666666666)</f>
        <v>43857.666666666599</v>
      </c>
      <c r="N426">
        <f ca="1">IFERROR(__xludf.DUMMYFUNCTION("""COMPUTED_VALUE"""),33.6)</f>
        <v>33.6</v>
      </c>
      <c r="O426" s="125">
        <f ca="1">IFERROR(__xludf.DUMMYFUNCTION("""COMPUTED_VALUE"""),43321.6666666666)</f>
        <v>43321.666666666599</v>
      </c>
      <c r="P426">
        <f ca="1">IFERROR(__xludf.DUMMYFUNCTION("""COMPUTED_VALUE"""),34.69)</f>
        <v>34.69</v>
      </c>
    </row>
    <row r="427" spans="2:16" ht="12.75">
      <c r="B427" s="125">
        <f ca="1">IFERROR(__xludf.DUMMYFUNCTION("""COMPUTED_VALUE"""),43322.6666666666)</f>
        <v>43322.666666666599</v>
      </c>
      <c r="C427">
        <f ca="1">IFERROR(__xludf.DUMMYFUNCTION("""COMPUTED_VALUE"""),34.23)</f>
        <v>34.229999999999997</v>
      </c>
      <c r="D427">
        <v>27.31</v>
      </c>
      <c r="E427">
        <v>25.48</v>
      </c>
      <c r="F427">
        <v>30.7</v>
      </c>
      <c r="G427">
        <v>8.74</v>
      </c>
      <c r="H427">
        <v>202.87</v>
      </c>
      <c r="I427">
        <v>27.65</v>
      </c>
      <c r="J427">
        <v>53.24</v>
      </c>
      <c r="K427">
        <v>118.27</v>
      </c>
      <c r="L427">
        <v>32.25</v>
      </c>
      <c r="M427" s="125">
        <f ca="1">IFERROR(__xludf.DUMMYFUNCTION("""COMPUTED_VALUE"""),43858.6666666666)</f>
        <v>43858.666666666599</v>
      </c>
      <c r="N427">
        <f ca="1">IFERROR(__xludf.DUMMYFUNCTION("""COMPUTED_VALUE"""),33.87)</f>
        <v>33.869999999999997</v>
      </c>
      <c r="O427" s="125">
        <f ca="1">IFERROR(__xludf.DUMMYFUNCTION("""COMPUTED_VALUE"""),43322.6666666666)</f>
        <v>43322.666666666599</v>
      </c>
      <c r="P427">
        <f ca="1">IFERROR(__xludf.DUMMYFUNCTION("""COMPUTED_VALUE"""),34.23)</f>
        <v>34.229999999999997</v>
      </c>
    </row>
    <row r="428" spans="2:16" ht="12.75">
      <c r="B428" s="125">
        <f ca="1">IFERROR(__xludf.DUMMYFUNCTION("""COMPUTED_VALUE"""),43325.6666666666)</f>
        <v>43325.666666666599</v>
      </c>
      <c r="C428">
        <f ca="1">IFERROR(__xludf.DUMMYFUNCTION("""COMPUTED_VALUE"""),33.54)</f>
        <v>33.54</v>
      </c>
      <c r="D428">
        <v>27.24</v>
      </c>
      <c r="E428">
        <v>25.49</v>
      </c>
      <c r="F428">
        <v>30.59</v>
      </c>
      <c r="G428">
        <v>8.65</v>
      </c>
      <c r="H428">
        <v>202.62</v>
      </c>
      <c r="I428">
        <v>27.52</v>
      </c>
      <c r="J428">
        <v>53.24</v>
      </c>
      <c r="K428">
        <v>118.42</v>
      </c>
      <c r="L428">
        <v>32.01</v>
      </c>
      <c r="M428" s="125">
        <f ca="1">IFERROR(__xludf.DUMMYFUNCTION("""COMPUTED_VALUE"""),43859.6666666666)</f>
        <v>43859.666666666599</v>
      </c>
      <c r="N428">
        <f ca="1">IFERROR(__xludf.DUMMYFUNCTION("""COMPUTED_VALUE"""),33.53)</f>
        <v>33.53</v>
      </c>
      <c r="O428" s="125">
        <f ca="1">IFERROR(__xludf.DUMMYFUNCTION("""COMPUTED_VALUE"""),43325.6666666666)</f>
        <v>43325.666666666599</v>
      </c>
      <c r="P428">
        <f ca="1">IFERROR(__xludf.DUMMYFUNCTION("""COMPUTED_VALUE"""),33.54)</f>
        <v>33.54</v>
      </c>
    </row>
    <row r="429" spans="2:16" ht="12.75">
      <c r="B429" s="125">
        <f ca="1">IFERROR(__xludf.DUMMYFUNCTION("""COMPUTED_VALUE"""),43326.6666666666)</f>
        <v>43326.666666666599</v>
      </c>
      <c r="C429">
        <f ca="1">IFERROR(__xludf.DUMMYFUNCTION("""COMPUTED_VALUE"""),32.9)</f>
        <v>32.9</v>
      </c>
      <c r="D429">
        <v>27.44</v>
      </c>
      <c r="E429">
        <v>25.59</v>
      </c>
      <c r="F429">
        <v>30.6</v>
      </c>
      <c r="G429">
        <v>8.51</v>
      </c>
      <c r="H429">
        <v>204.23</v>
      </c>
      <c r="I429">
        <v>27.66</v>
      </c>
      <c r="J429">
        <v>53.61</v>
      </c>
      <c r="K429">
        <v>118.79</v>
      </c>
      <c r="L429">
        <v>32.35</v>
      </c>
      <c r="M429" s="125">
        <f ca="1">IFERROR(__xludf.DUMMYFUNCTION("""COMPUTED_VALUE"""),43860.6666666666)</f>
        <v>43860.666666666599</v>
      </c>
      <c r="N429">
        <f ca="1">IFERROR(__xludf.DUMMYFUNCTION("""COMPUTED_VALUE"""),33.62)</f>
        <v>33.619999999999997</v>
      </c>
      <c r="O429" s="125">
        <f ca="1">IFERROR(__xludf.DUMMYFUNCTION("""COMPUTED_VALUE"""),43326.6666666666)</f>
        <v>43326.666666666599</v>
      </c>
      <c r="P429">
        <f ca="1">IFERROR(__xludf.DUMMYFUNCTION("""COMPUTED_VALUE"""),32.9)</f>
        <v>32.9</v>
      </c>
    </row>
    <row r="430" spans="2:16" ht="12.75">
      <c r="B430" s="125">
        <f ca="1">IFERROR(__xludf.DUMMYFUNCTION("""COMPUTED_VALUE"""),43327.6666666666)</f>
        <v>43327.666666666599</v>
      </c>
      <c r="C430">
        <f ca="1">IFERROR(__xludf.DUMMYFUNCTION("""COMPUTED_VALUE"""),31.7)</f>
        <v>31.7</v>
      </c>
      <c r="D430">
        <v>27.11</v>
      </c>
      <c r="E430">
        <v>25.59</v>
      </c>
      <c r="F430">
        <v>30.1</v>
      </c>
      <c r="G430">
        <v>8.3800000000000008</v>
      </c>
      <c r="H430">
        <v>201.67</v>
      </c>
      <c r="I430">
        <v>27.12</v>
      </c>
      <c r="J430">
        <v>53.83</v>
      </c>
      <c r="K430">
        <v>119.6</v>
      </c>
      <c r="L430">
        <v>32.82</v>
      </c>
      <c r="M430" s="125">
        <f ca="1">IFERROR(__xludf.DUMMYFUNCTION("""COMPUTED_VALUE"""),43861.6666666666)</f>
        <v>43861.666666666599</v>
      </c>
      <c r="N430">
        <f ca="1">IFERROR(__xludf.DUMMYFUNCTION("""COMPUTED_VALUE"""),33.12)</f>
        <v>33.119999999999997</v>
      </c>
      <c r="O430" s="125">
        <f ca="1">IFERROR(__xludf.DUMMYFUNCTION("""COMPUTED_VALUE"""),43327.6666666666)</f>
        <v>43327.666666666599</v>
      </c>
      <c r="P430">
        <f ca="1">IFERROR(__xludf.DUMMYFUNCTION("""COMPUTED_VALUE"""),31.7)</f>
        <v>31.7</v>
      </c>
    </row>
    <row r="431" spans="2:16" ht="12.75">
      <c r="B431" s="125">
        <f ca="1">IFERROR(__xludf.DUMMYFUNCTION("""COMPUTED_VALUE"""),43328.6666666666)</f>
        <v>43328.666666666599</v>
      </c>
      <c r="C431">
        <f ca="1">IFERROR(__xludf.DUMMYFUNCTION("""COMPUTED_VALUE"""),31.92)</f>
        <v>31.92</v>
      </c>
      <c r="D431">
        <v>27.38</v>
      </c>
      <c r="E431">
        <v>25.57</v>
      </c>
      <c r="F431">
        <v>30.28</v>
      </c>
      <c r="G431">
        <v>8.48</v>
      </c>
      <c r="H431">
        <v>204.45</v>
      </c>
      <c r="I431">
        <v>27.23</v>
      </c>
      <c r="J431">
        <v>54.6</v>
      </c>
      <c r="K431">
        <v>120.97</v>
      </c>
      <c r="L431">
        <v>32.85</v>
      </c>
      <c r="M431" s="125">
        <f ca="1">IFERROR(__xludf.DUMMYFUNCTION("""COMPUTED_VALUE"""),43864.6666666666)</f>
        <v>43864.666666666599</v>
      </c>
      <c r="N431">
        <f ca="1">IFERROR(__xludf.DUMMYFUNCTION("""COMPUTED_VALUE"""),33.48)</f>
        <v>33.479999999999997</v>
      </c>
      <c r="O431" s="125">
        <f ca="1">IFERROR(__xludf.DUMMYFUNCTION("""COMPUTED_VALUE"""),43328.6666666666)</f>
        <v>43328.666666666599</v>
      </c>
      <c r="P431">
        <f ca="1">IFERROR(__xludf.DUMMYFUNCTION("""COMPUTED_VALUE"""),31.92)</f>
        <v>31.92</v>
      </c>
    </row>
    <row r="432" spans="2:16" ht="12.75">
      <c r="B432" s="125">
        <f ca="1">IFERROR(__xludf.DUMMYFUNCTION("""COMPUTED_VALUE"""),43329.6666666666)</f>
        <v>43329.666666666599</v>
      </c>
      <c r="C432">
        <f ca="1">IFERROR(__xludf.DUMMYFUNCTION("""COMPUTED_VALUE"""),32.3)</f>
        <v>32.299999999999997</v>
      </c>
      <c r="D432">
        <v>27.63</v>
      </c>
      <c r="E432">
        <v>25.44</v>
      </c>
      <c r="F432">
        <v>30.3</v>
      </c>
      <c r="G432">
        <v>8.5299999999999994</v>
      </c>
      <c r="H432">
        <v>205.55</v>
      </c>
      <c r="I432">
        <v>27.28</v>
      </c>
      <c r="J432">
        <v>55.02</v>
      </c>
      <c r="K432">
        <v>121.53</v>
      </c>
      <c r="L432">
        <v>32.68</v>
      </c>
      <c r="M432" s="125">
        <f ca="1">IFERROR(__xludf.DUMMYFUNCTION("""COMPUTED_VALUE"""),43865.6666666666)</f>
        <v>43865.666666666599</v>
      </c>
      <c r="N432">
        <f ca="1">IFERROR(__xludf.DUMMYFUNCTION("""COMPUTED_VALUE"""),33.88)</f>
        <v>33.880000000000003</v>
      </c>
      <c r="O432" s="125">
        <f ca="1">IFERROR(__xludf.DUMMYFUNCTION("""COMPUTED_VALUE"""),43329.6666666666)</f>
        <v>43329.666666666599</v>
      </c>
      <c r="P432">
        <f ca="1">IFERROR(__xludf.DUMMYFUNCTION("""COMPUTED_VALUE"""),32.3)</f>
        <v>32.299999999999997</v>
      </c>
    </row>
    <row r="433" spans="2:16" ht="12.75">
      <c r="B433" s="125">
        <f ca="1">IFERROR(__xludf.DUMMYFUNCTION("""COMPUTED_VALUE"""),43332.6666666666)</f>
        <v>43332.666666666599</v>
      </c>
      <c r="C433">
        <f ca="1">IFERROR(__xludf.DUMMYFUNCTION("""COMPUTED_VALUE"""),32.72)</f>
        <v>32.72</v>
      </c>
      <c r="D433">
        <v>27.75</v>
      </c>
      <c r="E433">
        <v>25.38</v>
      </c>
      <c r="F433">
        <v>30.52</v>
      </c>
      <c r="G433">
        <v>8.65</v>
      </c>
      <c r="H433">
        <v>206.8</v>
      </c>
      <c r="I433">
        <v>27.46</v>
      </c>
      <c r="J433">
        <v>54.99</v>
      </c>
      <c r="K433">
        <v>121.18</v>
      </c>
      <c r="L433">
        <v>32.76</v>
      </c>
      <c r="M433" s="125">
        <f ca="1">IFERROR(__xludf.DUMMYFUNCTION("""COMPUTED_VALUE"""),43866.6666666666)</f>
        <v>43866.666666666599</v>
      </c>
      <c r="N433">
        <f ca="1">IFERROR(__xludf.DUMMYFUNCTION("""COMPUTED_VALUE"""),33.8)</f>
        <v>33.799999999999997</v>
      </c>
      <c r="O433" s="125">
        <f ca="1">IFERROR(__xludf.DUMMYFUNCTION("""COMPUTED_VALUE"""),43332.6666666666)</f>
        <v>43332.666666666599</v>
      </c>
      <c r="P433">
        <f ca="1">IFERROR(__xludf.DUMMYFUNCTION("""COMPUTED_VALUE"""),32.72)</f>
        <v>32.72</v>
      </c>
    </row>
    <row r="434" spans="2:16" ht="12.75">
      <c r="B434" s="125">
        <f ca="1">IFERROR(__xludf.DUMMYFUNCTION("""COMPUTED_VALUE"""),43333.6666666666)</f>
        <v>43333.666666666599</v>
      </c>
      <c r="C434">
        <f ca="1">IFERROR(__xludf.DUMMYFUNCTION("""COMPUTED_VALUE"""),33.1)</f>
        <v>33.1</v>
      </c>
      <c r="D434">
        <v>27.87</v>
      </c>
      <c r="E434">
        <v>25.23</v>
      </c>
      <c r="F434">
        <v>30.81</v>
      </c>
      <c r="G434">
        <v>8.74</v>
      </c>
      <c r="H434">
        <v>208.21</v>
      </c>
      <c r="I434">
        <v>27.6</v>
      </c>
      <c r="J434">
        <v>54.6</v>
      </c>
      <c r="K434">
        <v>120.37</v>
      </c>
      <c r="L434">
        <v>32.83</v>
      </c>
      <c r="M434" s="125">
        <f ca="1">IFERROR(__xludf.DUMMYFUNCTION("""COMPUTED_VALUE"""),43867.6666666666)</f>
        <v>43867.666666666599</v>
      </c>
      <c r="N434">
        <f ca="1">IFERROR(__xludf.DUMMYFUNCTION("""COMPUTED_VALUE"""),33.85)</f>
        <v>33.85</v>
      </c>
      <c r="O434" s="125">
        <f ca="1">IFERROR(__xludf.DUMMYFUNCTION("""COMPUTED_VALUE"""),43333.6666666666)</f>
        <v>43333.666666666599</v>
      </c>
      <c r="P434">
        <f ca="1">IFERROR(__xludf.DUMMYFUNCTION("""COMPUTED_VALUE"""),33.1)</f>
        <v>33.1</v>
      </c>
    </row>
    <row r="435" spans="2:16" ht="12.75">
      <c r="B435" s="125">
        <f ca="1">IFERROR(__xludf.DUMMYFUNCTION("""COMPUTED_VALUE"""),43334.6666666666)</f>
        <v>43334.666666666599</v>
      </c>
      <c r="C435">
        <f ca="1">IFERROR(__xludf.DUMMYFUNCTION("""COMPUTED_VALUE"""),33.4)</f>
        <v>33.4</v>
      </c>
      <c r="D435">
        <v>28.16</v>
      </c>
      <c r="E435">
        <v>25.16</v>
      </c>
      <c r="F435">
        <v>31</v>
      </c>
      <c r="G435">
        <v>8.7200000000000006</v>
      </c>
      <c r="H435">
        <v>206.66</v>
      </c>
      <c r="I435">
        <v>27.6</v>
      </c>
      <c r="J435">
        <v>54.26</v>
      </c>
      <c r="K435">
        <v>119.51</v>
      </c>
      <c r="L435">
        <v>32.85</v>
      </c>
      <c r="M435" s="125">
        <f ca="1">IFERROR(__xludf.DUMMYFUNCTION("""COMPUTED_VALUE"""),43868.6666666666)</f>
        <v>43868.666666666599</v>
      </c>
      <c r="N435">
        <f ca="1">IFERROR(__xludf.DUMMYFUNCTION("""COMPUTED_VALUE"""),33.95)</f>
        <v>33.950000000000003</v>
      </c>
      <c r="O435" s="125">
        <f ca="1">IFERROR(__xludf.DUMMYFUNCTION("""COMPUTED_VALUE"""),43334.6666666666)</f>
        <v>43334.666666666599</v>
      </c>
      <c r="P435">
        <f ca="1">IFERROR(__xludf.DUMMYFUNCTION("""COMPUTED_VALUE"""),33.4)</f>
        <v>33.4</v>
      </c>
    </row>
    <row r="436" spans="2:16" ht="12.75">
      <c r="B436" s="125">
        <f ca="1">IFERROR(__xludf.DUMMYFUNCTION("""COMPUTED_VALUE"""),43335.6666666666)</f>
        <v>43335.666666666599</v>
      </c>
      <c r="C436">
        <f ca="1">IFERROR(__xludf.DUMMYFUNCTION("""COMPUTED_VALUE"""),33.05)</f>
        <v>33.049999999999997</v>
      </c>
      <c r="D436">
        <v>28.38</v>
      </c>
      <c r="E436">
        <v>25.32</v>
      </c>
      <c r="F436">
        <v>30.79</v>
      </c>
      <c r="G436">
        <v>8.61</v>
      </c>
      <c r="H436">
        <v>205.42</v>
      </c>
      <c r="I436">
        <v>27.64</v>
      </c>
      <c r="J436">
        <v>54.13</v>
      </c>
      <c r="K436">
        <v>119.38</v>
      </c>
      <c r="L436">
        <v>32.909999999999997</v>
      </c>
      <c r="M436" s="125">
        <f ca="1">IFERROR(__xludf.DUMMYFUNCTION("""COMPUTED_VALUE"""),43871.6666666666)</f>
        <v>43871.666666666599</v>
      </c>
      <c r="N436">
        <f ca="1">IFERROR(__xludf.DUMMYFUNCTION("""COMPUTED_VALUE"""),34.31)</f>
        <v>34.31</v>
      </c>
      <c r="O436" s="125">
        <f ca="1">IFERROR(__xludf.DUMMYFUNCTION("""COMPUTED_VALUE"""),43335.6666666666)</f>
        <v>43335.666666666599</v>
      </c>
      <c r="P436">
        <f ca="1">IFERROR(__xludf.DUMMYFUNCTION("""COMPUTED_VALUE"""),33.05)</f>
        <v>33.049999999999997</v>
      </c>
    </row>
    <row r="437" spans="2:16" ht="12.75">
      <c r="B437" s="125">
        <f ca="1">IFERROR(__xludf.DUMMYFUNCTION("""COMPUTED_VALUE"""),43336.6666666666)</f>
        <v>43336.666666666599</v>
      </c>
      <c r="C437">
        <f ca="1">IFERROR(__xludf.DUMMYFUNCTION("""COMPUTED_VALUE"""),33.69)</f>
        <v>33.69</v>
      </c>
      <c r="D437">
        <v>28.72</v>
      </c>
      <c r="E437">
        <v>25.2</v>
      </c>
      <c r="F437">
        <v>31.05</v>
      </c>
      <c r="G437">
        <v>8.69</v>
      </c>
      <c r="H437">
        <v>206.71</v>
      </c>
      <c r="I437">
        <v>27.69</v>
      </c>
      <c r="J437">
        <v>54.06</v>
      </c>
      <c r="K437">
        <v>119.93</v>
      </c>
      <c r="L437">
        <v>32.799999999999997</v>
      </c>
      <c r="M437" s="125">
        <f ca="1">IFERROR(__xludf.DUMMYFUNCTION("""COMPUTED_VALUE"""),43872.6666666666)</f>
        <v>43872.666666666599</v>
      </c>
      <c r="N437">
        <f ca="1">IFERROR(__xludf.DUMMYFUNCTION("""COMPUTED_VALUE"""),35.08)</f>
        <v>35.08</v>
      </c>
      <c r="O437" s="125">
        <f ca="1">IFERROR(__xludf.DUMMYFUNCTION("""COMPUTED_VALUE"""),43336.6666666666)</f>
        <v>43336.666666666599</v>
      </c>
      <c r="P437">
        <f ca="1">IFERROR(__xludf.DUMMYFUNCTION("""COMPUTED_VALUE"""),33.69)</f>
        <v>33.69</v>
      </c>
    </row>
    <row r="438" spans="2:16" ht="12.75">
      <c r="B438" s="125">
        <f ca="1">IFERROR(__xludf.DUMMYFUNCTION("""COMPUTED_VALUE"""),43339.6666666666)</f>
        <v>43339.666666666599</v>
      </c>
      <c r="C438">
        <f ca="1">IFERROR(__xludf.DUMMYFUNCTION("""COMPUTED_VALUE"""),34.48)</f>
        <v>34.479999999999997</v>
      </c>
      <c r="D438">
        <v>29.04</v>
      </c>
      <c r="E438">
        <v>25.1</v>
      </c>
      <c r="F438">
        <v>31.5</v>
      </c>
      <c r="G438">
        <v>8.77</v>
      </c>
      <c r="H438">
        <v>208.37</v>
      </c>
      <c r="I438">
        <v>28.03</v>
      </c>
      <c r="J438">
        <v>54.09</v>
      </c>
      <c r="K438">
        <v>119.09</v>
      </c>
      <c r="L438">
        <v>32.840000000000003</v>
      </c>
      <c r="M438" s="125">
        <f ca="1">IFERROR(__xludf.DUMMYFUNCTION("""COMPUTED_VALUE"""),43873.6666666666)</f>
        <v>43873.666666666599</v>
      </c>
      <c r="N438">
        <f ca="1">IFERROR(__xludf.DUMMYFUNCTION("""COMPUTED_VALUE"""),35.67)</f>
        <v>35.67</v>
      </c>
      <c r="O438" s="125">
        <f ca="1">IFERROR(__xludf.DUMMYFUNCTION("""COMPUTED_VALUE"""),43339.6666666666)</f>
        <v>43339.666666666599</v>
      </c>
      <c r="P438">
        <f ca="1">IFERROR(__xludf.DUMMYFUNCTION("""COMPUTED_VALUE"""),34.48)</f>
        <v>34.479999999999997</v>
      </c>
    </row>
    <row r="439" spans="2:16" ht="12.75">
      <c r="B439" s="125">
        <f ca="1">IFERROR(__xludf.DUMMYFUNCTION("""COMPUTED_VALUE"""),43340.6666666666)</f>
        <v>43340.666666666599</v>
      </c>
      <c r="C439">
        <f ca="1">IFERROR(__xludf.DUMMYFUNCTION("""COMPUTED_VALUE"""),34.11)</f>
        <v>34.11</v>
      </c>
      <c r="D439">
        <v>28.98</v>
      </c>
      <c r="E439">
        <v>25.1</v>
      </c>
      <c r="F439">
        <v>31.49</v>
      </c>
      <c r="G439">
        <v>8.73</v>
      </c>
      <c r="H439">
        <v>208.84</v>
      </c>
      <c r="I439">
        <v>28.02</v>
      </c>
      <c r="J439">
        <v>53.91</v>
      </c>
      <c r="K439">
        <v>118.82</v>
      </c>
      <c r="L439">
        <v>33.049999999999997</v>
      </c>
      <c r="M439" s="125">
        <f ca="1">IFERROR(__xludf.DUMMYFUNCTION("""COMPUTED_VALUE"""),43874.6666666666)</f>
        <v>43874.666666666599</v>
      </c>
      <c r="N439">
        <f ca="1">IFERROR(__xludf.DUMMYFUNCTION("""COMPUTED_VALUE"""),35.96)</f>
        <v>35.96</v>
      </c>
      <c r="O439" s="125">
        <f ca="1">IFERROR(__xludf.DUMMYFUNCTION("""COMPUTED_VALUE"""),43340.6666666666)</f>
        <v>43340.666666666599</v>
      </c>
      <c r="P439">
        <f ca="1">IFERROR(__xludf.DUMMYFUNCTION("""COMPUTED_VALUE"""),34.11)</f>
        <v>34.11</v>
      </c>
    </row>
    <row r="440" spans="2:16" ht="12.75">
      <c r="B440" s="125">
        <f ca="1">IFERROR(__xludf.DUMMYFUNCTION("""COMPUTED_VALUE"""),43341.6666666666)</f>
        <v>43341.666666666599</v>
      </c>
      <c r="C440">
        <f ca="1">IFERROR(__xludf.DUMMYFUNCTION("""COMPUTED_VALUE"""),34.13)</f>
        <v>34.130000000000003</v>
      </c>
      <c r="D440">
        <v>29.18</v>
      </c>
      <c r="E440">
        <v>25.06</v>
      </c>
      <c r="F440">
        <v>31.6</v>
      </c>
      <c r="G440">
        <v>8.7799999999999994</v>
      </c>
      <c r="H440">
        <v>208.69</v>
      </c>
      <c r="I440">
        <v>28.09</v>
      </c>
      <c r="J440">
        <v>53.97</v>
      </c>
      <c r="K440">
        <v>119.67</v>
      </c>
      <c r="L440">
        <v>32.909999999999997</v>
      </c>
      <c r="M440" s="125">
        <f ca="1">IFERROR(__xludf.DUMMYFUNCTION("""COMPUTED_VALUE"""),43875.6666666666)</f>
        <v>43875.666666666599</v>
      </c>
      <c r="N440">
        <f ca="1">IFERROR(__xludf.DUMMYFUNCTION("""COMPUTED_VALUE"""),36.31)</f>
        <v>36.31</v>
      </c>
      <c r="O440" s="125">
        <f ca="1">IFERROR(__xludf.DUMMYFUNCTION("""COMPUTED_VALUE"""),43341.6666666666)</f>
        <v>43341.666666666599</v>
      </c>
      <c r="P440">
        <f ca="1">IFERROR(__xludf.DUMMYFUNCTION("""COMPUTED_VALUE"""),34.13)</f>
        <v>34.130000000000003</v>
      </c>
    </row>
    <row r="441" spans="2:16" ht="12.75">
      <c r="B441" s="125">
        <f ca="1">IFERROR(__xludf.DUMMYFUNCTION("""COMPUTED_VALUE"""),43342.6666666666)</f>
        <v>43342.666666666599</v>
      </c>
      <c r="C441">
        <f ca="1">IFERROR(__xludf.DUMMYFUNCTION("""COMPUTED_VALUE"""),32.86)</f>
        <v>32.86</v>
      </c>
      <c r="D441">
        <v>29.17</v>
      </c>
      <c r="E441">
        <v>25.08</v>
      </c>
      <c r="F441">
        <v>31.33</v>
      </c>
      <c r="G441">
        <v>8.65</v>
      </c>
      <c r="H441">
        <v>206.76</v>
      </c>
      <c r="I441">
        <v>27.86</v>
      </c>
      <c r="J441">
        <v>53.8</v>
      </c>
      <c r="K441">
        <v>119.78</v>
      </c>
      <c r="L441">
        <v>32.950000000000003</v>
      </c>
      <c r="M441" s="125">
        <f ca="1">IFERROR(__xludf.DUMMYFUNCTION("""COMPUTED_VALUE"""),43879.6666666666)</f>
        <v>43879.666666666599</v>
      </c>
      <c r="N441">
        <f ca="1">IFERROR(__xludf.DUMMYFUNCTION("""COMPUTED_VALUE"""),36.32)</f>
        <v>36.32</v>
      </c>
      <c r="O441" s="125">
        <f ca="1">IFERROR(__xludf.DUMMYFUNCTION("""COMPUTED_VALUE"""),43342.6666666666)</f>
        <v>43342.666666666599</v>
      </c>
      <c r="P441">
        <f ca="1">IFERROR(__xludf.DUMMYFUNCTION("""COMPUTED_VALUE"""),32.86)</f>
        <v>32.86</v>
      </c>
    </row>
    <row r="442" spans="2:16" ht="12.75">
      <c r="B442" s="125">
        <f ca="1">IFERROR(__xludf.DUMMYFUNCTION("""COMPUTED_VALUE"""),43343.6666666666)</f>
        <v>43343.666666666599</v>
      </c>
      <c r="C442">
        <f ca="1">IFERROR(__xludf.DUMMYFUNCTION("""COMPUTED_VALUE"""),32.99)</f>
        <v>32.99</v>
      </c>
      <c r="D442">
        <v>29.29</v>
      </c>
      <c r="E442">
        <v>25.19</v>
      </c>
      <c r="F442">
        <v>31.04</v>
      </c>
      <c r="G442">
        <v>8.7200000000000006</v>
      </c>
      <c r="H442">
        <v>207.47</v>
      </c>
      <c r="I442">
        <v>27.65</v>
      </c>
      <c r="J442">
        <v>53.78</v>
      </c>
      <c r="K442">
        <v>119.26</v>
      </c>
      <c r="L442">
        <v>32.869999999999997</v>
      </c>
      <c r="M442" s="125">
        <f ca="1">IFERROR(__xludf.DUMMYFUNCTION("""COMPUTED_VALUE"""),43880.6666666666)</f>
        <v>43880.666666666599</v>
      </c>
      <c r="N442">
        <f ca="1">IFERROR(__xludf.DUMMYFUNCTION("""COMPUTED_VALUE"""),36.38)</f>
        <v>36.380000000000003</v>
      </c>
      <c r="O442" s="125">
        <f ca="1">IFERROR(__xludf.DUMMYFUNCTION("""COMPUTED_VALUE"""),43343.6666666666)</f>
        <v>43343.666666666599</v>
      </c>
      <c r="P442">
        <f ca="1">IFERROR(__xludf.DUMMYFUNCTION("""COMPUTED_VALUE"""),32.99)</f>
        <v>32.99</v>
      </c>
    </row>
    <row r="443" spans="2:16" ht="12.75">
      <c r="B443" s="125">
        <f ca="1">IFERROR(__xludf.DUMMYFUNCTION("""COMPUTED_VALUE"""),43347.6666666666)</f>
        <v>43347.666666666599</v>
      </c>
      <c r="C443">
        <f ca="1">IFERROR(__xludf.DUMMYFUNCTION("""COMPUTED_VALUE"""),32.31)</f>
        <v>32.31</v>
      </c>
      <c r="D443">
        <v>29.31</v>
      </c>
      <c r="E443">
        <v>25.3</v>
      </c>
      <c r="F443">
        <v>30.77</v>
      </c>
      <c r="G443">
        <v>8.59</v>
      </c>
      <c r="H443">
        <v>207.59</v>
      </c>
      <c r="I443">
        <v>27.37</v>
      </c>
      <c r="J443">
        <v>53.71</v>
      </c>
      <c r="K443">
        <v>119.82</v>
      </c>
      <c r="L443">
        <v>33</v>
      </c>
      <c r="M443" s="125">
        <f ca="1">IFERROR(__xludf.DUMMYFUNCTION("""COMPUTED_VALUE"""),43881.6666666666)</f>
        <v>43881.666666666599</v>
      </c>
      <c r="N443">
        <f ca="1">IFERROR(__xludf.DUMMYFUNCTION("""COMPUTED_VALUE"""),36.73)</f>
        <v>36.729999999999997</v>
      </c>
      <c r="O443" s="125">
        <f ca="1">IFERROR(__xludf.DUMMYFUNCTION("""COMPUTED_VALUE"""),43347.6666666666)</f>
        <v>43347.666666666599</v>
      </c>
      <c r="P443">
        <f ca="1">IFERROR(__xludf.DUMMYFUNCTION("""COMPUTED_VALUE"""),32.31)</f>
        <v>32.31</v>
      </c>
    </row>
    <row r="444" spans="2:16" ht="12.75">
      <c r="B444" s="125">
        <f ca="1">IFERROR(__xludf.DUMMYFUNCTION("""COMPUTED_VALUE"""),43348.6666666666)</f>
        <v>43348.666666666599</v>
      </c>
      <c r="C444">
        <f ca="1">IFERROR(__xludf.DUMMYFUNCTION("""COMPUTED_VALUE"""),31.18)</f>
        <v>31.18</v>
      </c>
      <c r="D444">
        <v>28.44</v>
      </c>
      <c r="E444">
        <v>25.21</v>
      </c>
      <c r="F444">
        <v>30.55</v>
      </c>
      <c r="G444">
        <v>8.5399999999999991</v>
      </c>
      <c r="H444">
        <v>208.11</v>
      </c>
      <c r="I444">
        <v>26.98</v>
      </c>
      <c r="J444">
        <v>54.33</v>
      </c>
      <c r="K444">
        <v>121.31</v>
      </c>
      <c r="L444">
        <v>33.14</v>
      </c>
      <c r="M444" s="125">
        <f ca="1">IFERROR(__xludf.DUMMYFUNCTION("""COMPUTED_VALUE"""),43882.6666666666)</f>
        <v>43882.666666666599</v>
      </c>
      <c r="N444">
        <f ca="1">IFERROR(__xludf.DUMMYFUNCTION("""COMPUTED_VALUE"""),36.82)</f>
        <v>36.82</v>
      </c>
      <c r="O444" s="125">
        <f ca="1">IFERROR(__xludf.DUMMYFUNCTION("""COMPUTED_VALUE"""),43348.6666666666)</f>
        <v>43348.666666666599</v>
      </c>
      <c r="P444">
        <f ca="1">IFERROR(__xludf.DUMMYFUNCTION("""COMPUTED_VALUE"""),31.18)</f>
        <v>31.18</v>
      </c>
    </row>
    <row r="445" spans="2:16" ht="12.75">
      <c r="B445" s="125">
        <f ca="1">IFERROR(__xludf.DUMMYFUNCTION("""COMPUTED_VALUE"""),43349.6666666666)</f>
        <v>43349.666666666599</v>
      </c>
      <c r="C445">
        <f ca="1">IFERROR(__xludf.DUMMYFUNCTION("""COMPUTED_VALUE"""),31.08)</f>
        <v>31.08</v>
      </c>
      <c r="D445">
        <v>28.27</v>
      </c>
      <c r="E445">
        <v>25.21</v>
      </c>
      <c r="F445">
        <v>30.19</v>
      </c>
      <c r="G445">
        <v>8.5399999999999991</v>
      </c>
      <c r="H445">
        <v>210.35</v>
      </c>
      <c r="I445">
        <v>26.86</v>
      </c>
      <c r="J445">
        <v>54.48</v>
      </c>
      <c r="K445">
        <v>121.98</v>
      </c>
      <c r="L445">
        <v>33.68</v>
      </c>
      <c r="M445" s="125">
        <f ca="1">IFERROR(__xludf.DUMMYFUNCTION("""COMPUTED_VALUE"""),43885.6666666666)</f>
        <v>43885.666666666599</v>
      </c>
      <c r="N445">
        <f ca="1">IFERROR(__xludf.DUMMYFUNCTION("""COMPUTED_VALUE"""),36.25)</f>
        <v>36.25</v>
      </c>
      <c r="O445" s="125">
        <f ca="1">IFERROR(__xludf.DUMMYFUNCTION("""COMPUTED_VALUE"""),43349.6666666666)</f>
        <v>43349.666666666599</v>
      </c>
      <c r="P445">
        <f ca="1">IFERROR(__xludf.DUMMYFUNCTION("""COMPUTED_VALUE"""),31.08)</f>
        <v>31.08</v>
      </c>
    </row>
    <row r="446" spans="2:16" ht="12.75">
      <c r="B446" s="125">
        <f ca="1">IFERROR(__xludf.DUMMYFUNCTION("""COMPUTED_VALUE"""),43350.6666666666)</f>
        <v>43350.666666666599</v>
      </c>
      <c r="C446">
        <f ca="1">IFERROR(__xludf.DUMMYFUNCTION("""COMPUTED_VALUE"""),31.13)</f>
        <v>31.13</v>
      </c>
      <c r="D446">
        <v>28.25</v>
      </c>
      <c r="E446">
        <v>25.28</v>
      </c>
      <c r="F446">
        <v>29.89</v>
      </c>
      <c r="G446">
        <v>8.49</v>
      </c>
      <c r="H446">
        <v>209.48</v>
      </c>
      <c r="I446">
        <v>26.78</v>
      </c>
      <c r="J446">
        <v>54.37</v>
      </c>
      <c r="K446">
        <v>120.58</v>
      </c>
      <c r="L446">
        <v>33.700000000000003</v>
      </c>
      <c r="M446" s="125">
        <f ca="1">IFERROR(__xludf.DUMMYFUNCTION("""COMPUTED_VALUE"""),43886.6666666666)</f>
        <v>43886.666666666599</v>
      </c>
      <c r="N446">
        <f ca="1">IFERROR(__xludf.DUMMYFUNCTION("""COMPUTED_VALUE"""),35.82)</f>
        <v>35.82</v>
      </c>
      <c r="O446" s="125">
        <f ca="1">IFERROR(__xludf.DUMMYFUNCTION("""COMPUTED_VALUE"""),43350.6666666666)</f>
        <v>43350.666666666599</v>
      </c>
      <c r="P446">
        <f ca="1">IFERROR(__xludf.DUMMYFUNCTION("""COMPUTED_VALUE"""),31.13)</f>
        <v>31.13</v>
      </c>
    </row>
    <row r="447" spans="2:16" ht="12.75">
      <c r="B447" s="125">
        <f ca="1">IFERROR(__xludf.DUMMYFUNCTION("""COMPUTED_VALUE"""),43353.6666666666)</f>
        <v>43353.666666666599</v>
      </c>
      <c r="C447">
        <f ca="1">IFERROR(__xludf.DUMMYFUNCTION("""COMPUTED_VALUE"""),30.43)</f>
        <v>30.43</v>
      </c>
      <c r="D447">
        <v>28.37</v>
      </c>
      <c r="E447">
        <v>25.23</v>
      </c>
      <c r="F447">
        <v>30.16</v>
      </c>
      <c r="G447">
        <v>8.49</v>
      </c>
      <c r="H447">
        <v>209.63</v>
      </c>
      <c r="I447">
        <v>26.89</v>
      </c>
      <c r="J447">
        <v>54.56</v>
      </c>
      <c r="K447">
        <v>121.18</v>
      </c>
      <c r="L447">
        <v>33.79</v>
      </c>
      <c r="M447" s="125">
        <f ca="1">IFERROR(__xludf.DUMMYFUNCTION("""COMPUTED_VALUE"""),43887.6666666666)</f>
        <v>43887.666666666599</v>
      </c>
      <c r="N447">
        <f ca="1">IFERROR(__xludf.DUMMYFUNCTION("""COMPUTED_VALUE"""),35.48)</f>
        <v>35.479999999999997</v>
      </c>
      <c r="O447" s="125">
        <f ca="1">IFERROR(__xludf.DUMMYFUNCTION("""COMPUTED_VALUE"""),43353.6666666666)</f>
        <v>43353.666666666599</v>
      </c>
      <c r="P447">
        <f ca="1">IFERROR(__xludf.DUMMYFUNCTION("""COMPUTED_VALUE"""),30.43)</f>
        <v>30.43</v>
      </c>
    </row>
    <row r="448" spans="2:16" ht="12.75">
      <c r="B448" s="125">
        <f ca="1">IFERROR(__xludf.DUMMYFUNCTION("""COMPUTED_VALUE"""),43354.6666666666)</f>
        <v>43354.666666666599</v>
      </c>
      <c r="C448">
        <f ca="1">IFERROR(__xludf.DUMMYFUNCTION("""COMPUTED_VALUE"""),30.62)</f>
        <v>30.62</v>
      </c>
      <c r="D448">
        <v>28.64</v>
      </c>
      <c r="E448">
        <v>25.25</v>
      </c>
      <c r="F448">
        <v>30.09</v>
      </c>
      <c r="G448">
        <v>8.52</v>
      </c>
      <c r="H448">
        <v>209.66</v>
      </c>
      <c r="I448">
        <v>26.89</v>
      </c>
      <c r="J448">
        <v>54.36</v>
      </c>
      <c r="K448">
        <v>120.94</v>
      </c>
      <c r="L448">
        <v>33.53</v>
      </c>
      <c r="M448" s="125">
        <f ca="1">IFERROR(__xludf.DUMMYFUNCTION("""COMPUTED_VALUE"""),43888.6666666666)</f>
        <v>43888.666666666599</v>
      </c>
      <c r="N448">
        <f ca="1">IFERROR(__xludf.DUMMYFUNCTION("""COMPUTED_VALUE"""),33.62)</f>
        <v>33.619999999999997</v>
      </c>
      <c r="O448" s="125">
        <f ca="1">IFERROR(__xludf.DUMMYFUNCTION("""COMPUTED_VALUE"""),43354.6666666666)</f>
        <v>43354.666666666599</v>
      </c>
      <c r="P448">
        <f ca="1">IFERROR(__xludf.DUMMYFUNCTION("""COMPUTED_VALUE"""),30.62)</f>
        <v>30.62</v>
      </c>
    </row>
    <row r="449" spans="2:16" ht="12.75">
      <c r="B449" s="125">
        <f ca="1">IFERROR(__xludf.DUMMYFUNCTION("""COMPUTED_VALUE"""),43355.6666666666)</f>
        <v>43355.666666666599</v>
      </c>
      <c r="C449">
        <f ca="1">IFERROR(__xludf.DUMMYFUNCTION("""COMPUTED_VALUE"""),30.93)</f>
        <v>30.93</v>
      </c>
      <c r="D449">
        <v>28.66</v>
      </c>
      <c r="E449">
        <v>25.16</v>
      </c>
      <c r="F449">
        <v>29.98</v>
      </c>
      <c r="G449">
        <v>8.5399999999999991</v>
      </c>
      <c r="H449">
        <v>210.53</v>
      </c>
      <c r="I449">
        <v>26.91</v>
      </c>
      <c r="J449">
        <v>54.99</v>
      </c>
      <c r="K449">
        <v>120.86</v>
      </c>
      <c r="L449">
        <v>33.14</v>
      </c>
      <c r="M449" s="125">
        <f ca="1">IFERROR(__xludf.DUMMYFUNCTION("""COMPUTED_VALUE"""),43889.6666666666)</f>
        <v>43889.666666666599</v>
      </c>
      <c r="N449">
        <f ca="1">IFERROR(__xludf.DUMMYFUNCTION("""COMPUTED_VALUE"""),32.61)</f>
        <v>32.61</v>
      </c>
      <c r="O449" s="125">
        <f ca="1">IFERROR(__xludf.DUMMYFUNCTION("""COMPUTED_VALUE"""),43355.6666666666)</f>
        <v>43355.666666666599</v>
      </c>
      <c r="P449">
        <f ca="1">IFERROR(__xludf.DUMMYFUNCTION("""COMPUTED_VALUE"""),30.93)</f>
        <v>30.93</v>
      </c>
    </row>
    <row r="450" spans="2:16" ht="12.75">
      <c r="B450" s="125">
        <f ca="1">IFERROR(__xludf.DUMMYFUNCTION("""COMPUTED_VALUE"""),43356.6666666666)</f>
        <v>43356.666666666599</v>
      </c>
      <c r="C450">
        <f ca="1">IFERROR(__xludf.DUMMYFUNCTION("""COMPUTED_VALUE"""),31.87)</f>
        <v>31.87</v>
      </c>
      <c r="D450">
        <v>28.77</v>
      </c>
      <c r="E450">
        <v>25.09</v>
      </c>
      <c r="F450">
        <v>30.32</v>
      </c>
      <c r="G450">
        <v>8.49</v>
      </c>
      <c r="H450">
        <v>211.98</v>
      </c>
      <c r="I450">
        <v>27.05</v>
      </c>
      <c r="J450">
        <v>54.91</v>
      </c>
      <c r="K450">
        <v>121.83</v>
      </c>
      <c r="L450">
        <v>33</v>
      </c>
      <c r="M450" s="125">
        <f ca="1">IFERROR(__xludf.DUMMYFUNCTION("""COMPUTED_VALUE"""),43892.6666666666)</f>
        <v>43892.666666666599</v>
      </c>
      <c r="N450">
        <f ca="1">IFERROR(__xludf.DUMMYFUNCTION("""COMPUTED_VALUE"""),34.53)</f>
        <v>34.53</v>
      </c>
      <c r="O450" s="125">
        <f ca="1">IFERROR(__xludf.DUMMYFUNCTION("""COMPUTED_VALUE"""),43356.6666666666)</f>
        <v>43356.666666666599</v>
      </c>
      <c r="P450">
        <f ca="1">IFERROR(__xludf.DUMMYFUNCTION("""COMPUTED_VALUE"""),31.87)</f>
        <v>31.87</v>
      </c>
    </row>
    <row r="451" spans="2:16" ht="12.75">
      <c r="B451" s="125">
        <f ca="1">IFERROR(__xludf.DUMMYFUNCTION("""COMPUTED_VALUE"""),43357.6666666666)</f>
        <v>43357.666666666599</v>
      </c>
      <c r="C451">
        <f ca="1">IFERROR(__xludf.DUMMYFUNCTION("""COMPUTED_VALUE"""),31.69)</f>
        <v>31.69</v>
      </c>
      <c r="D451">
        <v>28.98</v>
      </c>
      <c r="E451">
        <v>25.18</v>
      </c>
      <c r="F451">
        <v>30.21</v>
      </c>
      <c r="G451">
        <v>8.4700000000000006</v>
      </c>
      <c r="H451">
        <v>215.03</v>
      </c>
      <c r="I451">
        <v>27.14</v>
      </c>
      <c r="J451">
        <v>54.76</v>
      </c>
      <c r="K451">
        <v>121.26</v>
      </c>
      <c r="L451">
        <v>33.21</v>
      </c>
      <c r="M451" s="125">
        <f ca="1">IFERROR(__xludf.DUMMYFUNCTION("""COMPUTED_VALUE"""),43893.6666666666)</f>
        <v>43893.666666666599</v>
      </c>
      <c r="N451">
        <f ca="1">IFERROR(__xludf.DUMMYFUNCTION("""COMPUTED_VALUE"""),34.6)</f>
        <v>34.6</v>
      </c>
      <c r="O451" s="125">
        <f ca="1">IFERROR(__xludf.DUMMYFUNCTION("""COMPUTED_VALUE"""),43357.6666666666)</f>
        <v>43357.666666666599</v>
      </c>
      <c r="P451">
        <f ca="1">IFERROR(__xludf.DUMMYFUNCTION("""COMPUTED_VALUE"""),31.69)</f>
        <v>31.69</v>
      </c>
    </row>
    <row r="452" spans="2:16" ht="12.75">
      <c r="B452" s="125">
        <f ca="1">IFERROR(__xludf.DUMMYFUNCTION("""COMPUTED_VALUE"""),43360.6666666666)</f>
        <v>43360.666666666599</v>
      </c>
      <c r="C452">
        <f ca="1">IFERROR(__xludf.DUMMYFUNCTION("""COMPUTED_VALUE"""),31.21)</f>
        <v>31.21</v>
      </c>
      <c r="D452">
        <v>28.49</v>
      </c>
      <c r="E452">
        <v>25.06</v>
      </c>
      <c r="F452">
        <v>30.22</v>
      </c>
      <c r="G452">
        <v>8.49</v>
      </c>
      <c r="H452">
        <v>215.01</v>
      </c>
      <c r="I452">
        <v>26.99</v>
      </c>
      <c r="J452">
        <v>54.96</v>
      </c>
      <c r="K452">
        <v>121.55</v>
      </c>
      <c r="L452">
        <v>33.19</v>
      </c>
      <c r="M452" s="125">
        <f ca="1">IFERROR(__xludf.DUMMYFUNCTION("""COMPUTED_VALUE"""),43894.6666666666)</f>
        <v>43894.666666666599</v>
      </c>
      <c r="N452">
        <f ca="1">IFERROR(__xludf.DUMMYFUNCTION("""COMPUTED_VALUE"""),35.86)</f>
        <v>35.86</v>
      </c>
      <c r="O452" s="125">
        <f ca="1">IFERROR(__xludf.DUMMYFUNCTION("""COMPUTED_VALUE"""),43360.6666666666)</f>
        <v>43360.666666666599</v>
      </c>
      <c r="P452">
        <f ca="1">IFERROR(__xludf.DUMMYFUNCTION("""COMPUTED_VALUE"""),31.21)</f>
        <v>31.21</v>
      </c>
    </row>
    <row r="453" spans="2:16" ht="12.75">
      <c r="B453" s="125">
        <f ca="1">IFERROR(__xludf.DUMMYFUNCTION("""COMPUTED_VALUE"""),43361.6666666666)</f>
        <v>43361.666666666599</v>
      </c>
      <c r="C453">
        <f ca="1">IFERROR(__xludf.DUMMYFUNCTION("""COMPUTED_VALUE"""),31.34)</f>
        <v>31.34</v>
      </c>
      <c r="D453">
        <v>28.69</v>
      </c>
      <c r="E453">
        <v>25.1</v>
      </c>
      <c r="F453">
        <v>30.35</v>
      </c>
      <c r="G453">
        <v>8.59</v>
      </c>
      <c r="H453">
        <v>217.61</v>
      </c>
      <c r="I453">
        <v>27.25</v>
      </c>
      <c r="J453">
        <v>54.73</v>
      </c>
      <c r="K453">
        <v>121.42</v>
      </c>
      <c r="L453">
        <v>33.56</v>
      </c>
      <c r="M453" s="125">
        <f ca="1">IFERROR(__xludf.DUMMYFUNCTION("""COMPUTED_VALUE"""),43895.6666666666)</f>
        <v>43895.666666666599</v>
      </c>
      <c r="N453">
        <f ca="1">IFERROR(__xludf.DUMMYFUNCTION("""COMPUTED_VALUE"""),34.86)</f>
        <v>34.86</v>
      </c>
      <c r="O453" s="125">
        <f ca="1">IFERROR(__xludf.DUMMYFUNCTION("""COMPUTED_VALUE"""),43361.6666666666)</f>
        <v>43361.666666666599</v>
      </c>
      <c r="P453">
        <f ca="1">IFERROR(__xludf.DUMMYFUNCTION("""COMPUTED_VALUE"""),31.34)</f>
        <v>31.34</v>
      </c>
    </row>
    <row r="454" spans="2:16" ht="12.75">
      <c r="B454" s="125">
        <f ca="1">IFERROR(__xludf.DUMMYFUNCTION("""COMPUTED_VALUE"""),43362.6666666666)</f>
        <v>43362.666666666599</v>
      </c>
      <c r="C454">
        <f ca="1">IFERROR(__xludf.DUMMYFUNCTION("""COMPUTED_VALUE"""),31.99)</f>
        <v>31.99</v>
      </c>
      <c r="D454">
        <v>28.4</v>
      </c>
      <c r="E454">
        <v>25.09</v>
      </c>
      <c r="F454">
        <v>30.36</v>
      </c>
      <c r="G454">
        <v>8.6199999999999992</v>
      </c>
      <c r="H454">
        <v>215.86</v>
      </c>
      <c r="I454">
        <v>27.32</v>
      </c>
      <c r="J454">
        <v>54.63</v>
      </c>
      <c r="K454">
        <v>118.76</v>
      </c>
      <c r="L454">
        <v>33.32</v>
      </c>
      <c r="M454" s="125">
        <f ca="1">IFERROR(__xludf.DUMMYFUNCTION("""COMPUTED_VALUE"""),43896.6666666666)</f>
        <v>43896.666666666599</v>
      </c>
      <c r="N454">
        <f ca="1">IFERROR(__xludf.DUMMYFUNCTION("""COMPUTED_VALUE"""),34.22)</f>
        <v>34.22</v>
      </c>
      <c r="O454" s="125">
        <f ca="1">IFERROR(__xludf.DUMMYFUNCTION("""COMPUTED_VALUE"""),43362.6666666666)</f>
        <v>43362.666666666599</v>
      </c>
      <c r="P454">
        <f ca="1">IFERROR(__xludf.DUMMYFUNCTION("""COMPUTED_VALUE"""),31.99)</f>
        <v>31.99</v>
      </c>
    </row>
    <row r="455" spans="2:16" ht="12.75">
      <c r="B455" s="125">
        <f ca="1">IFERROR(__xludf.DUMMYFUNCTION("""COMPUTED_VALUE"""),43363.6666666666)</f>
        <v>43363.666666666599</v>
      </c>
      <c r="C455">
        <f ca="1">IFERROR(__xludf.DUMMYFUNCTION("""COMPUTED_VALUE"""),32.42)</f>
        <v>32.42</v>
      </c>
      <c r="D455">
        <v>28.48</v>
      </c>
      <c r="E455">
        <v>24.91</v>
      </c>
      <c r="F455">
        <v>30.92</v>
      </c>
      <c r="G455">
        <v>8.7100000000000009</v>
      </c>
      <c r="H455">
        <v>214.13</v>
      </c>
      <c r="I455">
        <v>27.56</v>
      </c>
      <c r="J455">
        <v>55.32</v>
      </c>
      <c r="K455">
        <v>119.1</v>
      </c>
      <c r="L455">
        <v>33.28</v>
      </c>
      <c r="M455" s="125">
        <f ca="1">IFERROR(__xludf.DUMMYFUNCTION("""COMPUTED_VALUE"""),43899.6666666666)</f>
        <v>43899.666666666599</v>
      </c>
      <c r="N455">
        <f ca="1">IFERROR(__xludf.DUMMYFUNCTION("""COMPUTED_VALUE"""),31.75)</f>
        <v>31.75</v>
      </c>
      <c r="O455" s="125">
        <f ca="1">IFERROR(__xludf.DUMMYFUNCTION("""COMPUTED_VALUE"""),43363.6666666666)</f>
        <v>43363.666666666599</v>
      </c>
      <c r="P455">
        <f ca="1">IFERROR(__xludf.DUMMYFUNCTION("""COMPUTED_VALUE"""),32.42)</f>
        <v>32.42</v>
      </c>
    </row>
    <row r="456" spans="2:16" ht="12.75">
      <c r="B456" s="125">
        <f ca="1">IFERROR(__xludf.DUMMYFUNCTION("""COMPUTED_VALUE"""),43364.6666666666)</f>
        <v>43364.666666666599</v>
      </c>
      <c r="C456">
        <f ca="1">IFERROR(__xludf.DUMMYFUNCTION("""COMPUTED_VALUE"""),32.6)</f>
        <v>32.6</v>
      </c>
      <c r="D456">
        <v>28.49</v>
      </c>
      <c r="E456">
        <v>24.99</v>
      </c>
      <c r="F456">
        <v>30.83</v>
      </c>
      <c r="G456">
        <v>8.74</v>
      </c>
      <c r="H456">
        <v>215.93</v>
      </c>
      <c r="I456">
        <v>27.66</v>
      </c>
      <c r="J456">
        <v>55.02</v>
      </c>
      <c r="K456">
        <v>119.56</v>
      </c>
      <c r="L456">
        <v>33.42</v>
      </c>
      <c r="M456" s="125">
        <f ca="1">IFERROR(__xludf.DUMMYFUNCTION("""COMPUTED_VALUE"""),43900.6666666666)</f>
        <v>43900.666666666599</v>
      </c>
      <c r="N456">
        <f ca="1">IFERROR(__xludf.DUMMYFUNCTION("""COMPUTED_VALUE"""),33.56)</f>
        <v>33.56</v>
      </c>
      <c r="O456" s="125">
        <f ca="1">IFERROR(__xludf.DUMMYFUNCTION("""COMPUTED_VALUE"""),43364.6666666666)</f>
        <v>43364.666666666599</v>
      </c>
      <c r="P456">
        <f ca="1">IFERROR(__xludf.DUMMYFUNCTION("""COMPUTED_VALUE"""),32.6)</f>
        <v>32.6</v>
      </c>
    </row>
    <row r="457" spans="2:16" ht="12.75">
      <c r="B457" s="125">
        <f ca="1">IFERROR(__xludf.DUMMYFUNCTION("""COMPUTED_VALUE"""),43367.6666666666)</f>
        <v>43367.666666666599</v>
      </c>
      <c r="C457">
        <f ca="1">IFERROR(__xludf.DUMMYFUNCTION("""COMPUTED_VALUE"""),32.16)</f>
        <v>32.159999999999997</v>
      </c>
      <c r="D457">
        <v>28.4</v>
      </c>
      <c r="E457">
        <v>24.99</v>
      </c>
      <c r="F457">
        <v>30.7</v>
      </c>
      <c r="G457">
        <v>8.66</v>
      </c>
      <c r="H457">
        <v>213.7</v>
      </c>
      <c r="I457">
        <v>27.52</v>
      </c>
      <c r="J457">
        <v>54.18</v>
      </c>
      <c r="K457">
        <v>117.64</v>
      </c>
      <c r="L457">
        <v>33.82</v>
      </c>
      <c r="M457" s="125">
        <f ca="1">IFERROR(__xludf.DUMMYFUNCTION("""COMPUTED_VALUE"""),43901.6666666666)</f>
        <v>43901.666666666599</v>
      </c>
      <c r="N457">
        <f ca="1">IFERROR(__xludf.DUMMYFUNCTION("""COMPUTED_VALUE"""),32.26)</f>
        <v>32.26</v>
      </c>
      <c r="O457" s="125">
        <f ca="1">IFERROR(__xludf.DUMMYFUNCTION("""COMPUTED_VALUE"""),43367.6666666666)</f>
        <v>43367.666666666599</v>
      </c>
      <c r="P457">
        <f ca="1">IFERROR(__xludf.DUMMYFUNCTION("""COMPUTED_VALUE"""),32.16)</f>
        <v>32.159999999999997</v>
      </c>
    </row>
    <row r="458" spans="2:16" ht="12.75">
      <c r="B458" s="125">
        <f ca="1">IFERROR(__xludf.DUMMYFUNCTION("""COMPUTED_VALUE"""),43368.6666666666)</f>
        <v>43368.666666666599</v>
      </c>
      <c r="C458">
        <f ca="1">IFERROR(__xludf.DUMMYFUNCTION("""COMPUTED_VALUE"""),32.15)</f>
        <v>32.15</v>
      </c>
      <c r="D458">
        <v>28.82</v>
      </c>
      <c r="E458">
        <v>25.01</v>
      </c>
      <c r="F458">
        <v>30.73</v>
      </c>
      <c r="G458">
        <v>8.6199999999999992</v>
      </c>
      <c r="H458">
        <v>215.87</v>
      </c>
      <c r="I458">
        <v>27.54</v>
      </c>
      <c r="J458">
        <v>53.86</v>
      </c>
      <c r="K458">
        <v>116.3</v>
      </c>
      <c r="L458">
        <v>33.96</v>
      </c>
      <c r="M458" s="125">
        <f ca="1">IFERROR(__xludf.DUMMYFUNCTION("""COMPUTED_VALUE"""),43902.6666666666)</f>
        <v>43902.666666666599</v>
      </c>
      <c r="N458">
        <f ca="1">IFERROR(__xludf.DUMMYFUNCTION("""COMPUTED_VALUE"""),29.27)</f>
        <v>29.27</v>
      </c>
      <c r="O458" s="125">
        <f ca="1">IFERROR(__xludf.DUMMYFUNCTION("""COMPUTED_VALUE"""),43368.6666666666)</f>
        <v>43368.666666666599</v>
      </c>
      <c r="P458">
        <f ca="1">IFERROR(__xludf.DUMMYFUNCTION("""COMPUTED_VALUE"""),32.15)</f>
        <v>32.15</v>
      </c>
    </row>
    <row r="459" spans="2:16" ht="12.75">
      <c r="B459" s="125">
        <f ca="1">IFERROR(__xludf.DUMMYFUNCTION("""COMPUTED_VALUE"""),43369.6666666666)</f>
        <v>43369.666666666599</v>
      </c>
      <c r="C459">
        <f ca="1">IFERROR(__xludf.DUMMYFUNCTION("""COMPUTED_VALUE"""),32.41)</f>
        <v>32.409999999999997</v>
      </c>
      <c r="D459">
        <v>28.74</v>
      </c>
      <c r="E459">
        <v>25.02</v>
      </c>
      <c r="F459">
        <v>30.59</v>
      </c>
      <c r="G459">
        <v>8.6199999999999992</v>
      </c>
      <c r="H459">
        <v>214.18</v>
      </c>
      <c r="I459">
        <v>27.48</v>
      </c>
      <c r="J459">
        <v>53.92</v>
      </c>
      <c r="K459">
        <v>115.13</v>
      </c>
      <c r="L459">
        <v>34.25</v>
      </c>
      <c r="M459" s="125">
        <f ca="1">IFERROR(__xludf.DUMMYFUNCTION("""COMPUTED_VALUE"""),43903.6666666666)</f>
        <v>43903.666666666599</v>
      </c>
      <c r="N459">
        <f ca="1">IFERROR(__xludf.DUMMYFUNCTION("""COMPUTED_VALUE"""),32.31)</f>
        <v>32.31</v>
      </c>
      <c r="O459" s="125">
        <f ca="1">IFERROR(__xludf.DUMMYFUNCTION("""COMPUTED_VALUE"""),43369.6666666666)</f>
        <v>43369.666666666599</v>
      </c>
      <c r="P459">
        <f ca="1">IFERROR(__xludf.DUMMYFUNCTION("""COMPUTED_VALUE"""),32.41)</f>
        <v>32.409999999999997</v>
      </c>
    </row>
    <row r="460" spans="2:16" ht="12.75">
      <c r="B460" s="125">
        <f ca="1">IFERROR(__xludf.DUMMYFUNCTION("""COMPUTED_VALUE"""),43370.6666666666)</f>
        <v>43370.666666666599</v>
      </c>
      <c r="C460">
        <f ca="1">IFERROR(__xludf.DUMMYFUNCTION("""COMPUTED_VALUE"""),32.35)</f>
        <v>32.35</v>
      </c>
      <c r="D460">
        <v>28.72</v>
      </c>
      <c r="E460">
        <v>25.2</v>
      </c>
      <c r="F460">
        <v>30.51</v>
      </c>
      <c r="G460">
        <v>8.61</v>
      </c>
      <c r="H460">
        <v>215.15</v>
      </c>
      <c r="I460">
        <v>27.63</v>
      </c>
      <c r="J460">
        <v>53.85</v>
      </c>
      <c r="K460">
        <v>116.26</v>
      </c>
      <c r="L460">
        <v>34.090000000000003</v>
      </c>
      <c r="M460" s="125">
        <f ca="1">IFERROR(__xludf.DUMMYFUNCTION("""COMPUTED_VALUE"""),43906.6666666666)</f>
        <v>43906.666666666599</v>
      </c>
      <c r="N460">
        <f ca="1">IFERROR(__xludf.DUMMYFUNCTION("""COMPUTED_VALUE"""),29.06)</f>
        <v>29.06</v>
      </c>
      <c r="O460" s="125">
        <f ca="1">IFERROR(__xludf.DUMMYFUNCTION("""COMPUTED_VALUE"""),43370.6666666666)</f>
        <v>43370.666666666599</v>
      </c>
      <c r="P460">
        <f ca="1">IFERROR(__xludf.DUMMYFUNCTION("""COMPUTED_VALUE"""),32.35)</f>
        <v>32.35</v>
      </c>
    </row>
    <row r="461" spans="2:16" ht="12.75">
      <c r="B461" s="125">
        <f ca="1">IFERROR(__xludf.DUMMYFUNCTION("""COMPUTED_VALUE"""),43371.6666666666)</f>
        <v>43371.666666666599</v>
      </c>
      <c r="C461">
        <f ca="1">IFERROR(__xludf.DUMMYFUNCTION("""COMPUTED_VALUE"""),32.05)</f>
        <v>32.049999999999997</v>
      </c>
      <c r="D461">
        <v>28.75</v>
      </c>
      <c r="E461">
        <v>25.26</v>
      </c>
      <c r="F461">
        <v>30.19</v>
      </c>
      <c r="G461">
        <v>8.6</v>
      </c>
      <c r="H461">
        <v>216.43</v>
      </c>
      <c r="I461">
        <v>27.23</v>
      </c>
      <c r="J461">
        <v>53.93</v>
      </c>
      <c r="K461">
        <v>117.87</v>
      </c>
      <c r="L461">
        <v>34.01</v>
      </c>
      <c r="M461" s="125">
        <f ca="1">IFERROR(__xludf.DUMMYFUNCTION("""COMPUTED_VALUE"""),43907.6666666666)</f>
        <v>43907.666666666599</v>
      </c>
      <c r="N461">
        <f ca="1">IFERROR(__xludf.DUMMYFUNCTION("""COMPUTED_VALUE"""),30.21)</f>
        <v>30.21</v>
      </c>
      <c r="O461" s="125">
        <f ca="1">IFERROR(__xludf.DUMMYFUNCTION("""COMPUTED_VALUE"""),43371.6666666666)</f>
        <v>43371.666666666599</v>
      </c>
      <c r="P461">
        <f ca="1">IFERROR(__xludf.DUMMYFUNCTION("""COMPUTED_VALUE"""),32.05)</f>
        <v>32.049999999999997</v>
      </c>
    </row>
    <row r="462" spans="2:16" ht="12.75">
      <c r="B462" s="125">
        <f ca="1">IFERROR(__xludf.DUMMYFUNCTION("""COMPUTED_VALUE"""),43374.6666666666)</f>
        <v>43374.666666666599</v>
      </c>
      <c r="C462">
        <f ca="1">IFERROR(__xludf.DUMMYFUNCTION("""COMPUTED_VALUE"""),31.85)</f>
        <v>31.85</v>
      </c>
      <c r="D462">
        <v>28.65</v>
      </c>
      <c r="E462">
        <v>25.3</v>
      </c>
      <c r="F462">
        <v>30.25</v>
      </c>
      <c r="G462">
        <v>8.58</v>
      </c>
      <c r="H462">
        <v>217.16</v>
      </c>
      <c r="I462">
        <v>27.47</v>
      </c>
      <c r="J462">
        <v>53.89</v>
      </c>
      <c r="K462">
        <v>117.5</v>
      </c>
      <c r="L462">
        <v>34.049999999999997</v>
      </c>
      <c r="M462" s="125">
        <f ca="1">IFERROR(__xludf.DUMMYFUNCTION("""COMPUTED_VALUE"""),43908.6666666666)</f>
        <v>43908.666666666599</v>
      </c>
      <c r="N462">
        <f ca="1">IFERROR(__xludf.DUMMYFUNCTION("""COMPUTED_VALUE"""),28.65)</f>
        <v>28.65</v>
      </c>
      <c r="O462" s="125">
        <f ca="1">IFERROR(__xludf.DUMMYFUNCTION("""COMPUTED_VALUE"""),43374.6666666666)</f>
        <v>43374.666666666599</v>
      </c>
      <c r="P462">
        <f ca="1">IFERROR(__xludf.DUMMYFUNCTION("""COMPUTED_VALUE"""),31.85)</f>
        <v>31.85</v>
      </c>
    </row>
    <row r="463" spans="2:16" ht="12.75">
      <c r="B463" s="125">
        <f ca="1">IFERROR(__xludf.DUMMYFUNCTION("""COMPUTED_VALUE"""),43375.6666666666)</f>
        <v>43375.666666666599</v>
      </c>
      <c r="C463">
        <f ca="1">IFERROR(__xludf.DUMMYFUNCTION("""COMPUTED_VALUE"""),31.27)</f>
        <v>31.27</v>
      </c>
      <c r="D463">
        <v>28.44</v>
      </c>
      <c r="E463">
        <v>25.34</v>
      </c>
      <c r="F463">
        <v>30.05</v>
      </c>
      <c r="G463">
        <v>8.65</v>
      </c>
      <c r="H463">
        <v>217</v>
      </c>
      <c r="I463">
        <v>27.37</v>
      </c>
      <c r="J463">
        <v>54.2</v>
      </c>
      <c r="K463">
        <v>118.88</v>
      </c>
      <c r="L463">
        <v>34.25</v>
      </c>
      <c r="M463" s="125">
        <f ca="1">IFERROR(__xludf.DUMMYFUNCTION("""COMPUTED_VALUE"""),43909.6666666666)</f>
        <v>43909.666666666599</v>
      </c>
      <c r="N463">
        <f ca="1">IFERROR(__xludf.DUMMYFUNCTION("""COMPUTED_VALUE"""),28.01)</f>
        <v>28.01</v>
      </c>
      <c r="O463" s="125">
        <f ca="1">IFERROR(__xludf.DUMMYFUNCTION("""COMPUTED_VALUE"""),43375.6666666666)</f>
        <v>43375.666666666599</v>
      </c>
      <c r="P463">
        <f ca="1">IFERROR(__xludf.DUMMYFUNCTION("""COMPUTED_VALUE"""),31.27)</f>
        <v>31.27</v>
      </c>
    </row>
    <row r="464" spans="2:16" ht="12.75">
      <c r="B464" s="125">
        <f ca="1">IFERROR(__xludf.DUMMYFUNCTION("""COMPUTED_VALUE"""),43376.6666666666)</f>
        <v>43376.666666666599</v>
      </c>
      <c r="C464">
        <f ca="1">IFERROR(__xludf.DUMMYFUNCTION("""COMPUTED_VALUE"""),31.3)</f>
        <v>31.3</v>
      </c>
      <c r="D464">
        <v>28.57</v>
      </c>
      <c r="E464">
        <v>25.42</v>
      </c>
      <c r="F464">
        <v>30.15</v>
      </c>
      <c r="G464">
        <v>8.61</v>
      </c>
      <c r="H464">
        <v>217.63</v>
      </c>
      <c r="I464">
        <v>27.56</v>
      </c>
      <c r="J464">
        <v>53.62</v>
      </c>
      <c r="K464">
        <v>118.88</v>
      </c>
      <c r="L464">
        <v>34.340000000000003</v>
      </c>
      <c r="M464" s="125">
        <f ca="1">IFERROR(__xludf.DUMMYFUNCTION("""COMPUTED_VALUE"""),43910.6666666666)</f>
        <v>43910.666666666599</v>
      </c>
      <c r="N464">
        <f ca="1">IFERROR(__xludf.DUMMYFUNCTION("""COMPUTED_VALUE"""),26.36)</f>
        <v>26.36</v>
      </c>
      <c r="O464" s="125">
        <f ca="1">IFERROR(__xludf.DUMMYFUNCTION("""COMPUTED_VALUE"""),43376.6666666666)</f>
        <v>43376.666666666599</v>
      </c>
      <c r="P464">
        <f ca="1">IFERROR(__xludf.DUMMYFUNCTION("""COMPUTED_VALUE"""),31.3)</f>
        <v>31.3</v>
      </c>
    </row>
    <row r="465" spans="2:16" ht="12.75">
      <c r="B465" s="125">
        <f ca="1">IFERROR(__xludf.DUMMYFUNCTION("""COMPUTED_VALUE"""),43377.6666666666)</f>
        <v>43377.666666666599</v>
      </c>
      <c r="C465">
        <f ca="1">IFERROR(__xludf.DUMMYFUNCTION("""COMPUTED_VALUE"""),30.17)</f>
        <v>30.17</v>
      </c>
      <c r="D465">
        <v>27.95</v>
      </c>
      <c r="E465">
        <v>25.43</v>
      </c>
      <c r="F465">
        <v>29.59</v>
      </c>
      <c r="G465">
        <v>8.49</v>
      </c>
      <c r="H465">
        <v>216.66</v>
      </c>
      <c r="I465">
        <v>27.24</v>
      </c>
      <c r="J465">
        <v>53.49</v>
      </c>
      <c r="K465">
        <v>118.08</v>
      </c>
      <c r="L465">
        <v>34.340000000000003</v>
      </c>
      <c r="M465" s="125">
        <f ca="1">IFERROR(__xludf.DUMMYFUNCTION("""COMPUTED_VALUE"""),43913.6666666666)</f>
        <v>43913.666666666599</v>
      </c>
      <c r="N465">
        <f ca="1">IFERROR(__xludf.DUMMYFUNCTION("""COMPUTED_VALUE"""),24.56)</f>
        <v>24.56</v>
      </c>
      <c r="O465" s="125">
        <f ca="1">IFERROR(__xludf.DUMMYFUNCTION("""COMPUTED_VALUE"""),43377.6666666666)</f>
        <v>43377.666666666599</v>
      </c>
      <c r="P465">
        <f ca="1">IFERROR(__xludf.DUMMYFUNCTION("""COMPUTED_VALUE"""),30.17)</f>
        <v>30.17</v>
      </c>
    </row>
    <row r="466" spans="2:16" ht="12.75">
      <c r="B466" s="125">
        <f ca="1">IFERROR(__xludf.DUMMYFUNCTION("""COMPUTED_VALUE"""),43378.6666666666)</f>
        <v>43378.666666666599</v>
      </c>
      <c r="C466">
        <f ca="1">IFERROR(__xludf.DUMMYFUNCTION("""COMPUTED_VALUE"""),29.95)</f>
        <v>29.95</v>
      </c>
      <c r="D466">
        <v>27.71</v>
      </c>
      <c r="E466">
        <v>25.4</v>
      </c>
      <c r="F466">
        <v>29.4</v>
      </c>
      <c r="G466">
        <v>8.43</v>
      </c>
      <c r="H466">
        <v>215.1</v>
      </c>
      <c r="I466">
        <v>26.96</v>
      </c>
      <c r="J466">
        <v>53.44</v>
      </c>
      <c r="K466">
        <v>119.81</v>
      </c>
      <c r="L466">
        <v>34.5</v>
      </c>
      <c r="M466" s="125">
        <f ca="1">IFERROR(__xludf.DUMMYFUNCTION("""COMPUTED_VALUE"""),43914.6666666666)</f>
        <v>43914.666666666599</v>
      </c>
      <c r="N466">
        <f ca="1">IFERROR(__xludf.DUMMYFUNCTION("""COMPUTED_VALUE"""),26.7)</f>
        <v>26.7</v>
      </c>
      <c r="O466" s="125">
        <f ca="1">IFERROR(__xludf.DUMMYFUNCTION("""COMPUTED_VALUE"""),43378.6666666666)</f>
        <v>43378.666666666599</v>
      </c>
      <c r="P466">
        <f ca="1">IFERROR(__xludf.DUMMYFUNCTION("""COMPUTED_VALUE"""),29.95)</f>
        <v>29.95</v>
      </c>
    </row>
    <row r="467" spans="2:16" ht="12.75">
      <c r="B467" s="125">
        <f ca="1">IFERROR(__xludf.DUMMYFUNCTION("""COMPUTED_VALUE"""),43381.6666666666)</f>
        <v>43381.666666666599</v>
      </c>
      <c r="C467">
        <f ca="1">IFERROR(__xludf.DUMMYFUNCTION("""COMPUTED_VALUE"""),29.75)</f>
        <v>29.75</v>
      </c>
      <c r="D467">
        <v>27</v>
      </c>
      <c r="E467">
        <v>25.43</v>
      </c>
      <c r="F467">
        <v>29.16</v>
      </c>
      <c r="G467">
        <v>8.5</v>
      </c>
      <c r="H467">
        <v>215.41</v>
      </c>
      <c r="I467">
        <v>26.68</v>
      </c>
      <c r="J467">
        <v>54.18</v>
      </c>
      <c r="K467">
        <v>120.84</v>
      </c>
      <c r="L467">
        <v>34.47</v>
      </c>
      <c r="M467" s="125">
        <f ca="1">IFERROR(__xludf.DUMMYFUNCTION("""COMPUTED_VALUE"""),43915.6666666666)</f>
        <v>43915.666666666599</v>
      </c>
      <c r="N467">
        <f ca="1">IFERROR(__xludf.DUMMYFUNCTION("""COMPUTED_VALUE"""),27.81)</f>
        <v>27.81</v>
      </c>
      <c r="O467" s="125">
        <f ca="1">IFERROR(__xludf.DUMMYFUNCTION("""COMPUTED_VALUE"""),43381.6666666666)</f>
        <v>43381.666666666599</v>
      </c>
      <c r="P467">
        <f ca="1">IFERROR(__xludf.DUMMYFUNCTION("""COMPUTED_VALUE"""),29.75)</f>
        <v>29.75</v>
      </c>
    </row>
    <row r="468" spans="2:16" ht="12.75">
      <c r="B468" s="125">
        <f ca="1">IFERROR(__xludf.DUMMYFUNCTION("""COMPUTED_VALUE"""),43382.6666666666)</f>
        <v>43382.666666666599</v>
      </c>
      <c r="C468">
        <f ca="1">IFERROR(__xludf.DUMMYFUNCTION("""COMPUTED_VALUE"""),29.42)</f>
        <v>29.42</v>
      </c>
      <c r="D468">
        <v>27.07</v>
      </c>
      <c r="E468">
        <v>25.42</v>
      </c>
      <c r="F468">
        <v>29.11</v>
      </c>
      <c r="G468">
        <v>8.51</v>
      </c>
      <c r="H468">
        <v>212.55</v>
      </c>
      <c r="I468">
        <v>26.65</v>
      </c>
      <c r="J468">
        <v>54.06</v>
      </c>
      <c r="K468">
        <v>121.31</v>
      </c>
      <c r="L468">
        <v>34.26</v>
      </c>
      <c r="M468" s="125">
        <f ca="1">IFERROR(__xludf.DUMMYFUNCTION("""COMPUTED_VALUE"""),43916.6666666666)</f>
        <v>43916.666666666599</v>
      </c>
      <c r="N468">
        <f ca="1">IFERROR(__xludf.DUMMYFUNCTION("""COMPUTED_VALUE"""),30.01)</f>
        <v>30.01</v>
      </c>
      <c r="O468" s="125">
        <f ca="1">IFERROR(__xludf.DUMMYFUNCTION("""COMPUTED_VALUE"""),43382.6666666666)</f>
        <v>43382.666666666599</v>
      </c>
      <c r="P468">
        <f ca="1">IFERROR(__xludf.DUMMYFUNCTION("""COMPUTED_VALUE"""),29.42)</f>
        <v>29.42</v>
      </c>
    </row>
    <row r="469" spans="2:16" ht="12.75">
      <c r="B469" s="125">
        <f ca="1">IFERROR(__xludf.DUMMYFUNCTION("""COMPUTED_VALUE"""),43383.6666666666)</f>
        <v>43383.666666666599</v>
      </c>
      <c r="C469">
        <f ca="1">IFERROR(__xludf.DUMMYFUNCTION("""COMPUTED_VALUE"""),28.15)</f>
        <v>28.15</v>
      </c>
      <c r="D469">
        <v>25.49</v>
      </c>
      <c r="E469">
        <v>25.39</v>
      </c>
      <c r="F469">
        <v>28.49</v>
      </c>
      <c r="G469">
        <v>8.25</v>
      </c>
      <c r="H469">
        <v>205.76</v>
      </c>
      <c r="I469">
        <v>25.96</v>
      </c>
      <c r="J469">
        <v>53.41</v>
      </c>
      <c r="K469">
        <v>120.57</v>
      </c>
      <c r="L469">
        <v>34.380000000000003</v>
      </c>
      <c r="M469" s="125">
        <f ca="1">IFERROR(__xludf.DUMMYFUNCTION("""COMPUTED_VALUE"""),43917.6666666666)</f>
        <v>43917.666666666599</v>
      </c>
      <c r="N469">
        <f ca="1">IFERROR(__xludf.DUMMYFUNCTION("""COMPUTED_VALUE"""),29.6)</f>
        <v>29.6</v>
      </c>
      <c r="O469" s="125">
        <f ca="1">IFERROR(__xludf.DUMMYFUNCTION("""COMPUTED_VALUE"""),43383.6666666666)</f>
        <v>43383.666666666599</v>
      </c>
      <c r="P469">
        <f ca="1">IFERROR(__xludf.DUMMYFUNCTION("""COMPUTED_VALUE"""),28.15)</f>
        <v>28.15</v>
      </c>
    </row>
    <row r="470" spans="2:16" ht="12.75">
      <c r="B470" s="125">
        <f ca="1">IFERROR(__xludf.DUMMYFUNCTION("""COMPUTED_VALUE"""),43384.6666666666)</f>
        <v>43384.666666666599</v>
      </c>
      <c r="C470">
        <f ca="1">IFERROR(__xludf.DUMMYFUNCTION("""COMPUTED_VALUE"""),28.23)</f>
        <v>28.23</v>
      </c>
      <c r="D470">
        <v>24.9</v>
      </c>
      <c r="E470">
        <v>25.25</v>
      </c>
      <c r="F470">
        <v>28.14</v>
      </c>
      <c r="G470">
        <v>8.15</v>
      </c>
      <c r="H470">
        <v>200.17</v>
      </c>
      <c r="I470">
        <v>25.62</v>
      </c>
      <c r="J470">
        <v>52.09</v>
      </c>
      <c r="K470">
        <v>118.13</v>
      </c>
      <c r="L470">
        <v>34.79</v>
      </c>
      <c r="M470" s="125">
        <f ca="1">IFERROR(__xludf.DUMMYFUNCTION("""COMPUTED_VALUE"""),43920.6666666666)</f>
        <v>43920.666666666599</v>
      </c>
      <c r="N470">
        <f ca="1">IFERROR(__xludf.DUMMYFUNCTION("""COMPUTED_VALUE"""),31.14)</f>
        <v>31.14</v>
      </c>
      <c r="O470" s="125">
        <f ca="1">IFERROR(__xludf.DUMMYFUNCTION("""COMPUTED_VALUE"""),43384.6666666666)</f>
        <v>43384.666666666599</v>
      </c>
      <c r="P470">
        <f ca="1">IFERROR(__xludf.DUMMYFUNCTION("""COMPUTED_VALUE"""),28.23)</f>
        <v>28.23</v>
      </c>
    </row>
    <row r="471" spans="2:16" ht="12.75">
      <c r="B471" s="125">
        <f ca="1">IFERROR(__xludf.DUMMYFUNCTION("""COMPUTED_VALUE"""),43385.6666666666)</f>
        <v>43385.666666666599</v>
      </c>
      <c r="C471">
        <f ca="1">IFERROR(__xludf.DUMMYFUNCTION("""COMPUTED_VALUE"""),29.6)</f>
        <v>29.6</v>
      </c>
      <c r="D471">
        <v>25.67</v>
      </c>
      <c r="E471">
        <v>25.33</v>
      </c>
      <c r="F471">
        <v>28.34</v>
      </c>
      <c r="G471">
        <v>8.3000000000000007</v>
      </c>
      <c r="H471">
        <v>201.02</v>
      </c>
      <c r="I471">
        <v>25.78</v>
      </c>
      <c r="J471">
        <v>52.38</v>
      </c>
      <c r="K471">
        <v>118.12</v>
      </c>
      <c r="L471">
        <v>34.549999999999997</v>
      </c>
      <c r="M471" s="125">
        <f ca="1">IFERROR(__xludf.DUMMYFUNCTION("""COMPUTED_VALUE"""),43921.6666666666)</f>
        <v>43921.666666666599</v>
      </c>
      <c r="N471">
        <f ca="1">IFERROR(__xludf.DUMMYFUNCTION("""COMPUTED_VALUE"""),30.64)</f>
        <v>30.64</v>
      </c>
      <c r="O471" s="125">
        <f ca="1">IFERROR(__xludf.DUMMYFUNCTION("""COMPUTED_VALUE"""),43385.6666666666)</f>
        <v>43385.666666666599</v>
      </c>
      <c r="P471">
        <f ca="1">IFERROR(__xludf.DUMMYFUNCTION("""COMPUTED_VALUE"""),29.6)</f>
        <v>29.6</v>
      </c>
    </row>
    <row r="472" spans="2:16" ht="12.75">
      <c r="B472" s="125">
        <f ca="1">IFERROR(__xludf.DUMMYFUNCTION("""COMPUTED_VALUE"""),43388.6666666666)</f>
        <v>43388.666666666599</v>
      </c>
      <c r="C472">
        <f ca="1">IFERROR(__xludf.DUMMYFUNCTION("""COMPUTED_VALUE"""),29)</f>
        <v>29</v>
      </c>
      <c r="D472">
        <v>25.52</v>
      </c>
      <c r="E472">
        <v>25.27</v>
      </c>
      <c r="F472">
        <v>28.34</v>
      </c>
      <c r="G472">
        <v>8.27</v>
      </c>
      <c r="H472">
        <v>203.88</v>
      </c>
      <c r="I472">
        <v>25.86</v>
      </c>
      <c r="J472">
        <v>52.7</v>
      </c>
      <c r="K472">
        <v>118.6</v>
      </c>
      <c r="L472">
        <v>34.6</v>
      </c>
      <c r="M472" s="125">
        <f ca="1">IFERROR(__xludf.DUMMYFUNCTION("""COMPUTED_VALUE"""),43922.6666666666)</f>
        <v>43922.666666666599</v>
      </c>
      <c r="N472">
        <f ca="1">IFERROR(__xludf.DUMMYFUNCTION("""COMPUTED_VALUE"""),29.36)</f>
        <v>29.36</v>
      </c>
      <c r="O472" s="125">
        <f ca="1">IFERROR(__xludf.DUMMYFUNCTION("""COMPUTED_VALUE"""),43388.6666666666)</f>
        <v>43388.666666666599</v>
      </c>
      <c r="P472">
        <f ca="1">IFERROR(__xludf.DUMMYFUNCTION("""COMPUTED_VALUE"""),29)</f>
        <v>29</v>
      </c>
    </row>
    <row r="473" spans="2:16" ht="12.75">
      <c r="B473" s="125">
        <f ca="1">IFERROR(__xludf.DUMMYFUNCTION("""COMPUTED_VALUE"""),43389.6666666666)</f>
        <v>43389.666666666599</v>
      </c>
      <c r="C473">
        <f ca="1">IFERROR(__xludf.DUMMYFUNCTION("""COMPUTED_VALUE"""),29.62)</f>
        <v>29.62</v>
      </c>
      <c r="D473">
        <v>26.39</v>
      </c>
      <c r="E473">
        <v>25.28</v>
      </c>
      <c r="F473">
        <v>28.93</v>
      </c>
      <c r="G473">
        <v>8.44</v>
      </c>
      <c r="H473">
        <v>208.38</v>
      </c>
      <c r="I473">
        <v>26.33</v>
      </c>
      <c r="J473">
        <v>53.29</v>
      </c>
      <c r="K473">
        <v>119.99</v>
      </c>
      <c r="L473">
        <v>34.72</v>
      </c>
      <c r="M473" s="125">
        <f ca="1">IFERROR(__xludf.DUMMYFUNCTION("""COMPUTED_VALUE"""),43923.6666666666)</f>
        <v>43923.666666666599</v>
      </c>
      <c r="N473">
        <f ca="1">IFERROR(__xludf.DUMMYFUNCTION("""COMPUTED_VALUE"""),30.16)</f>
        <v>30.16</v>
      </c>
      <c r="O473" s="125">
        <f ca="1">IFERROR(__xludf.DUMMYFUNCTION("""COMPUTED_VALUE"""),43389.6666666666)</f>
        <v>43389.666666666599</v>
      </c>
      <c r="P473">
        <f ca="1">IFERROR(__xludf.DUMMYFUNCTION("""COMPUTED_VALUE"""),29.62)</f>
        <v>29.62</v>
      </c>
    </row>
    <row r="474" spans="2:16" ht="12.75">
      <c r="B474" s="125">
        <f ca="1">IFERROR(__xludf.DUMMYFUNCTION("""COMPUTED_VALUE"""),43390.6666666666)</f>
        <v>43390.666666666599</v>
      </c>
      <c r="C474">
        <f ca="1">IFERROR(__xludf.DUMMYFUNCTION("""COMPUTED_VALUE"""),29.13)</f>
        <v>29.13</v>
      </c>
      <c r="D474">
        <v>26.4</v>
      </c>
      <c r="E474">
        <v>25.41</v>
      </c>
      <c r="F474">
        <v>28.89</v>
      </c>
      <c r="G474">
        <v>8.42</v>
      </c>
      <c r="H474">
        <v>206.41</v>
      </c>
      <c r="I474">
        <v>26.2</v>
      </c>
      <c r="J474">
        <v>53.54</v>
      </c>
      <c r="K474">
        <v>119.81</v>
      </c>
      <c r="L474">
        <v>34.94</v>
      </c>
      <c r="M474" s="125">
        <f ca="1">IFERROR(__xludf.DUMMYFUNCTION("""COMPUTED_VALUE"""),43924.6666666666)</f>
        <v>43924.666666666599</v>
      </c>
      <c r="N474">
        <f ca="1">IFERROR(__xludf.DUMMYFUNCTION("""COMPUTED_VALUE"""),30.02)</f>
        <v>30.02</v>
      </c>
      <c r="O474" s="125">
        <f ca="1">IFERROR(__xludf.DUMMYFUNCTION("""COMPUTED_VALUE"""),43390.6666666666)</f>
        <v>43390.666666666599</v>
      </c>
      <c r="P474">
        <f ca="1">IFERROR(__xludf.DUMMYFUNCTION("""COMPUTED_VALUE"""),29.13)</f>
        <v>29.13</v>
      </c>
    </row>
    <row r="475" spans="2:16" ht="12.75">
      <c r="B475" s="125">
        <f ca="1">IFERROR(__xludf.DUMMYFUNCTION("""COMPUTED_VALUE"""),43391.6666666666)</f>
        <v>43391.666666666599</v>
      </c>
      <c r="C475">
        <f ca="1">IFERROR(__xludf.DUMMYFUNCTION("""COMPUTED_VALUE"""),27.82)</f>
        <v>27.82</v>
      </c>
      <c r="D475">
        <v>26.04</v>
      </c>
      <c r="E475">
        <v>25.52</v>
      </c>
      <c r="F475">
        <v>28.28</v>
      </c>
      <c r="G475">
        <v>8.33</v>
      </c>
      <c r="H475">
        <v>203.06</v>
      </c>
      <c r="I475">
        <v>25.8</v>
      </c>
      <c r="J475">
        <v>53.47</v>
      </c>
      <c r="K475">
        <v>119.94</v>
      </c>
      <c r="L475">
        <v>35.25</v>
      </c>
      <c r="M475" s="125">
        <f ca="1">IFERROR(__xludf.DUMMYFUNCTION("""COMPUTED_VALUE"""),43927.6666666666)</f>
        <v>43927.666666666599</v>
      </c>
      <c r="N475">
        <f ca="1">IFERROR(__xludf.DUMMYFUNCTION("""COMPUTED_VALUE"""),31.32)</f>
        <v>31.32</v>
      </c>
      <c r="O475" s="125">
        <f ca="1">IFERROR(__xludf.DUMMYFUNCTION("""COMPUTED_VALUE"""),43391.6666666666)</f>
        <v>43391.666666666599</v>
      </c>
      <c r="P475">
        <f ca="1">IFERROR(__xludf.DUMMYFUNCTION("""COMPUTED_VALUE"""),27.82)</f>
        <v>27.82</v>
      </c>
    </row>
    <row r="476" spans="2:16" ht="12.75">
      <c r="B476" s="125">
        <f ca="1">IFERROR(__xludf.DUMMYFUNCTION("""COMPUTED_VALUE"""),43392.6666666666)</f>
        <v>43392.666666666599</v>
      </c>
      <c r="C476">
        <f ca="1">IFERROR(__xludf.DUMMYFUNCTION("""COMPUTED_VALUE"""),27.85)</f>
        <v>27.85</v>
      </c>
      <c r="D476">
        <v>25.96</v>
      </c>
      <c r="E476">
        <v>25.47</v>
      </c>
      <c r="F476">
        <v>28.55</v>
      </c>
      <c r="G476">
        <v>8.36</v>
      </c>
      <c r="H476">
        <v>201.95</v>
      </c>
      <c r="I476">
        <v>25.82</v>
      </c>
      <c r="J476">
        <v>54.69</v>
      </c>
      <c r="K476">
        <v>121.72</v>
      </c>
      <c r="L476">
        <v>35.4</v>
      </c>
      <c r="M476" s="125">
        <f ca="1">IFERROR(__xludf.DUMMYFUNCTION("""COMPUTED_VALUE"""),43928.6666666666)</f>
        <v>43928.666666666599</v>
      </c>
      <c r="N476">
        <f ca="1">IFERROR(__xludf.DUMMYFUNCTION("""COMPUTED_VALUE"""),30.5)</f>
        <v>30.5</v>
      </c>
      <c r="O476" s="125">
        <f ca="1">IFERROR(__xludf.DUMMYFUNCTION("""COMPUTED_VALUE"""),43392.6666666666)</f>
        <v>43392.666666666599</v>
      </c>
      <c r="P476">
        <f ca="1">IFERROR(__xludf.DUMMYFUNCTION("""COMPUTED_VALUE"""),27.85)</f>
        <v>27.85</v>
      </c>
    </row>
    <row r="477" spans="2:16" ht="12.75">
      <c r="B477" s="125">
        <f ca="1">IFERROR(__xludf.DUMMYFUNCTION("""COMPUTED_VALUE"""),43395.6666666666)</f>
        <v>43395.666666666599</v>
      </c>
      <c r="C477">
        <f ca="1">IFERROR(__xludf.DUMMYFUNCTION("""COMPUTED_VALUE"""),28.61)</f>
        <v>28.61</v>
      </c>
      <c r="D477">
        <v>26.09</v>
      </c>
      <c r="E477">
        <v>25.56</v>
      </c>
      <c r="F477">
        <v>28.16</v>
      </c>
      <c r="G477">
        <v>8.3699999999999992</v>
      </c>
      <c r="H477">
        <v>201.72</v>
      </c>
      <c r="I477">
        <v>25.77</v>
      </c>
      <c r="J477">
        <v>54.28</v>
      </c>
      <c r="K477">
        <v>120.96</v>
      </c>
      <c r="L477">
        <v>35.89</v>
      </c>
      <c r="M477" s="125">
        <f ca="1">IFERROR(__xludf.DUMMYFUNCTION("""COMPUTED_VALUE"""),43929.6666666666)</f>
        <v>43929.666666666599</v>
      </c>
      <c r="N477">
        <f ca="1">IFERROR(__xludf.DUMMYFUNCTION("""COMPUTED_VALUE"""),32.29)</f>
        <v>32.29</v>
      </c>
      <c r="O477" s="125">
        <f ca="1">IFERROR(__xludf.DUMMYFUNCTION("""COMPUTED_VALUE"""),43395.6666666666)</f>
        <v>43395.666666666599</v>
      </c>
      <c r="P477">
        <f ca="1">IFERROR(__xludf.DUMMYFUNCTION("""COMPUTED_VALUE"""),28.61)</f>
        <v>28.61</v>
      </c>
    </row>
    <row r="478" spans="2:16" ht="12.75">
      <c r="B478" s="125">
        <f ca="1">IFERROR(__xludf.DUMMYFUNCTION("""COMPUTED_VALUE"""),43396.6666666666)</f>
        <v>43396.666666666599</v>
      </c>
      <c r="C478">
        <f ca="1">IFERROR(__xludf.DUMMYFUNCTION("""COMPUTED_VALUE"""),28.08)</f>
        <v>28.08</v>
      </c>
      <c r="D478">
        <v>25.77</v>
      </c>
      <c r="E478">
        <v>25.52</v>
      </c>
      <c r="F478">
        <v>28.03</v>
      </c>
      <c r="G478">
        <v>8.2100000000000009</v>
      </c>
      <c r="H478">
        <v>200.33</v>
      </c>
      <c r="I478">
        <v>25.46</v>
      </c>
      <c r="J478">
        <v>54.52</v>
      </c>
      <c r="K478">
        <v>120.13</v>
      </c>
      <c r="L478">
        <v>35.9</v>
      </c>
      <c r="M478" s="125">
        <f ca="1">IFERROR(__xludf.DUMMYFUNCTION("""COMPUTED_VALUE"""),43930.6666666666)</f>
        <v>43930.666666666599</v>
      </c>
      <c r="N478">
        <f ca="1">IFERROR(__xludf.DUMMYFUNCTION("""COMPUTED_VALUE"""),33.32)</f>
        <v>33.32</v>
      </c>
      <c r="O478" s="125">
        <f ca="1">IFERROR(__xludf.DUMMYFUNCTION("""COMPUTED_VALUE"""),43396.6666666666)</f>
        <v>43396.666666666599</v>
      </c>
      <c r="P478">
        <f ca="1">IFERROR(__xludf.DUMMYFUNCTION("""COMPUTED_VALUE"""),28.08)</f>
        <v>28.08</v>
      </c>
    </row>
    <row r="479" spans="2:16" ht="12.75">
      <c r="B479" s="125">
        <f ca="1">IFERROR(__xludf.DUMMYFUNCTION("""COMPUTED_VALUE"""),43397.6666666666)</f>
        <v>43397.666666666599</v>
      </c>
      <c r="C479">
        <f ca="1">IFERROR(__xludf.DUMMYFUNCTION("""COMPUTED_VALUE"""),26.68)</f>
        <v>26.68</v>
      </c>
      <c r="D479">
        <v>24.8</v>
      </c>
      <c r="E479">
        <v>25.65</v>
      </c>
      <c r="F479">
        <v>27.09</v>
      </c>
      <c r="G479">
        <v>8.02</v>
      </c>
      <c r="H479">
        <v>193.47</v>
      </c>
      <c r="I479">
        <v>24.78</v>
      </c>
      <c r="J479">
        <v>54.75</v>
      </c>
      <c r="K479">
        <v>122.65</v>
      </c>
      <c r="L479">
        <v>35.92</v>
      </c>
      <c r="M479" s="125">
        <f ca="1">IFERROR(__xludf.DUMMYFUNCTION("""COMPUTED_VALUE"""),43934.6666666666)</f>
        <v>43934.666666666599</v>
      </c>
      <c r="N479">
        <f ca="1">IFERROR(__xludf.DUMMYFUNCTION("""COMPUTED_VALUE"""),32.05)</f>
        <v>32.049999999999997</v>
      </c>
      <c r="O479" s="125">
        <f ca="1">IFERROR(__xludf.DUMMYFUNCTION("""COMPUTED_VALUE"""),43397.6666666666)</f>
        <v>43397.666666666599</v>
      </c>
      <c r="P479">
        <f ca="1">IFERROR(__xludf.DUMMYFUNCTION("""COMPUTED_VALUE"""),26.68)</f>
        <v>26.68</v>
      </c>
    </row>
    <row r="480" spans="2:16" ht="12.75">
      <c r="B480" s="125">
        <f ca="1">IFERROR(__xludf.DUMMYFUNCTION("""COMPUTED_VALUE"""),43398.6666666666)</f>
        <v>43398.666666666599</v>
      </c>
      <c r="C480">
        <f ca="1">IFERROR(__xludf.DUMMYFUNCTION("""COMPUTED_VALUE"""),27.29)</f>
        <v>27.29</v>
      </c>
      <c r="D480">
        <v>25.28</v>
      </c>
      <c r="E480">
        <v>25.72</v>
      </c>
      <c r="F480">
        <v>27.61</v>
      </c>
      <c r="G480">
        <v>8.14</v>
      </c>
      <c r="H480">
        <v>193.18</v>
      </c>
      <c r="I480">
        <v>25.33</v>
      </c>
      <c r="J480">
        <v>54.88</v>
      </c>
      <c r="K480">
        <v>120.82</v>
      </c>
      <c r="L480">
        <v>36.31</v>
      </c>
      <c r="M480" s="125">
        <f ca="1">IFERROR(__xludf.DUMMYFUNCTION("""COMPUTED_VALUE"""),43935.6666666666)</f>
        <v>43935.666666666599</v>
      </c>
      <c r="N480">
        <f ca="1">IFERROR(__xludf.DUMMYFUNCTION("""COMPUTED_VALUE"""),33.39)</f>
        <v>33.39</v>
      </c>
      <c r="O480" s="125">
        <f ca="1">IFERROR(__xludf.DUMMYFUNCTION("""COMPUTED_VALUE"""),43398.6666666666)</f>
        <v>43398.666666666599</v>
      </c>
      <c r="P480">
        <f ca="1">IFERROR(__xludf.DUMMYFUNCTION("""COMPUTED_VALUE"""),27.29)</f>
        <v>27.29</v>
      </c>
    </row>
    <row r="481" spans="2:16" ht="12.75">
      <c r="B481" s="125">
        <f ca="1">IFERROR(__xludf.DUMMYFUNCTION("""COMPUTED_VALUE"""),43399.6666666666)</f>
        <v>43399.666666666599</v>
      </c>
      <c r="C481">
        <f ca="1">IFERROR(__xludf.DUMMYFUNCTION("""COMPUTED_VALUE"""),27.04)</f>
        <v>27.04</v>
      </c>
      <c r="D481">
        <v>24.6</v>
      </c>
      <c r="E481">
        <v>25.65</v>
      </c>
      <c r="F481">
        <v>27.39</v>
      </c>
      <c r="G481">
        <v>8.08</v>
      </c>
      <c r="H481">
        <v>192.1</v>
      </c>
      <c r="I481">
        <v>25.11</v>
      </c>
      <c r="J481">
        <v>53.83</v>
      </c>
      <c r="K481">
        <v>118.79</v>
      </c>
      <c r="L481">
        <v>36.36</v>
      </c>
      <c r="M481" s="125">
        <f ca="1">IFERROR(__xludf.DUMMYFUNCTION("""COMPUTED_VALUE"""),43936.6666666666)</f>
        <v>43936.666666666599</v>
      </c>
      <c r="N481">
        <f ca="1">IFERROR(__xludf.DUMMYFUNCTION("""COMPUTED_VALUE"""),32.52)</f>
        <v>32.520000000000003</v>
      </c>
      <c r="O481" s="125">
        <f ca="1">IFERROR(__xludf.DUMMYFUNCTION("""COMPUTED_VALUE"""),43399.6666666666)</f>
        <v>43399.666666666599</v>
      </c>
      <c r="P481">
        <f ca="1">IFERROR(__xludf.DUMMYFUNCTION("""COMPUTED_VALUE"""),27.04)</f>
        <v>27.04</v>
      </c>
    </row>
    <row r="482" spans="2:16" ht="12.75">
      <c r="B482" s="125">
        <f ca="1">IFERROR(__xludf.DUMMYFUNCTION("""COMPUTED_VALUE"""),43402.6666666666)</f>
        <v>43402.666666666599</v>
      </c>
      <c r="C482">
        <f ca="1">IFERROR(__xludf.DUMMYFUNCTION("""COMPUTED_VALUE"""),26.22)</f>
        <v>26.22</v>
      </c>
      <c r="D482">
        <v>23.9</v>
      </c>
      <c r="E482">
        <v>25.72</v>
      </c>
      <c r="F482">
        <v>27.31</v>
      </c>
      <c r="G482">
        <v>7.91</v>
      </c>
      <c r="H482">
        <v>184.83</v>
      </c>
      <c r="I482">
        <v>25.24</v>
      </c>
      <c r="J482">
        <v>54.45</v>
      </c>
      <c r="K482">
        <v>120.3</v>
      </c>
      <c r="L482">
        <v>36.200000000000003</v>
      </c>
      <c r="M482" s="125">
        <f ca="1">IFERROR(__xludf.DUMMYFUNCTION("""COMPUTED_VALUE"""),43937.6666666666)</f>
        <v>43937.666666666599</v>
      </c>
      <c r="N482">
        <f ca="1">IFERROR(__xludf.DUMMYFUNCTION("""COMPUTED_VALUE"""),33.19)</f>
        <v>33.19</v>
      </c>
      <c r="O482" s="125">
        <f ca="1">IFERROR(__xludf.DUMMYFUNCTION("""COMPUTED_VALUE"""),43402.6666666666)</f>
        <v>43402.666666666599</v>
      </c>
      <c r="P482">
        <f ca="1">IFERROR(__xludf.DUMMYFUNCTION("""COMPUTED_VALUE"""),26.22)</f>
        <v>26.22</v>
      </c>
    </row>
    <row r="483" spans="2:16" ht="12.75">
      <c r="B483" s="125">
        <f ca="1">IFERROR(__xludf.DUMMYFUNCTION("""COMPUTED_VALUE"""),43403.6666666666)</f>
        <v>43403.666666666599</v>
      </c>
      <c r="C483">
        <f ca="1">IFERROR(__xludf.DUMMYFUNCTION("""COMPUTED_VALUE"""),26.6)</f>
        <v>26.6</v>
      </c>
      <c r="D483">
        <v>24.49</v>
      </c>
      <c r="E483">
        <v>25.83</v>
      </c>
      <c r="F483">
        <v>27.67</v>
      </c>
      <c r="G483">
        <v>8.02</v>
      </c>
      <c r="H483">
        <v>189.07</v>
      </c>
      <c r="I483">
        <v>25.46</v>
      </c>
      <c r="J483">
        <v>55.53</v>
      </c>
      <c r="K483">
        <v>120.68</v>
      </c>
      <c r="L483">
        <v>36.229999999999997</v>
      </c>
      <c r="M483" s="125">
        <f ca="1">IFERROR(__xludf.DUMMYFUNCTION("""COMPUTED_VALUE"""),43938.6666666666)</f>
        <v>43938.666666666599</v>
      </c>
      <c r="N483">
        <f ca="1">IFERROR(__xludf.DUMMYFUNCTION("""COMPUTED_VALUE"""),33.81)</f>
        <v>33.81</v>
      </c>
      <c r="O483" s="125">
        <f ca="1">IFERROR(__xludf.DUMMYFUNCTION("""COMPUTED_VALUE"""),43403.6666666666)</f>
        <v>43403.666666666599</v>
      </c>
      <c r="P483">
        <f ca="1">IFERROR(__xludf.DUMMYFUNCTION("""COMPUTED_VALUE"""),26.6)</f>
        <v>26.6</v>
      </c>
    </row>
    <row r="484" spans="2:16" ht="12.75">
      <c r="B484" s="125">
        <f ca="1">IFERROR(__xludf.DUMMYFUNCTION("""COMPUTED_VALUE"""),43404.6666666666)</f>
        <v>43404.666666666599</v>
      </c>
      <c r="C484">
        <f ca="1">IFERROR(__xludf.DUMMYFUNCTION("""COMPUTED_VALUE"""),27.86)</f>
        <v>27.86</v>
      </c>
      <c r="D484">
        <v>25.14</v>
      </c>
      <c r="E484">
        <v>25.82</v>
      </c>
      <c r="F484">
        <v>27.78</v>
      </c>
      <c r="G484">
        <v>8.11</v>
      </c>
      <c r="H484">
        <v>191.72</v>
      </c>
      <c r="I484">
        <v>25.69</v>
      </c>
      <c r="J484">
        <v>55.01</v>
      </c>
      <c r="K484">
        <v>119.25</v>
      </c>
      <c r="L484">
        <v>36.409999999999997</v>
      </c>
      <c r="M484" s="125">
        <f ca="1">IFERROR(__xludf.DUMMYFUNCTION("""COMPUTED_VALUE"""),43941.6666666666)</f>
        <v>43941.666666666599</v>
      </c>
      <c r="N484">
        <f ca="1">IFERROR(__xludf.DUMMYFUNCTION("""COMPUTED_VALUE"""),33.04)</f>
        <v>33.04</v>
      </c>
      <c r="O484" s="125">
        <f ca="1">IFERROR(__xludf.DUMMYFUNCTION("""COMPUTED_VALUE"""),43404.6666666666)</f>
        <v>43404.666666666599</v>
      </c>
      <c r="P484">
        <f ca="1">IFERROR(__xludf.DUMMYFUNCTION("""COMPUTED_VALUE"""),27.86)</f>
        <v>27.86</v>
      </c>
    </row>
    <row r="485" spans="2:16" ht="12.75">
      <c r="B485" s="125">
        <f ca="1">IFERROR(__xludf.DUMMYFUNCTION("""COMPUTED_VALUE"""),43405.6666666666)</f>
        <v>43405.666666666599</v>
      </c>
      <c r="C485">
        <f ca="1">IFERROR(__xludf.DUMMYFUNCTION("""COMPUTED_VALUE"""),29.6)</f>
        <v>29.6</v>
      </c>
      <c r="D485">
        <v>25.62</v>
      </c>
      <c r="E485">
        <v>25.65</v>
      </c>
      <c r="F485">
        <v>28.57</v>
      </c>
      <c r="G485">
        <v>8.34</v>
      </c>
      <c r="H485">
        <v>196.27</v>
      </c>
      <c r="I485">
        <v>25.85</v>
      </c>
      <c r="J485">
        <v>55.4</v>
      </c>
      <c r="K485">
        <v>118.89</v>
      </c>
      <c r="L485">
        <v>36.24</v>
      </c>
      <c r="M485" s="125">
        <f ca="1">IFERROR(__xludf.DUMMYFUNCTION("""COMPUTED_VALUE"""),43942.6666666666)</f>
        <v>43942.666666666599</v>
      </c>
      <c r="N485">
        <f ca="1">IFERROR(__xludf.DUMMYFUNCTION("""COMPUTED_VALUE"""),32.82)</f>
        <v>32.82</v>
      </c>
      <c r="O485" s="125">
        <f ca="1">IFERROR(__xludf.DUMMYFUNCTION("""COMPUTED_VALUE"""),43405.6666666666)</f>
        <v>43405.666666666599</v>
      </c>
      <c r="P485">
        <f ca="1">IFERROR(__xludf.DUMMYFUNCTION("""COMPUTED_VALUE"""),29.6)</f>
        <v>29.6</v>
      </c>
    </row>
    <row r="486" spans="2:16" ht="12.75">
      <c r="B486" s="125">
        <f ca="1">IFERROR(__xludf.DUMMYFUNCTION("""COMPUTED_VALUE"""),43406.6666666666)</f>
        <v>43406.666666666599</v>
      </c>
      <c r="C486">
        <f ca="1">IFERROR(__xludf.DUMMYFUNCTION("""COMPUTED_VALUE"""),29.52)</f>
        <v>29.52</v>
      </c>
      <c r="D486">
        <v>25.6</v>
      </c>
      <c r="E486">
        <v>25.71</v>
      </c>
      <c r="F486">
        <v>28.6</v>
      </c>
      <c r="G486">
        <v>8.34</v>
      </c>
      <c r="H486">
        <v>196.04</v>
      </c>
      <c r="I486">
        <v>26.07</v>
      </c>
      <c r="J486">
        <v>55.11</v>
      </c>
      <c r="K486">
        <v>118.4</v>
      </c>
      <c r="L486">
        <v>35.35</v>
      </c>
      <c r="M486" s="125">
        <f ca="1">IFERROR(__xludf.DUMMYFUNCTION("""COMPUTED_VALUE"""),43943.6666666666)</f>
        <v>43943.666666666599</v>
      </c>
      <c r="N486">
        <f ca="1">IFERROR(__xludf.DUMMYFUNCTION("""COMPUTED_VALUE"""),33.65)</f>
        <v>33.65</v>
      </c>
      <c r="O486" s="125">
        <f ca="1">IFERROR(__xludf.DUMMYFUNCTION("""COMPUTED_VALUE"""),43406.6666666666)</f>
        <v>43406.666666666599</v>
      </c>
      <c r="P486">
        <f ca="1">IFERROR(__xludf.DUMMYFUNCTION("""COMPUTED_VALUE"""),29.52)</f>
        <v>29.52</v>
      </c>
    </row>
    <row r="487" spans="2:16" ht="12.75">
      <c r="B487" s="125">
        <f ca="1">IFERROR(__xludf.DUMMYFUNCTION("""COMPUTED_VALUE"""),43409.6666666666)</f>
        <v>43409.666666666599</v>
      </c>
      <c r="C487">
        <f ca="1">IFERROR(__xludf.DUMMYFUNCTION("""COMPUTED_VALUE"""),29.42)</f>
        <v>29.42</v>
      </c>
      <c r="D487">
        <v>25.38</v>
      </c>
      <c r="E487">
        <v>25.7</v>
      </c>
      <c r="F487">
        <v>28.53</v>
      </c>
      <c r="G487">
        <v>8.4600000000000009</v>
      </c>
      <c r="H487">
        <v>197.24</v>
      </c>
      <c r="I487">
        <v>25.91</v>
      </c>
      <c r="J487">
        <v>55.8</v>
      </c>
      <c r="K487">
        <v>119.96</v>
      </c>
      <c r="L487">
        <v>35.79</v>
      </c>
      <c r="M487" s="125">
        <f ca="1">IFERROR(__xludf.DUMMYFUNCTION("""COMPUTED_VALUE"""),43944.6666666666)</f>
        <v>43944.666666666599</v>
      </c>
      <c r="N487">
        <f ca="1">IFERROR(__xludf.DUMMYFUNCTION("""COMPUTED_VALUE"""),33.66)</f>
        <v>33.659999999999997</v>
      </c>
      <c r="O487" s="125">
        <f ca="1">IFERROR(__xludf.DUMMYFUNCTION("""COMPUTED_VALUE"""),43409.6666666666)</f>
        <v>43409.666666666599</v>
      </c>
      <c r="P487">
        <f ca="1">IFERROR(__xludf.DUMMYFUNCTION("""COMPUTED_VALUE"""),29.42)</f>
        <v>29.42</v>
      </c>
    </row>
    <row r="488" spans="2:16" ht="12.75">
      <c r="B488" s="125">
        <f ca="1">IFERROR(__xludf.DUMMYFUNCTION("""COMPUTED_VALUE"""),43410.6666666666)</f>
        <v>43410.666666666599</v>
      </c>
      <c r="C488">
        <f ca="1">IFERROR(__xludf.DUMMYFUNCTION("""COMPUTED_VALUE"""),29.24)</f>
        <v>29.24</v>
      </c>
      <c r="D488">
        <v>25.58</v>
      </c>
      <c r="E488">
        <v>25.64</v>
      </c>
      <c r="F488">
        <v>28.69</v>
      </c>
      <c r="G488">
        <v>8.5500000000000007</v>
      </c>
      <c r="H488">
        <v>199.61</v>
      </c>
      <c r="I488">
        <v>25.96</v>
      </c>
      <c r="J488">
        <v>56.14</v>
      </c>
      <c r="K488">
        <v>120.94</v>
      </c>
      <c r="L488">
        <v>35.61</v>
      </c>
      <c r="M488" s="125">
        <f ca="1">IFERROR(__xludf.DUMMYFUNCTION("""COMPUTED_VALUE"""),43945.6666666666)</f>
        <v>43945.666666666599</v>
      </c>
      <c r="N488">
        <f ca="1">IFERROR(__xludf.DUMMYFUNCTION("""COMPUTED_VALUE"""),33.52)</f>
        <v>33.520000000000003</v>
      </c>
      <c r="O488" s="125">
        <f ca="1">IFERROR(__xludf.DUMMYFUNCTION("""COMPUTED_VALUE"""),43410.6666666666)</f>
        <v>43410.666666666599</v>
      </c>
      <c r="P488">
        <f ca="1">IFERROR(__xludf.DUMMYFUNCTION("""COMPUTED_VALUE"""),29.24)</f>
        <v>29.24</v>
      </c>
    </row>
    <row r="489" spans="2:16" ht="12.75">
      <c r="B489" s="125">
        <f ca="1">IFERROR(__xludf.DUMMYFUNCTION("""COMPUTED_VALUE"""),43411.6666666666)</f>
        <v>43411.666666666599</v>
      </c>
      <c r="C489">
        <f ca="1">IFERROR(__xludf.DUMMYFUNCTION("""COMPUTED_VALUE"""),29.93)</f>
        <v>29.93</v>
      </c>
      <c r="D489">
        <v>26.48</v>
      </c>
      <c r="E489">
        <v>25.59</v>
      </c>
      <c r="F489">
        <v>29.08</v>
      </c>
      <c r="G489">
        <v>8.7899999999999991</v>
      </c>
      <c r="H489">
        <v>201.34</v>
      </c>
      <c r="I489">
        <v>26.22</v>
      </c>
      <c r="J489">
        <v>56.46</v>
      </c>
      <c r="K489">
        <v>122.35</v>
      </c>
      <c r="L489">
        <v>35.44</v>
      </c>
      <c r="M489" s="125">
        <f ca="1">IFERROR(__xludf.DUMMYFUNCTION("""COMPUTED_VALUE"""),43948.6666666666)</f>
        <v>43948.666666666599</v>
      </c>
      <c r="N489">
        <f ca="1">IFERROR(__xludf.DUMMYFUNCTION("""COMPUTED_VALUE"""),34.37)</f>
        <v>34.369999999999997</v>
      </c>
      <c r="O489" s="125">
        <f ca="1">IFERROR(__xludf.DUMMYFUNCTION("""COMPUTED_VALUE"""),43411.6666666666)</f>
        <v>43411.666666666599</v>
      </c>
      <c r="P489">
        <f ca="1">IFERROR(__xludf.DUMMYFUNCTION("""COMPUTED_VALUE"""),29.93)</f>
        <v>29.93</v>
      </c>
    </row>
    <row r="490" spans="2:16" ht="12.75">
      <c r="B490" s="125">
        <f ca="1">IFERROR(__xludf.DUMMYFUNCTION("""COMPUTED_VALUE"""),43412.6666666666)</f>
        <v>43412.666666666599</v>
      </c>
      <c r="C490">
        <f ca="1">IFERROR(__xludf.DUMMYFUNCTION("""COMPUTED_VALUE"""),28.54)</f>
        <v>28.54</v>
      </c>
      <c r="D490">
        <v>26.12</v>
      </c>
      <c r="E490">
        <v>25.74</v>
      </c>
      <c r="F490">
        <v>28.75</v>
      </c>
      <c r="G490">
        <v>8.73</v>
      </c>
      <c r="H490">
        <v>200.76</v>
      </c>
      <c r="I490">
        <v>25.86</v>
      </c>
      <c r="J490">
        <v>56.49</v>
      </c>
      <c r="K490">
        <v>122</v>
      </c>
      <c r="L490">
        <v>34.89</v>
      </c>
      <c r="M490" s="125">
        <f ca="1">IFERROR(__xludf.DUMMYFUNCTION("""COMPUTED_VALUE"""),43949.6666666666)</f>
        <v>43949.666666666599</v>
      </c>
      <c r="N490">
        <f ca="1">IFERROR(__xludf.DUMMYFUNCTION("""COMPUTED_VALUE"""),33.85)</f>
        <v>33.85</v>
      </c>
      <c r="O490" s="125">
        <f ca="1">IFERROR(__xludf.DUMMYFUNCTION("""COMPUTED_VALUE"""),43412.6666666666)</f>
        <v>43412.666666666599</v>
      </c>
      <c r="P490">
        <f ca="1">IFERROR(__xludf.DUMMYFUNCTION("""COMPUTED_VALUE"""),28.54)</f>
        <v>28.54</v>
      </c>
    </row>
    <row r="491" spans="2:16" ht="12.75">
      <c r="B491" s="125">
        <f ca="1">IFERROR(__xludf.DUMMYFUNCTION("""COMPUTED_VALUE"""),43413.6666666666)</f>
        <v>43413.666666666599</v>
      </c>
      <c r="C491">
        <f ca="1">IFERROR(__xludf.DUMMYFUNCTION("""COMPUTED_VALUE"""),27.64)</f>
        <v>27.64</v>
      </c>
      <c r="D491">
        <v>25.56</v>
      </c>
      <c r="E491">
        <v>25.79</v>
      </c>
      <c r="F491">
        <v>28.83</v>
      </c>
      <c r="G491">
        <v>8.65</v>
      </c>
      <c r="H491">
        <v>200.95</v>
      </c>
      <c r="I491">
        <v>25.92</v>
      </c>
      <c r="J491">
        <v>56.82</v>
      </c>
      <c r="K491">
        <v>122.27</v>
      </c>
      <c r="L491">
        <v>35.14</v>
      </c>
      <c r="M491" s="125">
        <f ca="1">IFERROR(__xludf.DUMMYFUNCTION("""COMPUTED_VALUE"""),43950.6666666666)</f>
        <v>43950.666666666599</v>
      </c>
      <c r="N491">
        <f ca="1">IFERROR(__xludf.DUMMYFUNCTION("""COMPUTED_VALUE"""),33.4)</f>
        <v>33.4</v>
      </c>
      <c r="O491" s="125">
        <f ca="1">IFERROR(__xludf.DUMMYFUNCTION("""COMPUTED_VALUE"""),43413.6666666666)</f>
        <v>43413.666666666599</v>
      </c>
      <c r="P491">
        <f ca="1">IFERROR(__xludf.DUMMYFUNCTION("""COMPUTED_VALUE"""),27.64)</f>
        <v>27.64</v>
      </c>
    </row>
    <row r="492" spans="2:16" ht="12.75">
      <c r="B492" s="125">
        <f ca="1">IFERROR(__xludf.DUMMYFUNCTION("""COMPUTED_VALUE"""),43416.6666666666)</f>
        <v>43416.666666666599</v>
      </c>
      <c r="C492">
        <f ca="1">IFERROR(__xludf.DUMMYFUNCTION("""COMPUTED_VALUE"""),27)</f>
        <v>27</v>
      </c>
      <c r="D492">
        <v>24.41</v>
      </c>
      <c r="E492">
        <v>26.02</v>
      </c>
      <c r="F492">
        <v>28.19</v>
      </c>
      <c r="G492">
        <v>8.6199999999999992</v>
      </c>
      <c r="H492">
        <v>195.5</v>
      </c>
      <c r="I492">
        <v>25.41</v>
      </c>
      <c r="J492">
        <v>56.52</v>
      </c>
      <c r="K492">
        <v>122.29</v>
      </c>
      <c r="L492">
        <v>36.049999999999997</v>
      </c>
      <c r="M492" s="125">
        <f ca="1">IFERROR(__xludf.DUMMYFUNCTION("""COMPUTED_VALUE"""),43951.6666666666)</f>
        <v>43951.666666666599</v>
      </c>
      <c r="N492">
        <f ca="1">IFERROR(__xludf.DUMMYFUNCTION("""COMPUTED_VALUE"""),33.34)</f>
        <v>33.340000000000003</v>
      </c>
      <c r="O492" s="125">
        <f ca="1">IFERROR(__xludf.DUMMYFUNCTION("""COMPUTED_VALUE"""),43416.6666666666)</f>
        <v>43416.666666666599</v>
      </c>
      <c r="P492">
        <f ca="1">IFERROR(__xludf.DUMMYFUNCTION("""COMPUTED_VALUE"""),27)</f>
        <v>27</v>
      </c>
    </row>
    <row r="493" spans="2:16" ht="12.75">
      <c r="B493" s="125">
        <f ca="1">IFERROR(__xludf.DUMMYFUNCTION("""COMPUTED_VALUE"""),43417.6666666666)</f>
        <v>43417.666666666599</v>
      </c>
      <c r="C493">
        <f ca="1">IFERROR(__xludf.DUMMYFUNCTION("""COMPUTED_VALUE"""),27.45)</f>
        <v>27.45</v>
      </c>
      <c r="D493">
        <v>24.43</v>
      </c>
      <c r="E493">
        <v>25.93</v>
      </c>
      <c r="F493">
        <v>28.45</v>
      </c>
      <c r="G493">
        <v>8.6199999999999992</v>
      </c>
      <c r="H493">
        <v>194.73</v>
      </c>
      <c r="I493">
        <v>25.68</v>
      </c>
      <c r="J493">
        <v>56.39</v>
      </c>
      <c r="K493">
        <v>122.75</v>
      </c>
      <c r="L493">
        <v>36.22</v>
      </c>
      <c r="M493" s="125">
        <f ca="1">IFERROR(__xludf.DUMMYFUNCTION("""COMPUTED_VALUE"""),43952.6666666666)</f>
        <v>43952.666666666599</v>
      </c>
      <c r="N493">
        <f ca="1">IFERROR(__xludf.DUMMYFUNCTION("""COMPUTED_VALUE"""),32.62)</f>
        <v>32.619999999999997</v>
      </c>
      <c r="O493" s="125">
        <f ca="1">IFERROR(__xludf.DUMMYFUNCTION("""COMPUTED_VALUE"""),43417.6666666666)</f>
        <v>43417.666666666599</v>
      </c>
      <c r="P493">
        <f ca="1">IFERROR(__xludf.DUMMYFUNCTION("""COMPUTED_VALUE"""),27.45)</f>
        <v>27.45</v>
      </c>
    </row>
    <row r="494" spans="2:16" ht="12.75">
      <c r="B494" s="125">
        <f ca="1">IFERROR(__xludf.DUMMYFUNCTION("""COMPUTED_VALUE"""),43418.6666666666)</f>
        <v>43418.666666666599</v>
      </c>
      <c r="C494">
        <f ca="1">IFERROR(__xludf.DUMMYFUNCTION("""COMPUTED_VALUE"""),28.12)</f>
        <v>28.12</v>
      </c>
      <c r="D494">
        <v>24.13</v>
      </c>
      <c r="E494">
        <v>25.84</v>
      </c>
      <c r="F494">
        <v>28.6</v>
      </c>
      <c r="G494">
        <v>8.6</v>
      </c>
      <c r="H494">
        <v>193.13</v>
      </c>
      <c r="I494">
        <v>25.69</v>
      </c>
      <c r="J494">
        <v>56.01</v>
      </c>
      <c r="K494">
        <v>121.52</v>
      </c>
      <c r="L494">
        <v>36.43</v>
      </c>
      <c r="M494" s="125">
        <f ca="1">IFERROR(__xludf.DUMMYFUNCTION("""COMPUTED_VALUE"""),43955.6666666666)</f>
        <v>43955.666666666599</v>
      </c>
      <c r="N494">
        <f ca="1">IFERROR(__xludf.DUMMYFUNCTION("""COMPUTED_VALUE"""),32.88)</f>
        <v>32.880000000000003</v>
      </c>
      <c r="O494" s="125">
        <f ca="1">IFERROR(__xludf.DUMMYFUNCTION("""COMPUTED_VALUE"""),43418.6666666666)</f>
        <v>43418.666666666599</v>
      </c>
      <c r="P494">
        <f ca="1">IFERROR(__xludf.DUMMYFUNCTION("""COMPUTED_VALUE"""),28.12)</f>
        <v>28.12</v>
      </c>
    </row>
    <row r="495" spans="2:16" ht="12.75">
      <c r="B495" s="125">
        <f ca="1">IFERROR(__xludf.DUMMYFUNCTION("""COMPUTED_VALUE"""),43419.6666666666)</f>
        <v>43419.666666666599</v>
      </c>
      <c r="C495">
        <f ca="1">IFERROR(__xludf.DUMMYFUNCTION("""COMPUTED_VALUE"""),28.97)</f>
        <v>28.97</v>
      </c>
      <c r="D495">
        <v>24.61</v>
      </c>
      <c r="E495">
        <v>25.9</v>
      </c>
      <c r="F495">
        <v>28.74</v>
      </c>
      <c r="G495">
        <v>8.66</v>
      </c>
      <c r="H495">
        <v>195.3</v>
      </c>
      <c r="I495">
        <v>25.77</v>
      </c>
      <c r="J495">
        <v>55.92</v>
      </c>
      <c r="K495">
        <v>120.82</v>
      </c>
      <c r="L495">
        <v>35.869999999999997</v>
      </c>
      <c r="M495" s="125">
        <f ca="1">IFERROR(__xludf.DUMMYFUNCTION("""COMPUTED_VALUE"""),43956.6666666666)</f>
        <v>43956.666666666599</v>
      </c>
      <c r="N495">
        <f ca="1">IFERROR(__xludf.DUMMYFUNCTION("""COMPUTED_VALUE"""),33.24)</f>
        <v>33.24</v>
      </c>
      <c r="O495" s="125">
        <f ca="1">IFERROR(__xludf.DUMMYFUNCTION("""COMPUTED_VALUE"""),43419.6666666666)</f>
        <v>43419.666666666599</v>
      </c>
      <c r="P495">
        <f ca="1">IFERROR(__xludf.DUMMYFUNCTION("""COMPUTED_VALUE"""),28.97)</f>
        <v>28.97</v>
      </c>
    </row>
    <row r="496" spans="2:16" ht="12.75">
      <c r="B496" s="125">
        <f ca="1">IFERROR(__xludf.DUMMYFUNCTION("""COMPUTED_VALUE"""),43420.6666666666)</f>
        <v>43420.666666666599</v>
      </c>
      <c r="C496">
        <f ca="1">IFERROR(__xludf.DUMMYFUNCTION("""COMPUTED_VALUE"""),28.87)</f>
        <v>28.87</v>
      </c>
      <c r="D496">
        <v>24.72</v>
      </c>
      <c r="E496">
        <v>25.71</v>
      </c>
      <c r="F496">
        <v>28.6</v>
      </c>
      <c r="G496">
        <v>8.7200000000000006</v>
      </c>
      <c r="H496">
        <v>194.52</v>
      </c>
      <c r="I496">
        <v>25.59</v>
      </c>
      <c r="J496">
        <v>56.06</v>
      </c>
      <c r="K496">
        <v>122.46</v>
      </c>
      <c r="L496">
        <v>35.97</v>
      </c>
      <c r="M496" s="125">
        <f ca="1">IFERROR(__xludf.DUMMYFUNCTION("""COMPUTED_VALUE"""),43957.6666666666)</f>
        <v>43957.666666666599</v>
      </c>
      <c r="N496">
        <f ca="1">IFERROR(__xludf.DUMMYFUNCTION("""COMPUTED_VALUE"""),33.05)</f>
        <v>33.049999999999997</v>
      </c>
      <c r="O496" s="125">
        <f ca="1">IFERROR(__xludf.DUMMYFUNCTION("""COMPUTED_VALUE"""),43420.6666666666)</f>
        <v>43420.666666666599</v>
      </c>
      <c r="P496">
        <f ca="1">IFERROR(__xludf.DUMMYFUNCTION("""COMPUTED_VALUE"""),28.87)</f>
        <v>28.87</v>
      </c>
    </row>
    <row r="497" spans="2:16" ht="12.75">
      <c r="B497" s="125">
        <f ca="1">IFERROR(__xludf.DUMMYFUNCTION("""COMPUTED_VALUE"""),43423.6666666666)</f>
        <v>43423.666666666599</v>
      </c>
      <c r="C497">
        <f ca="1">IFERROR(__xludf.DUMMYFUNCTION("""COMPUTED_VALUE"""),28.13)</f>
        <v>28.13</v>
      </c>
      <c r="D497">
        <v>23.2</v>
      </c>
      <c r="E497">
        <v>25.69</v>
      </c>
      <c r="F497">
        <v>28.4</v>
      </c>
      <c r="G497">
        <v>8.6300000000000008</v>
      </c>
      <c r="H497">
        <v>189.35</v>
      </c>
      <c r="I497">
        <v>25.19</v>
      </c>
      <c r="J497">
        <v>55.97</v>
      </c>
      <c r="K497">
        <v>123.12</v>
      </c>
      <c r="L497">
        <v>36.380000000000003</v>
      </c>
      <c r="M497" s="125">
        <f ca="1">IFERROR(__xludf.DUMMYFUNCTION("""COMPUTED_VALUE"""),43958.6666666666)</f>
        <v>43958.666666666599</v>
      </c>
      <c r="N497">
        <f ca="1">IFERROR(__xludf.DUMMYFUNCTION("""COMPUTED_VALUE"""),33.2)</f>
        <v>33.200000000000003</v>
      </c>
      <c r="O497" s="125">
        <f ca="1">IFERROR(__xludf.DUMMYFUNCTION("""COMPUTED_VALUE"""),43423.6666666666)</f>
        <v>43423.666666666599</v>
      </c>
      <c r="P497">
        <f ca="1">IFERROR(__xludf.DUMMYFUNCTION("""COMPUTED_VALUE"""),28.13)</f>
        <v>28.13</v>
      </c>
    </row>
    <row r="498" spans="2:16" ht="12.75">
      <c r="B498" s="125">
        <f ca="1">IFERROR(__xludf.DUMMYFUNCTION("""COMPUTED_VALUE"""),43424.6666666666)</f>
        <v>43424.666666666599</v>
      </c>
      <c r="C498">
        <f ca="1">IFERROR(__xludf.DUMMYFUNCTION("""COMPUTED_VALUE"""),27.27)</f>
        <v>27.27</v>
      </c>
      <c r="D498">
        <v>22.63</v>
      </c>
      <c r="E498">
        <v>25.82</v>
      </c>
      <c r="F498">
        <v>27.75</v>
      </c>
      <c r="G498">
        <v>8.49</v>
      </c>
      <c r="H498">
        <v>186.14</v>
      </c>
      <c r="I498">
        <v>24.87</v>
      </c>
      <c r="J498">
        <v>55.04</v>
      </c>
      <c r="K498">
        <v>122.47</v>
      </c>
      <c r="L498">
        <v>36.71</v>
      </c>
      <c r="M498" s="125">
        <f ca="1">IFERROR(__xludf.DUMMYFUNCTION("""COMPUTED_VALUE"""),43959.6666666666)</f>
        <v>43959.666666666599</v>
      </c>
      <c r="N498">
        <f ca="1">IFERROR(__xludf.DUMMYFUNCTION("""COMPUTED_VALUE"""),33.68)</f>
        <v>33.68</v>
      </c>
      <c r="O498" s="125">
        <f ca="1">IFERROR(__xludf.DUMMYFUNCTION("""COMPUTED_VALUE"""),43424.6666666666)</f>
        <v>43424.666666666599</v>
      </c>
      <c r="P498">
        <f ca="1">IFERROR(__xludf.DUMMYFUNCTION("""COMPUTED_VALUE"""),27.27)</f>
        <v>27.27</v>
      </c>
    </row>
    <row r="499" spans="2:16" ht="12.75">
      <c r="B499" s="125">
        <f ca="1">IFERROR(__xludf.DUMMYFUNCTION("""COMPUTED_VALUE"""),43425.6666666666)</f>
        <v>43425.666666666599</v>
      </c>
      <c r="C499">
        <f ca="1">IFERROR(__xludf.DUMMYFUNCTION("""COMPUTED_VALUE"""),28.16)</f>
        <v>28.16</v>
      </c>
      <c r="D499">
        <v>23.13</v>
      </c>
      <c r="E499">
        <v>25.82</v>
      </c>
      <c r="F499">
        <v>28.08</v>
      </c>
      <c r="G499">
        <v>8.65</v>
      </c>
      <c r="H499">
        <v>187.1</v>
      </c>
      <c r="I499">
        <v>25.25</v>
      </c>
      <c r="J499">
        <v>54.6</v>
      </c>
      <c r="K499">
        <v>120.8</v>
      </c>
      <c r="L499">
        <v>36.69</v>
      </c>
      <c r="M499" s="125">
        <f ca="1">IFERROR(__xludf.DUMMYFUNCTION("""COMPUTED_VALUE"""),43962.6666666666)</f>
        <v>43962.666666666599</v>
      </c>
      <c r="N499">
        <f ca="1">IFERROR(__xludf.DUMMYFUNCTION("""COMPUTED_VALUE"""),33.51)</f>
        <v>33.51</v>
      </c>
      <c r="O499" s="125">
        <f ca="1">IFERROR(__xludf.DUMMYFUNCTION("""COMPUTED_VALUE"""),43425.6666666666)</f>
        <v>43425.666666666599</v>
      </c>
      <c r="P499">
        <f ca="1">IFERROR(__xludf.DUMMYFUNCTION("""COMPUTED_VALUE"""),28.16)</f>
        <v>28.16</v>
      </c>
    </row>
    <row r="500" spans="2:16" ht="12.75">
      <c r="B500" s="125">
        <f ca="1">IFERROR(__xludf.DUMMYFUNCTION("""COMPUTED_VALUE"""),43427.5416666666)</f>
        <v>43427.541666666599</v>
      </c>
      <c r="C500">
        <f ca="1">IFERROR(__xludf.DUMMYFUNCTION("""COMPUTED_VALUE"""),27.71)</f>
        <v>27.71</v>
      </c>
      <c r="D500">
        <v>23.19</v>
      </c>
      <c r="E500">
        <v>25.87</v>
      </c>
      <c r="F500">
        <v>28</v>
      </c>
      <c r="G500">
        <v>8.64</v>
      </c>
      <c r="H500">
        <v>188.39</v>
      </c>
      <c r="I500">
        <v>25.09</v>
      </c>
      <c r="J500">
        <v>54.79</v>
      </c>
      <c r="K500">
        <v>120.95</v>
      </c>
      <c r="L500">
        <v>36.65</v>
      </c>
      <c r="M500" s="125">
        <f ca="1">IFERROR(__xludf.DUMMYFUNCTION("""COMPUTED_VALUE"""),43963.6666666666)</f>
        <v>43963.666666666599</v>
      </c>
      <c r="N500">
        <f ca="1">IFERROR(__xludf.DUMMYFUNCTION("""COMPUTED_VALUE"""),32.66)</f>
        <v>32.659999999999997</v>
      </c>
      <c r="O500" s="125">
        <f ca="1">IFERROR(__xludf.DUMMYFUNCTION("""COMPUTED_VALUE"""),43427.5416666666)</f>
        <v>43427.541666666599</v>
      </c>
      <c r="P500">
        <f ca="1">IFERROR(__xludf.DUMMYFUNCTION("""COMPUTED_VALUE"""),27.71)</f>
        <v>27.71</v>
      </c>
    </row>
    <row r="501" spans="2:16" ht="12.75">
      <c r="B501" s="125">
        <f ca="1">IFERROR(__xludf.DUMMYFUNCTION("""COMPUTED_VALUE"""),43430.6666666666)</f>
        <v>43430.666666666599</v>
      </c>
      <c r="C501">
        <f ca="1">IFERROR(__xludf.DUMMYFUNCTION("""COMPUTED_VALUE"""),28.62)</f>
        <v>28.62</v>
      </c>
      <c r="D501">
        <v>23.78</v>
      </c>
      <c r="E501">
        <v>25.92</v>
      </c>
      <c r="F501">
        <v>28.33</v>
      </c>
      <c r="G501">
        <v>8.6999999999999993</v>
      </c>
      <c r="H501">
        <v>189.51</v>
      </c>
      <c r="I501">
        <v>25.55</v>
      </c>
      <c r="J501">
        <v>54.86</v>
      </c>
      <c r="K501">
        <v>121.57</v>
      </c>
      <c r="L501">
        <v>36.32</v>
      </c>
      <c r="M501" s="125">
        <f ca="1">IFERROR(__xludf.DUMMYFUNCTION("""COMPUTED_VALUE"""),43964.6666666666)</f>
        <v>43964.666666666599</v>
      </c>
      <c r="N501">
        <f ca="1">IFERROR(__xludf.DUMMYFUNCTION("""COMPUTED_VALUE"""),32.59)</f>
        <v>32.590000000000003</v>
      </c>
      <c r="O501" s="125">
        <f ca="1">IFERROR(__xludf.DUMMYFUNCTION("""COMPUTED_VALUE"""),43430.6666666666)</f>
        <v>43430.666666666599</v>
      </c>
      <c r="P501">
        <f ca="1">IFERROR(__xludf.DUMMYFUNCTION("""COMPUTED_VALUE"""),28.62)</f>
        <v>28.62</v>
      </c>
    </row>
    <row r="502" spans="2:16" ht="12.75">
      <c r="B502" s="125">
        <f ca="1">IFERROR(__xludf.DUMMYFUNCTION("""COMPUTED_VALUE"""),43431.6666666666)</f>
        <v>43431.666666666599</v>
      </c>
      <c r="C502">
        <f ca="1">IFERROR(__xludf.DUMMYFUNCTION("""COMPUTED_VALUE"""),28.77)</f>
        <v>28.77</v>
      </c>
      <c r="D502">
        <v>23.65</v>
      </c>
      <c r="E502">
        <v>25.99</v>
      </c>
      <c r="F502">
        <v>28.26</v>
      </c>
      <c r="G502">
        <v>8.85</v>
      </c>
      <c r="H502">
        <v>186.66</v>
      </c>
      <c r="I502">
        <v>25.47</v>
      </c>
      <c r="J502">
        <v>55.35</v>
      </c>
      <c r="K502">
        <v>122.41</v>
      </c>
      <c r="L502">
        <v>36.54</v>
      </c>
      <c r="M502" s="125">
        <f ca="1">IFERROR(__xludf.DUMMYFUNCTION("""COMPUTED_VALUE"""),43965.6666666666)</f>
        <v>43965.666666666599</v>
      </c>
      <c r="N502">
        <f ca="1">IFERROR(__xludf.DUMMYFUNCTION("""COMPUTED_VALUE"""),32.31)</f>
        <v>32.31</v>
      </c>
      <c r="O502" s="125">
        <f ca="1">IFERROR(__xludf.DUMMYFUNCTION("""COMPUTED_VALUE"""),43431.6666666666)</f>
        <v>43431.666666666599</v>
      </c>
      <c r="P502">
        <f ca="1">IFERROR(__xludf.DUMMYFUNCTION("""COMPUTED_VALUE"""),28.77)</f>
        <v>28.77</v>
      </c>
    </row>
    <row r="503" spans="2:16" ht="12.75">
      <c r="B503" s="125">
        <f ca="1">IFERROR(__xludf.DUMMYFUNCTION("""COMPUTED_VALUE"""),43432.6666666666)</f>
        <v>43432.666666666599</v>
      </c>
      <c r="C503">
        <f ca="1">IFERROR(__xludf.DUMMYFUNCTION("""COMPUTED_VALUE"""),29.67)</f>
        <v>29.67</v>
      </c>
      <c r="D503">
        <v>24.52</v>
      </c>
      <c r="E503">
        <v>25.86</v>
      </c>
      <c r="F503">
        <v>28.73</v>
      </c>
      <c r="G503">
        <v>9.0299999999999994</v>
      </c>
      <c r="H503">
        <v>190.8</v>
      </c>
      <c r="I503">
        <v>25.65</v>
      </c>
      <c r="J503">
        <v>55.81</v>
      </c>
      <c r="K503">
        <v>122.4</v>
      </c>
      <c r="L503">
        <v>36.409999999999997</v>
      </c>
      <c r="M503" s="125">
        <f ca="1">IFERROR(__xludf.DUMMYFUNCTION("""COMPUTED_VALUE"""),43966.6666666666)</f>
        <v>43966.666666666599</v>
      </c>
      <c r="N503">
        <f ca="1">IFERROR(__xludf.DUMMYFUNCTION("""COMPUTED_VALUE"""),32.15)</f>
        <v>32.15</v>
      </c>
      <c r="O503" s="125">
        <f ca="1">IFERROR(__xludf.DUMMYFUNCTION("""COMPUTED_VALUE"""),43432.6666666666)</f>
        <v>43432.666666666599</v>
      </c>
      <c r="P503">
        <f ca="1">IFERROR(__xludf.DUMMYFUNCTION("""COMPUTED_VALUE"""),29.67)</f>
        <v>29.67</v>
      </c>
    </row>
    <row r="504" spans="2:16" ht="12.75">
      <c r="B504" s="125">
        <f ca="1">IFERROR(__xludf.DUMMYFUNCTION("""COMPUTED_VALUE"""),43433.6666666666)</f>
        <v>43433.666666666599</v>
      </c>
      <c r="C504">
        <f ca="1">IFERROR(__xludf.DUMMYFUNCTION("""COMPUTED_VALUE"""),29.09)</f>
        <v>29.09</v>
      </c>
      <c r="D504">
        <v>24.5</v>
      </c>
      <c r="E504">
        <v>25.82</v>
      </c>
      <c r="F504">
        <v>28.52</v>
      </c>
      <c r="G504">
        <v>9</v>
      </c>
      <c r="H504">
        <v>191.11</v>
      </c>
      <c r="I504">
        <v>25.46</v>
      </c>
      <c r="J504">
        <v>55.9</v>
      </c>
      <c r="K504">
        <v>122.1</v>
      </c>
      <c r="L504">
        <v>35.75</v>
      </c>
      <c r="M504" s="125">
        <f ca="1">IFERROR(__xludf.DUMMYFUNCTION("""COMPUTED_VALUE"""),43969.6666666666)</f>
        <v>43969.666666666599</v>
      </c>
      <c r="N504">
        <f ca="1">IFERROR(__xludf.DUMMYFUNCTION("""COMPUTED_VALUE"""),33.08)</f>
        <v>33.08</v>
      </c>
      <c r="O504" s="125">
        <f ca="1">IFERROR(__xludf.DUMMYFUNCTION("""COMPUTED_VALUE"""),43433.6666666666)</f>
        <v>43433.666666666599</v>
      </c>
      <c r="P504">
        <f ca="1">IFERROR(__xludf.DUMMYFUNCTION("""COMPUTED_VALUE"""),29.09)</f>
        <v>29.09</v>
      </c>
    </row>
    <row r="505" spans="2:16" ht="12.75">
      <c r="B505" s="125">
        <f ca="1">IFERROR(__xludf.DUMMYFUNCTION("""COMPUTED_VALUE"""),43434.6666666666)</f>
        <v>43434.666666666599</v>
      </c>
      <c r="C505">
        <f ca="1">IFERROR(__xludf.DUMMYFUNCTION("""COMPUTED_VALUE"""),29.35)</f>
        <v>29.35</v>
      </c>
      <c r="D505">
        <v>24.56</v>
      </c>
      <c r="E505">
        <v>25.92</v>
      </c>
      <c r="F505">
        <v>28.43</v>
      </c>
      <c r="G505">
        <v>8.99</v>
      </c>
      <c r="H505">
        <v>192.01</v>
      </c>
      <c r="I505">
        <v>25.43</v>
      </c>
      <c r="J505">
        <v>56.26</v>
      </c>
      <c r="K505">
        <v>123.92</v>
      </c>
      <c r="L505">
        <v>34.4</v>
      </c>
      <c r="M505" s="125">
        <f ca="1">IFERROR(__xludf.DUMMYFUNCTION("""COMPUTED_VALUE"""),43970.6666666666)</f>
        <v>43970.666666666599</v>
      </c>
      <c r="N505">
        <f ca="1">IFERROR(__xludf.DUMMYFUNCTION("""COMPUTED_VALUE"""),32.61)</f>
        <v>32.61</v>
      </c>
      <c r="O505" s="125">
        <f ca="1">IFERROR(__xludf.DUMMYFUNCTION("""COMPUTED_VALUE"""),43434.6666666666)</f>
        <v>43434.666666666599</v>
      </c>
      <c r="P505">
        <f ca="1">IFERROR(__xludf.DUMMYFUNCTION("""COMPUTED_VALUE"""),29.35)</f>
        <v>29.35</v>
      </c>
    </row>
    <row r="506" spans="2:16" ht="12.75">
      <c r="B506" s="125">
        <f ca="1">IFERROR(__xludf.DUMMYFUNCTION("""COMPUTED_VALUE"""),43437.6666666666)</f>
        <v>43437.666666666599</v>
      </c>
      <c r="C506">
        <f ca="1">IFERROR(__xludf.DUMMYFUNCTION("""COMPUTED_VALUE"""),30.25)</f>
        <v>30.25</v>
      </c>
      <c r="D506">
        <v>24.94</v>
      </c>
      <c r="E506">
        <v>25.93</v>
      </c>
      <c r="F506">
        <v>28.65</v>
      </c>
      <c r="G506">
        <v>9.09</v>
      </c>
      <c r="H506">
        <v>193.45</v>
      </c>
      <c r="I506">
        <v>25.74</v>
      </c>
      <c r="J506">
        <v>56.31</v>
      </c>
      <c r="K506">
        <v>124.98</v>
      </c>
      <c r="L506">
        <v>33.58</v>
      </c>
      <c r="M506" s="125">
        <f ca="1">IFERROR(__xludf.DUMMYFUNCTION("""COMPUTED_VALUE"""),43971.6666666666)</f>
        <v>43971.666666666599</v>
      </c>
      <c r="N506">
        <f ca="1">IFERROR(__xludf.DUMMYFUNCTION("""COMPUTED_VALUE"""),32.81)</f>
        <v>32.81</v>
      </c>
      <c r="O506" s="125">
        <f ca="1">IFERROR(__xludf.DUMMYFUNCTION("""COMPUTED_VALUE"""),43437.6666666666)</f>
        <v>43437.666666666599</v>
      </c>
      <c r="P506">
        <f ca="1">IFERROR(__xludf.DUMMYFUNCTION("""COMPUTED_VALUE"""),30.25)</f>
        <v>30.25</v>
      </c>
    </row>
    <row r="507" spans="2:16" ht="12.75">
      <c r="B507" s="125">
        <f ca="1">IFERROR(__xludf.DUMMYFUNCTION("""COMPUTED_VALUE"""),43438.6666666666)</f>
        <v>43438.666666666599</v>
      </c>
      <c r="C507">
        <f ca="1">IFERROR(__xludf.DUMMYFUNCTION("""COMPUTED_VALUE"""),29.27)</f>
        <v>29.27</v>
      </c>
      <c r="D507">
        <v>23.76</v>
      </c>
      <c r="E507">
        <v>25.88</v>
      </c>
      <c r="F507">
        <v>28.1</v>
      </c>
      <c r="G507">
        <v>8.9700000000000006</v>
      </c>
      <c r="H507">
        <v>185.76</v>
      </c>
      <c r="I507">
        <v>25.04</v>
      </c>
      <c r="J507">
        <v>55.36</v>
      </c>
      <c r="K507">
        <v>125.06</v>
      </c>
      <c r="L507">
        <v>33.64</v>
      </c>
      <c r="M507" s="125">
        <f ca="1">IFERROR(__xludf.DUMMYFUNCTION("""COMPUTED_VALUE"""),43972.6666666666)</f>
        <v>43972.666666666599</v>
      </c>
      <c r="N507">
        <f ca="1">IFERROR(__xludf.DUMMYFUNCTION("""COMPUTED_VALUE"""),32.39)</f>
        <v>32.39</v>
      </c>
      <c r="O507" s="125">
        <f ca="1">IFERROR(__xludf.DUMMYFUNCTION("""COMPUTED_VALUE"""),43438.6666666666)</f>
        <v>43438.666666666599</v>
      </c>
      <c r="P507">
        <f ca="1">IFERROR(__xludf.DUMMYFUNCTION("""COMPUTED_VALUE"""),29.27)</f>
        <v>29.27</v>
      </c>
    </row>
    <row r="508" spans="2:16" ht="12.75">
      <c r="B508" s="125">
        <f ca="1">IFERROR(__xludf.DUMMYFUNCTION("""COMPUTED_VALUE"""),43440.6666666666)</f>
        <v>43440.666666666599</v>
      </c>
      <c r="C508">
        <f ca="1">IFERROR(__xludf.DUMMYFUNCTION("""COMPUTED_VALUE"""),28.83)</f>
        <v>28.83</v>
      </c>
      <c r="D508">
        <v>23.61</v>
      </c>
      <c r="E508">
        <v>25.87</v>
      </c>
      <c r="F508">
        <v>27.66</v>
      </c>
      <c r="G508">
        <v>8.93</v>
      </c>
      <c r="H508">
        <v>184.81</v>
      </c>
      <c r="I508">
        <v>24.59</v>
      </c>
      <c r="J508">
        <v>55.42</v>
      </c>
      <c r="K508">
        <v>125.08</v>
      </c>
      <c r="L508">
        <v>32.19</v>
      </c>
      <c r="M508" s="125">
        <f ca="1">IFERROR(__xludf.DUMMYFUNCTION("""COMPUTED_VALUE"""),43973.6666666666)</f>
        <v>43973.666666666599</v>
      </c>
      <c r="N508">
        <f ca="1">IFERROR(__xludf.DUMMYFUNCTION("""COMPUTED_VALUE"""),33.22)</f>
        <v>33.22</v>
      </c>
      <c r="O508" s="125">
        <f ca="1">IFERROR(__xludf.DUMMYFUNCTION("""COMPUTED_VALUE"""),43440.6666666666)</f>
        <v>43440.666666666599</v>
      </c>
      <c r="P508">
        <f ca="1">IFERROR(__xludf.DUMMYFUNCTION("""COMPUTED_VALUE"""),28.83)</f>
        <v>28.83</v>
      </c>
    </row>
    <row r="509" spans="2:16" ht="12.75">
      <c r="B509" s="125">
        <f ca="1">IFERROR(__xludf.DUMMYFUNCTION("""COMPUTED_VALUE"""),43441.6666666666)</f>
        <v>43441.666666666599</v>
      </c>
      <c r="C509">
        <f ca="1">IFERROR(__xludf.DUMMYFUNCTION("""COMPUTED_VALUE"""),28.31)</f>
        <v>28.31</v>
      </c>
      <c r="D509">
        <v>22.98</v>
      </c>
      <c r="E509">
        <v>25.8</v>
      </c>
      <c r="F509">
        <v>27.33</v>
      </c>
      <c r="G509">
        <v>8.7200000000000006</v>
      </c>
      <c r="H509">
        <v>182.15</v>
      </c>
      <c r="I509">
        <v>24.11</v>
      </c>
      <c r="J509">
        <v>54.72</v>
      </c>
      <c r="K509">
        <v>125.7</v>
      </c>
      <c r="L509">
        <v>31.9</v>
      </c>
      <c r="M509" s="125">
        <f ca="1">IFERROR(__xludf.DUMMYFUNCTION("""COMPUTED_VALUE"""),43977.6666666666)</f>
        <v>43977.666666666599</v>
      </c>
      <c r="N509">
        <f ca="1">IFERROR(__xludf.DUMMYFUNCTION("""COMPUTED_VALUE"""),33.48)</f>
        <v>33.479999999999997</v>
      </c>
      <c r="O509" s="125">
        <f ca="1">IFERROR(__xludf.DUMMYFUNCTION("""COMPUTED_VALUE"""),43441.6666666666)</f>
        <v>43441.666666666599</v>
      </c>
      <c r="P509">
        <f ca="1">IFERROR(__xludf.DUMMYFUNCTION("""COMPUTED_VALUE"""),28.31)</f>
        <v>28.31</v>
      </c>
    </row>
    <row r="510" spans="2:16" ht="12.75">
      <c r="B510" s="125">
        <f ca="1">IFERROR(__xludf.DUMMYFUNCTION("""COMPUTED_VALUE"""),43444.6666666666)</f>
        <v>43444.666666666599</v>
      </c>
      <c r="C510">
        <f ca="1">IFERROR(__xludf.DUMMYFUNCTION("""COMPUTED_VALUE"""),28.21)</f>
        <v>28.21</v>
      </c>
      <c r="D510">
        <v>23.06</v>
      </c>
      <c r="E510">
        <v>25.97</v>
      </c>
      <c r="F510">
        <v>27.12</v>
      </c>
      <c r="G510">
        <v>8.73</v>
      </c>
      <c r="H510">
        <v>184.78</v>
      </c>
      <c r="I510">
        <v>24.09</v>
      </c>
      <c r="J510">
        <v>54.72</v>
      </c>
      <c r="K510">
        <v>126.03</v>
      </c>
      <c r="L510">
        <v>32.799999999999997</v>
      </c>
      <c r="M510" s="125">
        <f ca="1">IFERROR(__xludf.DUMMYFUNCTION("""COMPUTED_VALUE"""),43978.6666666666)</f>
        <v>43978.666666666599</v>
      </c>
      <c r="N510">
        <f ca="1">IFERROR(__xludf.DUMMYFUNCTION("""COMPUTED_VALUE"""),34.29)</f>
        <v>34.29</v>
      </c>
      <c r="O510" s="125">
        <f ca="1">IFERROR(__xludf.DUMMYFUNCTION("""COMPUTED_VALUE"""),43444.6666666666)</f>
        <v>43444.666666666599</v>
      </c>
      <c r="P510">
        <f ca="1">IFERROR(__xludf.DUMMYFUNCTION("""COMPUTED_VALUE"""),28.21)</f>
        <v>28.21</v>
      </c>
    </row>
    <row r="511" spans="2:16" ht="12.75">
      <c r="B511" s="125">
        <f ca="1">IFERROR(__xludf.DUMMYFUNCTION("""COMPUTED_VALUE"""),43445.6666666666)</f>
        <v>43445.666666666599</v>
      </c>
      <c r="C511">
        <f ca="1">IFERROR(__xludf.DUMMYFUNCTION("""COMPUTED_VALUE"""),28.51)</f>
        <v>28.51</v>
      </c>
      <c r="D511">
        <v>23.17</v>
      </c>
      <c r="E511">
        <v>26.04</v>
      </c>
      <c r="F511">
        <v>27.22</v>
      </c>
      <c r="G511">
        <v>8.73</v>
      </c>
      <c r="H511">
        <v>183.94</v>
      </c>
      <c r="I511">
        <v>24.26</v>
      </c>
      <c r="J511">
        <v>55.17</v>
      </c>
      <c r="K511">
        <v>126.42</v>
      </c>
      <c r="L511">
        <v>32.24</v>
      </c>
      <c r="M511" s="125">
        <f ca="1">IFERROR(__xludf.DUMMYFUNCTION("""COMPUTED_VALUE"""),43979.6666666666)</f>
        <v>43979.666666666599</v>
      </c>
      <c r="N511">
        <f ca="1">IFERROR(__xludf.DUMMYFUNCTION("""COMPUTED_VALUE"""),34.71)</f>
        <v>34.71</v>
      </c>
      <c r="O511" s="125">
        <f ca="1">IFERROR(__xludf.DUMMYFUNCTION("""COMPUTED_VALUE"""),43445.6666666666)</f>
        <v>43445.666666666599</v>
      </c>
      <c r="P511">
        <f ca="1">IFERROR(__xludf.DUMMYFUNCTION("""COMPUTED_VALUE"""),28.51)</f>
        <v>28.51</v>
      </c>
    </row>
    <row r="512" spans="2:16" ht="12.75">
      <c r="B512" s="125">
        <f ca="1">IFERROR(__xludf.DUMMYFUNCTION("""COMPUTED_VALUE"""),43446.6666666666)</f>
        <v>43446.666666666599</v>
      </c>
      <c r="C512">
        <f ca="1">IFERROR(__xludf.DUMMYFUNCTION("""COMPUTED_VALUE"""),29.25)</f>
        <v>29.25</v>
      </c>
      <c r="D512">
        <v>23.5</v>
      </c>
      <c r="E512">
        <v>25.94</v>
      </c>
      <c r="F512">
        <v>27.72</v>
      </c>
      <c r="G512">
        <v>8.86</v>
      </c>
      <c r="H512">
        <v>186.1</v>
      </c>
      <c r="I512">
        <v>24.54</v>
      </c>
      <c r="J512">
        <v>55.1</v>
      </c>
      <c r="K512">
        <v>125.87</v>
      </c>
      <c r="L512">
        <v>33.06</v>
      </c>
      <c r="M512" s="125">
        <f ca="1">IFERROR(__xludf.DUMMYFUNCTION("""COMPUTED_VALUE"""),43980.6666666666)</f>
        <v>43980.666666666599</v>
      </c>
      <c r="N512">
        <f ca="1">IFERROR(__xludf.DUMMYFUNCTION("""COMPUTED_VALUE"""),34.87)</f>
        <v>34.869999999999997</v>
      </c>
      <c r="O512" s="125">
        <f ca="1">IFERROR(__xludf.DUMMYFUNCTION("""COMPUTED_VALUE"""),43446.6666666666)</f>
        <v>43446.666666666599</v>
      </c>
      <c r="P512">
        <f ca="1">IFERROR(__xludf.DUMMYFUNCTION("""COMPUTED_VALUE"""),29.25)</f>
        <v>29.25</v>
      </c>
    </row>
    <row r="513" spans="2:16" ht="12.75">
      <c r="B513" s="125">
        <f ca="1">IFERROR(__xludf.DUMMYFUNCTION("""COMPUTED_VALUE"""),43447.6666666666)</f>
        <v>43447.666666666599</v>
      </c>
      <c r="C513">
        <f ca="1">IFERROR(__xludf.DUMMYFUNCTION("""COMPUTED_VALUE"""),29.01)</f>
        <v>29.01</v>
      </c>
      <c r="D513">
        <v>23.27</v>
      </c>
      <c r="E513">
        <v>25.94</v>
      </c>
      <c r="F513">
        <v>27.58</v>
      </c>
      <c r="G513">
        <v>8.75</v>
      </c>
      <c r="H513">
        <v>184.68</v>
      </c>
      <c r="I513">
        <v>24.49</v>
      </c>
      <c r="J513">
        <v>55.44</v>
      </c>
      <c r="K513">
        <v>125.89</v>
      </c>
      <c r="L513">
        <v>32.18</v>
      </c>
      <c r="M513" s="125">
        <f ca="1">IFERROR(__xludf.DUMMYFUNCTION("""COMPUTED_VALUE"""),43983.6666666666)</f>
        <v>43983.666666666599</v>
      </c>
      <c r="N513">
        <f ca="1">IFERROR(__xludf.DUMMYFUNCTION("""COMPUTED_VALUE"""),35.38)</f>
        <v>35.380000000000003</v>
      </c>
      <c r="O513" s="125">
        <f ca="1">IFERROR(__xludf.DUMMYFUNCTION("""COMPUTED_VALUE"""),43447.6666666666)</f>
        <v>43447.666666666599</v>
      </c>
      <c r="P513">
        <f ca="1">IFERROR(__xludf.DUMMYFUNCTION("""COMPUTED_VALUE"""),29.01)</f>
        <v>29.01</v>
      </c>
    </row>
    <row r="514" spans="2:16" ht="12.75">
      <c r="B514" s="125">
        <f ca="1">IFERROR(__xludf.DUMMYFUNCTION("""COMPUTED_VALUE"""),43448.6666666666)</f>
        <v>43448.666666666599</v>
      </c>
      <c r="C514">
        <f ca="1">IFERROR(__xludf.DUMMYFUNCTION("""COMPUTED_VALUE"""),28.47)</f>
        <v>28.47</v>
      </c>
      <c r="D514">
        <v>22.85</v>
      </c>
      <c r="E514">
        <v>26.04</v>
      </c>
      <c r="F514">
        <v>27.23</v>
      </c>
      <c r="G514">
        <v>8.76</v>
      </c>
      <c r="H514">
        <v>183.04</v>
      </c>
      <c r="I514">
        <v>24.29</v>
      </c>
      <c r="J514">
        <v>54.5</v>
      </c>
      <c r="K514">
        <v>125.57</v>
      </c>
      <c r="L514">
        <v>31.35</v>
      </c>
      <c r="M514" s="125">
        <f ca="1">IFERROR(__xludf.DUMMYFUNCTION("""COMPUTED_VALUE"""),43984.6666666666)</f>
        <v>43984.666666666599</v>
      </c>
      <c r="N514">
        <f ca="1">IFERROR(__xludf.DUMMYFUNCTION("""COMPUTED_VALUE"""),35.14)</f>
        <v>35.14</v>
      </c>
      <c r="O514" s="125">
        <f ca="1">IFERROR(__xludf.DUMMYFUNCTION("""COMPUTED_VALUE"""),43448.6666666666)</f>
        <v>43448.666666666599</v>
      </c>
      <c r="P514">
        <f ca="1">IFERROR(__xludf.DUMMYFUNCTION("""COMPUTED_VALUE"""),28.47)</f>
        <v>28.47</v>
      </c>
    </row>
    <row r="515" spans="2:16" ht="12.75">
      <c r="B515" s="125">
        <f ca="1">IFERROR(__xludf.DUMMYFUNCTION("""COMPUTED_VALUE"""),43451.6666666666)</f>
        <v>43451.666666666599</v>
      </c>
      <c r="C515">
        <f ca="1">IFERROR(__xludf.DUMMYFUNCTION("""COMPUTED_VALUE"""),27.63)</f>
        <v>27.63</v>
      </c>
      <c r="D515">
        <v>22.22</v>
      </c>
      <c r="E515">
        <v>25.97</v>
      </c>
      <c r="F515">
        <v>26.86</v>
      </c>
      <c r="G515">
        <v>8.5500000000000007</v>
      </c>
      <c r="H515">
        <v>179.36</v>
      </c>
      <c r="I515">
        <v>24</v>
      </c>
      <c r="J515">
        <v>53.24</v>
      </c>
      <c r="K515">
        <v>121.49</v>
      </c>
      <c r="L515">
        <v>27.74</v>
      </c>
      <c r="M515" s="125">
        <f ca="1">IFERROR(__xludf.DUMMYFUNCTION("""COMPUTED_VALUE"""),43985.6666666666)</f>
        <v>43985.666666666599</v>
      </c>
      <c r="N515">
        <f ca="1">IFERROR(__xludf.DUMMYFUNCTION("""COMPUTED_VALUE"""),35.37)</f>
        <v>35.369999999999997</v>
      </c>
      <c r="O515" s="125">
        <f ca="1">IFERROR(__xludf.DUMMYFUNCTION("""COMPUTED_VALUE"""),43451.6666666666)</f>
        <v>43451.666666666599</v>
      </c>
      <c r="P515">
        <f ca="1">IFERROR(__xludf.DUMMYFUNCTION("""COMPUTED_VALUE"""),27.63)</f>
        <v>27.63</v>
      </c>
    </row>
    <row r="516" spans="2:16" ht="12.75">
      <c r="B516" s="125">
        <f ca="1">IFERROR(__xludf.DUMMYFUNCTION("""COMPUTED_VALUE"""),43452.6666666666)</f>
        <v>43452.666666666599</v>
      </c>
      <c r="C516">
        <f ca="1">IFERROR(__xludf.DUMMYFUNCTION("""COMPUTED_VALUE"""),27.4)</f>
        <v>27.4</v>
      </c>
      <c r="D516">
        <v>22.31</v>
      </c>
      <c r="E516">
        <v>25.96</v>
      </c>
      <c r="F516">
        <v>26.83</v>
      </c>
      <c r="G516">
        <v>8.4</v>
      </c>
      <c r="H516">
        <v>180.49</v>
      </c>
      <c r="I516">
        <v>24.1</v>
      </c>
      <c r="J516">
        <v>52.61</v>
      </c>
      <c r="K516">
        <v>120.62</v>
      </c>
      <c r="L516">
        <v>29.74</v>
      </c>
      <c r="M516" s="125">
        <f ca="1">IFERROR(__xludf.DUMMYFUNCTION("""COMPUTED_VALUE"""),43986.6666666666)</f>
        <v>43986.666666666599</v>
      </c>
      <c r="N516">
        <f ca="1">IFERROR(__xludf.DUMMYFUNCTION("""COMPUTED_VALUE"""),34.68)</f>
        <v>34.68</v>
      </c>
      <c r="O516" s="125">
        <f ca="1">IFERROR(__xludf.DUMMYFUNCTION("""COMPUTED_VALUE"""),43452.6666666666)</f>
        <v>43452.666666666599</v>
      </c>
      <c r="P516">
        <f ca="1">IFERROR(__xludf.DUMMYFUNCTION("""COMPUTED_VALUE"""),27.4)</f>
        <v>27.4</v>
      </c>
    </row>
    <row r="517" spans="2:16" ht="12.75">
      <c r="B517" s="125">
        <f ca="1">IFERROR(__xludf.DUMMYFUNCTION("""COMPUTED_VALUE"""),43453.6666666666)</f>
        <v>43453.666666666599</v>
      </c>
      <c r="C517">
        <f ca="1">IFERROR(__xludf.DUMMYFUNCTION("""COMPUTED_VALUE"""),26.93)</f>
        <v>26.93</v>
      </c>
      <c r="D517">
        <v>22.2</v>
      </c>
      <c r="E517">
        <v>25.97</v>
      </c>
      <c r="F517">
        <v>26.44</v>
      </c>
      <c r="G517">
        <v>8.3000000000000007</v>
      </c>
      <c r="H517">
        <v>176.23</v>
      </c>
      <c r="I517">
        <v>23.9</v>
      </c>
      <c r="J517">
        <v>52.1</v>
      </c>
      <c r="K517">
        <v>120.47</v>
      </c>
      <c r="L517">
        <v>28.39</v>
      </c>
      <c r="M517" s="125">
        <f ca="1">IFERROR(__xludf.DUMMYFUNCTION("""COMPUTED_VALUE"""),43987.6666666666)</f>
        <v>43987.666666666599</v>
      </c>
      <c r="N517">
        <f ca="1">IFERROR(__xludf.DUMMYFUNCTION("""COMPUTED_VALUE"""),35.34)</f>
        <v>35.340000000000003</v>
      </c>
      <c r="O517" s="125">
        <f ca="1">IFERROR(__xludf.DUMMYFUNCTION("""COMPUTED_VALUE"""),43453.6666666666)</f>
        <v>43453.666666666599</v>
      </c>
      <c r="P517">
        <f ca="1">IFERROR(__xludf.DUMMYFUNCTION("""COMPUTED_VALUE"""),26.93)</f>
        <v>26.93</v>
      </c>
    </row>
    <row r="518" spans="2:16" ht="12.75">
      <c r="B518" s="125">
        <f ca="1">IFERROR(__xludf.DUMMYFUNCTION("""COMPUTED_VALUE"""),43454.6666666666)</f>
        <v>43454.666666666599</v>
      </c>
      <c r="C518">
        <f ca="1">IFERROR(__xludf.DUMMYFUNCTION("""COMPUTED_VALUE"""),26.75)</f>
        <v>26.75</v>
      </c>
      <c r="D518">
        <v>21.6</v>
      </c>
      <c r="E518">
        <v>25.77</v>
      </c>
      <c r="F518">
        <v>26.2</v>
      </c>
      <c r="G518">
        <v>8.2100000000000009</v>
      </c>
      <c r="H518">
        <v>171.29</v>
      </c>
      <c r="I518">
        <v>23.59</v>
      </c>
      <c r="J518">
        <v>51.17</v>
      </c>
      <c r="K518">
        <v>120.67</v>
      </c>
      <c r="L518">
        <v>25.25</v>
      </c>
      <c r="M518" s="125">
        <f ca="1">IFERROR(__xludf.DUMMYFUNCTION("""COMPUTED_VALUE"""),43990.6666666666)</f>
        <v>43990.666666666599</v>
      </c>
      <c r="N518">
        <f ca="1">IFERROR(__xludf.DUMMYFUNCTION("""COMPUTED_VALUE"""),35.66)</f>
        <v>35.659999999999997</v>
      </c>
      <c r="O518" s="125">
        <f ca="1">IFERROR(__xludf.DUMMYFUNCTION("""COMPUTED_VALUE"""),43454.6666666666)</f>
        <v>43454.666666666599</v>
      </c>
      <c r="P518">
        <f ca="1">IFERROR(__xludf.DUMMYFUNCTION("""COMPUTED_VALUE"""),26.75)</f>
        <v>26.75</v>
      </c>
    </row>
    <row r="519" spans="2:16" ht="12.75">
      <c r="B519" s="125">
        <f ca="1">IFERROR(__xludf.DUMMYFUNCTION("""COMPUTED_VALUE"""),43455.6666666666)</f>
        <v>43455.666666666599</v>
      </c>
      <c r="C519">
        <f ca="1">IFERROR(__xludf.DUMMYFUNCTION("""COMPUTED_VALUE"""),26.45)</f>
        <v>26.45</v>
      </c>
      <c r="D519">
        <v>20.97</v>
      </c>
      <c r="E519">
        <v>25.94</v>
      </c>
      <c r="F519">
        <v>25.79</v>
      </c>
      <c r="G519">
        <v>8.0299999999999994</v>
      </c>
      <c r="H519">
        <v>167.01</v>
      </c>
      <c r="I519">
        <v>23.61</v>
      </c>
      <c r="J519">
        <v>50.18</v>
      </c>
      <c r="K519">
        <v>119.85</v>
      </c>
      <c r="L519">
        <v>26.99</v>
      </c>
      <c r="M519" s="125">
        <f ca="1">IFERROR(__xludf.DUMMYFUNCTION("""COMPUTED_VALUE"""),43991.6666666666)</f>
        <v>43991.666666666599</v>
      </c>
      <c r="N519">
        <f ca="1">IFERROR(__xludf.DUMMYFUNCTION("""COMPUTED_VALUE"""),35.77)</f>
        <v>35.770000000000003</v>
      </c>
      <c r="O519" s="125">
        <f ca="1">IFERROR(__xludf.DUMMYFUNCTION("""COMPUTED_VALUE"""),43455.6666666666)</f>
        <v>43455.666666666599</v>
      </c>
      <c r="P519">
        <f ca="1">IFERROR(__xludf.DUMMYFUNCTION("""COMPUTED_VALUE"""),26.45)</f>
        <v>26.45</v>
      </c>
    </row>
    <row r="520" spans="2:16" ht="12.75">
      <c r="B520" s="125">
        <f ca="1">IFERROR(__xludf.DUMMYFUNCTION("""COMPUTED_VALUE"""),43458.5416666666)</f>
        <v>43458.541666666599</v>
      </c>
      <c r="C520">
        <f ca="1">IFERROR(__xludf.DUMMYFUNCTION("""COMPUTED_VALUE"""),26.4)</f>
        <v>26.4</v>
      </c>
      <c r="D520">
        <v>20.71</v>
      </c>
      <c r="E520">
        <v>25.55</v>
      </c>
      <c r="F520">
        <v>25.35</v>
      </c>
      <c r="G520">
        <v>8.01</v>
      </c>
      <c r="H520">
        <v>162.03</v>
      </c>
      <c r="I520">
        <v>22.95</v>
      </c>
      <c r="J520">
        <v>48.73</v>
      </c>
      <c r="K520">
        <v>114.71</v>
      </c>
      <c r="L520">
        <v>23.79</v>
      </c>
      <c r="M520" s="125">
        <f ca="1">IFERROR(__xludf.DUMMYFUNCTION("""COMPUTED_VALUE"""),43992.6666666666)</f>
        <v>43992.666666666599</v>
      </c>
      <c r="N520">
        <f ca="1">IFERROR(__xludf.DUMMYFUNCTION("""COMPUTED_VALUE"""),35.66)</f>
        <v>35.659999999999997</v>
      </c>
      <c r="O520" s="125">
        <f ca="1">IFERROR(__xludf.DUMMYFUNCTION("""COMPUTED_VALUE"""),43458.5416666666)</f>
        <v>43458.541666666599</v>
      </c>
      <c r="P520">
        <f ca="1">IFERROR(__xludf.DUMMYFUNCTION("""COMPUTED_VALUE"""),26.4)</f>
        <v>26.4</v>
      </c>
    </row>
    <row r="521" spans="2:16" ht="12.75">
      <c r="B521" s="125">
        <f ca="1">IFERROR(__xludf.DUMMYFUNCTION("""COMPUTED_VALUE"""),43460.6666666666)</f>
        <v>43460.666666666599</v>
      </c>
      <c r="C521">
        <f ca="1">IFERROR(__xludf.DUMMYFUNCTION("""COMPUTED_VALUE"""),27.1)</f>
        <v>27.1</v>
      </c>
      <c r="D521">
        <v>21.82</v>
      </c>
      <c r="E521">
        <v>25.68</v>
      </c>
      <c r="F521">
        <v>26.1</v>
      </c>
      <c r="G521">
        <v>8.25</v>
      </c>
      <c r="H521">
        <v>168.11</v>
      </c>
      <c r="I521">
        <v>23.74</v>
      </c>
      <c r="J521">
        <v>50.09</v>
      </c>
      <c r="K521">
        <v>116.33</v>
      </c>
      <c r="L521">
        <v>24.93</v>
      </c>
      <c r="M521" s="125">
        <f ca="1">IFERROR(__xludf.DUMMYFUNCTION("""COMPUTED_VALUE"""),43993.6666666666)</f>
        <v>43993.666666666599</v>
      </c>
      <c r="N521">
        <f ca="1">IFERROR(__xludf.DUMMYFUNCTION("""COMPUTED_VALUE"""),33.81)</f>
        <v>33.81</v>
      </c>
      <c r="O521" s="125">
        <f ca="1">IFERROR(__xludf.DUMMYFUNCTION("""COMPUTED_VALUE"""),43460.6666666666)</f>
        <v>43460.666666666599</v>
      </c>
      <c r="P521">
        <f ca="1">IFERROR(__xludf.DUMMYFUNCTION("""COMPUTED_VALUE"""),27.1)</f>
        <v>27.1</v>
      </c>
    </row>
    <row r="522" spans="2:16" ht="12.75">
      <c r="B522" s="125">
        <f ca="1">IFERROR(__xludf.DUMMYFUNCTION("""COMPUTED_VALUE"""),43461.6666666666)</f>
        <v>43461.666666666599</v>
      </c>
      <c r="C522">
        <f ca="1">IFERROR(__xludf.DUMMYFUNCTION("""COMPUTED_VALUE"""),27.03)</f>
        <v>27.03</v>
      </c>
      <c r="D522">
        <v>22.06</v>
      </c>
      <c r="E522">
        <v>25.57</v>
      </c>
      <c r="F522">
        <v>26.11</v>
      </c>
      <c r="G522">
        <v>8.2100000000000009</v>
      </c>
      <c r="H522">
        <v>170.65</v>
      </c>
      <c r="I522">
        <v>23.5</v>
      </c>
      <c r="J522">
        <v>50.57</v>
      </c>
      <c r="K522">
        <v>117.29</v>
      </c>
      <c r="L522">
        <v>23.08</v>
      </c>
      <c r="M522" s="125">
        <f ca="1">IFERROR(__xludf.DUMMYFUNCTION("""COMPUTED_VALUE"""),43994.6666666666)</f>
        <v>43994.666666666599</v>
      </c>
      <c r="N522">
        <f ca="1">IFERROR(__xludf.DUMMYFUNCTION("""COMPUTED_VALUE"""),34.67)</f>
        <v>34.67</v>
      </c>
      <c r="O522" s="125">
        <f ca="1">IFERROR(__xludf.DUMMYFUNCTION("""COMPUTED_VALUE"""),43461.6666666666)</f>
        <v>43461.666666666599</v>
      </c>
      <c r="P522">
        <f ca="1">IFERROR(__xludf.DUMMYFUNCTION("""COMPUTED_VALUE"""),27.03)</f>
        <v>27.03</v>
      </c>
    </row>
    <row r="523" spans="2:16" ht="12.75">
      <c r="B523" s="125">
        <f ca="1">IFERROR(__xludf.DUMMYFUNCTION("""COMPUTED_VALUE"""),43462.6666666666)</f>
        <v>43462.666666666599</v>
      </c>
      <c r="C523">
        <f ca="1">IFERROR(__xludf.DUMMYFUNCTION("""COMPUTED_VALUE"""),27.05)</f>
        <v>27.05</v>
      </c>
      <c r="D523">
        <v>22.01</v>
      </c>
      <c r="E523">
        <v>25.5</v>
      </c>
      <c r="F523">
        <v>26.12</v>
      </c>
      <c r="G523">
        <v>8.23</v>
      </c>
      <c r="H523">
        <v>170.85</v>
      </c>
      <c r="I523">
        <v>23.7</v>
      </c>
      <c r="J523">
        <v>50.57</v>
      </c>
      <c r="K523">
        <v>117.45</v>
      </c>
      <c r="L523">
        <v>23.81</v>
      </c>
      <c r="M523" s="125">
        <f ca="1">IFERROR(__xludf.DUMMYFUNCTION("""COMPUTED_VALUE"""),43997.6666666666)</f>
        <v>43997.666666666599</v>
      </c>
      <c r="N523">
        <f ca="1">IFERROR(__xludf.DUMMYFUNCTION("""COMPUTED_VALUE"""),35.32)</f>
        <v>35.32</v>
      </c>
      <c r="O523" s="125">
        <f ca="1">IFERROR(__xludf.DUMMYFUNCTION("""COMPUTED_VALUE"""),43462.6666666666)</f>
        <v>43462.666666666599</v>
      </c>
      <c r="P523">
        <f ca="1">IFERROR(__xludf.DUMMYFUNCTION("""COMPUTED_VALUE"""),27.05)</f>
        <v>27.05</v>
      </c>
    </row>
    <row r="524" spans="2:16" ht="12.75">
      <c r="B524" s="125">
        <f ca="1">IFERROR(__xludf.DUMMYFUNCTION("""COMPUTED_VALUE"""),43465.6666666666)</f>
        <v>43465.666666666599</v>
      </c>
      <c r="C524">
        <f ca="1">IFERROR(__xludf.DUMMYFUNCTION("""COMPUTED_VALUE"""),26.71)</f>
        <v>26.71</v>
      </c>
      <c r="D524">
        <v>22.09</v>
      </c>
      <c r="E524">
        <v>25.45</v>
      </c>
      <c r="F524">
        <v>26.3</v>
      </c>
      <c r="G524">
        <v>8.26</v>
      </c>
      <c r="H524">
        <v>172.86</v>
      </c>
      <c r="I524">
        <v>23.75</v>
      </c>
      <c r="J524">
        <v>50.78</v>
      </c>
      <c r="K524">
        <v>117.83</v>
      </c>
      <c r="L524">
        <v>23.49</v>
      </c>
      <c r="M524" s="125">
        <f ca="1">IFERROR(__xludf.DUMMYFUNCTION("""COMPUTED_VALUE"""),43998.6666666666)</f>
        <v>43998.666666666599</v>
      </c>
      <c r="N524">
        <f ca="1">IFERROR(__xludf.DUMMYFUNCTION("""COMPUTED_VALUE"""),35.66)</f>
        <v>35.659999999999997</v>
      </c>
      <c r="O524" s="125">
        <f ca="1">IFERROR(__xludf.DUMMYFUNCTION("""COMPUTED_VALUE"""),43465.6666666666)</f>
        <v>43465.666666666599</v>
      </c>
      <c r="P524">
        <f ca="1">IFERROR(__xludf.DUMMYFUNCTION("""COMPUTED_VALUE"""),26.71)</f>
        <v>26.71</v>
      </c>
    </row>
    <row r="525" spans="2:16" ht="12.75">
      <c r="B525" s="125">
        <f ca="1">IFERROR(__xludf.DUMMYFUNCTION("""COMPUTED_VALUE"""),43467.6666666666)</f>
        <v>43467.666666666599</v>
      </c>
      <c r="C525">
        <f ca="1">IFERROR(__xludf.DUMMYFUNCTION("""COMPUTED_VALUE"""),26.72)</f>
        <v>26.72</v>
      </c>
      <c r="D525">
        <v>22.14</v>
      </c>
      <c r="E525">
        <v>25.64</v>
      </c>
      <c r="F525">
        <v>26.26</v>
      </c>
      <c r="G525">
        <v>8.32</v>
      </c>
      <c r="H525">
        <v>173.55</v>
      </c>
      <c r="I525">
        <v>23.81</v>
      </c>
      <c r="J525">
        <v>50.48</v>
      </c>
      <c r="K525">
        <v>115.64</v>
      </c>
      <c r="L525">
        <v>23.45</v>
      </c>
      <c r="M525" s="125">
        <f ca="1">IFERROR(__xludf.DUMMYFUNCTION("""COMPUTED_VALUE"""),43999.6666666666)</f>
        <v>43999.666666666599</v>
      </c>
      <c r="N525">
        <f ca="1">IFERROR(__xludf.DUMMYFUNCTION("""COMPUTED_VALUE"""),35.86)</f>
        <v>35.86</v>
      </c>
      <c r="O525" s="125">
        <f ca="1">IFERROR(__xludf.DUMMYFUNCTION("""COMPUTED_VALUE"""),43467.6666666666)</f>
        <v>43467.666666666599</v>
      </c>
      <c r="P525">
        <f ca="1">IFERROR(__xludf.DUMMYFUNCTION("""COMPUTED_VALUE"""),26.72)</f>
        <v>26.72</v>
      </c>
    </row>
    <row r="526" spans="2:16" ht="12.75">
      <c r="B526" s="125">
        <f ca="1">IFERROR(__xludf.DUMMYFUNCTION("""COMPUTED_VALUE"""),43468.6666666666)</f>
        <v>43468.666666666599</v>
      </c>
      <c r="C526">
        <f ca="1">IFERROR(__xludf.DUMMYFUNCTION("""COMPUTED_VALUE"""),26.09)</f>
        <v>26.09</v>
      </c>
      <c r="D526">
        <v>21.3</v>
      </c>
      <c r="E526">
        <v>25.5</v>
      </c>
      <c r="F526">
        <v>25.79</v>
      </c>
      <c r="G526">
        <v>8.25</v>
      </c>
      <c r="H526">
        <v>168.34</v>
      </c>
      <c r="I526">
        <v>23.42</v>
      </c>
      <c r="J526">
        <v>50.19</v>
      </c>
      <c r="K526">
        <v>115.77</v>
      </c>
      <c r="L526">
        <v>25.71</v>
      </c>
      <c r="M526" s="125">
        <f ca="1">IFERROR(__xludf.DUMMYFUNCTION("""COMPUTED_VALUE"""),44000.6666666666)</f>
        <v>44000.666666666599</v>
      </c>
      <c r="N526">
        <f ca="1">IFERROR(__xludf.DUMMYFUNCTION("""COMPUTED_VALUE"""),35.36)</f>
        <v>35.36</v>
      </c>
      <c r="O526" s="125">
        <f ca="1">IFERROR(__xludf.DUMMYFUNCTION("""COMPUTED_VALUE"""),43468.6666666666)</f>
        <v>43468.666666666599</v>
      </c>
      <c r="P526">
        <f ca="1">IFERROR(__xludf.DUMMYFUNCTION("""COMPUTED_VALUE"""),26.09)</f>
        <v>26.09</v>
      </c>
    </row>
    <row r="527" spans="2:16" ht="12.75">
      <c r="B527" s="125">
        <f ca="1">IFERROR(__xludf.DUMMYFUNCTION("""COMPUTED_VALUE"""),43469.6666666666)</f>
        <v>43469.666666666599</v>
      </c>
      <c r="C527">
        <f ca="1">IFERROR(__xludf.DUMMYFUNCTION("""COMPUTED_VALUE"""),27.56)</f>
        <v>27.56</v>
      </c>
      <c r="D527">
        <v>22.32</v>
      </c>
      <c r="E527">
        <v>25.46</v>
      </c>
      <c r="F527">
        <v>26.48</v>
      </c>
      <c r="G527">
        <v>8.5</v>
      </c>
      <c r="H527">
        <v>173.84</v>
      </c>
      <c r="I527">
        <v>24.29</v>
      </c>
      <c r="J527">
        <v>51.26</v>
      </c>
      <c r="K527">
        <v>117.57</v>
      </c>
      <c r="L527">
        <v>26.14</v>
      </c>
      <c r="M527" s="125">
        <f ca="1">IFERROR(__xludf.DUMMYFUNCTION("""COMPUTED_VALUE"""),44001.6666666666)</f>
        <v>44001.666666666599</v>
      </c>
      <c r="N527">
        <f ca="1">IFERROR(__xludf.DUMMYFUNCTION("""COMPUTED_VALUE"""),35.96)</f>
        <v>35.96</v>
      </c>
      <c r="O527" s="125">
        <f ca="1">IFERROR(__xludf.DUMMYFUNCTION("""COMPUTED_VALUE"""),43469.6666666666)</f>
        <v>43469.666666666599</v>
      </c>
      <c r="P527">
        <f ca="1">IFERROR(__xludf.DUMMYFUNCTION("""COMPUTED_VALUE"""),27.56)</f>
        <v>27.56</v>
      </c>
    </row>
    <row r="528" spans="2:16" ht="12.75">
      <c r="B528" s="125">
        <f ca="1">IFERROR(__xludf.DUMMYFUNCTION("""COMPUTED_VALUE"""),43472.6666666666)</f>
        <v>43472.666666666599</v>
      </c>
      <c r="C528">
        <f ca="1">IFERROR(__xludf.DUMMYFUNCTION("""COMPUTED_VALUE"""),28.11)</f>
        <v>28.11</v>
      </c>
      <c r="D528">
        <v>22.65</v>
      </c>
      <c r="E528">
        <v>25.35</v>
      </c>
      <c r="F528">
        <v>26.72</v>
      </c>
      <c r="G528">
        <v>8.57</v>
      </c>
      <c r="H528">
        <v>175.28</v>
      </c>
      <c r="I528">
        <v>24.16</v>
      </c>
      <c r="J528">
        <v>51.19</v>
      </c>
      <c r="K528">
        <v>116.71</v>
      </c>
      <c r="L528">
        <v>27.53</v>
      </c>
      <c r="M528" s="125">
        <f ca="1">IFERROR(__xludf.DUMMYFUNCTION("""COMPUTED_VALUE"""),44004.6666666666)</f>
        <v>44004.666666666599</v>
      </c>
      <c r="N528">
        <f ca="1">IFERROR(__xludf.DUMMYFUNCTION("""COMPUTED_VALUE"""),35.78)</f>
        <v>35.78</v>
      </c>
      <c r="O528" s="125">
        <f ca="1">IFERROR(__xludf.DUMMYFUNCTION("""COMPUTED_VALUE"""),43472.6666666666)</f>
        <v>43472.666666666599</v>
      </c>
      <c r="P528">
        <f ca="1">IFERROR(__xludf.DUMMYFUNCTION("""COMPUTED_VALUE"""),28.11)</f>
        <v>28.11</v>
      </c>
    </row>
    <row r="529" spans="2:16" ht="12.75">
      <c r="B529" s="125">
        <f ca="1">IFERROR(__xludf.DUMMYFUNCTION("""COMPUTED_VALUE"""),43473.6666666666)</f>
        <v>43473.666666666599</v>
      </c>
      <c r="C529">
        <f ca="1">IFERROR(__xludf.DUMMYFUNCTION("""COMPUTED_VALUE"""),28.21)</f>
        <v>28.21</v>
      </c>
      <c r="D529">
        <v>23.06</v>
      </c>
      <c r="E529">
        <v>25.43</v>
      </c>
      <c r="F529">
        <v>26.77</v>
      </c>
      <c r="G529">
        <v>8.67</v>
      </c>
      <c r="H529">
        <v>178.15</v>
      </c>
      <c r="I529">
        <v>24.4</v>
      </c>
      <c r="J529">
        <v>51.66</v>
      </c>
      <c r="K529">
        <v>118.22</v>
      </c>
      <c r="L529">
        <v>26.76</v>
      </c>
      <c r="M529" s="125">
        <f ca="1">IFERROR(__xludf.DUMMYFUNCTION("""COMPUTED_VALUE"""),44005.6666666666)</f>
        <v>44005.666666666599</v>
      </c>
      <c r="N529">
        <f ca="1">IFERROR(__xludf.DUMMYFUNCTION("""COMPUTED_VALUE"""),35.85)</f>
        <v>35.85</v>
      </c>
      <c r="O529" s="125">
        <f ca="1">IFERROR(__xludf.DUMMYFUNCTION("""COMPUTED_VALUE"""),43473.6666666666)</f>
        <v>43473.666666666599</v>
      </c>
      <c r="P529">
        <f ca="1">IFERROR(__xludf.DUMMYFUNCTION("""COMPUTED_VALUE"""),28.21)</f>
        <v>28.21</v>
      </c>
    </row>
    <row r="530" spans="2:16" ht="12.75">
      <c r="B530" s="125">
        <f ca="1">IFERROR(__xludf.DUMMYFUNCTION("""COMPUTED_VALUE"""),43474.6666666666)</f>
        <v>43474.666666666599</v>
      </c>
      <c r="C530">
        <f ca="1">IFERROR(__xludf.DUMMYFUNCTION("""COMPUTED_VALUE"""),29.04)</f>
        <v>29.04</v>
      </c>
      <c r="D530">
        <v>23.39</v>
      </c>
      <c r="E530">
        <v>25.19</v>
      </c>
      <c r="F530">
        <v>27.18</v>
      </c>
      <c r="G530">
        <v>8.74</v>
      </c>
      <c r="H530">
        <v>179.08</v>
      </c>
      <c r="I530">
        <v>24.56</v>
      </c>
      <c r="J530">
        <v>51.18</v>
      </c>
      <c r="K530">
        <v>117.42</v>
      </c>
      <c r="L530">
        <v>27.33</v>
      </c>
      <c r="M530" s="125">
        <f ca="1">IFERROR(__xludf.DUMMYFUNCTION("""COMPUTED_VALUE"""),44006.6666666666)</f>
        <v>44006.666666666599</v>
      </c>
      <c r="N530">
        <f ca="1">IFERROR(__xludf.DUMMYFUNCTION("""COMPUTED_VALUE"""),35.05)</f>
        <v>35.049999999999997</v>
      </c>
      <c r="O530" s="125">
        <f ca="1">IFERROR(__xludf.DUMMYFUNCTION("""COMPUTED_VALUE"""),43474.6666666666)</f>
        <v>43474.666666666599</v>
      </c>
      <c r="P530">
        <f ca="1">IFERROR(__xludf.DUMMYFUNCTION("""COMPUTED_VALUE"""),29.04)</f>
        <v>29.04</v>
      </c>
    </row>
    <row r="531" spans="2:16" ht="12.75">
      <c r="B531" s="125">
        <f ca="1">IFERROR(__xludf.DUMMYFUNCTION("""COMPUTED_VALUE"""),43475.6666666666)</f>
        <v>43475.666666666599</v>
      </c>
      <c r="C531">
        <f ca="1">IFERROR(__xludf.DUMMYFUNCTION("""COMPUTED_VALUE"""),29.08)</f>
        <v>29.08</v>
      </c>
      <c r="D531">
        <v>23.49</v>
      </c>
      <c r="E531">
        <v>25.34</v>
      </c>
      <c r="F531">
        <v>27.24</v>
      </c>
      <c r="G531">
        <v>8.84</v>
      </c>
      <c r="H531">
        <v>181.45</v>
      </c>
      <c r="I531">
        <v>24.69</v>
      </c>
      <c r="J531">
        <v>51.48</v>
      </c>
      <c r="K531">
        <v>119.13</v>
      </c>
      <c r="L531">
        <v>27.19</v>
      </c>
      <c r="M531" s="125">
        <f ca="1">IFERROR(__xludf.DUMMYFUNCTION("""COMPUTED_VALUE"""),44007.6666666666)</f>
        <v>44007.666666666599</v>
      </c>
      <c r="N531">
        <f ca="1">IFERROR(__xludf.DUMMYFUNCTION("""COMPUTED_VALUE"""),35.48)</f>
        <v>35.479999999999997</v>
      </c>
      <c r="O531" s="125">
        <f ca="1">IFERROR(__xludf.DUMMYFUNCTION("""COMPUTED_VALUE"""),43475.6666666666)</f>
        <v>43475.666666666599</v>
      </c>
      <c r="P531">
        <f ca="1">IFERROR(__xludf.DUMMYFUNCTION("""COMPUTED_VALUE"""),29.08)</f>
        <v>29.08</v>
      </c>
    </row>
    <row r="532" spans="2:16" ht="12.75">
      <c r="B532" s="125">
        <f ca="1">IFERROR(__xludf.DUMMYFUNCTION("""COMPUTED_VALUE"""),43476.6666666666)</f>
        <v>43476.666666666599</v>
      </c>
      <c r="C532">
        <f ca="1">IFERROR(__xludf.DUMMYFUNCTION("""COMPUTED_VALUE"""),28.73)</f>
        <v>28.73</v>
      </c>
      <c r="D532">
        <v>23.48</v>
      </c>
      <c r="E532">
        <v>25.36</v>
      </c>
      <c r="F532">
        <v>27.11</v>
      </c>
      <c r="G532">
        <v>8.89</v>
      </c>
      <c r="H532">
        <v>181.8</v>
      </c>
      <c r="I532">
        <v>24.51</v>
      </c>
      <c r="J532">
        <v>51.63</v>
      </c>
      <c r="K532">
        <v>118.54</v>
      </c>
      <c r="L532">
        <v>25.74</v>
      </c>
      <c r="M532" s="125">
        <f ca="1">IFERROR(__xludf.DUMMYFUNCTION("""COMPUTED_VALUE"""),44008.6666666666)</f>
        <v>44008.666666666599</v>
      </c>
      <c r="N532">
        <f ca="1">IFERROR(__xludf.DUMMYFUNCTION("""COMPUTED_VALUE"""),34.69)</f>
        <v>34.69</v>
      </c>
      <c r="O532" s="125">
        <f ca="1">IFERROR(__xludf.DUMMYFUNCTION("""COMPUTED_VALUE"""),43476.6666666666)</f>
        <v>43476.666666666599</v>
      </c>
      <c r="P532">
        <f ca="1">IFERROR(__xludf.DUMMYFUNCTION("""COMPUTED_VALUE"""),28.73)</f>
        <v>28.73</v>
      </c>
    </row>
    <row r="533" spans="2:16" ht="12.75">
      <c r="B533" s="125">
        <f ca="1">IFERROR(__xludf.DUMMYFUNCTION("""COMPUTED_VALUE"""),43479.6666666666)</f>
        <v>43479.666666666599</v>
      </c>
      <c r="C533">
        <f ca="1">IFERROR(__xludf.DUMMYFUNCTION("""COMPUTED_VALUE"""),28.04)</f>
        <v>28.04</v>
      </c>
      <c r="D533">
        <v>23.21</v>
      </c>
      <c r="E533">
        <v>25.36</v>
      </c>
      <c r="F533">
        <v>26.89</v>
      </c>
      <c r="G533">
        <v>8.85</v>
      </c>
      <c r="H533">
        <v>181.72</v>
      </c>
      <c r="I533">
        <v>24.47</v>
      </c>
      <c r="J533">
        <v>51.38</v>
      </c>
      <c r="K533">
        <v>116.03</v>
      </c>
      <c r="L533">
        <v>25.93</v>
      </c>
      <c r="M533" s="125">
        <f ca="1">IFERROR(__xludf.DUMMYFUNCTION("""COMPUTED_VALUE"""),44011.6666666666)</f>
        <v>44011.666666666599</v>
      </c>
      <c r="N533">
        <f ca="1">IFERROR(__xludf.DUMMYFUNCTION("""COMPUTED_VALUE"""),35.16)</f>
        <v>35.159999999999997</v>
      </c>
      <c r="O533" s="125">
        <f ca="1">IFERROR(__xludf.DUMMYFUNCTION("""COMPUTED_VALUE"""),43479.6666666666)</f>
        <v>43479.666666666599</v>
      </c>
      <c r="P533">
        <f ca="1">IFERROR(__xludf.DUMMYFUNCTION("""COMPUTED_VALUE"""),28.04)</f>
        <v>28.04</v>
      </c>
    </row>
    <row r="534" spans="2:16" ht="12.75">
      <c r="B534" s="125">
        <f ca="1">IFERROR(__xludf.DUMMYFUNCTION("""COMPUTED_VALUE"""),43480.6666666666)</f>
        <v>43480.666666666599</v>
      </c>
      <c r="C534">
        <f ca="1">IFERROR(__xludf.DUMMYFUNCTION("""COMPUTED_VALUE"""),28.59)</f>
        <v>28.59</v>
      </c>
      <c r="D534">
        <v>23.51</v>
      </c>
      <c r="E534">
        <v>25.45</v>
      </c>
      <c r="F534">
        <v>26.99</v>
      </c>
      <c r="G534">
        <v>8.8000000000000007</v>
      </c>
      <c r="H534">
        <v>182.1</v>
      </c>
      <c r="I534">
        <v>24.56</v>
      </c>
      <c r="J534">
        <v>51.89</v>
      </c>
      <c r="K534">
        <v>117.56</v>
      </c>
      <c r="L534">
        <v>25.24</v>
      </c>
      <c r="M534" s="125">
        <f ca="1">IFERROR(__xludf.DUMMYFUNCTION("""COMPUTED_VALUE"""),44012.6666666666)</f>
        <v>44012.666666666599</v>
      </c>
      <c r="N534">
        <f ca="1">IFERROR(__xludf.DUMMYFUNCTION("""COMPUTED_VALUE"""),35.55)</f>
        <v>35.549999999999997</v>
      </c>
      <c r="O534" s="125">
        <f ca="1">IFERROR(__xludf.DUMMYFUNCTION("""COMPUTED_VALUE"""),43480.6666666666)</f>
        <v>43480.666666666599</v>
      </c>
      <c r="P534">
        <f ca="1">IFERROR(__xludf.DUMMYFUNCTION("""COMPUTED_VALUE"""),28.59)</f>
        <v>28.59</v>
      </c>
    </row>
    <row r="535" spans="2:16" ht="12.75">
      <c r="B535" s="125">
        <f ca="1">IFERROR(__xludf.DUMMYFUNCTION("""COMPUTED_VALUE"""),43481.6666666666)</f>
        <v>43481.666666666599</v>
      </c>
      <c r="C535">
        <f ca="1">IFERROR(__xludf.DUMMYFUNCTION("""COMPUTED_VALUE"""),29.02)</f>
        <v>29.02</v>
      </c>
      <c r="D535">
        <v>23.85</v>
      </c>
      <c r="E535">
        <v>25.48</v>
      </c>
      <c r="F535">
        <v>27</v>
      </c>
      <c r="G535">
        <v>8.83</v>
      </c>
      <c r="H535">
        <v>181.73</v>
      </c>
      <c r="I535">
        <v>24.62</v>
      </c>
      <c r="J535">
        <v>51.61</v>
      </c>
      <c r="K535">
        <v>118</v>
      </c>
      <c r="L535">
        <v>27.3</v>
      </c>
      <c r="M535" s="125">
        <f ca="1">IFERROR(__xludf.DUMMYFUNCTION("""COMPUTED_VALUE"""),44013.6666666666)</f>
        <v>44013.666666666599</v>
      </c>
      <c r="N535">
        <f ca="1">IFERROR(__xludf.DUMMYFUNCTION("""COMPUTED_VALUE"""),36.59)</f>
        <v>36.590000000000003</v>
      </c>
      <c r="O535" s="125">
        <f ca="1">IFERROR(__xludf.DUMMYFUNCTION("""COMPUTED_VALUE"""),43481.6666666666)</f>
        <v>43481.666666666599</v>
      </c>
      <c r="P535">
        <f ca="1">IFERROR(__xludf.DUMMYFUNCTION("""COMPUTED_VALUE"""),29.02)</f>
        <v>29.02</v>
      </c>
    </row>
    <row r="536" spans="2:16" ht="12.75">
      <c r="B536" s="125">
        <f ca="1">IFERROR(__xludf.DUMMYFUNCTION("""COMPUTED_VALUE"""),43482.6666666666)</f>
        <v>43482.666666666599</v>
      </c>
      <c r="C536">
        <f ca="1">IFERROR(__xludf.DUMMYFUNCTION("""COMPUTED_VALUE"""),29.26)</f>
        <v>29.26</v>
      </c>
      <c r="D536">
        <v>24.19</v>
      </c>
      <c r="E536">
        <v>25.48</v>
      </c>
      <c r="F536">
        <v>27.11</v>
      </c>
      <c r="G536">
        <v>8.9600000000000009</v>
      </c>
      <c r="H536">
        <v>184.52</v>
      </c>
      <c r="I536">
        <v>24.68</v>
      </c>
      <c r="J536">
        <v>51.83</v>
      </c>
      <c r="K536">
        <v>118.71</v>
      </c>
      <c r="L536">
        <v>27.48</v>
      </c>
      <c r="M536" s="125">
        <f ca="1">IFERROR(__xludf.DUMMYFUNCTION("""COMPUTED_VALUE"""),44014.6666666666)</f>
        <v>44014.666666666599</v>
      </c>
      <c r="N536">
        <f ca="1">IFERROR(__xludf.DUMMYFUNCTION("""COMPUTED_VALUE"""),36.51)</f>
        <v>36.51</v>
      </c>
      <c r="O536" s="125">
        <f ca="1">IFERROR(__xludf.DUMMYFUNCTION("""COMPUTED_VALUE"""),43482.6666666666)</f>
        <v>43482.666666666599</v>
      </c>
      <c r="P536">
        <f ca="1">IFERROR(__xludf.DUMMYFUNCTION("""COMPUTED_VALUE"""),29.26)</f>
        <v>29.26</v>
      </c>
    </row>
    <row r="537" spans="2:16" ht="12.75">
      <c r="B537" s="125">
        <f ca="1">IFERROR(__xludf.DUMMYFUNCTION("""COMPUTED_VALUE"""),43483.6666666666)</f>
        <v>43483.666666666599</v>
      </c>
      <c r="C537">
        <f ca="1">IFERROR(__xludf.DUMMYFUNCTION("""COMPUTED_VALUE"""),29.71)</f>
        <v>29.71</v>
      </c>
      <c r="D537">
        <v>24.88</v>
      </c>
      <c r="E537">
        <v>25.56</v>
      </c>
      <c r="F537">
        <v>27.46</v>
      </c>
      <c r="G537">
        <v>8.9499999999999993</v>
      </c>
      <c r="H537">
        <v>187.36</v>
      </c>
      <c r="I537">
        <v>25.26</v>
      </c>
      <c r="J537">
        <v>52.45</v>
      </c>
      <c r="K537">
        <v>118.83</v>
      </c>
      <c r="L537">
        <v>28.14</v>
      </c>
      <c r="M537" s="125">
        <f ca="1">IFERROR(__xludf.DUMMYFUNCTION("""COMPUTED_VALUE"""),44018.6666666666)</f>
        <v>44018.666666666599</v>
      </c>
      <c r="N537">
        <f ca="1">IFERROR(__xludf.DUMMYFUNCTION("""COMPUTED_VALUE"""),36.53)</f>
        <v>36.53</v>
      </c>
      <c r="O537" s="125">
        <f ca="1">IFERROR(__xludf.DUMMYFUNCTION("""COMPUTED_VALUE"""),43483.6666666666)</f>
        <v>43483.666666666599</v>
      </c>
      <c r="P537">
        <f ca="1">IFERROR(__xludf.DUMMYFUNCTION("""COMPUTED_VALUE"""),29.71)</f>
        <v>29.71</v>
      </c>
    </row>
    <row r="538" spans="2:16" ht="12.75">
      <c r="B538" s="125">
        <f ca="1">IFERROR(__xludf.DUMMYFUNCTION("""COMPUTED_VALUE"""),43487.6666666666)</f>
        <v>43487.666666666599</v>
      </c>
      <c r="C538">
        <f ca="1">IFERROR(__xludf.DUMMYFUNCTION("""COMPUTED_VALUE"""),28.76)</f>
        <v>28.76</v>
      </c>
      <c r="D538">
        <v>24.42</v>
      </c>
      <c r="E538">
        <v>25.56</v>
      </c>
      <c r="F538">
        <v>27.2</v>
      </c>
      <c r="G538">
        <v>8.84</v>
      </c>
      <c r="H538">
        <v>182.93</v>
      </c>
      <c r="I538">
        <v>24.82</v>
      </c>
      <c r="J538">
        <v>51.97</v>
      </c>
      <c r="K538">
        <v>118.9</v>
      </c>
      <c r="L538">
        <v>28.48</v>
      </c>
      <c r="M538" s="125">
        <f ca="1">IFERROR(__xludf.DUMMYFUNCTION("""COMPUTED_VALUE"""),44019.6666666666)</f>
        <v>44019.666666666599</v>
      </c>
      <c r="N538">
        <f ca="1">IFERROR(__xludf.DUMMYFUNCTION("""COMPUTED_VALUE"""),36.35)</f>
        <v>36.35</v>
      </c>
      <c r="O538" s="125">
        <f ca="1">IFERROR(__xludf.DUMMYFUNCTION("""COMPUTED_VALUE"""),43487.6666666666)</f>
        <v>43487.666666666599</v>
      </c>
      <c r="P538">
        <f ca="1">IFERROR(__xludf.DUMMYFUNCTION("""COMPUTED_VALUE"""),28.76)</f>
        <v>28.76</v>
      </c>
    </row>
    <row r="539" spans="2:16" ht="12.75">
      <c r="B539" s="125">
        <f ca="1">IFERROR(__xludf.DUMMYFUNCTION("""COMPUTED_VALUE"""),43488.6666666666)</f>
        <v>43488.666666666599</v>
      </c>
      <c r="C539">
        <f ca="1">IFERROR(__xludf.DUMMYFUNCTION("""COMPUTED_VALUE"""),28.82)</f>
        <v>28.82</v>
      </c>
      <c r="D539">
        <v>24.7</v>
      </c>
      <c r="E539">
        <v>25.5</v>
      </c>
      <c r="F539">
        <v>27.48</v>
      </c>
      <c r="G539">
        <v>8.9499999999999993</v>
      </c>
      <c r="H539">
        <v>185.27</v>
      </c>
      <c r="I539">
        <v>24.93</v>
      </c>
      <c r="J539">
        <v>52.59</v>
      </c>
      <c r="K539">
        <v>120.18</v>
      </c>
      <c r="L539">
        <v>28.41</v>
      </c>
      <c r="M539" s="125">
        <f ca="1">IFERROR(__xludf.DUMMYFUNCTION("""COMPUTED_VALUE"""),44020.6666666666)</f>
        <v>44020.666666666599</v>
      </c>
      <c r="N539">
        <f ca="1">IFERROR(__xludf.DUMMYFUNCTION("""COMPUTED_VALUE"""),36.67)</f>
        <v>36.67</v>
      </c>
      <c r="O539" s="125">
        <f ca="1">IFERROR(__xludf.DUMMYFUNCTION("""COMPUTED_VALUE"""),43488.6666666666)</f>
        <v>43488.666666666599</v>
      </c>
      <c r="P539">
        <f ca="1">IFERROR(__xludf.DUMMYFUNCTION("""COMPUTED_VALUE"""),28.82)</f>
        <v>28.82</v>
      </c>
    </row>
    <row r="540" spans="2:16" ht="12.75">
      <c r="B540" s="125">
        <f ca="1">IFERROR(__xludf.DUMMYFUNCTION("""COMPUTED_VALUE"""),43489.6666666666)</f>
        <v>43489.666666666599</v>
      </c>
      <c r="C540">
        <f ca="1">IFERROR(__xludf.DUMMYFUNCTION("""COMPUTED_VALUE"""),29.1)</f>
        <v>29.1</v>
      </c>
      <c r="D540">
        <v>25.1</v>
      </c>
      <c r="E540">
        <v>25.65</v>
      </c>
      <c r="F540">
        <v>27.62</v>
      </c>
      <c r="G540">
        <v>9.15</v>
      </c>
      <c r="H540">
        <v>186.94</v>
      </c>
      <c r="I540">
        <v>25.15</v>
      </c>
      <c r="J540">
        <v>51.94</v>
      </c>
      <c r="K540">
        <v>120.84</v>
      </c>
      <c r="L540">
        <v>29.38</v>
      </c>
      <c r="M540" s="125">
        <f ca="1">IFERROR(__xludf.DUMMYFUNCTION("""COMPUTED_VALUE"""),44021.6666666666)</f>
        <v>44021.666666666599</v>
      </c>
      <c r="N540">
        <f ca="1">IFERROR(__xludf.DUMMYFUNCTION("""COMPUTED_VALUE"""),36.6)</f>
        <v>36.6</v>
      </c>
      <c r="O540" s="125">
        <f ca="1">IFERROR(__xludf.DUMMYFUNCTION("""COMPUTED_VALUE"""),43489.6666666666)</f>
        <v>43489.666666666599</v>
      </c>
      <c r="P540">
        <f ca="1">IFERROR(__xludf.DUMMYFUNCTION("""COMPUTED_VALUE"""),29.1)</f>
        <v>29.1</v>
      </c>
    </row>
    <row r="541" spans="2:16" ht="12.75">
      <c r="B541" s="125">
        <f ca="1">IFERROR(__xludf.DUMMYFUNCTION("""COMPUTED_VALUE"""),43490.6666666666)</f>
        <v>43490.666666666599</v>
      </c>
      <c r="C541">
        <f ca="1">IFERROR(__xludf.DUMMYFUNCTION("""COMPUTED_VALUE"""),29.74)</f>
        <v>29.74</v>
      </c>
      <c r="D541">
        <v>25.65</v>
      </c>
      <c r="E541">
        <v>25.44</v>
      </c>
      <c r="F541">
        <v>28.08</v>
      </c>
      <c r="G541">
        <v>9.2100000000000009</v>
      </c>
      <c r="H541">
        <v>188.62</v>
      </c>
      <c r="I541">
        <v>25.42</v>
      </c>
      <c r="J541">
        <v>51.73</v>
      </c>
      <c r="K541">
        <v>119.25</v>
      </c>
      <c r="L541">
        <v>28.55</v>
      </c>
      <c r="M541" s="125">
        <f ca="1">IFERROR(__xludf.DUMMYFUNCTION("""COMPUTED_VALUE"""),44022.6666666666)</f>
        <v>44022.666666666599</v>
      </c>
      <c r="N541">
        <f ca="1">IFERROR(__xludf.DUMMYFUNCTION("""COMPUTED_VALUE"""),36.37)</f>
        <v>36.369999999999997</v>
      </c>
      <c r="O541" s="125">
        <f ca="1">IFERROR(__xludf.DUMMYFUNCTION("""COMPUTED_VALUE"""),43490.6666666666)</f>
        <v>43490.666666666599</v>
      </c>
      <c r="P541">
        <f ca="1">IFERROR(__xludf.DUMMYFUNCTION("""COMPUTED_VALUE"""),29.74)</f>
        <v>29.74</v>
      </c>
    </row>
    <row r="542" spans="2:16" ht="12.75">
      <c r="B542" s="125">
        <f ca="1">IFERROR(__xludf.DUMMYFUNCTION("""COMPUTED_VALUE"""),43493.6666666666)</f>
        <v>43493.666666666599</v>
      </c>
      <c r="C542">
        <f ca="1">IFERROR(__xludf.DUMMYFUNCTION("""COMPUTED_VALUE"""),29.52)</f>
        <v>29.52</v>
      </c>
      <c r="D542">
        <v>25.4</v>
      </c>
      <c r="E542">
        <v>25.46</v>
      </c>
      <c r="F542">
        <v>28.04</v>
      </c>
      <c r="G542">
        <v>9.16</v>
      </c>
      <c r="H542">
        <v>188.4</v>
      </c>
      <c r="I542">
        <v>25.38</v>
      </c>
      <c r="J542">
        <v>51.95</v>
      </c>
      <c r="K542">
        <v>118.65</v>
      </c>
      <c r="L542">
        <v>28.98</v>
      </c>
      <c r="M542" s="125">
        <f ca="1">IFERROR(__xludf.DUMMYFUNCTION("""COMPUTED_VALUE"""),44025.6666666666)</f>
        <v>44025.666666666599</v>
      </c>
      <c r="N542">
        <f ca="1">IFERROR(__xludf.DUMMYFUNCTION("""COMPUTED_VALUE"""),35.38)</f>
        <v>35.380000000000003</v>
      </c>
      <c r="O542" s="125">
        <f ca="1">IFERROR(__xludf.DUMMYFUNCTION("""COMPUTED_VALUE"""),43493.6666666666)</f>
        <v>43493.666666666599</v>
      </c>
      <c r="P542">
        <f ca="1">IFERROR(__xludf.DUMMYFUNCTION("""COMPUTED_VALUE"""),29.52)</f>
        <v>29.52</v>
      </c>
    </row>
    <row r="543" spans="2:16" ht="12.75">
      <c r="B543" s="125">
        <f ca="1">IFERROR(__xludf.DUMMYFUNCTION("""COMPUTED_VALUE"""),43494.6666666666)</f>
        <v>43494.666666666599</v>
      </c>
      <c r="C543">
        <f ca="1">IFERROR(__xludf.DUMMYFUNCTION("""COMPUTED_VALUE"""),29.48)</f>
        <v>29.48</v>
      </c>
      <c r="D543">
        <v>24.96</v>
      </c>
      <c r="E543">
        <v>25.47</v>
      </c>
      <c r="F543">
        <v>28.16</v>
      </c>
      <c r="G543">
        <v>9.26</v>
      </c>
      <c r="H543">
        <v>192.02</v>
      </c>
      <c r="I543">
        <v>25.29</v>
      </c>
      <c r="J543">
        <v>52.07</v>
      </c>
      <c r="K543">
        <v>118.99</v>
      </c>
      <c r="L543">
        <v>29.71</v>
      </c>
      <c r="M543" s="125">
        <f ca="1">IFERROR(__xludf.DUMMYFUNCTION("""COMPUTED_VALUE"""),44026.6666666666)</f>
        <v>44026.666666666599</v>
      </c>
      <c r="N543">
        <f ca="1">IFERROR(__xludf.DUMMYFUNCTION("""COMPUTED_VALUE"""),35.84)</f>
        <v>35.840000000000003</v>
      </c>
      <c r="O543" s="125">
        <f ca="1">IFERROR(__xludf.DUMMYFUNCTION("""COMPUTED_VALUE"""),43494.6666666666)</f>
        <v>43494.666666666599</v>
      </c>
      <c r="P543">
        <f ca="1">IFERROR(__xludf.DUMMYFUNCTION("""COMPUTED_VALUE"""),29.48)</f>
        <v>29.48</v>
      </c>
    </row>
    <row r="544" spans="2:16" ht="12.75">
      <c r="B544" s="125">
        <f ca="1">IFERROR(__xludf.DUMMYFUNCTION("""COMPUTED_VALUE"""),43495.6666666666)</f>
        <v>43495.666666666599</v>
      </c>
      <c r="C544">
        <f ca="1">IFERROR(__xludf.DUMMYFUNCTION("""COMPUTED_VALUE"""),30.11)</f>
        <v>30.11</v>
      </c>
      <c r="D544">
        <v>25.09</v>
      </c>
      <c r="E544">
        <v>25.34</v>
      </c>
      <c r="F544">
        <v>28.46</v>
      </c>
      <c r="G544">
        <v>9.32</v>
      </c>
      <c r="H544">
        <v>194.69</v>
      </c>
      <c r="I544">
        <v>25.32</v>
      </c>
      <c r="J544">
        <v>52.42</v>
      </c>
      <c r="K544">
        <v>119.75</v>
      </c>
      <c r="L544">
        <v>29.51</v>
      </c>
      <c r="M544" s="125">
        <f ca="1">IFERROR(__xludf.DUMMYFUNCTION("""COMPUTED_VALUE"""),44027.6666666666)</f>
        <v>44027.666666666599</v>
      </c>
      <c r="N544">
        <f ca="1">IFERROR(__xludf.DUMMYFUNCTION("""COMPUTED_VALUE"""),35.88)</f>
        <v>35.880000000000003</v>
      </c>
      <c r="O544" s="125">
        <f ca="1">IFERROR(__xludf.DUMMYFUNCTION("""COMPUTED_VALUE"""),43495.6666666666)</f>
        <v>43495.666666666599</v>
      </c>
      <c r="P544">
        <f ca="1">IFERROR(__xludf.DUMMYFUNCTION("""COMPUTED_VALUE"""),30.11)</f>
        <v>30.11</v>
      </c>
    </row>
    <row r="545" spans="2:16" ht="12.75">
      <c r="B545" s="125">
        <f ca="1">IFERROR(__xludf.DUMMYFUNCTION("""COMPUTED_VALUE"""),43496.6666666666)</f>
        <v>43496.666666666599</v>
      </c>
      <c r="C545">
        <f ca="1">IFERROR(__xludf.DUMMYFUNCTION("""COMPUTED_VALUE"""),30.5)</f>
        <v>30.5</v>
      </c>
      <c r="D545">
        <v>25.08</v>
      </c>
      <c r="E545">
        <v>25.39</v>
      </c>
      <c r="F545">
        <v>28.33</v>
      </c>
      <c r="G545">
        <v>9.49</v>
      </c>
      <c r="H545">
        <v>194.5</v>
      </c>
      <c r="I545">
        <v>25.19</v>
      </c>
      <c r="J545">
        <v>53.39</v>
      </c>
      <c r="K545">
        <v>122.21</v>
      </c>
      <c r="L545">
        <v>28.78</v>
      </c>
      <c r="M545" s="125">
        <f ca="1">IFERROR(__xludf.DUMMYFUNCTION("""COMPUTED_VALUE"""),44028.6666666666)</f>
        <v>44028.666666666599</v>
      </c>
      <c r="N545">
        <f ca="1">IFERROR(__xludf.DUMMYFUNCTION("""COMPUTED_VALUE"""),35.56)</f>
        <v>35.56</v>
      </c>
      <c r="O545" s="125">
        <f ca="1">IFERROR(__xludf.DUMMYFUNCTION("""COMPUTED_VALUE"""),43496.6666666666)</f>
        <v>43496.666666666599</v>
      </c>
      <c r="P545">
        <f ca="1">IFERROR(__xludf.DUMMYFUNCTION("""COMPUTED_VALUE"""),30.5)</f>
        <v>30.5</v>
      </c>
    </row>
    <row r="546" spans="2:16" ht="12.75">
      <c r="B546" s="125">
        <f ca="1">IFERROR(__xludf.DUMMYFUNCTION("""COMPUTED_VALUE"""),43497.6666666666)</f>
        <v>43497.666666666599</v>
      </c>
      <c r="C546">
        <f ca="1">IFERROR(__xludf.DUMMYFUNCTION("""COMPUTED_VALUE"""),30.36)</f>
        <v>30.36</v>
      </c>
      <c r="D546">
        <v>24.8</v>
      </c>
      <c r="E546">
        <v>25.39</v>
      </c>
      <c r="F546">
        <v>28.44</v>
      </c>
      <c r="G546">
        <v>9.5</v>
      </c>
      <c r="H546">
        <v>194.8</v>
      </c>
      <c r="I546">
        <v>25.2</v>
      </c>
      <c r="J546">
        <v>53.22</v>
      </c>
      <c r="K546">
        <v>121.79</v>
      </c>
      <c r="L546">
        <v>29.3</v>
      </c>
      <c r="M546" s="125">
        <f ca="1">IFERROR(__xludf.DUMMYFUNCTION("""COMPUTED_VALUE"""),44029.6666666666)</f>
        <v>44029.666666666599</v>
      </c>
      <c r="N546">
        <f ca="1">IFERROR(__xludf.DUMMYFUNCTION("""COMPUTED_VALUE"""),36.04)</f>
        <v>36.04</v>
      </c>
      <c r="O546" s="125">
        <f ca="1">IFERROR(__xludf.DUMMYFUNCTION("""COMPUTED_VALUE"""),43497.6666666666)</f>
        <v>43497.666666666599</v>
      </c>
      <c r="P546">
        <f ca="1">IFERROR(__xludf.DUMMYFUNCTION("""COMPUTED_VALUE"""),30.36)</f>
        <v>30.36</v>
      </c>
    </row>
    <row r="547" spans="2:16" ht="12.75">
      <c r="B547" s="125">
        <f ca="1">IFERROR(__xludf.DUMMYFUNCTION("""COMPUTED_VALUE"""),43500.6666666666)</f>
        <v>43500.666666666599</v>
      </c>
      <c r="C547">
        <f ca="1">IFERROR(__xludf.DUMMYFUNCTION("""COMPUTED_VALUE"""),30.46)</f>
        <v>30.46</v>
      </c>
      <c r="D547">
        <v>25.37</v>
      </c>
      <c r="E547">
        <v>25.46</v>
      </c>
      <c r="F547">
        <v>28.59</v>
      </c>
      <c r="G547">
        <v>9.49</v>
      </c>
      <c r="H547">
        <v>198.86</v>
      </c>
      <c r="I547">
        <v>25.26</v>
      </c>
      <c r="J547">
        <v>53.56</v>
      </c>
      <c r="K547">
        <v>121.99</v>
      </c>
      <c r="L547">
        <v>29.37</v>
      </c>
      <c r="M547" s="125">
        <f ca="1">IFERROR(__xludf.DUMMYFUNCTION("""COMPUTED_VALUE"""),44032.6666666666)</f>
        <v>44032.666666666599</v>
      </c>
      <c r="N547">
        <f ca="1">IFERROR(__xludf.DUMMYFUNCTION("""COMPUTED_VALUE"""),36.19)</f>
        <v>36.19</v>
      </c>
      <c r="O547" s="125">
        <f ca="1">IFERROR(__xludf.DUMMYFUNCTION("""COMPUTED_VALUE"""),43500.6666666666)</f>
        <v>43500.666666666599</v>
      </c>
      <c r="P547">
        <f ca="1">IFERROR(__xludf.DUMMYFUNCTION("""COMPUTED_VALUE"""),30.46)</f>
        <v>30.46</v>
      </c>
    </row>
    <row r="548" spans="2:16" ht="12.75">
      <c r="B548" s="125">
        <f ca="1">IFERROR(__xludf.DUMMYFUNCTION("""COMPUTED_VALUE"""),43501.6666666666)</f>
        <v>43501.666666666599</v>
      </c>
      <c r="C548">
        <f ca="1">IFERROR(__xludf.DUMMYFUNCTION("""COMPUTED_VALUE"""),31.05)</f>
        <v>31.05</v>
      </c>
      <c r="D548">
        <v>25.7</v>
      </c>
      <c r="E548">
        <v>25.53</v>
      </c>
      <c r="F548">
        <v>28.87</v>
      </c>
      <c r="G548">
        <v>9.56</v>
      </c>
      <c r="H548">
        <v>201</v>
      </c>
      <c r="I548">
        <v>25.63</v>
      </c>
      <c r="J548">
        <v>53.57</v>
      </c>
      <c r="K548">
        <v>122.15</v>
      </c>
      <c r="L548">
        <v>29.74</v>
      </c>
      <c r="M548" s="125">
        <f ca="1">IFERROR(__xludf.DUMMYFUNCTION("""COMPUTED_VALUE"""),44033.6666666666)</f>
        <v>44033.666666666599</v>
      </c>
      <c r="N548">
        <f ca="1">IFERROR(__xludf.DUMMYFUNCTION("""COMPUTED_VALUE"""),36.3)</f>
        <v>36.299999999999997</v>
      </c>
      <c r="O548" s="125">
        <f ca="1">IFERROR(__xludf.DUMMYFUNCTION("""COMPUTED_VALUE"""),43501.6666666666)</f>
        <v>43501.666666666599</v>
      </c>
      <c r="P548">
        <f ca="1">IFERROR(__xludf.DUMMYFUNCTION("""COMPUTED_VALUE"""),31.05)</f>
        <v>31.05</v>
      </c>
    </row>
    <row r="549" spans="2:16" ht="12.75">
      <c r="B549" s="125">
        <f ca="1">IFERROR(__xludf.DUMMYFUNCTION("""COMPUTED_VALUE"""),43502.6666666666)</f>
        <v>43502.666666666599</v>
      </c>
      <c r="C549">
        <f ca="1">IFERROR(__xludf.DUMMYFUNCTION("""COMPUTED_VALUE"""),30.58)</f>
        <v>30.58</v>
      </c>
      <c r="D549">
        <v>25.66</v>
      </c>
      <c r="E549">
        <v>25.63</v>
      </c>
      <c r="F549">
        <v>29.07</v>
      </c>
      <c r="G549">
        <v>9.5</v>
      </c>
      <c r="H549">
        <v>201.19</v>
      </c>
      <c r="I549">
        <v>25.52</v>
      </c>
      <c r="J549">
        <v>53.58</v>
      </c>
      <c r="K549">
        <v>121.84</v>
      </c>
      <c r="L549">
        <v>30.57</v>
      </c>
      <c r="M549" s="125">
        <f ca="1">IFERROR(__xludf.DUMMYFUNCTION("""COMPUTED_VALUE"""),44034.6666666666)</f>
        <v>44034.666666666599</v>
      </c>
      <c r="N549">
        <f ca="1">IFERROR(__xludf.DUMMYFUNCTION("""COMPUTED_VALUE"""),36.42)</f>
        <v>36.42</v>
      </c>
      <c r="O549" s="125">
        <f ca="1">IFERROR(__xludf.DUMMYFUNCTION("""COMPUTED_VALUE"""),43502.6666666666)</f>
        <v>43502.666666666599</v>
      </c>
      <c r="P549">
        <f ca="1">IFERROR(__xludf.DUMMYFUNCTION("""COMPUTED_VALUE"""),30.58)</f>
        <v>30.58</v>
      </c>
    </row>
    <row r="550" spans="2:16" ht="12.75">
      <c r="B550" s="125">
        <f ca="1">IFERROR(__xludf.DUMMYFUNCTION("""COMPUTED_VALUE"""),43503.6666666666)</f>
        <v>43503.666666666599</v>
      </c>
      <c r="C550">
        <f ca="1">IFERROR(__xludf.DUMMYFUNCTION("""COMPUTED_VALUE"""),29.82)</f>
        <v>29.82</v>
      </c>
      <c r="D550">
        <v>25.37</v>
      </c>
      <c r="E550">
        <v>25.69</v>
      </c>
      <c r="F550">
        <v>28.67</v>
      </c>
      <c r="G550">
        <v>9.4</v>
      </c>
      <c r="H550">
        <v>200.2</v>
      </c>
      <c r="I550">
        <v>24.87</v>
      </c>
      <c r="J550">
        <v>53.54</v>
      </c>
      <c r="K550">
        <v>123.47</v>
      </c>
      <c r="L550">
        <v>30.77</v>
      </c>
      <c r="M550" s="125">
        <f ca="1">IFERROR(__xludf.DUMMYFUNCTION("""COMPUTED_VALUE"""),44035.6666666666)</f>
        <v>44035.666666666599</v>
      </c>
      <c r="N550">
        <f ca="1">IFERROR(__xludf.DUMMYFUNCTION("""COMPUTED_VALUE"""),36.29)</f>
        <v>36.29</v>
      </c>
      <c r="O550" s="125">
        <f ca="1">IFERROR(__xludf.DUMMYFUNCTION("""COMPUTED_VALUE"""),43503.6666666666)</f>
        <v>43503.666666666599</v>
      </c>
      <c r="P550">
        <f ca="1">IFERROR(__xludf.DUMMYFUNCTION("""COMPUTED_VALUE"""),29.82)</f>
        <v>29.82</v>
      </c>
    </row>
    <row r="551" spans="2:16" ht="12.75">
      <c r="B551" s="125">
        <f ca="1">IFERROR(__xludf.DUMMYFUNCTION("""COMPUTED_VALUE"""),43504.6666666666)</f>
        <v>43504.666666666599</v>
      </c>
      <c r="C551">
        <f ca="1">IFERROR(__xludf.DUMMYFUNCTION("""COMPUTED_VALUE"""),29.86)</f>
        <v>29.86</v>
      </c>
      <c r="D551">
        <v>25.35</v>
      </c>
      <c r="E551">
        <v>25.72</v>
      </c>
      <c r="F551">
        <v>28.52</v>
      </c>
      <c r="G551">
        <v>9.3800000000000008</v>
      </c>
      <c r="H551">
        <v>200.78</v>
      </c>
      <c r="I551">
        <v>24.66</v>
      </c>
      <c r="J551">
        <v>53.79</v>
      </c>
      <c r="K551">
        <v>124.15</v>
      </c>
      <c r="L551">
        <v>31.84</v>
      </c>
      <c r="M551" s="125">
        <f ca="1">IFERROR(__xludf.DUMMYFUNCTION("""COMPUTED_VALUE"""),44036.6666666666)</f>
        <v>44036.666666666599</v>
      </c>
      <c r="N551">
        <f ca="1">IFERROR(__xludf.DUMMYFUNCTION("""COMPUTED_VALUE"""),36.07)</f>
        <v>36.07</v>
      </c>
      <c r="O551" s="125">
        <f ca="1">IFERROR(__xludf.DUMMYFUNCTION("""COMPUTED_VALUE"""),43504.6666666666)</f>
        <v>43504.666666666599</v>
      </c>
      <c r="P551">
        <f ca="1">IFERROR(__xludf.DUMMYFUNCTION("""COMPUTED_VALUE"""),29.86)</f>
        <v>29.86</v>
      </c>
    </row>
    <row r="552" spans="2:16" ht="12.75">
      <c r="B552" s="125">
        <f ca="1">IFERROR(__xludf.DUMMYFUNCTION("""COMPUTED_VALUE"""),43507.6666666666)</f>
        <v>43507.666666666599</v>
      </c>
      <c r="C552">
        <f ca="1">IFERROR(__xludf.DUMMYFUNCTION("""COMPUTED_VALUE"""),29.98)</f>
        <v>29.98</v>
      </c>
      <c r="D552">
        <v>25.48</v>
      </c>
      <c r="E552">
        <v>25.82</v>
      </c>
      <c r="F552">
        <v>28.45</v>
      </c>
      <c r="G552">
        <v>9.4600000000000009</v>
      </c>
      <c r="H552">
        <v>201.6</v>
      </c>
      <c r="I552">
        <v>24.8</v>
      </c>
      <c r="J552">
        <v>53.93</v>
      </c>
      <c r="K552">
        <v>124.02</v>
      </c>
      <c r="L552">
        <v>31.35</v>
      </c>
      <c r="M552" s="125">
        <f ca="1">IFERROR(__xludf.DUMMYFUNCTION("""COMPUTED_VALUE"""),44039.6666666666)</f>
        <v>44039.666666666599</v>
      </c>
      <c r="N552">
        <f ca="1">IFERROR(__xludf.DUMMYFUNCTION("""COMPUTED_VALUE"""),36.78)</f>
        <v>36.78</v>
      </c>
      <c r="O552" s="125">
        <f ca="1">IFERROR(__xludf.DUMMYFUNCTION("""COMPUTED_VALUE"""),43507.6666666666)</f>
        <v>43507.666666666599</v>
      </c>
      <c r="P552">
        <f ca="1">IFERROR(__xludf.DUMMYFUNCTION("""COMPUTED_VALUE"""),29.98)</f>
        <v>29.98</v>
      </c>
    </row>
    <row r="553" spans="2:16" ht="12.75">
      <c r="B553" s="125">
        <f ca="1">IFERROR(__xludf.DUMMYFUNCTION("""COMPUTED_VALUE"""),43508.6666666666)</f>
        <v>43508.666666666599</v>
      </c>
      <c r="C553">
        <f ca="1">IFERROR(__xludf.DUMMYFUNCTION("""COMPUTED_VALUE"""),30.36)</f>
        <v>30.36</v>
      </c>
      <c r="D553">
        <v>25.86</v>
      </c>
      <c r="E553">
        <v>25.73</v>
      </c>
      <c r="F553">
        <v>28.94</v>
      </c>
      <c r="G553">
        <v>9.5399999999999991</v>
      </c>
      <c r="H553">
        <v>203.99</v>
      </c>
      <c r="I553">
        <v>25.07</v>
      </c>
      <c r="J553">
        <v>54.35</v>
      </c>
      <c r="K553">
        <v>124.19</v>
      </c>
      <c r="L553">
        <v>30.31</v>
      </c>
      <c r="M553" s="125">
        <f ca="1">IFERROR(__xludf.DUMMYFUNCTION("""COMPUTED_VALUE"""),44040.6666666666)</f>
        <v>44040.666666666599</v>
      </c>
      <c r="N553">
        <f ca="1">IFERROR(__xludf.DUMMYFUNCTION("""COMPUTED_VALUE"""),37.04)</f>
        <v>37.04</v>
      </c>
      <c r="O553" s="125">
        <f ca="1">IFERROR(__xludf.DUMMYFUNCTION("""COMPUTED_VALUE"""),43508.6666666666)</f>
        <v>43508.666666666599</v>
      </c>
      <c r="P553">
        <f ca="1">IFERROR(__xludf.DUMMYFUNCTION("""COMPUTED_VALUE"""),30.36)</f>
        <v>30.36</v>
      </c>
    </row>
    <row r="554" spans="2:16" ht="12.75">
      <c r="B554" s="125">
        <f ca="1">IFERROR(__xludf.DUMMYFUNCTION("""COMPUTED_VALUE"""),43509.6666666666)</f>
        <v>43509.666666666599</v>
      </c>
      <c r="C554">
        <f ca="1">IFERROR(__xludf.DUMMYFUNCTION("""COMPUTED_VALUE"""),30.22)</f>
        <v>30.22</v>
      </c>
      <c r="D554">
        <v>25.83</v>
      </c>
      <c r="E554">
        <v>25.87</v>
      </c>
      <c r="F554">
        <v>28.9</v>
      </c>
      <c r="G554">
        <v>9.5500000000000007</v>
      </c>
      <c r="H554">
        <v>204.21</v>
      </c>
      <c r="I554">
        <v>25.15</v>
      </c>
      <c r="J554">
        <v>54.45</v>
      </c>
      <c r="K554">
        <v>123.89</v>
      </c>
      <c r="L554">
        <v>30.41</v>
      </c>
      <c r="M554" s="125">
        <f ca="1">IFERROR(__xludf.DUMMYFUNCTION("""COMPUTED_VALUE"""),44041.6666666666)</f>
        <v>44041.666666666599</v>
      </c>
      <c r="N554">
        <f ca="1">IFERROR(__xludf.DUMMYFUNCTION("""COMPUTED_VALUE"""),37.61)</f>
        <v>37.61</v>
      </c>
      <c r="O554" s="125">
        <f ca="1">IFERROR(__xludf.DUMMYFUNCTION("""COMPUTED_VALUE"""),43509.6666666666)</f>
        <v>43509.666666666599</v>
      </c>
      <c r="P554">
        <f ca="1">IFERROR(__xludf.DUMMYFUNCTION("""COMPUTED_VALUE"""),30.22)</f>
        <v>30.22</v>
      </c>
    </row>
    <row r="555" spans="2:16" ht="12.75">
      <c r="B555" s="125">
        <f ca="1">IFERROR(__xludf.DUMMYFUNCTION("""COMPUTED_VALUE"""),43510.6666666666)</f>
        <v>43510.666666666599</v>
      </c>
      <c r="C555">
        <f ca="1">IFERROR(__xludf.DUMMYFUNCTION("""COMPUTED_VALUE"""),30.31)</f>
        <v>30.31</v>
      </c>
      <c r="D555">
        <v>25.97</v>
      </c>
      <c r="E555">
        <v>25.84</v>
      </c>
      <c r="F555">
        <v>29.03</v>
      </c>
      <c r="G555">
        <v>9.64</v>
      </c>
      <c r="H555">
        <v>203.96</v>
      </c>
      <c r="I555">
        <v>25</v>
      </c>
      <c r="J555">
        <v>53.84</v>
      </c>
      <c r="K555">
        <v>123.72</v>
      </c>
      <c r="L555">
        <v>31.65</v>
      </c>
      <c r="M555" s="125">
        <f ca="1">IFERROR(__xludf.DUMMYFUNCTION("""COMPUTED_VALUE"""),44042.6666666666)</f>
        <v>44042.666666666599</v>
      </c>
      <c r="N555">
        <f ca="1">IFERROR(__xludf.DUMMYFUNCTION("""COMPUTED_VALUE"""),37.29)</f>
        <v>37.29</v>
      </c>
      <c r="O555" s="125">
        <f ca="1">IFERROR(__xludf.DUMMYFUNCTION("""COMPUTED_VALUE"""),43510.6666666666)</f>
        <v>43510.666666666599</v>
      </c>
      <c r="P555">
        <f ca="1">IFERROR(__xludf.DUMMYFUNCTION("""COMPUTED_VALUE"""),30.31)</f>
        <v>30.31</v>
      </c>
    </row>
    <row r="556" spans="2:16" ht="12.75">
      <c r="B556" s="125">
        <f ca="1">IFERROR(__xludf.DUMMYFUNCTION("""COMPUTED_VALUE"""),43511.6666666666)</f>
        <v>43511.666666666599</v>
      </c>
      <c r="C556">
        <f ca="1">IFERROR(__xludf.DUMMYFUNCTION("""COMPUTED_VALUE"""),29.93)</f>
        <v>29.93</v>
      </c>
      <c r="D556">
        <v>26.19</v>
      </c>
      <c r="E556">
        <v>25.79</v>
      </c>
      <c r="F556">
        <v>29.39</v>
      </c>
      <c r="G556">
        <v>9.6</v>
      </c>
      <c r="H556">
        <v>208.2</v>
      </c>
      <c r="I556">
        <v>25.5</v>
      </c>
      <c r="J556">
        <v>54.35</v>
      </c>
      <c r="K556">
        <v>124.26</v>
      </c>
      <c r="L556">
        <v>31.08</v>
      </c>
      <c r="M556" s="125">
        <f ca="1">IFERROR(__xludf.DUMMYFUNCTION("""COMPUTED_VALUE"""),44043.6666666666)</f>
        <v>44043.666666666599</v>
      </c>
      <c r="N556">
        <f ca="1">IFERROR(__xludf.DUMMYFUNCTION("""COMPUTED_VALUE"""),37.33)</f>
        <v>37.33</v>
      </c>
      <c r="O556" s="125">
        <f ca="1">IFERROR(__xludf.DUMMYFUNCTION("""COMPUTED_VALUE"""),43511.6666666666)</f>
        <v>43511.666666666599</v>
      </c>
      <c r="P556">
        <f ca="1">IFERROR(__xludf.DUMMYFUNCTION("""COMPUTED_VALUE"""),29.93)</f>
        <v>29.93</v>
      </c>
    </row>
    <row r="557" spans="2:16" ht="12.75">
      <c r="B557" s="125">
        <f ca="1">IFERROR(__xludf.DUMMYFUNCTION("""COMPUTED_VALUE"""),43515.6666666666)</f>
        <v>43515.666666666599</v>
      </c>
      <c r="C557">
        <f ca="1">IFERROR(__xludf.DUMMYFUNCTION("""COMPUTED_VALUE"""),30.35)</f>
        <v>30.35</v>
      </c>
      <c r="D557">
        <v>26.52</v>
      </c>
      <c r="E557">
        <v>25.69</v>
      </c>
      <c r="F557">
        <v>29.45</v>
      </c>
      <c r="G557">
        <v>9.67</v>
      </c>
      <c r="H557">
        <v>208.05</v>
      </c>
      <c r="I557">
        <v>25.49</v>
      </c>
      <c r="J557">
        <v>54.63</v>
      </c>
      <c r="K557">
        <v>124.96</v>
      </c>
      <c r="L557">
        <v>31.79</v>
      </c>
      <c r="M557" s="125">
        <f ca="1">IFERROR(__xludf.DUMMYFUNCTION("""COMPUTED_VALUE"""),44046.6666666666)</f>
        <v>44046.666666666599</v>
      </c>
      <c r="N557">
        <f ca="1">IFERROR(__xludf.DUMMYFUNCTION("""COMPUTED_VALUE"""),37.1)</f>
        <v>37.1</v>
      </c>
      <c r="O557" s="125">
        <f ca="1">IFERROR(__xludf.DUMMYFUNCTION("""COMPUTED_VALUE"""),43515.6666666666)</f>
        <v>43515.666666666599</v>
      </c>
      <c r="P557">
        <f ca="1">IFERROR(__xludf.DUMMYFUNCTION("""COMPUTED_VALUE"""),30.35)</f>
        <v>30.35</v>
      </c>
    </row>
    <row r="558" spans="2:16" ht="12.75">
      <c r="B558" s="125">
        <f ca="1">IFERROR(__xludf.DUMMYFUNCTION("""COMPUTED_VALUE"""),43516.6666666666)</f>
        <v>43516.666666666599</v>
      </c>
      <c r="C558">
        <f ca="1">IFERROR(__xludf.DUMMYFUNCTION("""COMPUTED_VALUE"""),30.54)</f>
        <v>30.54</v>
      </c>
      <c r="D558">
        <v>26.34</v>
      </c>
      <c r="E558">
        <v>25.71</v>
      </c>
      <c r="F558">
        <v>29.55</v>
      </c>
      <c r="G558">
        <v>9.6199999999999992</v>
      </c>
      <c r="H558">
        <v>209.11</v>
      </c>
      <c r="I558">
        <v>25.73</v>
      </c>
      <c r="J558">
        <v>54.53</v>
      </c>
      <c r="K558">
        <v>125.53</v>
      </c>
      <c r="L558">
        <v>32.299999999999997</v>
      </c>
      <c r="M558" s="125">
        <f ca="1">IFERROR(__xludf.DUMMYFUNCTION("""COMPUTED_VALUE"""),44047.6666666666)</f>
        <v>44047.666666666599</v>
      </c>
      <c r="N558">
        <f ca="1">IFERROR(__xludf.DUMMYFUNCTION("""COMPUTED_VALUE"""),37.76)</f>
        <v>37.76</v>
      </c>
      <c r="O558" s="125">
        <f ca="1">IFERROR(__xludf.DUMMYFUNCTION("""COMPUTED_VALUE"""),43516.6666666666)</f>
        <v>43516.666666666599</v>
      </c>
      <c r="P558">
        <f ca="1">IFERROR(__xludf.DUMMYFUNCTION("""COMPUTED_VALUE"""),30.54)</f>
        <v>30.54</v>
      </c>
    </row>
    <row r="559" spans="2:16" ht="12.75">
      <c r="B559" s="125">
        <f ca="1">IFERROR(__xludf.DUMMYFUNCTION("""COMPUTED_VALUE"""),43517.6666666666)</f>
        <v>43517.666666666599</v>
      </c>
      <c r="C559">
        <f ca="1">IFERROR(__xludf.DUMMYFUNCTION("""COMPUTED_VALUE"""),30.09)</f>
        <v>30.09</v>
      </c>
      <c r="D559">
        <v>26.08</v>
      </c>
      <c r="E559">
        <v>25.73</v>
      </c>
      <c r="F559">
        <v>29.47</v>
      </c>
      <c r="G559">
        <v>9.68</v>
      </c>
      <c r="H559">
        <v>207.41</v>
      </c>
      <c r="I559">
        <v>25.65</v>
      </c>
      <c r="J559">
        <v>54.69</v>
      </c>
      <c r="K559">
        <v>126.43</v>
      </c>
      <c r="L559">
        <v>32.520000000000003</v>
      </c>
      <c r="M559" s="125">
        <f ca="1">IFERROR(__xludf.DUMMYFUNCTION("""COMPUTED_VALUE"""),44048.6666666666)</f>
        <v>44048.666666666599</v>
      </c>
      <c r="N559">
        <f ca="1">IFERROR(__xludf.DUMMYFUNCTION("""COMPUTED_VALUE"""),37.63)</f>
        <v>37.630000000000003</v>
      </c>
      <c r="O559" s="125">
        <f ca="1">IFERROR(__xludf.DUMMYFUNCTION("""COMPUTED_VALUE"""),43517.6666666666)</f>
        <v>43517.666666666599</v>
      </c>
      <c r="P559">
        <f ca="1">IFERROR(__xludf.DUMMYFUNCTION("""COMPUTED_VALUE"""),30.09)</f>
        <v>30.09</v>
      </c>
    </row>
    <row r="560" spans="2:16" ht="12.75">
      <c r="B560" s="125">
        <f ca="1">IFERROR(__xludf.DUMMYFUNCTION("""COMPUTED_VALUE"""),43518.6666666666)</f>
        <v>43518.666666666599</v>
      </c>
      <c r="C560">
        <f ca="1">IFERROR(__xludf.DUMMYFUNCTION("""COMPUTED_VALUE"""),31.02)</f>
        <v>31.02</v>
      </c>
      <c r="D560">
        <v>26.67</v>
      </c>
      <c r="E560">
        <v>25.72</v>
      </c>
      <c r="F560">
        <v>29.54</v>
      </c>
      <c r="G560">
        <v>9.77</v>
      </c>
      <c r="H560">
        <v>209.45</v>
      </c>
      <c r="I560">
        <v>25.73</v>
      </c>
      <c r="J560">
        <v>54.43</v>
      </c>
      <c r="K560">
        <v>127.28</v>
      </c>
      <c r="L560">
        <v>31.73</v>
      </c>
      <c r="M560" s="125">
        <f ca="1">IFERROR(__xludf.DUMMYFUNCTION("""COMPUTED_VALUE"""),44049.6666666666)</f>
        <v>44049.666666666599</v>
      </c>
      <c r="N560">
        <f ca="1">IFERROR(__xludf.DUMMYFUNCTION("""COMPUTED_VALUE"""),37.28)</f>
        <v>37.28</v>
      </c>
      <c r="O560" s="125">
        <f ca="1">IFERROR(__xludf.DUMMYFUNCTION("""COMPUTED_VALUE"""),43518.6666666666)</f>
        <v>43518.666666666599</v>
      </c>
      <c r="P560">
        <f ca="1">IFERROR(__xludf.DUMMYFUNCTION("""COMPUTED_VALUE"""),31.02)</f>
        <v>31.02</v>
      </c>
    </row>
    <row r="561" spans="2:16" ht="12.75">
      <c r="B561" s="125">
        <f ca="1">IFERROR(__xludf.DUMMYFUNCTION("""COMPUTED_VALUE"""),43521.6666666666)</f>
        <v>43521.666666666599</v>
      </c>
      <c r="C561">
        <f ca="1">IFERROR(__xludf.DUMMYFUNCTION("""COMPUTED_VALUE"""),31.49)</f>
        <v>31.49</v>
      </c>
      <c r="D561">
        <v>26.92</v>
      </c>
      <c r="E561">
        <v>25.7</v>
      </c>
      <c r="F561">
        <v>29.68</v>
      </c>
      <c r="G561">
        <v>9.81</v>
      </c>
      <c r="H561">
        <v>209.44</v>
      </c>
      <c r="I561">
        <v>25.75</v>
      </c>
      <c r="J561">
        <v>54.13</v>
      </c>
      <c r="K561">
        <v>126.42</v>
      </c>
      <c r="M561" s="125">
        <f ca="1">IFERROR(__xludf.DUMMYFUNCTION("""COMPUTED_VALUE"""),44050.6666666666)</f>
        <v>44050.666666666599</v>
      </c>
      <c r="N561">
        <f ca="1">IFERROR(__xludf.DUMMYFUNCTION("""COMPUTED_VALUE"""),37.27)</f>
        <v>37.270000000000003</v>
      </c>
      <c r="O561" s="125">
        <f ca="1">IFERROR(__xludf.DUMMYFUNCTION("""COMPUTED_VALUE"""),43521.6666666666)</f>
        <v>43521.666666666599</v>
      </c>
      <c r="P561">
        <f ca="1">IFERROR(__xludf.DUMMYFUNCTION("""COMPUTED_VALUE"""),31.49)</f>
        <v>31.49</v>
      </c>
    </row>
    <row r="562" spans="2:16" ht="12.75">
      <c r="B562" s="125">
        <f ca="1">IFERROR(__xludf.DUMMYFUNCTION("""COMPUTED_VALUE"""),43522.6666666666)</f>
        <v>43522.666666666599</v>
      </c>
      <c r="C562">
        <f ca="1">IFERROR(__xludf.DUMMYFUNCTION("""COMPUTED_VALUE"""),31.46)</f>
        <v>31.46</v>
      </c>
      <c r="D562">
        <v>26.84</v>
      </c>
      <c r="E562">
        <v>25.6</v>
      </c>
      <c r="F562">
        <v>29.8</v>
      </c>
      <c r="G562">
        <v>9.83</v>
      </c>
      <c r="H562">
        <v>208.04</v>
      </c>
      <c r="I562">
        <v>25.89</v>
      </c>
      <c r="J562">
        <v>54.16</v>
      </c>
      <c r="K562">
        <v>126.12</v>
      </c>
      <c r="M562" s="125">
        <f ca="1">IFERROR(__xludf.DUMMYFUNCTION("""COMPUTED_VALUE"""),44053.6666666666)</f>
        <v>44053.666666666599</v>
      </c>
      <c r="N562">
        <f ca="1">IFERROR(__xludf.DUMMYFUNCTION("""COMPUTED_VALUE"""),36.74)</f>
        <v>36.74</v>
      </c>
      <c r="O562" s="125">
        <f ca="1">IFERROR(__xludf.DUMMYFUNCTION("""COMPUTED_VALUE"""),43522.6666666666)</f>
        <v>43522.666666666599</v>
      </c>
      <c r="P562">
        <f ca="1">IFERROR(__xludf.DUMMYFUNCTION("""COMPUTED_VALUE"""),31.46)</f>
        <v>31.46</v>
      </c>
    </row>
    <row r="563" spans="2:16" ht="12.75">
      <c r="B563" s="125">
        <f ca="1">IFERROR(__xludf.DUMMYFUNCTION("""COMPUTED_VALUE"""),43523.6666666666)</f>
        <v>43523.666666666599</v>
      </c>
      <c r="C563">
        <f ca="1">IFERROR(__xludf.DUMMYFUNCTION("""COMPUTED_VALUE"""),31.85)</f>
        <v>31.85</v>
      </c>
      <c r="D563">
        <v>26.93</v>
      </c>
      <c r="E563">
        <v>25.62</v>
      </c>
      <c r="F563">
        <v>29.55</v>
      </c>
      <c r="G563">
        <v>9.76</v>
      </c>
      <c r="H563">
        <v>208.55</v>
      </c>
      <c r="I563">
        <v>25.8</v>
      </c>
      <c r="J563">
        <v>54.08</v>
      </c>
      <c r="K563">
        <v>126.36</v>
      </c>
      <c r="M563" s="125">
        <f ca="1">IFERROR(__xludf.DUMMYFUNCTION("""COMPUTED_VALUE"""),44054.6666666666)</f>
        <v>44054.666666666599</v>
      </c>
      <c r="N563">
        <f ca="1">IFERROR(__xludf.DUMMYFUNCTION("""COMPUTED_VALUE"""),36.05)</f>
        <v>36.049999999999997</v>
      </c>
      <c r="O563" s="125">
        <f ca="1">IFERROR(__xludf.DUMMYFUNCTION("""COMPUTED_VALUE"""),43523.6666666666)</f>
        <v>43523.666666666599</v>
      </c>
      <c r="P563">
        <f ca="1">IFERROR(__xludf.DUMMYFUNCTION("""COMPUTED_VALUE"""),31.85)</f>
        <v>31.85</v>
      </c>
    </row>
    <row r="564" spans="2:16" ht="12.75">
      <c r="B564" s="125">
        <f ca="1">IFERROR(__xludf.DUMMYFUNCTION("""COMPUTED_VALUE"""),43524.6666666666)</f>
        <v>43524.666666666599</v>
      </c>
      <c r="C564">
        <f ca="1">IFERROR(__xludf.DUMMYFUNCTION("""COMPUTED_VALUE"""),31.87)</f>
        <v>31.87</v>
      </c>
      <c r="D564">
        <v>26.95</v>
      </c>
      <c r="E564">
        <v>25.64</v>
      </c>
      <c r="F564">
        <v>29.64</v>
      </c>
      <c r="G564">
        <v>9.6999999999999993</v>
      </c>
      <c r="H564">
        <v>209.12</v>
      </c>
      <c r="I564">
        <v>25.9</v>
      </c>
      <c r="J564">
        <v>54.34</v>
      </c>
      <c r="K564">
        <v>126.95</v>
      </c>
      <c r="M564" s="125">
        <f ca="1">IFERROR(__xludf.DUMMYFUNCTION("""COMPUTED_VALUE"""),44055.6666666666)</f>
        <v>44055.666666666599</v>
      </c>
      <c r="N564">
        <f ca="1">IFERROR(__xludf.DUMMYFUNCTION("""COMPUTED_VALUE"""),36.72)</f>
        <v>36.72</v>
      </c>
      <c r="O564" s="125">
        <f ca="1">IFERROR(__xludf.DUMMYFUNCTION("""COMPUTED_VALUE"""),43524.6666666666)</f>
        <v>43524.666666666599</v>
      </c>
      <c r="P564">
        <f ca="1">IFERROR(__xludf.DUMMYFUNCTION("""COMPUTED_VALUE"""),31.87)</f>
        <v>31.87</v>
      </c>
    </row>
    <row r="565" spans="2:16" ht="12.75">
      <c r="B565" s="125">
        <f ca="1">IFERROR(__xludf.DUMMYFUNCTION("""COMPUTED_VALUE"""),43525.6666666666)</f>
        <v>43525.666666666599</v>
      </c>
      <c r="C565">
        <f ca="1">IFERROR(__xludf.DUMMYFUNCTION("""COMPUTED_VALUE"""),31.83)</f>
        <v>31.83</v>
      </c>
      <c r="D565">
        <v>27.25</v>
      </c>
      <c r="E565">
        <v>25.74</v>
      </c>
      <c r="F565">
        <v>29.8</v>
      </c>
      <c r="G565">
        <v>9.69</v>
      </c>
      <c r="H565">
        <v>209.32</v>
      </c>
      <c r="I565">
        <v>26.22</v>
      </c>
      <c r="J565">
        <v>54.24</v>
      </c>
      <c r="K565">
        <v>127.24</v>
      </c>
      <c r="M565" s="125">
        <f ca="1">IFERROR(__xludf.DUMMYFUNCTION("""COMPUTED_VALUE"""),44056.6666666666)</f>
        <v>44056.666666666599</v>
      </c>
      <c r="N565">
        <f ca="1">IFERROR(__xludf.DUMMYFUNCTION("""COMPUTED_VALUE"""),36.48)</f>
        <v>36.479999999999997</v>
      </c>
      <c r="O565" s="125">
        <f ca="1">IFERROR(__xludf.DUMMYFUNCTION("""COMPUTED_VALUE"""),43525.6666666666)</f>
        <v>43525.666666666599</v>
      </c>
      <c r="P565">
        <f ca="1">IFERROR(__xludf.DUMMYFUNCTION("""COMPUTED_VALUE"""),31.83)</f>
        <v>31.83</v>
      </c>
    </row>
    <row r="566" spans="2:16" ht="12.75">
      <c r="B566" s="125">
        <f ca="1">IFERROR(__xludf.DUMMYFUNCTION("""COMPUTED_VALUE"""),43528.6666666666)</f>
        <v>43528.666666666599</v>
      </c>
      <c r="C566">
        <f ca="1">IFERROR(__xludf.DUMMYFUNCTION("""COMPUTED_VALUE"""),32.13)</f>
        <v>32.130000000000003</v>
      </c>
      <c r="D566">
        <v>26.82</v>
      </c>
      <c r="E566">
        <v>25.77</v>
      </c>
      <c r="F566">
        <v>29.7</v>
      </c>
      <c r="G566">
        <v>9.7100000000000009</v>
      </c>
      <c r="H566">
        <v>205.98</v>
      </c>
      <c r="I566">
        <v>26.05</v>
      </c>
      <c r="J566">
        <v>54.15</v>
      </c>
      <c r="K566">
        <v>127.61</v>
      </c>
      <c r="M566" s="125">
        <f ca="1">IFERROR(__xludf.DUMMYFUNCTION("""COMPUTED_VALUE"""),44057.6666666666)</f>
        <v>44057.666666666599</v>
      </c>
      <c r="N566">
        <f ca="1">IFERROR(__xludf.DUMMYFUNCTION("""COMPUTED_VALUE"""),36.32)</f>
        <v>36.32</v>
      </c>
      <c r="O566" s="125">
        <f ca="1">IFERROR(__xludf.DUMMYFUNCTION("""COMPUTED_VALUE"""),43528.6666666666)</f>
        <v>43528.666666666599</v>
      </c>
      <c r="P566">
        <f ca="1">IFERROR(__xludf.DUMMYFUNCTION("""COMPUTED_VALUE"""),32.13)</f>
        <v>32.130000000000003</v>
      </c>
    </row>
    <row r="567" spans="2:16" ht="12.75">
      <c r="B567" s="125">
        <f ca="1">IFERROR(__xludf.DUMMYFUNCTION("""COMPUTED_VALUE"""),43529.6666666666)</f>
        <v>43529.666666666599</v>
      </c>
      <c r="C567">
        <f ca="1">IFERROR(__xludf.DUMMYFUNCTION("""COMPUTED_VALUE"""),33.07)</f>
        <v>33.07</v>
      </c>
      <c r="D567">
        <v>26.93</v>
      </c>
      <c r="E567">
        <v>25.84</v>
      </c>
      <c r="F567">
        <v>29.64</v>
      </c>
      <c r="G567">
        <v>9.7799999999999994</v>
      </c>
      <c r="H567">
        <v>204.9</v>
      </c>
      <c r="I567">
        <v>26.2</v>
      </c>
      <c r="J567">
        <v>54.11</v>
      </c>
      <c r="K567">
        <v>127.29</v>
      </c>
      <c r="M567" s="125">
        <f ca="1">IFERROR(__xludf.DUMMYFUNCTION("""COMPUTED_VALUE"""),44060.6666666666)</f>
        <v>44060.666666666599</v>
      </c>
      <c r="N567">
        <f ca="1">IFERROR(__xludf.DUMMYFUNCTION("""COMPUTED_VALUE"""),36.77)</f>
        <v>36.770000000000003</v>
      </c>
      <c r="O567" s="125">
        <f ca="1">IFERROR(__xludf.DUMMYFUNCTION("""COMPUTED_VALUE"""),43529.6666666666)</f>
        <v>43529.666666666599</v>
      </c>
      <c r="P567">
        <f ca="1">IFERROR(__xludf.DUMMYFUNCTION("""COMPUTED_VALUE"""),33.07)</f>
        <v>33.07</v>
      </c>
    </row>
    <row r="568" spans="2:16" ht="12.75">
      <c r="B568" s="125">
        <f ca="1">IFERROR(__xludf.DUMMYFUNCTION("""COMPUTED_VALUE"""),43530.6666666666)</f>
        <v>43530.666666666599</v>
      </c>
      <c r="C568">
        <f ca="1">IFERROR(__xludf.DUMMYFUNCTION("""COMPUTED_VALUE"""),32.85)</f>
        <v>32.85</v>
      </c>
      <c r="D568">
        <v>26.68</v>
      </c>
      <c r="E568">
        <v>25.84</v>
      </c>
      <c r="F568">
        <v>29.41</v>
      </c>
      <c r="G568">
        <v>9.65</v>
      </c>
      <c r="H568">
        <v>202.98</v>
      </c>
      <c r="I568">
        <v>26.08</v>
      </c>
      <c r="J568">
        <v>54.03</v>
      </c>
      <c r="K568">
        <v>127.21</v>
      </c>
      <c r="M568" s="125">
        <f ca="1">IFERROR(__xludf.DUMMYFUNCTION("""COMPUTED_VALUE"""),44061.6666666666)</f>
        <v>44061.666666666599</v>
      </c>
      <c r="N568">
        <f ca="1">IFERROR(__xludf.DUMMYFUNCTION("""COMPUTED_VALUE"""),36.81)</f>
        <v>36.81</v>
      </c>
      <c r="O568" s="125">
        <f ca="1">IFERROR(__xludf.DUMMYFUNCTION("""COMPUTED_VALUE"""),43530.6666666666)</f>
        <v>43530.666666666599</v>
      </c>
      <c r="P568">
        <f ca="1">IFERROR(__xludf.DUMMYFUNCTION("""COMPUTED_VALUE"""),32.85)</f>
        <v>32.85</v>
      </c>
    </row>
    <row r="569" spans="2:16" ht="12.75">
      <c r="B569" s="125">
        <f ca="1">IFERROR(__xludf.DUMMYFUNCTION("""COMPUTED_VALUE"""),43531.6666666666)</f>
        <v>43531.666666666599</v>
      </c>
      <c r="C569">
        <f ca="1">IFERROR(__xludf.DUMMYFUNCTION("""COMPUTED_VALUE"""),31.84)</f>
        <v>31.84</v>
      </c>
      <c r="D569">
        <v>26.49</v>
      </c>
      <c r="E569">
        <v>26.07</v>
      </c>
      <c r="F569">
        <v>28.99</v>
      </c>
      <c r="G569">
        <v>9.51</v>
      </c>
      <c r="H569">
        <v>201.49</v>
      </c>
      <c r="I569">
        <v>25.89</v>
      </c>
      <c r="J569">
        <v>53.68</v>
      </c>
      <c r="K569">
        <v>127.65</v>
      </c>
      <c r="M569" s="125">
        <f ca="1">IFERROR(__xludf.DUMMYFUNCTION("""COMPUTED_VALUE"""),44062.6666666666)</f>
        <v>44062.666666666599</v>
      </c>
      <c r="N569">
        <f ca="1">IFERROR(__xludf.DUMMYFUNCTION("""COMPUTED_VALUE"""),36.19)</f>
        <v>36.19</v>
      </c>
      <c r="O569" s="125">
        <f ca="1">IFERROR(__xludf.DUMMYFUNCTION("""COMPUTED_VALUE"""),43531.6666666666)</f>
        <v>43531.666666666599</v>
      </c>
      <c r="P569">
        <f ca="1">IFERROR(__xludf.DUMMYFUNCTION("""COMPUTED_VALUE"""),31.84)</f>
        <v>31.84</v>
      </c>
    </row>
    <row r="570" spans="2:16" ht="12.75">
      <c r="B570" s="125">
        <f ca="1">IFERROR(__xludf.DUMMYFUNCTION("""COMPUTED_VALUE"""),43532.6666666666)</f>
        <v>43532.666666666599</v>
      </c>
      <c r="C570">
        <f ca="1">IFERROR(__xludf.DUMMYFUNCTION("""COMPUTED_VALUE"""),31.45)</f>
        <v>31.45</v>
      </c>
      <c r="D570">
        <v>26.6</v>
      </c>
      <c r="E570">
        <v>25.99</v>
      </c>
      <c r="F570">
        <v>28.98</v>
      </c>
      <c r="G570">
        <v>9.5</v>
      </c>
      <c r="H570">
        <v>200.98</v>
      </c>
      <c r="I570">
        <v>25.85</v>
      </c>
      <c r="J570">
        <v>53.71</v>
      </c>
      <c r="K570">
        <v>128.16</v>
      </c>
      <c r="M570" s="125">
        <f ca="1">IFERROR(__xludf.DUMMYFUNCTION("""COMPUTED_VALUE"""),44063.6666666666)</f>
        <v>44063.666666666599</v>
      </c>
      <c r="N570">
        <f ca="1">IFERROR(__xludf.DUMMYFUNCTION("""COMPUTED_VALUE"""),36.48)</f>
        <v>36.479999999999997</v>
      </c>
      <c r="O570" s="125">
        <f ca="1">IFERROR(__xludf.DUMMYFUNCTION("""COMPUTED_VALUE"""),43532.6666666666)</f>
        <v>43532.666666666599</v>
      </c>
      <c r="P570">
        <f ca="1">IFERROR(__xludf.DUMMYFUNCTION("""COMPUTED_VALUE"""),31.45)</f>
        <v>31.45</v>
      </c>
    </row>
    <row r="571" spans="2:16" ht="12.75">
      <c r="B571" s="125">
        <f ca="1">IFERROR(__xludf.DUMMYFUNCTION("""COMPUTED_VALUE"""),43535.6666666666)</f>
        <v>43535.666666666599</v>
      </c>
      <c r="C571">
        <f ca="1">IFERROR(__xludf.DUMMYFUNCTION("""COMPUTED_VALUE"""),32.39)</f>
        <v>32.39</v>
      </c>
      <c r="D571">
        <v>27.1</v>
      </c>
      <c r="E571">
        <v>25.93</v>
      </c>
      <c r="F571">
        <v>29.27</v>
      </c>
      <c r="G571">
        <v>9.7200000000000006</v>
      </c>
      <c r="H571">
        <v>200.37</v>
      </c>
      <c r="I571">
        <v>26.05</v>
      </c>
      <c r="J571">
        <v>54.41</v>
      </c>
      <c r="K571">
        <v>129.12</v>
      </c>
      <c r="M571" s="125">
        <f ca="1">IFERROR(__xludf.DUMMYFUNCTION("""COMPUTED_VALUE"""),44064.6666666666)</f>
        <v>44064.666666666599</v>
      </c>
      <c r="N571">
        <f ca="1">IFERROR(__xludf.DUMMYFUNCTION("""COMPUTED_VALUE"""),36.29)</f>
        <v>36.29</v>
      </c>
      <c r="O571" s="125">
        <f ca="1">IFERROR(__xludf.DUMMYFUNCTION("""COMPUTED_VALUE"""),43535.6666666666)</f>
        <v>43535.666666666599</v>
      </c>
      <c r="P571">
        <f ca="1">IFERROR(__xludf.DUMMYFUNCTION("""COMPUTED_VALUE"""),32.39)</f>
        <v>32.39</v>
      </c>
    </row>
    <row r="572" spans="2:16" ht="12.75">
      <c r="B572" s="125">
        <f ca="1">IFERROR(__xludf.DUMMYFUNCTION("""COMPUTED_VALUE"""),43536.6666666666)</f>
        <v>43536.666666666599</v>
      </c>
      <c r="C572">
        <f ca="1">IFERROR(__xludf.DUMMYFUNCTION("""COMPUTED_VALUE"""),32.39)</f>
        <v>32.39</v>
      </c>
      <c r="D572">
        <v>27.15</v>
      </c>
      <c r="E572">
        <v>25.88</v>
      </c>
      <c r="F572">
        <v>29.37</v>
      </c>
      <c r="G572">
        <v>9.8000000000000007</v>
      </c>
      <c r="H572">
        <v>198.33</v>
      </c>
      <c r="I572">
        <v>25.92</v>
      </c>
      <c r="J572">
        <v>54.43</v>
      </c>
      <c r="K572">
        <v>129.9</v>
      </c>
      <c r="M572" s="125">
        <f ca="1">IFERROR(__xludf.DUMMYFUNCTION("""COMPUTED_VALUE"""),44067.6666666666)</f>
        <v>44067.666666666599</v>
      </c>
      <c r="N572">
        <f ca="1">IFERROR(__xludf.DUMMYFUNCTION("""COMPUTED_VALUE"""),36.07)</f>
        <v>36.07</v>
      </c>
      <c r="O572" s="125">
        <f ca="1">IFERROR(__xludf.DUMMYFUNCTION("""COMPUTED_VALUE"""),43536.6666666666)</f>
        <v>43536.666666666599</v>
      </c>
      <c r="P572">
        <f ca="1">IFERROR(__xludf.DUMMYFUNCTION("""COMPUTED_VALUE"""),32.39)</f>
        <v>32.39</v>
      </c>
    </row>
    <row r="573" spans="2:16" ht="12.75">
      <c r="B573" s="125">
        <f ca="1">IFERROR(__xludf.DUMMYFUNCTION("""COMPUTED_VALUE"""),43537.6666666666)</f>
        <v>43537.666666666599</v>
      </c>
      <c r="C573">
        <f ca="1">IFERROR(__xludf.DUMMYFUNCTION("""COMPUTED_VALUE"""),32.62)</f>
        <v>32.619999999999997</v>
      </c>
      <c r="D573">
        <v>27.29</v>
      </c>
      <c r="E573">
        <v>25.76</v>
      </c>
      <c r="F573">
        <v>29.59</v>
      </c>
      <c r="G573">
        <v>9.8800000000000008</v>
      </c>
      <c r="H573">
        <v>199.64</v>
      </c>
      <c r="I573">
        <v>26.03</v>
      </c>
      <c r="J573">
        <v>54.74</v>
      </c>
      <c r="K573">
        <v>129.99</v>
      </c>
      <c r="M573" s="125">
        <f ca="1">IFERROR(__xludf.DUMMYFUNCTION("""COMPUTED_VALUE"""),44068.6666666666)</f>
        <v>44068.666666666599</v>
      </c>
      <c r="N573">
        <f ca="1">IFERROR(__xludf.DUMMYFUNCTION("""COMPUTED_VALUE"""),36.32)</f>
        <v>36.32</v>
      </c>
      <c r="O573" s="125">
        <f ca="1">IFERROR(__xludf.DUMMYFUNCTION("""COMPUTED_VALUE"""),43537.6666666666)</f>
        <v>43537.666666666599</v>
      </c>
      <c r="P573">
        <f ca="1">IFERROR(__xludf.DUMMYFUNCTION("""COMPUTED_VALUE"""),32.62)</f>
        <v>32.619999999999997</v>
      </c>
    </row>
    <row r="574" spans="2:16" ht="12.75">
      <c r="B574" s="125">
        <f ca="1">IFERROR(__xludf.DUMMYFUNCTION("""COMPUTED_VALUE"""),43538.6666666666)</f>
        <v>43538.666666666599</v>
      </c>
      <c r="C574">
        <f ca="1">IFERROR(__xludf.DUMMYFUNCTION("""COMPUTED_VALUE"""),32.3)</f>
        <v>32.299999999999997</v>
      </c>
      <c r="D574">
        <v>27.3</v>
      </c>
      <c r="E574">
        <v>25.84</v>
      </c>
      <c r="F574">
        <v>29.76</v>
      </c>
      <c r="G574">
        <v>9.83</v>
      </c>
      <c r="H574">
        <v>198.24</v>
      </c>
      <c r="I574">
        <v>26.12</v>
      </c>
      <c r="J574">
        <v>54.69</v>
      </c>
      <c r="K574">
        <v>129.84</v>
      </c>
      <c r="M574" s="125">
        <f ca="1">IFERROR(__xludf.DUMMYFUNCTION("""COMPUTED_VALUE"""),44069.6666666666)</f>
        <v>44069.666666666599</v>
      </c>
      <c r="N574">
        <f ca="1">IFERROR(__xludf.DUMMYFUNCTION("""COMPUTED_VALUE"""),36.61)</f>
        <v>36.61</v>
      </c>
      <c r="O574" s="125">
        <f ca="1">IFERROR(__xludf.DUMMYFUNCTION("""COMPUTED_VALUE"""),43538.6666666666)</f>
        <v>43538.666666666599</v>
      </c>
      <c r="P574">
        <f ca="1">IFERROR(__xludf.DUMMYFUNCTION("""COMPUTED_VALUE"""),32.3)</f>
        <v>32.299999999999997</v>
      </c>
    </row>
    <row r="575" spans="2:16" ht="12.75">
      <c r="B575" s="125">
        <f ca="1">IFERROR(__xludf.DUMMYFUNCTION("""COMPUTED_VALUE"""),43539.6666666666)</f>
        <v>43539.666666666599</v>
      </c>
      <c r="C575">
        <f ca="1">IFERROR(__xludf.DUMMYFUNCTION("""COMPUTED_VALUE"""),32.71)</f>
        <v>32.71</v>
      </c>
      <c r="D575">
        <v>27.39</v>
      </c>
      <c r="E575">
        <v>25.8</v>
      </c>
      <c r="F575">
        <v>30.33</v>
      </c>
      <c r="G575">
        <v>9.83</v>
      </c>
      <c r="H575">
        <v>197.92</v>
      </c>
      <c r="I575">
        <v>26.32</v>
      </c>
      <c r="J575">
        <v>54.7</v>
      </c>
      <c r="K575">
        <v>130.41999999999999</v>
      </c>
      <c r="M575" s="125">
        <f ca="1">IFERROR(__xludf.DUMMYFUNCTION("""COMPUTED_VALUE"""),44070.6666666666)</f>
        <v>44070.666666666599</v>
      </c>
      <c r="N575">
        <f ca="1">IFERROR(__xludf.DUMMYFUNCTION("""COMPUTED_VALUE"""),36.85)</f>
        <v>36.85</v>
      </c>
      <c r="O575" s="125">
        <f ca="1">IFERROR(__xludf.DUMMYFUNCTION("""COMPUTED_VALUE"""),43539.6666666666)</f>
        <v>43539.666666666599</v>
      </c>
      <c r="P575">
        <f ca="1">IFERROR(__xludf.DUMMYFUNCTION("""COMPUTED_VALUE"""),32.71)</f>
        <v>32.71</v>
      </c>
    </row>
    <row r="576" spans="2:16" ht="12.75">
      <c r="B576" s="125">
        <f ca="1">IFERROR(__xludf.DUMMYFUNCTION("""COMPUTED_VALUE"""),43542.6666666666)</f>
        <v>43542.666666666599</v>
      </c>
      <c r="C576">
        <f ca="1">IFERROR(__xludf.DUMMYFUNCTION("""COMPUTED_VALUE"""),32.86)</f>
        <v>32.86</v>
      </c>
      <c r="D576">
        <v>27.18</v>
      </c>
      <c r="E576">
        <v>25.77</v>
      </c>
      <c r="F576">
        <v>30.32</v>
      </c>
      <c r="G576">
        <v>9.93</v>
      </c>
      <c r="H576">
        <v>199.28</v>
      </c>
      <c r="I576">
        <v>26.31</v>
      </c>
      <c r="J576">
        <v>54.78</v>
      </c>
      <c r="K576">
        <v>130.09</v>
      </c>
      <c r="M576" s="125">
        <f ca="1">IFERROR(__xludf.DUMMYFUNCTION("""COMPUTED_VALUE"""),44071.6666666666)</f>
        <v>44071.666666666599</v>
      </c>
      <c r="N576">
        <f ca="1">IFERROR(__xludf.DUMMYFUNCTION("""COMPUTED_VALUE"""),36.94)</f>
        <v>36.94</v>
      </c>
      <c r="O576" s="125">
        <f ca="1">IFERROR(__xludf.DUMMYFUNCTION("""COMPUTED_VALUE"""),43542.6666666666)</f>
        <v>43542.666666666599</v>
      </c>
      <c r="P576">
        <f ca="1">IFERROR(__xludf.DUMMYFUNCTION("""COMPUTED_VALUE"""),32.86)</f>
        <v>32.86</v>
      </c>
    </row>
    <row r="577" spans="2:16" ht="12.75">
      <c r="B577" s="125">
        <f ca="1">IFERROR(__xludf.DUMMYFUNCTION("""COMPUTED_VALUE"""),43543.6666666666)</f>
        <v>43543.666666666599</v>
      </c>
      <c r="C577">
        <f ca="1">IFERROR(__xludf.DUMMYFUNCTION("""COMPUTED_VALUE"""),32.85)</f>
        <v>32.85</v>
      </c>
      <c r="D577">
        <v>27.46</v>
      </c>
      <c r="E577">
        <v>25.74</v>
      </c>
      <c r="F577">
        <v>30.33</v>
      </c>
      <c r="G577">
        <v>9.8800000000000008</v>
      </c>
      <c r="H577">
        <v>198.89</v>
      </c>
      <c r="I577">
        <v>26.52</v>
      </c>
      <c r="J577">
        <v>54.74</v>
      </c>
      <c r="K577">
        <v>128.52000000000001</v>
      </c>
      <c r="M577" s="125">
        <f ca="1">IFERROR(__xludf.DUMMYFUNCTION("""COMPUTED_VALUE"""),44074.6666666666)</f>
        <v>44074.666666666599</v>
      </c>
      <c r="N577">
        <f ca="1">IFERROR(__xludf.DUMMYFUNCTION("""COMPUTED_VALUE"""),36.81)</f>
        <v>36.81</v>
      </c>
      <c r="O577" s="125">
        <f ca="1">IFERROR(__xludf.DUMMYFUNCTION("""COMPUTED_VALUE"""),43543.6666666666)</f>
        <v>43543.666666666599</v>
      </c>
      <c r="P577">
        <f ca="1">IFERROR(__xludf.DUMMYFUNCTION("""COMPUTED_VALUE"""),32.85)</f>
        <v>32.85</v>
      </c>
    </row>
    <row r="578" spans="2:16" ht="12.75">
      <c r="B578" s="125">
        <f ca="1">IFERROR(__xludf.DUMMYFUNCTION("""COMPUTED_VALUE"""),43544.6666666666)</f>
        <v>43544.666666666599</v>
      </c>
      <c r="C578">
        <f ca="1">IFERROR(__xludf.DUMMYFUNCTION("""COMPUTED_VALUE"""),32.71)</f>
        <v>32.71</v>
      </c>
      <c r="D578">
        <v>27.25</v>
      </c>
      <c r="E578">
        <v>25.59</v>
      </c>
      <c r="F578">
        <v>30.26</v>
      </c>
      <c r="G578">
        <v>9.9499999999999993</v>
      </c>
      <c r="H578">
        <v>197.56</v>
      </c>
      <c r="I578">
        <v>26.18</v>
      </c>
      <c r="J578">
        <v>54.51</v>
      </c>
      <c r="K578">
        <v>128.88999999999999</v>
      </c>
      <c r="M578" s="125">
        <f ca="1">IFERROR(__xludf.DUMMYFUNCTION("""COMPUTED_VALUE"""),44075.6666666666)</f>
        <v>44075.666666666599</v>
      </c>
      <c r="N578">
        <f ca="1">IFERROR(__xludf.DUMMYFUNCTION("""COMPUTED_VALUE"""),36.83)</f>
        <v>36.83</v>
      </c>
      <c r="O578" s="125">
        <f ca="1">IFERROR(__xludf.DUMMYFUNCTION("""COMPUTED_VALUE"""),43544.6666666666)</f>
        <v>43544.666666666599</v>
      </c>
      <c r="P578">
        <f ca="1">IFERROR(__xludf.DUMMYFUNCTION("""COMPUTED_VALUE"""),32.71)</f>
        <v>32.71</v>
      </c>
    </row>
    <row r="579" spans="2:16" ht="12.75">
      <c r="B579" s="125">
        <f ca="1">IFERROR(__xludf.DUMMYFUNCTION("""COMPUTED_VALUE"""),43545.6666666666)</f>
        <v>43545.666666666599</v>
      </c>
      <c r="C579">
        <f ca="1">IFERROR(__xludf.DUMMYFUNCTION("""COMPUTED_VALUE"""),32.85)</f>
        <v>32.85</v>
      </c>
      <c r="D579">
        <v>27.63</v>
      </c>
      <c r="E579">
        <v>25.75</v>
      </c>
      <c r="F579">
        <v>30.38</v>
      </c>
      <c r="G579">
        <v>9.83</v>
      </c>
      <c r="H579">
        <v>199.07</v>
      </c>
      <c r="I579">
        <v>26.18</v>
      </c>
      <c r="J579">
        <v>55.15</v>
      </c>
      <c r="K579">
        <v>129.38</v>
      </c>
      <c r="M579" s="125">
        <f ca="1">IFERROR(__xludf.DUMMYFUNCTION("""COMPUTED_VALUE"""),44076.6666666666)</f>
        <v>44076.666666666599</v>
      </c>
      <c r="N579">
        <f ca="1">IFERROR(__xludf.DUMMYFUNCTION("""COMPUTED_VALUE"""),37.38)</f>
        <v>37.380000000000003</v>
      </c>
      <c r="O579" s="125">
        <f ca="1">IFERROR(__xludf.DUMMYFUNCTION("""COMPUTED_VALUE"""),43545.6666666666)</f>
        <v>43545.666666666599</v>
      </c>
      <c r="P579">
        <f ca="1">IFERROR(__xludf.DUMMYFUNCTION("""COMPUTED_VALUE"""),32.85)</f>
        <v>32.85</v>
      </c>
    </row>
    <row r="580" spans="2:16" ht="12.75">
      <c r="B580" s="125">
        <f ca="1">IFERROR(__xludf.DUMMYFUNCTION("""COMPUTED_VALUE"""),43546.6666666666)</f>
        <v>43546.666666666599</v>
      </c>
      <c r="C580">
        <f ca="1">IFERROR(__xludf.DUMMYFUNCTION("""COMPUTED_VALUE"""),31.81)</f>
        <v>31.81</v>
      </c>
      <c r="D580">
        <v>27.01</v>
      </c>
      <c r="E580">
        <v>25.8</v>
      </c>
      <c r="F580">
        <v>29.58</v>
      </c>
      <c r="G580">
        <v>9.64</v>
      </c>
      <c r="H580">
        <v>194.28</v>
      </c>
      <c r="I580">
        <v>25.61</v>
      </c>
      <c r="J580">
        <v>55.08</v>
      </c>
      <c r="K580">
        <v>130.13999999999999</v>
      </c>
      <c r="M580" s="125">
        <f ca="1">IFERROR(__xludf.DUMMYFUNCTION("""COMPUTED_VALUE"""),44077.6666666666)</f>
        <v>44077.666666666599</v>
      </c>
      <c r="N580">
        <f ca="1">IFERROR(__xludf.DUMMYFUNCTION("""COMPUTED_VALUE"""),36.18)</f>
        <v>36.18</v>
      </c>
      <c r="O580" s="125">
        <f ca="1">IFERROR(__xludf.DUMMYFUNCTION("""COMPUTED_VALUE"""),43546.6666666666)</f>
        <v>43546.666666666599</v>
      </c>
      <c r="P580">
        <f ca="1">IFERROR(__xludf.DUMMYFUNCTION("""COMPUTED_VALUE"""),31.81)</f>
        <v>31.81</v>
      </c>
    </row>
    <row r="581" spans="2:16" ht="12.75">
      <c r="B581" s="125">
        <f ca="1">IFERROR(__xludf.DUMMYFUNCTION("""COMPUTED_VALUE"""),43549.6666666666)</f>
        <v>43549.666666666599</v>
      </c>
      <c r="C581">
        <f ca="1">IFERROR(__xludf.DUMMYFUNCTION("""COMPUTED_VALUE"""),31.99)</f>
        <v>31.99</v>
      </c>
      <c r="D581">
        <v>26.76</v>
      </c>
      <c r="E581">
        <v>25.8</v>
      </c>
      <c r="F581">
        <v>29.59</v>
      </c>
      <c r="G581">
        <v>9.6199999999999992</v>
      </c>
      <c r="H581">
        <v>195.68</v>
      </c>
      <c r="I581">
        <v>25.63</v>
      </c>
      <c r="J581">
        <v>55.19</v>
      </c>
      <c r="K581">
        <v>130.31</v>
      </c>
      <c r="M581" s="125">
        <f ca="1">IFERROR(__xludf.DUMMYFUNCTION("""COMPUTED_VALUE"""),44078.6666666666)</f>
        <v>44078.666666666599</v>
      </c>
      <c r="N581">
        <f ca="1">IFERROR(__xludf.DUMMYFUNCTION("""COMPUTED_VALUE"""),35.71)</f>
        <v>35.71</v>
      </c>
      <c r="O581" s="125">
        <f ca="1">IFERROR(__xludf.DUMMYFUNCTION("""COMPUTED_VALUE"""),43549.6666666666)</f>
        <v>43549.666666666599</v>
      </c>
      <c r="P581">
        <f ca="1">IFERROR(__xludf.DUMMYFUNCTION("""COMPUTED_VALUE"""),31.99)</f>
        <v>31.99</v>
      </c>
    </row>
    <row r="582" spans="2:16" ht="12.75">
      <c r="B582" s="125">
        <f ca="1">IFERROR(__xludf.DUMMYFUNCTION("""COMPUTED_VALUE"""),43550.6666666666)</f>
        <v>43550.666666666599</v>
      </c>
      <c r="C582">
        <f ca="1">IFERROR(__xludf.DUMMYFUNCTION("""COMPUTED_VALUE"""),31.98)</f>
        <v>31.98</v>
      </c>
      <c r="D582">
        <v>27.36</v>
      </c>
      <c r="E582">
        <v>25.88</v>
      </c>
      <c r="F582">
        <v>29.69</v>
      </c>
      <c r="G582">
        <v>9.69</v>
      </c>
      <c r="H582">
        <v>195.95</v>
      </c>
      <c r="I582">
        <v>25.81</v>
      </c>
      <c r="J582">
        <v>55.66</v>
      </c>
      <c r="K582">
        <v>131.18</v>
      </c>
      <c r="M582" s="125">
        <f ca="1">IFERROR(__xludf.DUMMYFUNCTION("""COMPUTED_VALUE"""),44082.6666666666)</f>
        <v>44082.666666666599</v>
      </c>
      <c r="N582">
        <f ca="1">IFERROR(__xludf.DUMMYFUNCTION("""COMPUTED_VALUE"""),35.03)</f>
        <v>35.03</v>
      </c>
      <c r="O582" s="125">
        <f ca="1">IFERROR(__xludf.DUMMYFUNCTION("""COMPUTED_VALUE"""),43550.6666666666)</f>
        <v>43550.666666666599</v>
      </c>
      <c r="P582">
        <f ca="1">IFERROR(__xludf.DUMMYFUNCTION("""COMPUTED_VALUE"""),31.98)</f>
        <v>31.98</v>
      </c>
    </row>
    <row r="583" spans="2:16" ht="12.75">
      <c r="B583" s="125">
        <f ca="1">IFERROR(__xludf.DUMMYFUNCTION("""COMPUTED_VALUE"""),43551.6666666666)</f>
        <v>43551.666666666599</v>
      </c>
      <c r="C583">
        <f ca="1">IFERROR(__xludf.DUMMYFUNCTION("""COMPUTED_VALUE"""),31.91)</f>
        <v>31.91</v>
      </c>
      <c r="D583">
        <v>27.33</v>
      </c>
      <c r="E583">
        <v>25.91</v>
      </c>
      <c r="F583">
        <v>29.71</v>
      </c>
      <c r="G583">
        <v>9.6</v>
      </c>
      <c r="H583">
        <v>196.02</v>
      </c>
      <c r="I583">
        <v>25.86</v>
      </c>
      <c r="J583">
        <v>55.47</v>
      </c>
      <c r="K583">
        <v>130.38</v>
      </c>
      <c r="M583" s="125">
        <f ca="1">IFERROR(__xludf.DUMMYFUNCTION("""COMPUTED_VALUE"""),44083.6666666666)</f>
        <v>44083.666666666599</v>
      </c>
      <c r="N583">
        <f ca="1">IFERROR(__xludf.DUMMYFUNCTION("""COMPUTED_VALUE"""),35.61)</f>
        <v>35.61</v>
      </c>
      <c r="O583" s="125">
        <f ca="1">IFERROR(__xludf.DUMMYFUNCTION("""COMPUTED_VALUE"""),43551.6666666666)</f>
        <v>43551.666666666599</v>
      </c>
      <c r="P583">
        <f ca="1">IFERROR(__xludf.DUMMYFUNCTION("""COMPUTED_VALUE"""),31.91)</f>
        <v>31.91</v>
      </c>
    </row>
    <row r="584" spans="2:16" ht="12.75">
      <c r="B584" s="125">
        <f ca="1">IFERROR(__xludf.DUMMYFUNCTION("""COMPUTED_VALUE"""),43552.6666666666)</f>
        <v>43552.666666666599</v>
      </c>
      <c r="C584">
        <f ca="1">IFERROR(__xludf.DUMMYFUNCTION("""COMPUTED_VALUE"""),32.25)</f>
        <v>32.25</v>
      </c>
      <c r="D584">
        <v>27.58</v>
      </c>
      <c r="E584">
        <v>26</v>
      </c>
      <c r="F584">
        <v>29.63</v>
      </c>
      <c r="G584">
        <v>9.7200000000000006</v>
      </c>
      <c r="H584">
        <v>197.39</v>
      </c>
      <c r="I584">
        <v>25.81</v>
      </c>
      <c r="J584">
        <v>55.74</v>
      </c>
      <c r="K584">
        <v>128.87</v>
      </c>
      <c r="M584" s="125">
        <f ca="1">IFERROR(__xludf.DUMMYFUNCTION("""COMPUTED_VALUE"""),44084.6666666666)</f>
        <v>44084.666666666599</v>
      </c>
      <c r="N584">
        <f ca="1">IFERROR(__xludf.DUMMYFUNCTION("""COMPUTED_VALUE"""),35.05)</f>
        <v>35.049999999999997</v>
      </c>
      <c r="O584" s="125">
        <f ca="1">IFERROR(__xludf.DUMMYFUNCTION("""COMPUTED_VALUE"""),43552.6666666666)</f>
        <v>43552.666666666599</v>
      </c>
      <c r="P584">
        <f ca="1">IFERROR(__xludf.DUMMYFUNCTION("""COMPUTED_VALUE"""),32.25)</f>
        <v>32.25</v>
      </c>
    </row>
    <row r="585" spans="2:16" ht="12.75">
      <c r="B585" s="125">
        <f ca="1">IFERROR(__xludf.DUMMYFUNCTION("""COMPUTED_VALUE"""),43553.6666666666)</f>
        <v>43553.666666666599</v>
      </c>
      <c r="C585">
        <f ca="1">IFERROR(__xludf.DUMMYFUNCTION("""COMPUTED_VALUE"""),32.92)</f>
        <v>32.92</v>
      </c>
      <c r="D585">
        <v>27.68</v>
      </c>
      <c r="E585">
        <v>26.03</v>
      </c>
      <c r="F585">
        <v>29.89</v>
      </c>
      <c r="G585">
        <v>9.76</v>
      </c>
      <c r="H585">
        <v>199.58</v>
      </c>
      <c r="I585">
        <v>25.94</v>
      </c>
      <c r="J585">
        <v>56.11</v>
      </c>
      <c r="K585">
        <v>129.6</v>
      </c>
      <c r="M585" s="125">
        <f ca="1">IFERROR(__xludf.DUMMYFUNCTION("""COMPUTED_VALUE"""),44085.6666666666)</f>
        <v>44085.666666666599</v>
      </c>
      <c r="N585">
        <f ca="1">IFERROR(__xludf.DUMMYFUNCTION("""COMPUTED_VALUE"""),35.01)</f>
        <v>35.01</v>
      </c>
      <c r="O585" s="125">
        <f ca="1">IFERROR(__xludf.DUMMYFUNCTION("""COMPUTED_VALUE"""),43553.6666666666)</f>
        <v>43553.666666666599</v>
      </c>
      <c r="P585">
        <f ca="1">IFERROR(__xludf.DUMMYFUNCTION("""COMPUTED_VALUE"""),32.92)</f>
        <v>32.92</v>
      </c>
    </row>
    <row r="586" spans="2:16" ht="12.75">
      <c r="B586" s="125">
        <f ca="1">IFERROR(__xludf.DUMMYFUNCTION("""COMPUTED_VALUE"""),43556.6666666666)</f>
        <v>43556.666666666599</v>
      </c>
      <c r="C586">
        <f ca="1">IFERROR(__xludf.DUMMYFUNCTION("""COMPUTED_VALUE"""),33.72)</f>
        <v>33.72</v>
      </c>
      <c r="D586">
        <v>28.09</v>
      </c>
      <c r="E586">
        <v>26.01</v>
      </c>
      <c r="F586">
        <v>30.27</v>
      </c>
      <c r="G586">
        <v>9.85</v>
      </c>
      <c r="H586">
        <v>204.08</v>
      </c>
      <c r="I586">
        <v>26.35</v>
      </c>
      <c r="J586">
        <v>55.92</v>
      </c>
      <c r="K586">
        <v>128.72999999999999</v>
      </c>
      <c r="M586" s="125">
        <f ca="1">IFERROR(__xludf.DUMMYFUNCTION("""COMPUTED_VALUE"""),44088.6666666666)</f>
        <v>44088.666666666599</v>
      </c>
      <c r="N586">
        <f ca="1">IFERROR(__xludf.DUMMYFUNCTION("""COMPUTED_VALUE"""),35.75)</f>
        <v>35.75</v>
      </c>
      <c r="O586" s="125">
        <f ca="1">IFERROR(__xludf.DUMMYFUNCTION("""COMPUTED_VALUE"""),43556.6666666666)</f>
        <v>43556.666666666599</v>
      </c>
      <c r="P586">
        <f ca="1">IFERROR(__xludf.DUMMYFUNCTION("""COMPUTED_VALUE"""),33.72)</f>
        <v>33.72</v>
      </c>
    </row>
    <row r="587" spans="2:16" ht="12.75">
      <c r="B587" s="125">
        <f ca="1">IFERROR(__xludf.DUMMYFUNCTION("""COMPUTED_VALUE"""),43557.6666666666)</f>
        <v>43557.666666666599</v>
      </c>
      <c r="C587">
        <f ca="1">IFERROR(__xludf.DUMMYFUNCTION("""COMPUTED_VALUE"""),33.49)</f>
        <v>33.49</v>
      </c>
      <c r="D587">
        <v>28.15</v>
      </c>
      <c r="E587">
        <v>26.04</v>
      </c>
      <c r="F587">
        <v>30.25</v>
      </c>
      <c r="G587">
        <v>9.89</v>
      </c>
      <c r="H587">
        <v>202.79</v>
      </c>
      <c r="I587">
        <v>26.52</v>
      </c>
      <c r="J587">
        <v>55.46</v>
      </c>
      <c r="K587">
        <v>128.63999999999999</v>
      </c>
      <c r="M587" s="125">
        <f ca="1">IFERROR(__xludf.DUMMYFUNCTION("""COMPUTED_VALUE"""),44089.6666666666)</f>
        <v>44089.666666666599</v>
      </c>
      <c r="N587">
        <f ca="1">IFERROR(__xludf.DUMMYFUNCTION("""COMPUTED_VALUE"""),36.37)</f>
        <v>36.369999999999997</v>
      </c>
      <c r="O587" s="125">
        <f ca="1">IFERROR(__xludf.DUMMYFUNCTION("""COMPUTED_VALUE"""),43557.6666666666)</f>
        <v>43557.666666666599</v>
      </c>
      <c r="P587">
        <f ca="1">IFERROR(__xludf.DUMMYFUNCTION("""COMPUTED_VALUE"""),33.49)</f>
        <v>33.49</v>
      </c>
    </row>
    <row r="588" spans="2:16" ht="12.75">
      <c r="B588" s="125">
        <f ca="1">IFERROR(__xludf.DUMMYFUNCTION("""COMPUTED_VALUE"""),43558.6666666666)</f>
        <v>43558.666666666599</v>
      </c>
      <c r="C588">
        <f ca="1">IFERROR(__xludf.DUMMYFUNCTION("""COMPUTED_VALUE"""),33.88)</f>
        <v>33.880000000000003</v>
      </c>
      <c r="D588">
        <v>28.32</v>
      </c>
      <c r="E588">
        <v>26</v>
      </c>
      <c r="F588">
        <v>30.6</v>
      </c>
      <c r="G588">
        <v>9.9</v>
      </c>
      <c r="H588">
        <v>200.36</v>
      </c>
      <c r="I588">
        <v>26.86</v>
      </c>
      <c r="J588">
        <v>55.19</v>
      </c>
      <c r="K588">
        <v>128.6</v>
      </c>
      <c r="M588" s="125">
        <f ca="1">IFERROR(__xludf.DUMMYFUNCTION("""COMPUTED_VALUE"""),44090.6666666666)</f>
        <v>44090.666666666599</v>
      </c>
      <c r="N588">
        <f ca="1">IFERROR(__xludf.DUMMYFUNCTION("""COMPUTED_VALUE"""),36.59)</f>
        <v>36.590000000000003</v>
      </c>
      <c r="O588" s="125">
        <f ca="1">IFERROR(__xludf.DUMMYFUNCTION("""COMPUTED_VALUE"""),43558.6666666666)</f>
        <v>43558.666666666599</v>
      </c>
      <c r="P588">
        <f ca="1">IFERROR(__xludf.DUMMYFUNCTION("""COMPUTED_VALUE"""),33.88)</f>
        <v>33.880000000000003</v>
      </c>
    </row>
    <row r="589" spans="2:16" ht="12.75">
      <c r="B589" s="125">
        <f ca="1">IFERROR(__xludf.DUMMYFUNCTION("""COMPUTED_VALUE"""),43559.6666666666)</f>
        <v>43559.666666666599</v>
      </c>
      <c r="C589">
        <f ca="1">IFERROR(__xludf.DUMMYFUNCTION("""COMPUTED_VALUE"""),33.95)</f>
        <v>33.950000000000003</v>
      </c>
      <c r="D589">
        <v>28.1</v>
      </c>
      <c r="E589">
        <v>26.03</v>
      </c>
      <c r="F589">
        <v>30.62</v>
      </c>
      <c r="G589">
        <v>9.98</v>
      </c>
      <c r="H589">
        <v>203.18</v>
      </c>
      <c r="I589">
        <v>26.92</v>
      </c>
      <c r="J589">
        <v>55.4</v>
      </c>
      <c r="K589">
        <v>128.08000000000001</v>
      </c>
      <c r="M589" s="125">
        <f ca="1">IFERROR(__xludf.DUMMYFUNCTION("""COMPUTED_VALUE"""),44091.6666666666)</f>
        <v>44091.666666666599</v>
      </c>
      <c r="N589">
        <f ca="1">IFERROR(__xludf.DUMMYFUNCTION("""COMPUTED_VALUE"""),35.89)</f>
        <v>35.89</v>
      </c>
      <c r="O589" s="125">
        <f ca="1">IFERROR(__xludf.DUMMYFUNCTION("""COMPUTED_VALUE"""),43559.6666666666)</f>
        <v>43559.666666666599</v>
      </c>
      <c r="P589">
        <f ca="1">IFERROR(__xludf.DUMMYFUNCTION("""COMPUTED_VALUE"""),33.95)</f>
        <v>33.950000000000003</v>
      </c>
    </row>
    <row r="590" spans="2:16" ht="12.75">
      <c r="B590" s="125">
        <f ca="1">IFERROR(__xludf.DUMMYFUNCTION("""COMPUTED_VALUE"""),43560.6666666666)</f>
        <v>43560.666666666599</v>
      </c>
      <c r="C590">
        <f ca="1">IFERROR(__xludf.DUMMYFUNCTION("""COMPUTED_VALUE"""),34.45)</f>
        <v>34.450000000000003</v>
      </c>
      <c r="D590">
        <v>28.22</v>
      </c>
      <c r="E590">
        <v>26.06</v>
      </c>
      <c r="F590">
        <v>30.68</v>
      </c>
      <c r="G590">
        <v>10.1</v>
      </c>
      <c r="H590">
        <v>204.33</v>
      </c>
      <c r="I590">
        <v>26.94</v>
      </c>
      <c r="J590">
        <v>55.59</v>
      </c>
      <c r="K590">
        <v>129.36000000000001</v>
      </c>
      <c r="M590" s="125">
        <f ca="1">IFERROR(__xludf.DUMMYFUNCTION("""COMPUTED_VALUE"""),44092.6666666666)</f>
        <v>44092.666666666599</v>
      </c>
      <c r="N590">
        <f ca="1">IFERROR(__xludf.DUMMYFUNCTION("""COMPUTED_VALUE"""),35.24)</f>
        <v>35.24</v>
      </c>
      <c r="O590" s="125">
        <f ca="1">IFERROR(__xludf.DUMMYFUNCTION("""COMPUTED_VALUE"""),43560.6666666666)</f>
        <v>43560.666666666599</v>
      </c>
      <c r="P590">
        <f ca="1">IFERROR(__xludf.DUMMYFUNCTION("""COMPUTED_VALUE"""),34.45)</f>
        <v>34.450000000000003</v>
      </c>
    </row>
    <row r="591" spans="2:16" ht="12.75">
      <c r="B591" s="125">
        <f ca="1">IFERROR(__xludf.DUMMYFUNCTION("""COMPUTED_VALUE"""),43563.6666666666)</f>
        <v>43563.666666666599</v>
      </c>
      <c r="C591">
        <f ca="1">IFERROR(__xludf.DUMMYFUNCTION("""COMPUTED_VALUE"""),34.45)</f>
        <v>34.450000000000003</v>
      </c>
      <c r="D591">
        <v>28.34</v>
      </c>
      <c r="E591">
        <v>25.97</v>
      </c>
      <c r="F591">
        <v>30.75</v>
      </c>
      <c r="G591">
        <v>10.09</v>
      </c>
      <c r="H591">
        <v>202.38</v>
      </c>
      <c r="I591">
        <v>26.82</v>
      </c>
      <c r="J591">
        <v>55.82</v>
      </c>
      <c r="K591">
        <v>128.41</v>
      </c>
      <c r="M591" s="125">
        <f ca="1">IFERROR(__xludf.DUMMYFUNCTION("""COMPUTED_VALUE"""),44095.6666666666)</f>
        <v>44095.666666666599</v>
      </c>
      <c r="N591">
        <f ca="1">IFERROR(__xludf.DUMMYFUNCTION("""COMPUTED_VALUE"""),34.64)</f>
        <v>34.64</v>
      </c>
      <c r="O591" s="125">
        <f ca="1">IFERROR(__xludf.DUMMYFUNCTION("""COMPUTED_VALUE"""),43563.6666666666)</f>
        <v>43563.666666666599</v>
      </c>
      <c r="P591">
        <f ca="1">IFERROR(__xludf.DUMMYFUNCTION("""COMPUTED_VALUE"""),34.45)</f>
        <v>34.450000000000003</v>
      </c>
    </row>
    <row r="592" spans="2:16" ht="12.75">
      <c r="B592" s="125">
        <f ca="1">IFERROR(__xludf.DUMMYFUNCTION("""COMPUTED_VALUE"""),43564.6666666666)</f>
        <v>43564.666666666599</v>
      </c>
      <c r="C592">
        <f ca="1">IFERROR(__xludf.DUMMYFUNCTION("""COMPUTED_VALUE"""),34.29)</f>
        <v>34.29</v>
      </c>
      <c r="D592">
        <v>28.15</v>
      </c>
      <c r="E592">
        <v>25.98</v>
      </c>
      <c r="F592">
        <v>30.63</v>
      </c>
      <c r="G592">
        <v>10.02</v>
      </c>
      <c r="H592">
        <v>199.87</v>
      </c>
      <c r="I592">
        <v>26.58</v>
      </c>
      <c r="J592">
        <v>55.75</v>
      </c>
      <c r="K592">
        <v>128.63</v>
      </c>
      <c r="M592" s="125">
        <f ca="1">IFERROR(__xludf.DUMMYFUNCTION("""COMPUTED_VALUE"""),44096.6666666666)</f>
        <v>44096.666666666599</v>
      </c>
      <c r="N592">
        <f ca="1">IFERROR(__xludf.DUMMYFUNCTION("""COMPUTED_VALUE"""),34.94)</f>
        <v>34.94</v>
      </c>
      <c r="O592" s="125">
        <f ca="1">IFERROR(__xludf.DUMMYFUNCTION("""COMPUTED_VALUE"""),43564.6666666666)</f>
        <v>43564.666666666599</v>
      </c>
      <c r="P592">
        <f ca="1">IFERROR(__xludf.DUMMYFUNCTION("""COMPUTED_VALUE"""),34.29)</f>
        <v>34.29</v>
      </c>
    </row>
    <row r="593" spans="2:16" ht="12.75">
      <c r="B593" s="125">
        <f ca="1">IFERROR(__xludf.DUMMYFUNCTION("""COMPUTED_VALUE"""),43565.6666666666)</f>
        <v>43565.666666666599</v>
      </c>
      <c r="C593">
        <f ca="1">IFERROR(__xludf.DUMMYFUNCTION("""COMPUTED_VALUE"""),34.42)</f>
        <v>34.42</v>
      </c>
      <c r="D593">
        <v>28.26</v>
      </c>
      <c r="E593">
        <v>25.94</v>
      </c>
      <c r="F593">
        <v>30.66</v>
      </c>
      <c r="G593">
        <v>10.14</v>
      </c>
      <c r="H593">
        <v>199.25</v>
      </c>
      <c r="I593">
        <v>26.76</v>
      </c>
      <c r="J593">
        <v>55.91</v>
      </c>
      <c r="K593">
        <v>128.27000000000001</v>
      </c>
      <c r="M593" s="125">
        <f ca="1">IFERROR(__xludf.DUMMYFUNCTION("""COMPUTED_VALUE"""),44097.6666666666)</f>
        <v>44097.666666666599</v>
      </c>
      <c r="N593">
        <f ca="1">IFERROR(__xludf.DUMMYFUNCTION("""COMPUTED_VALUE"""),34.18)</f>
        <v>34.18</v>
      </c>
      <c r="O593" s="125">
        <f ca="1">IFERROR(__xludf.DUMMYFUNCTION("""COMPUTED_VALUE"""),43565.6666666666)</f>
        <v>43565.666666666599</v>
      </c>
      <c r="P593">
        <f ca="1">IFERROR(__xludf.DUMMYFUNCTION("""COMPUTED_VALUE"""),34.42)</f>
        <v>34.42</v>
      </c>
    </row>
    <row r="594" spans="2:16" ht="12.75">
      <c r="B594" s="125">
        <f ca="1">IFERROR(__xludf.DUMMYFUNCTION("""COMPUTED_VALUE"""),43566.6666666666)</f>
        <v>43566.666666666599</v>
      </c>
      <c r="C594">
        <f ca="1">IFERROR(__xludf.DUMMYFUNCTION("""COMPUTED_VALUE"""),34.03)</f>
        <v>34.03</v>
      </c>
      <c r="D594">
        <v>28.21</v>
      </c>
      <c r="E594">
        <v>26.02</v>
      </c>
      <c r="F594">
        <v>30.67</v>
      </c>
      <c r="G594">
        <v>10.039999999999999</v>
      </c>
      <c r="H594">
        <v>201.86</v>
      </c>
      <c r="I594">
        <v>26.83</v>
      </c>
      <c r="J594">
        <v>56.02</v>
      </c>
      <c r="K594">
        <v>128.91</v>
      </c>
      <c r="M594" s="125">
        <f ca="1">IFERROR(__xludf.DUMMYFUNCTION("""COMPUTED_VALUE"""),44098.6666666666)</f>
        <v>44098.666666666599</v>
      </c>
      <c r="N594">
        <f ca="1">IFERROR(__xludf.DUMMYFUNCTION("""COMPUTED_VALUE"""),34.25)</f>
        <v>34.25</v>
      </c>
      <c r="O594" s="125">
        <f ca="1">IFERROR(__xludf.DUMMYFUNCTION("""COMPUTED_VALUE"""),43566.6666666666)</f>
        <v>43566.666666666599</v>
      </c>
      <c r="P594">
        <f ca="1">IFERROR(__xludf.DUMMYFUNCTION("""COMPUTED_VALUE"""),34.03)</f>
        <v>34.03</v>
      </c>
    </row>
    <row r="595" spans="2:16" ht="12.75">
      <c r="B595" s="125">
        <f ca="1">IFERROR(__xludf.DUMMYFUNCTION("""COMPUTED_VALUE"""),43567.6666666666)</f>
        <v>43567.666666666599</v>
      </c>
      <c r="C595">
        <f ca="1">IFERROR(__xludf.DUMMYFUNCTION("""COMPUTED_VALUE"""),34.46)</f>
        <v>34.46</v>
      </c>
      <c r="D595">
        <v>28.32</v>
      </c>
      <c r="E595">
        <v>25.96</v>
      </c>
      <c r="F595">
        <v>31.03</v>
      </c>
      <c r="G595">
        <v>10.02</v>
      </c>
      <c r="H595">
        <v>205.04</v>
      </c>
      <c r="I595">
        <v>27.07</v>
      </c>
      <c r="J595">
        <v>56.2</v>
      </c>
      <c r="K595">
        <v>129.58000000000001</v>
      </c>
      <c r="M595" s="125">
        <f ca="1">IFERROR(__xludf.DUMMYFUNCTION("""COMPUTED_VALUE"""),44099.6666666666)</f>
        <v>44099.666666666599</v>
      </c>
      <c r="N595">
        <f ca="1">IFERROR(__xludf.DUMMYFUNCTION("""COMPUTED_VALUE"""),34.92)</f>
        <v>34.92</v>
      </c>
      <c r="O595" s="125">
        <f ca="1">IFERROR(__xludf.DUMMYFUNCTION("""COMPUTED_VALUE"""),43567.6666666666)</f>
        <v>43567.666666666599</v>
      </c>
      <c r="P595">
        <f ca="1">IFERROR(__xludf.DUMMYFUNCTION("""COMPUTED_VALUE"""),34.46)</f>
        <v>34.46</v>
      </c>
    </row>
    <row r="596" spans="2:16" ht="12.75">
      <c r="B596" s="125">
        <f ca="1">IFERROR(__xludf.DUMMYFUNCTION("""COMPUTED_VALUE"""),43570.6666666666)</f>
        <v>43570.666666666599</v>
      </c>
      <c r="C596">
        <f ca="1">IFERROR(__xludf.DUMMYFUNCTION("""COMPUTED_VALUE"""),33.93)</f>
        <v>33.93</v>
      </c>
      <c r="D596">
        <v>28.36</v>
      </c>
      <c r="E596">
        <v>25.95</v>
      </c>
      <c r="F596">
        <v>31.03</v>
      </c>
      <c r="G596">
        <v>10.09</v>
      </c>
      <c r="H596">
        <v>203.39</v>
      </c>
      <c r="I596">
        <v>27.08</v>
      </c>
      <c r="J596">
        <v>56.53</v>
      </c>
      <c r="K596">
        <v>129.57</v>
      </c>
      <c r="M596" s="125">
        <f ca="1">IFERROR(__xludf.DUMMYFUNCTION("""COMPUTED_VALUE"""),44102.6666666666)</f>
        <v>44102.666666666599</v>
      </c>
      <c r="N596">
        <f ca="1">IFERROR(__xludf.DUMMYFUNCTION("""COMPUTED_VALUE"""),35.23)</f>
        <v>35.229999999999997</v>
      </c>
      <c r="O596" s="125">
        <f ca="1">IFERROR(__xludf.DUMMYFUNCTION("""COMPUTED_VALUE"""),43570.6666666666)</f>
        <v>43570.666666666599</v>
      </c>
      <c r="P596">
        <f ca="1">IFERROR(__xludf.DUMMYFUNCTION("""COMPUTED_VALUE"""),33.93)</f>
        <v>33.93</v>
      </c>
    </row>
    <row r="597" spans="2:16" ht="12.75">
      <c r="B597" s="125">
        <f ca="1">IFERROR(__xludf.DUMMYFUNCTION("""COMPUTED_VALUE"""),43571.6666666666)</f>
        <v>43571.666666666599</v>
      </c>
      <c r="C597">
        <f ca="1">IFERROR(__xludf.DUMMYFUNCTION("""COMPUTED_VALUE"""),34.17)</f>
        <v>34.17</v>
      </c>
      <c r="D597">
        <v>28.21</v>
      </c>
      <c r="E597">
        <v>26.01</v>
      </c>
      <c r="F597">
        <v>31.17</v>
      </c>
      <c r="G597">
        <v>10.08</v>
      </c>
      <c r="H597">
        <v>204.92</v>
      </c>
      <c r="I597">
        <v>27.26</v>
      </c>
      <c r="J597">
        <v>56.54</v>
      </c>
      <c r="K597">
        <v>127.84</v>
      </c>
      <c r="M597" s="125">
        <f ca="1">IFERROR(__xludf.DUMMYFUNCTION("""COMPUTED_VALUE"""),44103.6666666666)</f>
        <v>44103.666666666599</v>
      </c>
      <c r="N597">
        <f ca="1">IFERROR(__xludf.DUMMYFUNCTION("""COMPUTED_VALUE"""),35.27)</f>
        <v>35.270000000000003</v>
      </c>
      <c r="O597" s="125">
        <f ca="1">IFERROR(__xludf.DUMMYFUNCTION("""COMPUTED_VALUE"""),43571.6666666666)</f>
        <v>43571.666666666599</v>
      </c>
      <c r="P597">
        <f ca="1">IFERROR(__xludf.DUMMYFUNCTION("""COMPUTED_VALUE"""),34.17)</f>
        <v>34.17</v>
      </c>
    </row>
    <row r="598" spans="2:16" ht="12.75">
      <c r="B598" s="125">
        <f ca="1">IFERROR(__xludf.DUMMYFUNCTION("""COMPUTED_VALUE"""),43572.6666666666)</f>
        <v>43572.666666666599</v>
      </c>
      <c r="C598">
        <f ca="1">IFERROR(__xludf.DUMMYFUNCTION("""COMPUTED_VALUE"""),34.33)</f>
        <v>34.33</v>
      </c>
      <c r="D598">
        <v>28.11</v>
      </c>
      <c r="E598">
        <v>25.99</v>
      </c>
      <c r="F598">
        <v>31.24</v>
      </c>
      <c r="G598">
        <v>10.130000000000001</v>
      </c>
      <c r="H598">
        <v>203.95</v>
      </c>
      <c r="I598">
        <v>27.46</v>
      </c>
      <c r="J598">
        <v>56.82</v>
      </c>
      <c r="K598">
        <v>127.43</v>
      </c>
      <c r="M598" s="125">
        <f ca="1">IFERROR(__xludf.DUMMYFUNCTION("""COMPUTED_VALUE"""),44104.6666666666)</f>
        <v>44104.666666666599</v>
      </c>
      <c r="N598">
        <f ca="1">IFERROR(__xludf.DUMMYFUNCTION("""COMPUTED_VALUE"""),35.33)</f>
        <v>35.33</v>
      </c>
      <c r="O598" s="125">
        <f ca="1">IFERROR(__xludf.DUMMYFUNCTION("""COMPUTED_VALUE"""),43572.6666666666)</f>
        <v>43572.666666666599</v>
      </c>
      <c r="P598">
        <f ca="1">IFERROR(__xludf.DUMMYFUNCTION("""COMPUTED_VALUE"""),34.33)</f>
        <v>34.33</v>
      </c>
    </row>
    <row r="599" spans="2:16" ht="12.75">
      <c r="B599" s="125">
        <f ca="1">IFERROR(__xludf.DUMMYFUNCTION("""COMPUTED_VALUE"""),43573.6666666666)</f>
        <v>43573.666666666599</v>
      </c>
      <c r="C599">
        <f ca="1">IFERROR(__xludf.DUMMYFUNCTION("""COMPUTED_VALUE"""),34.27)</f>
        <v>34.270000000000003</v>
      </c>
      <c r="D599">
        <v>27.95</v>
      </c>
      <c r="E599">
        <v>26.13</v>
      </c>
      <c r="F599">
        <v>31.3</v>
      </c>
      <c r="G599">
        <v>10.1</v>
      </c>
      <c r="H599">
        <v>205.66</v>
      </c>
      <c r="I599">
        <v>27.59</v>
      </c>
      <c r="J599">
        <v>56.87</v>
      </c>
      <c r="K599">
        <v>127.54</v>
      </c>
      <c r="M599" s="125">
        <f ca="1">IFERROR(__xludf.DUMMYFUNCTION("""COMPUTED_VALUE"""),44105.6666666666)</f>
        <v>44105.666666666599</v>
      </c>
      <c r="N599">
        <f ca="1">IFERROR(__xludf.DUMMYFUNCTION("""COMPUTED_VALUE"""),35.71)</f>
        <v>35.71</v>
      </c>
      <c r="O599" s="125">
        <f ca="1">IFERROR(__xludf.DUMMYFUNCTION("""COMPUTED_VALUE"""),43573.6666666666)</f>
        <v>43573.666666666599</v>
      </c>
      <c r="P599">
        <f ca="1">IFERROR(__xludf.DUMMYFUNCTION("""COMPUTED_VALUE"""),34.27)</f>
        <v>34.270000000000003</v>
      </c>
    </row>
    <row r="600" spans="2:16" ht="12.75">
      <c r="B600" s="125">
        <f ca="1">IFERROR(__xludf.DUMMYFUNCTION("""COMPUTED_VALUE"""),43577.6666666666)</f>
        <v>43577.666666666599</v>
      </c>
      <c r="C600">
        <f ca="1">IFERROR(__xludf.DUMMYFUNCTION("""COMPUTED_VALUE"""),34.12)</f>
        <v>34.119999999999997</v>
      </c>
      <c r="D600">
        <v>28.2</v>
      </c>
      <c r="E600">
        <v>26.07</v>
      </c>
      <c r="F600">
        <v>31.24</v>
      </c>
      <c r="G600">
        <v>10.1</v>
      </c>
      <c r="H600">
        <v>205.04</v>
      </c>
      <c r="I600">
        <v>27.57</v>
      </c>
      <c r="J600">
        <v>56.89</v>
      </c>
      <c r="K600">
        <v>127.39</v>
      </c>
      <c r="M600" s="125">
        <f ca="1">IFERROR(__xludf.DUMMYFUNCTION("""COMPUTED_VALUE"""),44106.6666666666)</f>
        <v>44106.666666666599</v>
      </c>
      <c r="N600">
        <f ca="1">IFERROR(__xludf.DUMMYFUNCTION("""COMPUTED_VALUE"""),36)</f>
        <v>36</v>
      </c>
      <c r="O600" s="125">
        <f ca="1">IFERROR(__xludf.DUMMYFUNCTION("""COMPUTED_VALUE"""),43577.6666666666)</f>
        <v>43577.666666666599</v>
      </c>
      <c r="P600">
        <f ca="1">IFERROR(__xludf.DUMMYFUNCTION("""COMPUTED_VALUE"""),34.12)</f>
        <v>34.119999999999997</v>
      </c>
    </row>
    <row r="601" spans="2:16" ht="12.75">
      <c r="B601" s="125">
        <f ca="1">IFERROR(__xludf.DUMMYFUNCTION("""COMPUTED_VALUE"""),43578.6666666666)</f>
        <v>43578.666666666599</v>
      </c>
      <c r="C601">
        <f ca="1">IFERROR(__xludf.DUMMYFUNCTION("""COMPUTED_VALUE"""),34.45)</f>
        <v>34.450000000000003</v>
      </c>
      <c r="D601">
        <v>28.55</v>
      </c>
      <c r="E601">
        <v>26.16</v>
      </c>
      <c r="F601">
        <v>31.22</v>
      </c>
      <c r="G601">
        <v>10.19</v>
      </c>
      <c r="H601">
        <v>209.03</v>
      </c>
      <c r="I601">
        <v>27.6</v>
      </c>
      <c r="J601">
        <v>56.71</v>
      </c>
      <c r="K601">
        <v>127.91</v>
      </c>
      <c r="M601" s="125">
        <f ca="1">IFERROR(__xludf.DUMMYFUNCTION("""COMPUTED_VALUE"""),44109.6666666666)</f>
        <v>44109.666666666599</v>
      </c>
      <c r="N601">
        <f ca="1">IFERROR(__xludf.DUMMYFUNCTION("""COMPUTED_VALUE"""),36.29)</f>
        <v>36.29</v>
      </c>
      <c r="O601" s="125">
        <f ca="1">IFERROR(__xludf.DUMMYFUNCTION("""COMPUTED_VALUE"""),43578.6666666666)</f>
        <v>43578.666666666599</v>
      </c>
      <c r="P601">
        <f ca="1">IFERROR(__xludf.DUMMYFUNCTION("""COMPUTED_VALUE"""),34.45)</f>
        <v>34.450000000000003</v>
      </c>
    </row>
    <row r="602" spans="2:16" ht="12.75">
      <c r="B602" s="125">
        <f ca="1">IFERROR(__xludf.DUMMYFUNCTION("""COMPUTED_VALUE"""),43579.6666666666)</f>
        <v>43579.666666666599</v>
      </c>
      <c r="C602">
        <f ca="1">IFERROR(__xludf.DUMMYFUNCTION("""COMPUTED_VALUE"""),33.98)</f>
        <v>33.979999999999997</v>
      </c>
      <c r="D602">
        <v>28.6</v>
      </c>
      <c r="E602">
        <v>26.29</v>
      </c>
      <c r="F602">
        <v>31.02</v>
      </c>
      <c r="G602">
        <v>10.14</v>
      </c>
      <c r="H602">
        <v>208.21</v>
      </c>
      <c r="I602">
        <v>27.72</v>
      </c>
      <c r="J602">
        <v>56.83</v>
      </c>
      <c r="K602">
        <v>128.69999999999999</v>
      </c>
      <c r="M602" s="125">
        <f ca="1">IFERROR(__xludf.DUMMYFUNCTION("""COMPUTED_VALUE"""),44110.6666666666)</f>
        <v>44110.666666666599</v>
      </c>
      <c r="N602">
        <f ca="1">IFERROR(__xludf.DUMMYFUNCTION("""COMPUTED_VALUE"""),36.05)</f>
        <v>36.049999999999997</v>
      </c>
      <c r="O602" s="125">
        <f ca="1">IFERROR(__xludf.DUMMYFUNCTION("""COMPUTED_VALUE"""),43579.6666666666)</f>
        <v>43579.666666666599</v>
      </c>
      <c r="P602">
        <f ca="1">IFERROR(__xludf.DUMMYFUNCTION("""COMPUTED_VALUE"""),33.98)</f>
        <v>33.979999999999997</v>
      </c>
    </row>
    <row r="603" spans="2:16" ht="12.75">
      <c r="B603" s="125">
        <f ca="1">IFERROR(__xludf.DUMMYFUNCTION("""COMPUTED_VALUE"""),43580.6666666666)</f>
        <v>43580.666666666599</v>
      </c>
      <c r="C603">
        <f ca="1">IFERROR(__xludf.DUMMYFUNCTION("""COMPUTED_VALUE"""),33.92)</f>
        <v>33.92</v>
      </c>
      <c r="D603">
        <v>28.48</v>
      </c>
      <c r="E603">
        <v>26.34</v>
      </c>
      <c r="F603">
        <v>30.95</v>
      </c>
      <c r="G603">
        <v>10.1</v>
      </c>
      <c r="H603">
        <v>208.07</v>
      </c>
      <c r="I603">
        <v>27.7</v>
      </c>
      <c r="J603">
        <v>56.47</v>
      </c>
      <c r="K603">
        <v>129.22999999999999</v>
      </c>
      <c r="M603" s="125">
        <f ca="1">IFERROR(__xludf.DUMMYFUNCTION("""COMPUTED_VALUE"""),44111.6666666666)</f>
        <v>44111.666666666599</v>
      </c>
      <c r="N603">
        <f ca="1">IFERROR(__xludf.DUMMYFUNCTION("""COMPUTED_VALUE"""),36.22)</f>
        <v>36.22</v>
      </c>
      <c r="O603" s="125">
        <f ca="1">IFERROR(__xludf.DUMMYFUNCTION("""COMPUTED_VALUE"""),43580.6666666666)</f>
        <v>43580.666666666599</v>
      </c>
      <c r="P603">
        <f ca="1">IFERROR(__xludf.DUMMYFUNCTION("""COMPUTED_VALUE"""),33.92)</f>
        <v>33.92</v>
      </c>
    </row>
    <row r="604" spans="2:16" ht="12.75">
      <c r="B604" s="125">
        <f ca="1">IFERROR(__xludf.DUMMYFUNCTION("""COMPUTED_VALUE"""),43581.6666666666)</f>
        <v>43581.666666666599</v>
      </c>
      <c r="C604">
        <f ca="1">IFERROR(__xludf.DUMMYFUNCTION("""COMPUTED_VALUE"""),33.99)</f>
        <v>33.99</v>
      </c>
      <c r="D604">
        <v>28.6</v>
      </c>
      <c r="E604">
        <v>26.31</v>
      </c>
      <c r="F604">
        <v>31.11</v>
      </c>
      <c r="G604">
        <v>10.119999999999999</v>
      </c>
      <c r="H604">
        <v>208.93</v>
      </c>
      <c r="I604">
        <v>27.75</v>
      </c>
      <c r="J604">
        <v>56.98</v>
      </c>
      <c r="K604">
        <v>129.41999999999999</v>
      </c>
      <c r="M604" s="125">
        <f ca="1">IFERROR(__xludf.DUMMYFUNCTION("""COMPUTED_VALUE"""),44112.6666666666)</f>
        <v>44112.666666666599</v>
      </c>
      <c r="N604">
        <f ca="1">IFERROR(__xludf.DUMMYFUNCTION("""COMPUTED_VALUE"""),36.63)</f>
        <v>36.630000000000003</v>
      </c>
      <c r="O604" s="125">
        <f ca="1">IFERROR(__xludf.DUMMYFUNCTION("""COMPUTED_VALUE"""),43581.6666666666)</f>
        <v>43581.666666666599</v>
      </c>
      <c r="P604">
        <f ca="1">IFERROR(__xludf.DUMMYFUNCTION("""COMPUTED_VALUE"""),33.99)</f>
        <v>33.99</v>
      </c>
    </row>
    <row r="605" spans="2:16" ht="12.75">
      <c r="B605" s="125">
        <f ca="1">IFERROR(__xludf.DUMMYFUNCTION("""COMPUTED_VALUE"""),43584.6666666666)</f>
        <v>43584.666666666599</v>
      </c>
      <c r="C605">
        <f ca="1">IFERROR(__xludf.DUMMYFUNCTION("""COMPUTED_VALUE"""),34.2)</f>
        <v>34.200000000000003</v>
      </c>
      <c r="D605">
        <v>28.69</v>
      </c>
      <c r="E605">
        <v>26.25</v>
      </c>
      <c r="F605">
        <v>31.25</v>
      </c>
      <c r="G605">
        <v>10.119999999999999</v>
      </c>
      <c r="H605">
        <v>209.24</v>
      </c>
      <c r="I605">
        <v>27.82</v>
      </c>
      <c r="J605">
        <v>57.05</v>
      </c>
      <c r="K605">
        <v>128.66</v>
      </c>
      <c r="M605" s="125">
        <f ca="1">IFERROR(__xludf.DUMMYFUNCTION("""COMPUTED_VALUE"""),44113.6666666666)</f>
        <v>44113.666666666599</v>
      </c>
      <c r="N605">
        <f ca="1">IFERROR(__xludf.DUMMYFUNCTION("""COMPUTED_VALUE"""),36.81)</f>
        <v>36.81</v>
      </c>
      <c r="O605" s="125">
        <f ca="1">IFERROR(__xludf.DUMMYFUNCTION("""COMPUTED_VALUE"""),43584.6666666666)</f>
        <v>43584.666666666599</v>
      </c>
      <c r="P605">
        <f ca="1">IFERROR(__xludf.DUMMYFUNCTION("""COMPUTED_VALUE"""),34.2)</f>
        <v>34.200000000000003</v>
      </c>
    </row>
    <row r="606" spans="2:16" ht="12.75">
      <c r="B606" s="125">
        <f ca="1">IFERROR(__xludf.DUMMYFUNCTION("""COMPUTED_VALUE"""),43585.6666666666)</f>
        <v>43585.666666666599</v>
      </c>
      <c r="C606">
        <f ca="1">IFERROR(__xludf.DUMMYFUNCTION("""COMPUTED_VALUE"""),34.23)</f>
        <v>34.229999999999997</v>
      </c>
      <c r="D606">
        <v>28.86</v>
      </c>
      <c r="E606">
        <v>26.17</v>
      </c>
      <c r="F606">
        <v>31.74</v>
      </c>
      <c r="G606">
        <v>10.16</v>
      </c>
      <c r="H606">
        <v>209.62</v>
      </c>
      <c r="I606">
        <v>27.86</v>
      </c>
      <c r="J606">
        <v>57.71</v>
      </c>
      <c r="K606">
        <v>130.72</v>
      </c>
      <c r="M606" s="125">
        <f ca="1">IFERROR(__xludf.DUMMYFUNCTION("""COMPUTED_VALUE"""),44116.6666666666)</f>
        <v>44116.666666666599</v>
      </c>
      <c r="N606">
        <f ca="1">IFERROR(__xludf.DUMMYFUNCTION("""COMPUTED_VALUE"""),36.95)</f>
        <v>36.950000000000003</v>
      </c>
      <c r="O606" s="125">
        <f ca="1">IFERROR(__xludf.DUMMYFUNCTION("""COMPUTED_VALUE"""),43585.6666666666)</f>
        <v>43585.666666666599</v>
      </c>
      <c r="P606">
        <f ca="1">IFERROR(__xludf.DUMMYFUNCTION("""COMPUTED_VALUE"""),34.23)</f>
        <v>34.229999999999997</v>
      </c>
    </row>
    <row r="607" spans="2:16" ht="12.75">
      <c r="B607" s="125">
        <f ca="1">IFERROR(__xludf.DUMMYFUNCTION("""COMPUTED_VALUE"""),43586.6666666666)</f>
        <v>43586.666666666599</v>
      </c>
      <c r="C607">
        <f ca="1">IFERROR(__xludf.DUMMYFUNCTION("""COMPUTED_VALUE"""),34.21)</f>
        <v>34.21</v>
      </c>
      <c r="D607">
        <v>28.42</v>
      </c>
      <c r="E607">
        <v>26.2</v>
      </c>
      <c r="F607">
        <v>31.51</v>
      </c>
      <c r="G607">
        <v>10.119999999999999</v>
      </c>
      <c r="H607">
        <v>210.1</v>
      </c>
      <c r="I607">
        <v>27.72</v>
      </c>
      <c r="J607">
        <v>57</v>
      </c>
      <c r="K607">
        <v>129.4</v>
      </c>
      <c r="M607" s="125">
        <f ca="1">IFERROR(__xludf.DUMMYFUNCTION("""COMPUTED_VALUE"""),44117.6666666666)</f>
        <v>44117.666666666599</v>
      </c>
      <c r="N607">
        <f ca="1">IFERROR(__xludf.DUMMYFUNCTION("""COMPUTED_VALUE"""),36.54)</f>
        <v>36.54</v>
      </c>
      <c r="O607" s="125">
        <f ca="1">IFERROR(__xludf.DUMMYFUNCTION("""COMPUTED_VALUE"""),43586.6666666666)</f>
        <v>43586.666666666599</v>
      </c>
      <c r="P607">
        <f ca="1">IFERROR(__xludf.DUMMYFUNCTION("""COMPUTED_VALUE"""),34.21)</f>
        <v>34.21</v>
      </c>
    </row>
    <row r="608" spans="2:16" ht="12.75">
      <c r="B608" s="125">
        <f ca="1">IFERROR(__xludf.DUMMYFUNCTION("""COMPUTED_VALUE"""),43587.6666666666)</f>
        <v>43587.666666666599</v>
      </c>
      <c r="C608">
        <f ca="1">IFERROR(__xludf.DUMMYFUNCTION("""COMPUTED_VALUE"""),34.26)</f>
        <v>34.26</v>
      </c>
      <c r="D608">
        <v>28.26</v>
      </c>
      <c r="E608">
        <v>26.26</v>
      </c>
      <c r="F608">
        <v>31.31</v>
      </c>
      <c r="G608">
        <v>10.07</v>
      </c>
      <c r="H608">
        <v>209.04</v>
      </c>
      <c r="I608">
        <v>27.73</v>
      </c>
      <c r="J608">
        <v>56.98</v>
      </c>
      <c r="K608">
        <v>129.08000000000001</v>
      </c>
      <c r="M608" s="125">
        <f ca="1">IFERROR(__xludf.DUMMYFUNCTION("""COMPUTED_VALUE"""),44118.6666666666)</f>
        <v>44118.666666666599</v>
      </c>
      <c r="N608">
        <f ca="1">IFERROR(__xludf.DUMMYFUNCTION("""COMPUTED_VALUE"""),36.12)</f>
        <v>36.119999999999997</v>
      </c>
      <c r="O608" s="125">
        <f ca="1">IFERROR(__xludf.DUMMYFUNCTION("""COMPUTED_VALUE"""),43587.6666666666)</f>
        <v>43587.666666666599</v>
      </c>
      <c r="P608">
        <f ca="1">IFERROR(__xludf.DUMMYFUNCTION("""COMPUTED_VALUE"""),34.26)</f>
        <v>34.26</v>
      </c>
    </row>
    <row r="609" spans="2:16" ht="12.75">
      <c r="B609" s="125">
        <f ca="1">IFERROR(__xludf.DUMMYFUNCTION("""COMPUTED_VALUE"""),43588.6666666666)</f>
        <v>43588.666666666599</v>
      </c>
      <c r="C609">
        <f ca="1">IFERROR(__xludf.DUMMYFUNCTION("""COMPUTED_VALUE"""),35.27)</f>
        <v>35.270000000000003</v>
      </c>
      <c r="D609">
        <v>28.48</v>
      </c>
      <c r="E609">
        <v>26.16</v>
      </c>
      <c r="F609">
        <v>31.6</v>
      </c>
      <c r="G609">
        <v>10.220000000000001</v>
      </c>
      <c r="H609">
        <v>211.2</v>
      </c>
      <c r="I609">
        <v>28.03</v>
      </c>
      <c r="J609">
        <v>57.41</v>
      </c>
      <c r="K609">
        <v>129.97999999999999</v>
      </c>
      <c r="M609" s="125">
        <f ca="1">IFERROR(__xludf.DUMMYFUNCTION("""COMPUTED_VALUE"""),44119.6666666666)</f>
        <v>44119.666666666599</v>
      </c>
      <c r="N609">
        <f ca="1">IFERROR(__xludf.DUMMYFUNCTION("""COMPUTED_VALUE"""),36.13)</f>
        <v>36.130000000000003</v>
      </c>
      <c r="O609" s="125">
        <f ca="1">IFERROR(__xludf.DUMMYFUNCTION("""COMPUTED_VALUE"""),43588.6666666666)</f>
        <v>43588.666666666599</v>
      </c>
      <c r="P609">
        <f ca="1">IFERROR(__xludf.DUMMYFUNCTION("""COMPUTED_VALUE"""),35.27)</f>
        <v>35.270000000000003</v>
      </c>
    </row>
    <row r="610" spans="2:16" ht="12.75">
      <c r="B610" s="125">
        <f ca="1">IFERROR(__xludf.DUMMYFUNCTION("""COMPUTED_VALUE"""),43591.6666666666)</f>
        <v>43591.666666666599</v>
      </c>
      <c r="C610">
        <f ca="1">IFERROR(__xludf.DUMMYFUNCTION("""COMPUTED_VALUE"""),34.25)</f>
        <v>34.25</v>
      </c>
      <c r="D610">
        <v>28.66</v>
      </c>
      <c r="E610">
        <v>26.18</v>
      </c>
      <c r="F610">
        <v>31.28</v>
      </c>
      <c r="G610">
        <v>10.06</v>
      </c>
      <c r="H610">
        <v>210.49</v>
      </c>
      <c r="I610">
        <v>27.74</v>
      </c>
      <c r="J610">
        <v>57.32</v>
      </c>
      <c r="K610">
        <v>129.30000000000001</v>
      </c>
      <c r="M610" s="125">
        <f ca="1">IFERROR(__xludf.DUMMYFUNCTION("""COMPUTED_VALUE"""),44120.6666666666)</f>
        <v>44120.666666666599</v>
      </c>
      <c r="N610">
        <f ca="1">IFERROR(__xludf.DUMMYFUNCTION("""COMPUTED_VALUE"""),36.21)</f>
        <v>36.21</v>
      </c>
      <c r="O610" s="125">
        <f ca="1">IFERROR(__xludf.DUMMYFUNCTION("""COMPUTED_VALUE"""),43591.6666666666)</f>
        <v>43591.666666666599</v>
      </c>
      <c r="P610">
        <f ca="1">IFERROR(__xludf.DUMMYFUNCTION("""COMPUTED_VALUE"""),34.25)</f>
        <v>34.25</v>
      </c>
    </row>
    <row r="611" spans="2:16" ht="12.75">
      <c r="B611" s="125">
        <f ca="1">IFERROR(__xludf.DUMMYFUNCTION("""COMPUTED_VALUE"""),43592.6666666666)</f>
        <v>43592.666666666599</v>
      </c>
      <c r="C611">
        <f ca="1">IFERROR(__xludf.DUMMYFUNCTION("""COMPUTED_VALUE"""),33.13)</f>
        <v>33.130000000000003</v>
      </c>
      <c r="D611">
        <v>28.06</v>
      </c>
      <c r="E611">
        <v>26.2</v>
      </c>
      <c r="F611">
        <v>30.74</v>
      </c>
      <c r="G611">
        <v>10.119999999999999</v>
      </c>
      <c r="H611">
        <v>205.41</v>
      </c>
      <c r="I611">
        <v>27.22</v>
      </c>
      <c r="J611">
        <v>56.75</v>
      </c>
      <c r="K611">
        <v>128.91999999999999</v>
      </c>
      <c r="M611" s="125">
        <f ca="1">IFERROR(__xludf.DUMMYFUNCTION("""COMPUTED_VALUE"""),44123.6666666666)</f>
        <v>44123.666666666599</v>
      </c>
      <c r="N611">
        <f ca="1">IFERROR(__xludf.DUMMYFUNCTION("""COMPUTED_VALUE"""),35.91)</f>
        <v>35.909999999999997</v>
      </c>
      <c r="O611" s="125">
        <f ca="1">IFERROR(__xludf.DUMMYFUNCTION("""COMPUTED_VALUE"""),43592.6666666666)</f>
        <v>43592.666666666599</v>
      </c>
      <c r="P611">
        <f ca="1">IFERROR(__xludf.DUMMYFUNCTION("""COMPUTED_VALUE"""),33.13)</f>
        <v>33.130000000000003</v>
      </c>
    </row>
    <row r="612" spans="2:16" ht="12.75">
      <c r="B612" s="125">
        <f ca="1">IFERROR(__xludf.DUMMYFUNCTION("""COMPUTED_VALUE"""),43593.6666666666)</f>
        <v>43593.666666666599</v>
      </c>
      <c r="C612">
        <f ca="1">IFERROR(__xludf.DUMMYFUNCTION("""COMPUTED_VALUE"""),33.17)</f>
        <v>33.17</v>
      </c>
      <c r="D612">
        <v>28.21</v>
      </c>
      <c r="E612">
        <v>26.21</v>
      </c>
      <c r="F612">
        <v>30.9</v>
      </c>
      <c r="G612">
        <v>10.08</v>
      </c>
      <c r="H612">
        <v>207.17</v>
      </c>
      <c r="I612">
        <v>27.46</v>
      </c>
      <c r="J612">
        <v>56.74</v>
      </c>
      <c r="K612">
        <v>127.13</v>
      </c>
      <c r="M612" s="125">
        <f ca="1">IFERROR(__xludf.DUMMYFUNCTION("""COMPUTED_VALUE"""),44124.6666666666)</f>
        <v>44124.666666666599</v>
      </c>
      <c r="N612">
        <f ca="1">IFERROR(__xludf.DUMMYFUNCTION("""COMPUTED_VALUE"""),36.07)</f>
        <v>36.07</v>
      </c>
      <c r="O612" s="125">
        <f ca="1">IFERROR(__xludf.DUMMYFUNCTION("""COMPUTED_VALUE"""),43593.6666666666)</f>
        <v>43593.666666666599</v>
      </c>
      <c r="P612">
        <f ca="1">IFERROR(__xludf.DUMMYFUNCTION("""COMPUTED_VALUE"""),33.17)</f>
        <v>33.17</v>
      </c>
    </row>
    <row r="613" spans="2:16" ht="12.75">
      <c r="B613" s="125">
        <f ca="1">IFERROR(__xludf.DUMMYFUNCTION("""COMPUTED_VALUE"""),43594.6666666666)</f>
        <v>43594.666666666599</v>
      </c>
      <c r="C613">
        <f ca="1">IFERROR(__xludf.DUMMYFUNCTION("""COMPUTED_VALUE"""),32.81)</f>
        <v>32.81</v>
      </c>
      <c r="D613">
        <v>28.04</v>
      </c>
      <c r="E613">
        <v>26.16</v>
      </c>
      <c r="F613">
        <v>30.66</v>
      </c>
      <c r="G613">
        <v>10</v>
      </c>
      <c r="H613">
        <v>207.27</v>
      </c>
      <c r="I613">
        <v>27.23</v>
      </c>
      <c r="J613">
        <v>56.62</v>
      </c>
      <c r="K613">
        <v>127.04</v>
      </c>
      <c r="M613" s="125">
        <f ca="1">IFERROR(__xludf.DUMMYFUNCTION("""COMPUTED_VALUE"""),44125.6666666666)</f>
        <v>44125.666666666599</v>
      </c>
      <c r="N613">
        <f ca="1">IFERROR(__xludf.DUMMYFUNCTION("""COMPUTED_VALUE"""),36.04)</f>
        <v>36.04</v>
      </c>
      <c r="O613" s="125">
        <f ca="1">IFERROR(__xludf.DUMMYFUNCTION("""COMPUTED_VALUE"""),43594.6666666666)</f>
        <v>43594.666666666599</v>
      </c>
      <c r="P613">
        <f ca="1">IFERROR(__xludf.DUMMYFUNCTION("""COMPUTED_VALUE"""),32.81)</f>
        <v>32.81</v>
      </c>
    </row>
    <row r="614" spans="2:16" ht="12.75">
      <c r="B614" s="125">
        <f ca="1">IFERROR(__xludf.DUMMYFUNCTION("""COMPUTED_VALUE"""),43595.6666666666)</f>
        <v>43595.666666666599</v>
      </c>
      <c r="C614">
        <f ca="1">IFERROR(__xludf.DUMMYFUNCTION("""COMPUTED_VALUE"""),32.9)</f>
        <v>32.9</v>
      </c>
      <c r="D614">
        <v>28.32</v>
      </c>
      <c r="E614">
        <v>26.15</v>
      </c>
      <c r="F614">
        <v>30.86</v>
      </c>
      <c r="G614">
        <v>10.08</v>
      </c>
      <c r="H614">
        <v>207.97</v>
      </c>
      <c r="I614">
        <v>27.39</v>
      </c>
      <c r="J614">
        <v>57.31</v>
      </c>
      <c r="K614">
        <v>129.28</v>
      </c>
      <c r="M614" s="125">
        <f ca="1">IFERROR(__xludf.DUMMYFUNCTION("""COMPUTED_VALUE"""),44126.6666666666)</f>
        <v>44126.666666666599</v>
      </c>
      <c r="N614">
        <f ca="1">IFERROR(__xludf.DUMMYFUNCTION("""COMPUTED_VALUE"""),35.47)</f>
        <v>35.47</v>
      </c>
      <c r="O614" s="125">
        <f ca="1">IFERROR(__xludf.DUMMYFUNCTION("""COMPUTED_VALUE"""),43595.6666666666)</f>
        <v>43595.666666666599</v>
      </c>
      <c r="P614">
        <f ca="1">IFERROR(__xludf.DUMMYFUNCTION("""COMPUTED_VALUE"""),32.9)</f>
        <v>32.9</v>
      </c>
    </row>
    <row r="615" spans="2:16" ht="12.75">
      <c r="B615" s="125">
        <f ca="1">IFERROR(__xludf.DUMMYFUNCTION("""COMPUTED_VALUE"""),43598.6666666666)</f>
        <v>43598.666666666599</v>
      </c>
      <c r="C615">
        <f ca="1">IFERROR(__xludf.DUMMYFUNCTION("""COMPUTED_VALUE"""),31.62)</f>
        <v>31.62</v>
      </c>
      <c r="D615">
        <v>27.4</v>
      </c>
      <c r="E615">
        <v>26.15</v>
      </c>
      <c r="F615">
        <v>30.01</v>
      </c>
      <c r="G615">
        <v>9.8000000000000007</v>
      </c>
      <c r="H615">
        <v>201.93</v>
      </c>
      <c r="I615">
        <v>26.59</v>
      </c>
      <c r="J615">
        <v>56.77</v>
      </c>
      <c r="K615">
        <v>130.63999999999999</v>
      </c>
      <c r="M615" s="125">
        <f ca="1">IFERROR(__xludf.DUMMYFUNCTION("""COMPUTED_VALUE"""),44127.6666666666)</f>
        <v>44127.666666666599</v>
      </c>
      <c r="N615">
        <f ca="1">IFERROR(__xludf.DUMMYFUNCTION("""COMPUTED_VALUE"""),35.62)</f>
        <v>35.619999999999997</v>
      </c>
      <c r="O615" s="125">
        <f ca="1">IFERROR(__xludf.DUMMYFUNCTION("""COMPUTED_VALUE"""),43598.6666666666)</f>
        <v>43598.666666666599</v>
      </c>
      <c r="P615">
        <f ca="1">IFERROR(__xludf.DUMMYFUNCTION("""COMPUTED_VALUE"""),31.62)</f>
        <v>31.62</v>
      </c>
    </row>
    <row r="616" spans="2:16" ht="12.75">
      <c r="B616" s="125">
        <f ca="1">IFERROR(__xludf.DUMMYFUNCTION("""COMPUTED_VALUE"""),43599.6666666666)</f>
        <v>43599.666666666599</v>
      </c>
      <c r="C616">
        <f ca="1">IFERROR(__xludf.DUMMYFUNCTION("""COMPUTED_VALUE"""),32.36)</f>
        <v>32.36</v>
      </c>
      <c r="D616">
        <v>27.83</v>
      </c>
      <c r="E616">
        <v>26.21</v>
      </c>
      <c r="F616">
        <v>30.44</v>
      </c>
      <c r="G616">
        <v>9.91</v>
      </c>
      <c r="H616">
        <v>203.99</v>
      </c>
      <c r="I616">
        <v>26.88</v>
      </c>
      <c r="J616">
        <v>57.04</v>
      </c>
      <c r="K616">
        <v>129.66999999999999</v>
      </c>
      <c r="M616" s="125">
        <f ca="1">IFERROR(__xludf.DUMMYFUNCTION("""COMPUTED_VALUE"""),44130.6666666666)</f>
        <v>44130.666666666599</v>
      </c>
      <c r="N616">
        <f ca="1">IFERROR(__xludf.DUMMYFUNCTION("""COMPUTED_VALUE"""),35.53)</f>
        <v>35.53</v>
      </c>
      <c r="O616" s="125">
        <f ca="1">IFERROR(__xludf.DUMMYFUNCTION("""COMPUTED_VALUE"""),43599.6666666666)</f>
        <v>43599.666666666599</v>
      </c>
      <c r="P616">
        <f ca="1">IFERROR(__xludf.DUMMYFUNCTION("""COMPUTED_VALUE"""),32.36)</f>
        <v>32.36</v>
      </c>
    </row>
    <row r="617" spans="2:16" ht="12.75">
      <c r="B617" s="125">
        <f ca="1">IFERROR(__xludf.DUMMYFUNCTION("""COMPUTED_VALUE"""),43600.6666666666)</f>
        <v>43600.666666666599</v>
      </c>
      <c r="C617">
        <f ca="1">IFERROR(__xludf.DUMMYFUNCTION("""COMPUTED_VALUE"""),32.51)</f>
        <v>32.51</v>
      </c>
      <c r="D617">
        <v>28.18</v>
      </c>
      <c r="E617">
        <v>26.22</v>
      </c>
      <c r="F617">
        <v>30.58</v>
      </c>
      <c r="G617">
        <v>9.93</v>
      </c>
      <c r="H617">
        <v>204.21</v>
      </c>
      <c r="I617">
        <v>27.17</v>
      </c>
      <c r="J617">
        <v>57.49</v>
      </c>
      <c r="K617">
        <v>129.54</v>
      </c>
      <c r="M617" s="125">
        <f ca="1">IFERROR(__xludf.DUMMYFUNCTION("""COMPUTED_VALUE"""),44131.6666666666)</f>
        <v>44131.666666666599</v>
      </c>
      <c r="N617">
        <f ca="1">IFERROR(__xludf.DUMMYFUNCTION("""COMPUTED_VALUE"""),35.29)</f>
        <v>35.29</v>
      </c>
      <c r="O617" s="125">
        <f ca="1">IFERROR(__xludf.DUMMYFUNCTION("""COMPUTED_VALUE"""),43600.6666666666)</f>
        <v>43600.666666666599</v>
      </c>
      <c r="P617">
        <f ca="1">IFERROR(__xludf.DUMMYFUNCTION("""COMPUTED_VALUE"""),32.51)</f>
        <v>32.51</v>
      </c>
    </row>
    <row r="618" spans="2:16" ht="12.75">
      <c r="B618" s="125">
        <f ca="1">IFERROR(__xludf.DUMMYFUNCTION("""COMPUTED_VALUE"""),43601.6666666666)</f>
        <v>43601.666666666599</v>
      </c>
      <c r="C618">
        <f ca="1">IFERROR(__xludf.DUMMYFUNCTION("""COMPUTED_VALUE"""),32.81)</f>
        <v>32.81</v>
      </c>
      <c r="D618">
        <v>28.75</v>
      </c>
      <c r="E618">
        <v>26.29</v>
      </c>
      <c r="F618">
        <v>30.82</v>
      </c>
      <c r="G618">
        <v>10.01</v>
      </c>
      <c r="H618">
        <v>207.29</v>
      </c>
      <c r="I618">
        <v>27.51</v>
      </c>
      <c r="J618">
        <v>57.94</v>
      </c>
      <c r="K618">
        <v>130.27000000000001</v>
      </c>
      <c r="M618" s="125">
        <f ca="1">IFERROR(__xludf.DUMMYFUNCTION("""COMPUTED_VALUE"""),44132.6666666666)</f>
        <v>44132.666666666599</v>
      </c>
      <c r="N618">
        <f ca="1">IFERROR(__xludf.DUMMYFUNCTION("""COMPUTED_VALUE"""),34.47)</f>
        <v>34.47</v>
      </c>
      <c r="O618" s="125">
        <f ca="1">IFERROR(__xludf.DUMMYFUNCTION("""COMPUTED_VALUE"""),43601.6666666666)</f>
        <v>43601.666666666599</v>
      </c>
      <c r="P618">
        <f ca="1">IFERROR(__xludf.DUMMYFUNCTION("""COMPUTED_VALUE"""),32.81)</f>
        <v>32.81</v>
      </c>
    </row>
    <row r="619" spans="2:16" ht="12.75">
      <c r="B619" s="125">
        <f ca="1">IFERROR(__xludf.DUMMYFUNCTION("""COMPUTED_VALUE"""),43602.6666666666)</f>
        <v>43602.666666666599</v>
      </c>
      <c r="C619">
        <f ca="1">IFERROR(__xludf.DUMMYFUNCTION("""COMPUTED_VALUE"""),31.49)</f>
        <v>31.49</v>
      </c>
      <c r="D619">
        <v>28.58</v>
      </c>
      <c r="E619">
        <v>26.35</v>
      </c>
      <c r="F619">
        <v>30.56</v>
      </c>
      <c r="G619">
        <v>9.8800000000000008</v>
      </c>
      <c r="H619">
        <v>205.7</v>
      </c>
      <c r="I619">
        <v>27.29</v>
      </c>
      <c r="J619">
        <v>57.75</v>
      </c>
      <c r="K619">
        <v>130.97</v>
      </c>
      <c r="M619" s="125">
        <f ca="1">IFERROR(__xludf.DUMMYFUNCTION("""COMPUTED_VALUE"""),44133.6666666666)</f>
        <v>44133.666666666599</v>
      </c>
      <c r="N619">
        <f ca="1">IFERROR(__xludf.DUMMYFUNCTION("""COMPUTED_VALUE"""),34.44)</f>
        <v>34.44</v>
      </c>
      <c r="O619" s="125">
        <f ca="1">IFERROR(__xludf.DUMMYFUNCTION("""COMPUTED_VALUE"""),43602.6666666666)</f>
        <v>43602.666666666599</v>
      </c>
      <c r="P619">
        <f ca="1">IFERROR(__xludf.DUMMYFUNCTION("""COMPUTED_VALUE"""),31.49)</f>
        <v>31.49</v>
      </c>
    </row>
    <row r="620" spans="2:16" ht="12.75">
      <c r="B620" s="125">
        <f ca="1">IFERROR(__xludf.DUMMYFUNCTION("""COMPUTED_VALUE"""),43605.6666666666)</f>
        <v>43605.666666666599</v>
      </c>
      <c r="C620">
        <f ca="1">IFERROR(__xludf.DUMMYFUNCTION("""COMPUTED_VALUE"""),30.56)</f>
        <v>30.56</v>
      </c>
      <c r="D620">
        <v>28.19</v>
      </c>
      <c r="E620">
        <v>26.33</v>
      </c>
      <c r="F620">
        <v>30.22</v>
      </c>
      <c r="G620">
        <v>9.85</v>
      </c>
      <c r="H620">
        <v>205.78</v>
      </c>
      <c r="I620">
        <v>26.96</v>
      </c>
      <c r="J620">
        <v>57.61</v>
      </c>
      <c r="K620">
        <v>131.13999999999999</v>
      </c>
      <c r="M620" s="125">
        <f ca="1">IFERROR(__xludf.DUMMYFUNCTION("""COMPUTED_VALUE"""),44134.6666666666)</f>
        <v>44134.666666666599</v>
      </c>
      <c r="N620">
        <f ca="1">IFERROR(__xludf.DUMMYFUNCTION("""COMPUTED_VALUE"""),34.07)</f>
        <v>34.07</v>
      </c>
      <c r="O620" s="125">
        <f ca="1">IFERROR(__xludf.DUMMYFUNCTION("""COMPUTED_VALUE"""),43605.6666666666)</f>
        <v>43605.666666666599</v>
      </c>
      <c r="P620">
        <f ca="1">IFERROR(__xludf.DUMMYFUNCTION("""COMPUTED_VALUE"""),30.56)</f>
        <v>30.56</v>
      </c>
    </row>
    <row r="621" spans="2:16" ht="12.75">
      <c r="B621" s="125">
        <f ca="1">IFERROR(__xludf.DUMMYFUNCTION("""COMPUTED_VALUE"""),43606.6666666666)</f>
        <v>43606.666666666599</v>
      </c>
      <c r="C621">
        <f ca="1">IFERROR(__xludf.DUMMYFUNCTION("""COMPUTED_VALUE"""),31.12)</f>
        <v>31.12</v>
      </c>
      <c r="D621">
        <v>28.67</v>
      </c>
      <c r="E621">
        <v>26.37</v>
      </c>
      <c r="F621">
        <v>30.44</v>
      </c>
      <c r="G621">
        <v>9.98</v>
      </c>
      <c r="H621">
        <v>209.05</v>
      </c>
      <c r="I621">
        <v>27.21</v>
      </c>
      <c r="J621">
        <v>57.49</v>
      </c>
      <c r="K621">
        <v>131.28</v>
      </c>
      <c r="M621" s="125">
        <f ca="1">IFERROR(__xludf.DUMMYFUNCTION("""COMPUTED_VALUE"""),44137.6666666666)</f>
        <v>44137.666666666599</v>
      </c>
      <c r="N621">
        <f ca="1">IFERROR(__xludf.DUMMYFUNCTION("""COMPUTED_VALUE"""),34.58)</f>
        <v>34.58</v>
      </c>
      <c r="O621" s="125">
        <f ca="1">IFERROR(__xludf.DUMMYFUNCTION("""COMPUTED_VALUE"""),43606.6666666666)</f>
        <v>43606.666666666599</v>
      </c>
      <c r="P621">
        <f ca="1">IFERROR(__xludf.DUMMYFUNCTION("""COMPUTED_VALUE"""),31.12)</f>
        <v>31.12</v>
      </c>
    </row>
    <row r="622" spans="2:16" ht="12.75">
      <c r="B622" s="125">
        <f ca="1">IFERROR(__xludf.DUMMYFUNCTION("""COMPUTED_VALUE"""),43607.6666666666)</f>
        <v>43607.666666666599</v>
      </c>
      <c r="C622">
        <f ca="1">IFERROR(__xludf.DUMMYFUNCTION("""COMPUTED_VALUE"""),30.87)</f>
        <v>30.87</v>
      </c>
      <c r="D622">
        <v>28.99</v>
      </c>
      <c r="E622">
        <v>26.39</v>
      </c>
      <c r="F622">
        <v>30.34</v>
      </c>
      <c r="G622">
        <v>10.039999999999999</v>
      </c>
      <c r="H622">
        <v>207.91</v>
      </c>
      <c r="I622">
        <v>27.15</v>
      </c>
      <c r="J622">
        <v>57.75</v>
      </c>
      <c r="K622">
        <v>132.28</v>
      </c>
      <c r="M622" s="125">
        <f ca="1">IFERROR(__xludf.DUMMYFUNCTION("""COMPUTED_VALUE"""),44138.6666666666)</f>
        <v>44138.666666666599</v>
      </c>
      <c r="N622">
        <f ca="1">IFERROR(__xludf.DUMMYFUNCTION("""COMPUTED_VALUE"""),35.09)</f>
        <v>35.090000000000003</v>
      </c>
      <c r="O622" s="125">
        <f ca="1">IFERROR(__xludf.DUMMYFUNCTION("""COMPUTED_VALUE"""),43607.6666666666)</f>
        <v>43607.666666666599</v>
      </c>
      <c r="P622">
        <f ca="1">IFERROR(__xludf.DUMMYFUNCTION("""COMPUTED_VALUE"""),30.87)</f>
        <v>30.87</v>
      </c>
    </row>
    <row r="623" spans="2:16" ht="12.75">
      <c r="B623" s="125">
        <f ca="1">IFERROR(__xludf.DUMMYFUNCTION("""COMPUTED_VALUE"""),43608.6666666666)</f>
        <v>43608.666666666599</v>
      </c>
      <c r="C623">
        <f ca="1">IFERROR(__xludf.DUMMYFUNCTION("""COMPUTED_VALUE"""),30.16)</f>
        <v>30.16</v>
      </c>
      <c r="D623">
        <v>28.46</v>
      </c>
      <c r="E623">
        <v>26.34</v>
      </c>
      <c r="F623">
        <v>29.98</v>
      </c>
      <c r="G623">
        <v>9.85</v>
      </c>
      <c r="H623">
        <v>204.52</v>
      </c>
      <c r="I623">
        <v>26.75</v>
      </c>
      <c r="J623">
        <v>57.73</v>
      </c>
      <c r="K623">
        <v>133.16999999999999</v>
      </c>
      <c r="M623" s="125">
        <f ca="1">IFERROR(__xludf.DUMMYFUNCTION("""COMPUTED_VALUE"""),44139.6666666666)</f>
        <v>44139.666666666599</v>
      </c>
      <c r="N623">
        <f ca="1">IFERROR(__xludf.DUMMYFUNCTION("""COMPUTED_VALUE"""),35.92)</f>
        <v>35.92</v>
      </c>
      <c r="O623" s="125">
        <f ca="1">IFERROR(__xludf.DUMMYFUNCTION("""COMPUTED_VALUE"""),43608.6666666666)</f>
        <v>43608.666666666599</v>
      </c>
      <c r="P623">
        <f ca="1">IFERROR(__xludf.DUMMYFUNCTION("""COMPUTED_VALUE"""),30.16)</f>
        <v>30.16</v>
      </c>
    </row>
    <row r="624" spans="2:16" ht="12.75">
      <c r="B624" s="125">
        <f ca="1">IFERROR(__xludf.DUMMYFUNCTION("""COMPUTED_VALUE"""),43609.6666666666)</f>
        <v>43609.666666666599</v>
      </c>
      <c r="C624">
        <f ca="1">IFERROR(__xludf.DUMMYFUNCTION("""COMPUTED_VALUE"""),30)</f>
        <v>30</v>
      </c>
      <c r="D624">
        <v>28.63</v>
      </c>
      <c r="E624">
        <v>26.25</v>
      </c>
      <c r="F624">
        <v>30.25</v>
      </c>
      <c r="G624">
        <v>9.9</v>
      </c>
      <c r="H624">
        <v>205.5</v>
      </c>
      <c r="I624">
        <v>26.86</v>
      </c>
      <c r="J624">
        <v>57.52</v>
      </c>
      <c r="K624">
        <v>133.01</v>
      </c>
      <c r="M624" s="125">
        <f ca="1">IFERROR(__xludf.DUMMYFUNCTION("""COMPUTED_VALUE"""),44140.6666666666)</f>
        <v>44140.666666666599</v>
      </c>
      <c r="N624">
        <f ca="1">IFERROR(__xludf.DUMMYFUNCTION("""COMPUTED_VALUE"""),36.3)</f>
        <v>36.299999999999997</v>
      </c>
      <c r="O624" s="125">
        <f ca="1">IFERROR(__xludf.DUMMYFUNCTION("""COMPUTED_VALUE"""),43609.6666666666)</f>
        <v>43609.666666666599</v>
      </c>
      <c r="P624">
        <f ca="1">IFERROR(__xludf.DUMMYFUNCTION("""COMPUTED_VALUE"""),30)</f>
        <v>30</v>
      </c>
    </row>
    <row r="625" spans="2:16" ht="12.75">
      <c r="B625" s="125">
        <f ca="1">IFERROR(__xludf.DUMMYFUNCTION("""COMPUTED_VALUE"""),43613.6666666666)</f>
        <v>43613.666666666599</v>
      </c>
      <c r="C625">
        <f ca="1">IFERROR(__xludf.DUMMYFUNCTION("""COMPUTED_VALUE"""),29.81)</f>
        <v>29.81</v>
      </c>
      <c r="D625">
        <v>28.97</v>
      </c>
      <c r="E625">
        <v>26.36</v>
      </c>
      <c r="F625">
        <v>30.06</v>
      </c>
      <c r="G625">
        <v>10.039999999999999</v>
      </c>
      <c r="H625">
        <v>204.71</v>
      </c>
      <c r="I625">
        <v>26.75</v>
      </c>
      <c r="J625">
        <v>56.58</v>
      </c>
      <c r="K625">
        <v>130.91</v>
      </c>
      <c r="M625" s="125">
        <f ca="1">IFERROR(__xludf.DUMMYFUNCTION("""COMPUTED_VALUE"""),44141.6666666666)</f>
        <v>44141.666666666599</v>
      </c>
      <c r="N625">
        <f ca="1">IFERROR(__xludf.DUMMYFUNCTION("""COMPUTED_VALUE"""),36.58)</f>
        <v>36.58</v>
      </c>
      <c r="O625" s="125">
        <f ca="1">IFERROR(__xludf.DUMMYFUNCTION("""COMPUTED_VALUE"""),43613.6666666666)</f>
        <v>43613.666666666599</v>
      </c>
      <c r="P625">
        <f ca="1">IFERROR(__xludf.DUMMYFUNCTION("""COMPUTED_VALUE"""),29.81)</f>
        <v>29.81</v>
      </c>
    </row>
    <row r="626" spans="2:16" ht="12.75">
      <c r="B626" s="125">
        <f ca="1">IFERROR(__xludf.DUMMYFUNCTION("""COMPUTED_VALUE"""),43614.6666666666)</f>
        <v>43614.666666666599</v>
      </c>
      <c r="C626">
        <f ca="1">IFERROR(__xludf.DUMMYFUNCTION("""COMPUTED_VALUE"""),29.82)</f>
        <v>29.82</v>
      </c>
      <c r="D626">
        <v>28.4</v>
      </c>
      <c r="E626">
        <v>26.42</v>
      </c>
      <c r="F626">
        <v>29.73</v>
      </c>
      <c r="G626">
        <v>9.9600000000000009</v>
      </c>
      <c r="H626">
        <v>204.23</v>
      </c>
      <c r="I626">
        <v>26.51</v>
      </c>
      <c r="J626">
        <v>56.17</v>
      </c>
      <c r="K626">
        <v>129.12</v>
      </c>
      <c r="M626" s="125">
        <f ca="1">IFERROR(__xludf.DUMMYFUNCTION("""COMPUTED_VALUE"""),44144.6666666666)</f>
        <v>44144.666666666599</v>
      </c>
      <c r="N626">
        <f ca="1">IFERROR(__xludf.DUMMYFUNCTION("""COMPUTED_VALUE"""),35.62)</f>
        <v>35.619999999999997</v>
      </c>
      <c r="O626" s="125">
        <f ca="1">IFERROR(__xludf.DUMMYFUNCTION("""COMPUTED_VALUE"""),43614.6666666666)</f>
        <v>43614.666666666599</v>
      </c>
      <c r="P626">
        <f ca="1">IFERROR(__xludf.DUMMYFUNCTION("""COMPUTED_VALUE"""),29.82)</f>
        <v>29.82</v>
      </c>
    </row>
    <row r="627" spans="2:16" ht="12.75">
      <c r="B627" s="125">
        <f ca="1">IFERROR(__xludf.DUMMYFUNCTION("""COMPUTED_VALUE"""),43615.6666666666)</f>
        <v>43615.666666666599</v>
      </c>
      <c r="C627">
        <f ca="1">IFERROR(__xludf.DUMMYFUNCTION("""COMPUTED_VALUE"""),29.95)</f>
        <v>29.95</v>
      </c>
      <c r="D627">
        <v>28.46</v>
      </c>
      <c r="E627">
        <v>26.43</v>
      </c>
      <c r="F627">
        <v>29.92</v>
      </c>
      <c r="G627">
        <v>10.039999999999999</v>
      </c>
      <c r="H627">
        <v>204.39</v>
      </c>
      <c r="I627">
        <v>26.64</v>
      </c>
      <c r="J627">
        <v>56.41</v>
      </c>
      <c r="K627">
        <v>128.83000000000001</v>
      </c>
      <c r="M627" s="125">
        <f ca="1">IFERROR(__xludf.DUMMYFUNCTION("""COMPUTED_VALUE"""),44145.6666666666)</f>
        <v>44145.666666666599</v>
      </c>
      <c r="N627">
        <f ca="1">IFERROR(__xludf.DUMMYFUNCTION("""COMPUTED_VALUE"""),34.97)</f>
        <v>34.97</v>
      </c>
      <c r="O627" s="125">
        <f ca="1">IFERROR(__xludf.DUMMYFUNCTION("""COMPUTED_VALUE"""),43615.6666666666)</f>
        <v>43615.666666666599</v>
      </c>
      <c r="P627">
        <f ca="1">IFERROR(__xludf.DUMMYFUNCTION("""COMPUTED_VALUE"""),29.95)</f>
        <v>29.95</v>
      </c>
    </row>
    <row r="628" spans="2:16" ht="12.75">
      <c r="B628" s="125">
        <f ca="1">IFERROR(__xludf.DUMMYFUNCTION("""COMPUTED_VALUE"""),43616.6666666666)</f>
        <v>43616.666666666599</v>
      </c>
      <c r="C628">
        <f ca="1">IFERROR(__xludf.DUMMYFUNCTION("""COMPUTED_VALUE"""),29.74)</f>
        <v>29.74</v>
      </c>
      <c r="D628">
        <v>28.05</v>
      </c>
      <c r="E628">
        <v>26.32</v>
      </c>
      <c r="F628">
        <v>29.65</v>
      </c>
      <c r="G628">
        <v>9.99</v>
      </c>
      <c r="H628">
        <v>201.94</v>
      </c>
      <c r="I628">
        <v>26.19</v>
      </c>
      <c r="J628">
        <v>55.61</v>
      </c>
      <c r="K628">
        <v>129.58000000000001</v>
      </c>
      <c r="M628" s="125">
        <f ca="1">IFERROR(__xludf.DUMMYFUNCTION("""COMPUTED_VALUE"""),44146.6666666666)</f>
        <v>44146.666666666599</v>
      </c>
      <c r="N628">
        <f ca="1">IFERROR(__xludf.DUMMYFUNCTION("""COMPUTED_VALUE"""),35.88)</f>
        <v>35.880000000000003</v>
      </c>
      <c r="O628" s="125">
        <f ca="1">IFERROR(__xludf.DUMMYFUNCTION("""COMPUTED_VALUE"""),43616.6666666666)</f>
        <v>43616.666666666599</v>
      </c>
      <c r="P628">
        <f ca="1">IFERROR(__xludf.DUMMYFUNCTION("""COMPUTED_VALUE"""),29.74)</f>
        <v>29.74</v>
      </c>
    </row>
    <row r="629" spans="2:16" ht="12.75">
      <c r="B629" s="125">
        <f ca="1">IFERROR(__xludf.DUMMYFUNCTION("""COMPUTED_VALUE"""),43619.6666666666)</f>
        <v>43619.666666666599</v>
      </c>
      <c r="C629">
        <f ca="1">IFERROR(__xludf.DUMMYFUNCTION("""COMPUTED_VALUE"""),29.76)</f>
        <v>29.76</v>
      </c>
      <c r="D629">
        <v>27.45</v>
      </c>
      <c r="E629">
        <v>26.18</v>
      </c>
      <c r="F629">
        <v>29.75</v>
      </c>
      <c r="G629">
        <v>10.15</v>
      </c>
      <c r="H629">
        <v>203.02</v>
      </c>
      <c r="I629">
        <v>26.23</v>
      </c>
      <c r="J629">
        <v>56.31</v>
      </c>
      <c r="K629">
        <v>130.94999999999999</v>
      </c>
      <c r="M629" s="125">
        <f ca="1">IFERROR(__xludf.DUMMYFUNCTION("""COMPUTED_VALUE"""),44147.6666666666)</f>
        <v>44147.666666666599</v>
      </c>
      <c r="N629">
        <f ca="1">IFERROR(__xludf.DUMMYFUNCTION("""COMPUTED_VALUE"""),35.77)</f>
        <v>35.770000000000003</v>
      </c>
      <c r="O629" s="125">
        <f ca="1">IFERROR(__xludf.DUMMYFUNCTION("""COMPUTED_VALUE"""),43619.6666666666)</f>
        <v>43619.666666666599</v>
      </c>
      <c r="P629">
        <f ca="1">IFERROR(__xludf.DUMMYFUNCTION("""COMPUTED_VALUE"""),29.76)</f>
        <v>29.76</v>
      </c>
    </row>
    <row r="630" spans="2:16" ht="12.75">
      <c r="B630" s="125">
        <f ca="1">IFERROR(__xludf.DUMMYFUNCTION("""COMPUTED_VALUE"""),43620.6666666666)</f>
        <v>43620.666666666599</v>
      </c>
      <c r="C630">
        <f ca="1">IFERROR(__xludf.DUMMYFUNCTION("""COMPUTED_VALUE"""),29.99)</f>
        <v>29.99</v>
      </c>
      <c r="D630">
        <v>28.16</v>
      </c>
      <c r="E630">
        <v>26.15</v>
      </c>
      <c r="F630">
        <v>30.17</v>
      </c>
      <c r="G630">
        <v>10.27</v>
      </c>
      <c r="H630">
        <v>207.19</v>
      </c>
      <c r="I630">
        <v>26.74</v>
      </c>
      <c r="J630">
        <v>56.82</v>
      </c>
      <c r="K630">
        <v>131.13999999999999</v>
      </c>
      <c r="M630" s="125">
        <f ca="1">IFERROR(__xludf.DUMMYFUNCTION("""COMPUTED_VALUE"""),44148.6666666666)</f>
        <v>44148.666666666599</v>
      </c>
      <c r="N630">
        <f ca="1">IFERROR(__xludf.DUMMYFUNCTION("""COMPUTED_VALUE"""),36.32)</f>
        <v>36.32</v>
      </c>
      <c r="O630" s="125">
        <f ca="1">IFERROR(__xludf.DUMMYFUNCTION("""COMPUTED_VALUE"""),43620.6666666666)</f>
        <v>43620.666666666599</v>
      </c>
      <c r="P630">
        <f ca="1">IFERROR(__xludf.DUMMYFUNCTION("""COMPUTED_VALUE"""),29.99)</f>
        <v>29.99</v>
      </c>
    </row>
    <row r="631" spans="2:16" ht="12.75">
      <c r="B631" s="125">
        <f ca="1">IFERROR(__xludf.DUMMYFUNCTION("""COMPUTED_VALUE"""),43621.6666666666)</f>
        <v>43621.666666666599</v>
      </c>
      <c r="C631">
        <f ca="1">IFERROR(__xludf.DUMMYFUNCTION("""COMPUTED_VALUE"""),29.71)</f>
        <v>29.71</v>
      </c>
      <c r="D631">
        <v>28.49</v>
      </c>
      <c r="E631">
        <v>26.24</v>
      </c>
      <c r="F631">
        <v>30.13</v>
      </c>
      <c r="G631">
        <v>10.25</v>
      </c>
      <c r="H631">
        <v>210.15</v>
      </c>
      <c r="I631">
        <v>26.72</v>
      </c>
      <c r="J631">
        <v>57.47</v>
      </c>
      <c r="K631">
        <v>133.75</v>
      </c>
      <c r="M631" s="125">
        <f ca="1">IFERROR(__xludf.DUMMYFUNCTION("""COMPUTED_VALUE"""),44151.6666666666)</f>
        <v>44151.666666666599</v>
      </c>
      <c r="N631">
        <f ca="1">IFERROR(__xludf.DUMMYFUNCTION("""COMPUTED_VALUE"""),35.98)</f>
        <v>35.979999999999997</v>
      </c>
      <c r="O631" s="125">
        <f ca="1">IFERROR(__xludf.DUMMYFUNCTION("""COMPUTED_VALUE"""),43621.6666666666)</f>
        <v>43621.666666666599</v>
      </c>
      <c r="P631">
        <f ca="1">IFERROR(__xludf.DUMMYFUNCTION("""COMPUTED_VALUE"""),29.71)</f>
        <v>29.71</v>
      </c>
    </row>
    <row r="632" spans="2:16" ht="12.75">
      <c r="B632" s="125">
        <f ca="1">IFERROR(__xludf.DUMMYFUNCTION("""COMPUTED_VALUE"""),43622.6666666666)</f>
        <v>43622.666666666599</v>
      </c>
      <c r="C632">
        <f ca="1">IFERROR(__xludf.DUMMYFUNCTION("""COMPUTED_VALUE"""),29.81)</f>
        <v>29.81</v>
      </c>
      <c r="D632">
        <v>28.64</v>
      </c>
      <c r="E632">
        <v>26.15</v>
      </c>
      <c r="F632">
        <v>30.32</v>
      </c>
      <c r="G632">
        <v>10.23</v>
      </c>
      <c r="H632">
        <v>210.72</v>
      </c>
      <c r="I632">
        <v>26.65</v>
      </c>
      <c r="J632">
        <v>58.07</v>
      </c>
      <c r="K632">
        <v>134.52000000000001</v>
      </c>
      <c r="M632" s="125">
        <f ca="1">IFERROR(__xludf.DUMMYFUNCTION("""COMPUTED_VALUE"""),44152.6666666666)</f>
        <v>44152.666666666599</v>
      </c>
      <c r="N632">
        <f ca="1">IFERROR(__xludf.DUMMYFUNCTION("""COMPUTED_VALUE"""),35.87)</f>
        <v>35.869999999999997</v>
      </c>
      <c r="O632" s="125">
        <f ca="1">IFERROR(__xludf.DUMMYFUNCTION("""COMPUTED_VALUE"""),43622.6666666666)</f>
        <v>43622.666666666599</v>
      </c>
      <c r="P632">
        <f ca="1">IFERROR(__xludf.DUMMYFUNCTION("""COMPUTED_VALUE"""),29.81)</f>
        <v>29.81</v>
      </c>
    </row>
    <row r="633" spans="2:16" ht="12.75">
      <c r="B633" s="125">
        <f ca="1">IFERROR(__xludf.DUMMYFUNCTION("""COMPUTED_VALUE"""),43623.6666666666)</f>
        <v>43623.666666666599</v>
      </c>
      <c r="C633">
        <f ca="1">IFERROR(__xludf.DUMMYFUNCTION("""COMPUTED_VALUE"""),30.39)</f>
        <v>30.39</v>
      </c>
      <c r="D633">
        <v>29.05</v>
      </c>
      <c r="E633">
        <v>26.04</v>
      </c>
      <c r="F633">
        <v>30.77</v>
      </c>
      <c r="G633">
        <v>10.41</v>
      </c>
      <c r="H633">
        <v>211.96</v>
      </c>
      <c r="I633">
        <v>26.76</v>
      </c>
      <c r="J633">
        <v>58.63</v>
      </c>
      <c r="K633">
        <v>133.66</v>
      </c>
      <c r="M633" s="125">
        <f ca="1">IFERROR(__xludf.DUMMYFUNCTION("""COMPUTED_VALUE"""),44153.6666666666)</f>
        <v>44153.666666666599</v>
      </c>
      <c r="N633">
        <f ca="1">IFERROR(__xludf.DUMMYFUNCTION("""COMPUTED_VALUE"""),35.66)</f>
        <v>35.659999999999997</v>
      </c>
      <c r="O633" s="125">
        <f ca="1">IFERROR(__xludf.DUMMYFUNCTION("""COMPUTED_VALUE"""),43623.6666666666)</f>
        <v>43623.666666666599</v>
      </c>
      <c r="P633">
        <f ca="1">IFERROR(__xludf.DUMMYFUNCTION("""COMPUTED_VALUE"""),30.39)</f>
        <v>30.39</v>
      </c>
    </row>
    <row r="634" spans="2:16" ht="12.75">
      <c r="B634" s="125">
        <f ca="1">IFERROR(__xludf.DUMMYFUNCTION("""COMPUTED_VALUE"""),43626.6666666666)</f>
        <v>43626.666666666599</v>
      </c>
      <c r="C634">
        <f ca="1">IFERROR(__xludf.DUMMYFUNCTION("""COMPUTED_VALUE"""),31.07)</f>
        <v>31.07</v>
      </c>
      <c r="D634">
        <v>29.27</v>
      </c>
      <c r="E634">
        <v>26.07</v>
      </c>
      <c r="F634">
        <v>30.89</v>
      </c>
      <c r="G634">
        <v>10.41</v>
      </c>
      <c r="H634">
        <v>210.66</v>
      </c>
      <c r="I634">
        <v>26.87</v>
      </c>
      <c r="J634">
        <v>58.65</v>
      </c>
      <c r="K634">
        <v>132.80000000000001</v>
      </c>
      <c r="M634" s="125">
        <f ca="1">IFERROR(__xludf.DUMMYFUNCTION("""COMPUTED_VALUE"""),44154.6666666666)</f>
        <v>44154.666666666599</v>
      </c>
      <c r="N634">
        <f ca="1">IFERROR(__xludf.DUMMYFUNCTION("""COMPUTED_VALUE"""),35.75)</f>
        <v>35.75</v>
      </c>
      <c r="O634" s="125">
        <f ca="1">IFERROR(__xludf.DUMMYFUNCTION("""COMPUTED_VALUE"""),43626.6666666666)</f>
        <v>43626.666666666599</v>
      </c>
      <c r="P634">
        <f ca="1">IFERROR(__xludf.DUMMYFUNCTION("""COMPUTED_VALUE"""),31.07)</f>
        <v>31.07</v>
      </c>
    </row>
    <row r="635" spans="2:16" ht="12.75">
      <c r="B635" s="125">
        <f ca="1">IFERROR(__xludf.DUMMYFUNCTION("""COMPUTED_VALUE"""),43627.6666666666)</f>
        <v>43627.666666666599</v>
      </c>
      <c r="C635">
        <f ca="1">IFERROR(__xludf.DUMMYFUNCTION("""COMPUTED_VALUE"""),31.46)</f>
        <v>31.46</v>
      </c>
      <c r="D635">
        <v>29.16</v>
      </c>
      <c r="E635">
        <v>26.08</v>
      </c>
      <c r="F635">
        <v>31.12</v>
      </c>
      <c r="G635">
        <v>10.45</v>
      </c>
      <c r="H635">
        <v>205.79</v>
      </c>
      <c r="I635">
        <v>27.02</v>
      </c>
      <c r="J635">
        <v>58.84</v>
      </c>
      <c r="K635">
        <v>131.97</v>
      </c>
      <c r="M635" s="125">
        <f ca="1">IFERROR(__xludf.DUMMYFUNCTION("""COMPUTED_VALUE"""),44155.6666666666)</f>
        <v>44155.666666666599</v>
      </c>
      <c r="N635">
        <f ca="1">IFERROR(__xludf.DUMMYFUNCTION("""COMPUTED_VALUE"""),35.48)</f>
        <v>35.479999999999997</v>
      </c>
      <c r="O635" s="125">
        <f ca="1">IFERROR(__xludf.DUMMYFUNCTION("""COMPUTED_VALUE"""),43627.6666666666)</f>
        <v>43627.666666666599</v>
      </c>
      <c r="P635">
        <f ca="1">IFERROR(__xludf.DUMMYFUNCTION("""COMPUTED_VALUE"""),31.46)</f>
        <v>31.46</v>
      </c>
    </row>
    <row r="636" spans="2:16" ht="12.75">
      <c r="B636" s="125">
        <f ca="1">IFERROR(__xludf.DUMMYFUNCTION("""COMPUTED_VALUE"""),43628.6666666666)</f>
        <v>43628.666666666599</v>
      </c>
      <c r="C636">
        <f ca="1">IFERROR(__xludf.DUMMYFUNCTION("""COMPUTED_VALUE"""),30.99)</f>
        <v>30.99</v>
      </c>
      <c r="D636">
        <v>29.15</v>
      </c>
      <c r="E636">
        <v>26.15</v>
      </c>
      <c r="F636">
        <v>31</v>
      </c>
      <c r="G636">
        <v>10.39</v>
      </c>
      <c r="H636">
        <v>206.42</v>
      </c>
      <c r="I636">
        <v>26.93</v>
      </c>
      <c r="J636">
        <v>58.93</v>
      </c>
      <c r="K636">
        <v>133.63</v>
      </c>
      <c r="M636" s="125">
        <f ca="1">IFERROR(__xludf.DUMMYFUNCTION("""COMPUTED_VALUE"""),44158.6666666666)</f>
        <v>44158.666666666599</v>
      </c>
      <c r="N636">
        <f ca="1">IFERROR(__xludf.DUMMYFUNCTION("""COMPUTED_VALUE"""),35.21)</f>
        <v>35.21</v>
      </c>
      <c r="O636" s="125">
        <f ca="1">IFERROR(__xludf.DUMMYFUNCTION("""COMPUTED_VALUE"""),43628.6666666666)</f>
        <v>43628.666666666599</v>
      </c>
      <c r="P636">
        <f ca="1">IFERROR(__xludf.DUMMYFUNCTION("""COMPUTED_VALUE"""),30.99)</f>
        <v>30.99</v>
      </c>
    </row>
    <row r="637" spans="2:16" ht="12.75">
      <c r="B637" s="125">
        <f ca="1">IFERROR(__xludf.DUMMYFUNCTION("""COMPUTED_VALUE"""),43629.6666666666)</f>
        <v>43629.666666666599</v>
      </c>
      <c r="C637">
        <f ca="1">IFERROR(__xludf.DUMMYFUNCTION("""COMPUTED_VALUE"""),31.07)</f>
        <v>31.07</v>
      </c>
      <c r="D637">
        <v>29.1</v>
      </c>
      <c r="E637">
        <v>26.17</v>
      </c>
      <c r="F637">
        <v>31.02</v>
      </c>
      <c r="G637">
        <v>10.5</v>
      </c>
      <c r="H637">
        <v>208.21</v>
      </c>
      <c r="I637">
        <v>27.05</v>
      </c>
      <c r="J637">
        <v>59.06</v>
      </c>
      <c r="K637">
        <v>133.94999999999999</v>
      </c>
      <c r="M637" s="125">
        <f ca="1">IFERROR(__xludf.DUMMYFUNCTION("""COMPUTED_VALUE"""),44159.6666666666)</f>
        <v>44159.666666666599</v>
      </c>
      <c r="N637">
        <f ca="1">IFERROR(__xludf.DUMMYFUNCTION("""COMPUTED_VALUE"""),34.9)</f>
        <v>34.9</v>
      </c>
      <c r="O637" s="125">
        <f ca="1">IFERROR(__xludf.DUMMYFUNCTION("""COMPUTED_VALUE"""),43629.6666666666)</f>
        <v>43629.666666666599</v>
      </c>
      <c r="P637">
        <f ca="1">IFERROR(__xludf.DUMMYFUNCTION("""COMPUTED_VALUE"""),31.07)</f>
        <v>31.07</v>
      </c>
    </row>
    <row r="638" spans="2:16" ht="12.75">
      <c r="B638" s="125">
        <f ca="1">IFERROR(__xludf.DUMMYFUNCTION("""COMPUTED_VALUE"""),43630.6666666666)</f>
        <v>43630.666666666599</v>
      </c>
      <c r="C638">
        <f ca="1">IFERROR(__xludf.DUMMYFUNCTION("""COMPUTED_VALUE"""),30.49)</f>
        <v>30.49</v>
      </c>
      <c r="D638">
        <v>28.89</v>
      </c>
      <c r="E638">
        <v>26.31</v>
      </c>
      <c r="F638">
        <v>30.6</v>
      </c>
      <c r="G638">
        <v>10.42</v>
      </c>
      <c r="H638">
        <v>207.25</v>
      </c>
      <c r="I638">
        <v>26.9</v>
      </c>
      <c r="J638">
        <v>59.09</v>
      </c>
      <c r="K638">
        <v>135.11000000000001</v>
      </c>
      <c r="M638" s="125">
        <f ca="1">IFERROR(__xludf.DUMMYFUNCTION("""COMPUTED_VALUE"""),44160.6666666666)</f>
        <v>44160.666666666599</v>
      </c>
      <c r="N638">
        <f ca="1">IFERROR(__xludf.DUMMYFUNCTION("""COMPUTED_VALUE"""),35.18)</f>
        <v>35.18</v>
      </c>
      <c r="O638" s="125">
        <f ca="1">IFERROR(__xludf.DUMMYFUNCTION("""COMPUTED_VALUE"""),43630.6666666666)</f>
        <v>43630.666666666599</v>
      </c>
      <c r="P638">
        <f ca="1">IFERROR(__xludf.DUMMYFUNCTION("""COMPUTED_VALUE"""),30.49)</f>
        <v>30.49</v>
      </c>
    </row>
    <row r="639" spans="2:16" ht="12.75">
      <c r="B639" s="125">
        <f ca="1">IFERROR(__xludf.DUMMYFUNCTION("""COMPUTED_VALUE"""),43633.6666666666)</f>
        <v>43633.666666666599</v>
      </c>
      <c r="C639">
        <f ca="1">IFERROR(__xludf.DUMMYFUNCTION("""COMPUTED_VALUE"""),30.66)</f>
        <v>30.66</v>
      </c>
      <c r="D639">
        <v>28.94</v>
      </c>
      <c r="E639">
        <v>26.32</v>
      </c>
      <c r="F639">
        <v>29.8</v>
      </c>
      <c r="G639">
        <v>10.29</v>
      </c>
      <c r="H639">
        <v>206.92</v>
      </c>
      <c r="I639">
        <v>26.86</v>
      </c>
      <c r="J639">
        <v>58.92</v>
      </c>
      <c r="K639">
        <v>134.66999999999999</v>
      </c>
      <c r="M639" s="125">
        <f ca="1">IFERROR(__xludf.DUMMYFUNCTION("""COMPUTED_VALUE"""),44162.5416666666)</f>
        <v>44162.541666666599</v>
      </c>
      <c r="N639">
        <f ca="1">IFERROR(__xludf.DUMMYFUNCTION("""COMPUTED_VALUE"""),35.37)</f>
        <v>35.369999999999997</v>
      </c>
      <c r="O639" s="125">
        <f ca="1">IFERROR(__xludf.DUMMYFUNCTION("""COMPUTED_VALUE"""),43633.6666666666)</f>
        <v>43633.666666666599</v>
      </c>
      <c r="P639">
        <f ca="1">IFERROR(__xludf.DUMMYFUNCTION("""COMPUTED_VALUE"""),30.66)</f>
        <v>30.66</v>
      </c>
    </row>
    <row r="640" spans="2:16" ht="12.75">
      <c r="B640" s="125">
        <f ca="1">IFERROR(__xludf.DUMMYFUNCTION("""COMPUTED_VALUE"""),43634.6666666666)</f>
        <v>43634.666666666599</v>
      </c>
      <c r="C640">
        <f ca="1">IFERROR(__xludf.DUMMYFUNCTION("""COMPUTED_VALUE"""),31.6)</f>
        <v>31.6</v>
      </c>
      <c r="D640">
        <v>29.23</v>
      </c>
      <c r="E640">
        <v>26.36</v>
      </c>
      <c r="F640">
        <v>30.23</v>
      </c>
      <c r="G640">
        <v>10.47</v>
      </c>
      <c r="H640">
        <v>211.76</v>
      </c>
      <c r="I640">
        <v>27.41</v>
      </c>
      <c r="J640">
        <v>58.6</v>
      </c>
      <c r="K640">
        <v>134.22</v>
      </c>
      <c r="M640" s="125">
        <f ca="1">IFERROR(__xludf.DUMMYFUNCTION("""COMPUTED_VALUE"""),44165.6666666666)</f>
        <v>44165.666666666599</v>
      </c>
      <c r="N640">
        <f ca="1">IFERROR(__xludf.DUMMYFUNCTION("""COMPUTED_VALUE"""),35.34)</f>
        <v>35.340000000000003</v>
      </c>
      <c r="O640" s="125">
        <f ca="1">IFERROR(__xludf.DUMMYFUNCTION("""COMPUTED_VALUE"""),43634.6666666666)</f>
        <v>43634.666666666599</v>
      </c>
      <c r="P640">
        <f ca="1">IFERROR(__xludf.DUMMYFUNCTION("""COMPUTED_VALUE"""),31.6)</f>
        <v>31.6</v>
      </c>
    </row>
    <row r="641" spans="2:16" ht="12.75">
      <c r="B641" s="125">
        <f ca="1">IFERROR(__xludf.DUMMYFUNCTION("""COMPUTED_VALUE"""),43635.6666666666)</f>
        <v>43635.666666666599</v>
      </c>
      <c r="C641">
        <f ca="1">IFERROR(__xludf.DUMMYFUNCTION("""COMPUTED_VALUE"""),31.77)</f>
        <v>31.77</v>
      </c>
      <c r="D641">
        <v>29.39</v>
      </c>
      <c r="E641">
        <v>26.24</v>
      </c>
      <c r="F641">
        <v>30.43</v>
      </c>
      <c r="G641">
        <v>10.5</v>
      </c>
      <c r="H641">
        <v>212.05</v>
      </c>
      <c r="I641">
        <v>27.42</v>
      </c>
      <c r="J641">
        <v>58.84</v>
      </c>
      <c r="K641">
        <v>135.41</v>
      </c>
      <c r="M641" s="125">
        <f ca="1">IFERROR(__xludf.DUMMYFUNCTION("""COMPUTED_VALUE"""),44166.6666666666)</f>
        <v>44166.666666666599</v>
      </c>
      <c r="N641">
        <f ca="1">IFERROR(__xludf.DUMMYFUNCTION("""COMPUTED_VALUE"""),35.82)</f>
        <v>35.82</v>
      </c>
      <c r="O641" s="125">
        <f ca="1">IFERROR(__xludf.DUMMYFUNCTION("""COMPUTED_VALUE"""),43635.6666666666)</f>
        <v>43635.666666666599</v>
      </c>
      <c r="P641">
        <f ca="1">IFERROR(__xludf.DUMMYFUNCTION("""COMPUTED_VALUE"""),31.77)</f>
        <v>31.77</v>
      </c>
    </row>
    <row r="642" spans="2:16" ht="12.75">
      <c r="B642" s="125">
        <f ca="1">IFERROR(__xludf.DUMMYFUNCTION("""COMPUTED_VALUE"""),43636.6666666666)</f>
        <v>43636.666666666599</v>
      </c>
      <c r="C642">
        <f ca="1">IFERROR(__xludf.DUMMYFUNCTION("""COMPUTED_VALUE"""),32.18)</f>
        <v>32.18</v>
      </c>
      <c r="D642">
        <v>29.82</v>
      </c>
      <c r="E642">
        <v>26.08</v>
      </c>
      <c r="F642">
        <v>30.69</v>
      </c>
      <c r="G642">
        <v>10.65</v>
      </c>
      <c r="H642">
        <v>215.91</v>
      </c>
      <c r="I642">
        <v>27.55</v>
      </c>
      <c r="J642">
        <v>59.36</v>
      </c>
      <c r="K642">
        <v>136.18</v>
      </c>
      <c r="M642" s="125">
        <f ca="1">IFERROR(__xludf.DUMMYFUNCTION("""COMPUTED_VALUE"""),44167.6666666666)</f>
        <v>44167.666666666599</v>
      </c>
      <c r="N642">
        <f ca="1">IFERROR(__xludf.DUMMYFUNCTION("""COMPUTED_VALUE"""),35.17)</f>
        <v>35.17</v>
      </c>
      <c r="O642" s="125">
        <f ca="1">IFERROR(__xludf.DUMMYFUNCTION("""COMPUTED_VALUE"""),43636.6666666666)</f>
        <v>43636.666666666599</v>
      </c>
      <c r="P642">
        <f ca="1">IFERROR(__xludf.DUMMYFUNCTION("""COMPUTED_VALUE"""),32.18)</f>
        <v>32.18</v>
      </c>
    </row>
    <row r="643" spans="2:16" ht="12.75">
      <c r="B643" s="125">
        <f ca="1">IFERROR(__xludf.DUMMYFUNCTION("""COMPUTED_VALUE"""),43637.6666666666)</f>
        <v>43637.666666666599</v>
      </c>
      <c r="C643">
        <f ca="1">IFERROR(__xludf.DUMMYFUNCTION("""COMPUTED_VALUE"""),32.12)</f>
        <v>32.119999999999997</v>
      </c>
      <c r="D643">
        <v>29.5</v>
      </c>
      <c r="E643">
        <v>25.95</v>
      </c>
      <c r="F643">
        <v>30.66</v>
      </c>
      <c r="G643">
        <v>10.61</v>
      </c>
      <c r="H643">
        <v>214.53</v>
      </c>
      <c r="I643">
        <v>27.34</v>
      </c>
      <c r="J643">
        <v>58.72</v>
      </c>
      <c r="K643">
        <v>135.71</v>
      </c>
      <c r="M643" s="125">
        <f ca="1">IFERROR(__xludf.DUMMYFUNCTION("""COMPUTED_VALUE"""),44168.6666666666)</f>
        <v>44168.666666666599</v>
      </c>
      <c r="N643">
        <f ca="1">IFERROR(__xludf.DUMMYFUNCTION("""COMPUTED_VALUE"""),35.29)</f>
        <v>35.29</v>
      </c>
      <c r="O643" s="125">
        <f ca="1">IFERROR(__xludf.DUMMYFUNCTION("""COMPUTED_VALUE"""),43637.6666666666)</f>
        <v>43637.666666666599</v>
      </c>
      <c r="P643">
        <f ca="1">IFERROR(__xludf.DUMMYFUNCTION("""COMPUTED_VALUE"""),32.12)</f>
        <v>32.119999999999997</v>
      </c>
    </row>
    <row r="644" spans="2:16" ht="12.75">
      <c r="B644" s="125">
        <f ca="1">IFERROR(__xludf.DUMMYFUNCTION("""COMPUTED_VALUE"""),43640.6666666666)</f>
        <v>43640.666666666599</v>
      </c>
      <c r="C644">
        <f ca="1">IFERROR(__xludf.DUMMYFUNCTION("""COMPUTED_VALUE"""),31.95)</f>
        <v>31.95</v>
      </c>
      <c r="D644">
        <v>29.5</v>
      </c>
      <c r="E644">
        <v>25.91</v>
      </c>
      <c r="F644">
        <v>30.68</v>
      </c>
      <c r="G644">
        <v>10.61</v>
      </c>
      <c r="H644">
        <v>215.19</v>
      </c>
      <c r="I644">
        <v>27.27</v>
      </c>
      <c r="J644">
        <v>58.87</v>
      </c>
      <c r="K644">
        <v>135.69999999999999</v>
      </c>
      <c r="M644" s="125">
        <f ca="1">IFERROR(__xludf.DUMMYFUNCTION("""COMPUTED_VALUE"""),44169.6666666666)</f>
        <v>44169.666666666599</v>
      </c>
      <c r="N644">
        <f ca="1">IFERROR(__xludf.DUMMYFUNCTION("""COMPUTED_VALUE"""),35.5)</f>
        <v>35.5</v>
      </c>
      <c r="O644" s="125">
        <f ca="1">IFERROR(__xludf.DUMMYFUNCTION("""COMPUTED_VALUE"""),43640.6666666666)</f>
        <v>43640.666666666599</v>
      </c>
      <c r="P644">
        <f ca="1">IFERROR(__xludf.DUMMYFUNCTION("""COMPUTED_VALUE"""),31.95)</f>
        <v>31.95</v>
      </c>
    </row>
    <row r="645" spans="2:16" ht="12.75">
      <c r="B645" s="125">
        <f ca="1">IFERROR(__xludf.DUMMYFUNCTION("""COMPUTED_VALUE"""),43641.6666666666)</f>
        <v>43641.666666666599</v>
      </c>
      <c r="C645">
        <f ca="1">IFERROR(__xludf.DUMMYFUNCTION("""COMPUTED_VALUE"""),31.29)</f>
        <v>31.29</v>
      </c>
      <c r="D645">
        <v>29.15</v>
      </c>
      <c r="E645">
        <v>25.97</v>
      </c>
      <c r="F645">
        <v>30.37</v>
      </c>
      <c r="G645">
        <v>10.5</v>
      </c>
      <c r="H645">
        <v>213.52</v>
      </c>
      <c r="I645">
        <v>27.11</v>
      </c>
      <c r="J645">
        <v>58.84</v>
      </c>
      <c r="K645">
        <v>134.96</v>
      </c>
      <c r="M645" s="125">
        <f ca="1">IFERROR(__xludf.DUMMYFUNCTION("""COMPUTED_VALUE"""),44172.6666666666)</f>
        <v>44172.666666666599</v>
      </c>
      <c r="N645">
        <f ca="1">IFERROR(__xludf.DUMMYFUNCTION("""COMPUTED_VALUE"""),35.19)</f>
        <v>35.19</v>
      </c>
      <c r="O645" s="125">
        <f ca="1">IFERROR(__xludf.DUMMYFUNCTION("""COMPUTED_VALUE"""),43641.6666666666)</f>
        <v>43641.666666666599</v>
      </c>
      <c r="P645">
        <f ca="1">IFERROR(__xludf.DUMMYFUNCTION("""COMPUTED_VALUE"""),31.29)</f>
        <v>31.29</v>
      </c>
    </row>
    <row r="646" spans="2:16" ht="12.75">
      <c r="B646" s="125">
        <f ca="1">IFERROR(__xludf.DUMMYFUNCTION("""COMPUTED_VALUE"""),43642.6666666666)</f>
        <v>43642.666666666599</v>
      </c>
      <c r="C646">
        <f ca="1">IFERROR(__xludf.DUMMYFUNCTION("""COMPUTED_VALUE"""),31.86)</f>
        <v>31.86</v>
      </c>
      <c r="D646">
        <v>29.12</v>
      </c>
      <c r="E646">
        <v>25.99</v>
      </c>
      <c r="F646">
        <v>30.5</v>
      </c>
      <c r="G646">
        <v>10.52</v>
      </c>
      <c r="H646">
        <v>213.46</v>
      </c>
      <c r="I646">
        <v>27.24</v>
      </c>
      <c r="J646">
        <v>58</v>
      </c>
      <c r="K646">
        <v>132.02000000000001</v>
      </c>
      <c r="M646" s="125">
        <f ca="1">IFERROR(__xludf.DUMMYFUNCTION("""COMPUTED_VALUE"""),44173.6666666666)</f>
        <v>44173.666666666599</v>
      </c>
      <c r="N646">
        <f ca="1">IFERROR(__xludf.DUMMYFUNCTION("""COMPUTED_VALUE"""),35.06)</f>
        <v>35.06</v>
      </c>
      <c r="O646" s="125">
        <f ca="1">IFERROR(__xludf.DUMMYFUNCTION("""COMPUTED_VALUE"""),43642.6666666666)</f>
        <v>43642.666666666599</v>
      </c>
      <c r="P646">
        <f ca="1">IFERROR(__xludf.DUMMYFUNCTION("""COMPUTED_VALUE"""),31.86)</f>
        <v>31.86</v>
      </c>
    </row>
    <row r="647" spans="2:16" ht="12.75">
      <c r="B647" s="125">
        <f ca="1">IFERROR(__xludf.DUMMYFUNCTION("""COMPUTED_VALUE"""),43643.6666666666)</f>
        <v>43643.666666666599</v>
      </c>
      <c r="C647">
        <f ca="1">IFERROR(__xludf.DUMMYFUNCTION("""COMPUTED_VALUE"""),32.13)</f>
        <v>32.130000000000003</v>
      </c>
      <c r="D647">
        <v>29.38</v>
      </c>
      <c r="E647">
        <v>25.99</v>
      </c>
      <c r="F647">
        <v>30.58</v>
      </c>
      <c r="G647">
        <v>10.61</v>
      </c>
      <c r="H647">
        <v>212.36</v>
      </c>
      <c r="I647">
        <v>27.35</v>
      </c>
      <c r="J647">
        <v>58.11</v>
      </c>
      <c r="K647">
        <v>132.19999999999999</v>
      </c>
      <c r="M647" s="125">
        <f ca="1">IFERROR(__xludf.DUMMYFUNCTION("""COMPUTED_VALUE"""),44174.6666666666)</f>
        <v>44174.666666666599</v>
      </c>
      <c r="N647">
        <f ca="1">IFERROR(__xludf.DUMMYFUNCTION("""COMPUTED_VALUE"""),34.5)</f>
        <v>34.5</v>
      </c>
      <c r="O647" s="125">
        <f ca="1">IFERROR(__xludf.DUMMYFUNCTION("""COMPUTED_VALUE"""),43643.6666666666)</f>
        <v>43643.666666666599</v>
      </c>
      <c r="P647">
        <f ca="1">IFERROR(__xludf.DUMMYFUNCTION("""COMPUTED_VALUE"""),32.13)</f>
        <v>32.130000000000003</v>
      </c>
    </row>
    <row r="648" spans="2:16" ht="12.75">
      <c r="B648" s="125">
        <f ca="1">IFERROR(__xludf.DUMMYFUNCTION("""COMPUTED_VALUE"""),43644.6666666666)</f>
        <v>43644.666666666599</v>
      </c>
      <c r="C648">
        <f ca="1">IFERROR(__xludf.DUMMYFUNCTION("""COMPUTED_VALUE"""),32.11)</f>
        <v>32.11</v>
      </c>
      <c r="D648">
        <v>29.51</v>
      </c>
      <c r="E648">
        <v>25.97</v>
      </c>
      <c r="F648">
        <v>30.84</v>
      </c>
      <c r="G648">
        <v>10.64</v>
      </c>
      <c r="H648">
        <v>214.21</v>
      </c>
      <c r="I648">
        <v>27.65</v>
      </c>
      <c r="J648">
        <v>58.07</v>
      </c>
      <c r="K648">
        <v>132.93</v>
      </c>
      <c r="M648" s="125">
        <f ca="1">IFERROR(__xludf.DUMMYFUNCTION("""COMPUTED_VALUE"""),44175.6666666666)</f>
        <v>44175.666666666599</v>
      </c>
      <c r="N648">
        <f ca="1">IFERROR(__xludf.DUMMYFUNCTION("""COMPUTED_VALUE"""),34.59)</f>
        <v>34.590000000000003</v>
      </c>
      <c r="O648" s="125">
        <f ca="1">IFERROR(__xludf.DUMMYFUNCTION("""COMPUTED_VALUE"""),43644.6666666666)</f>
        <v>43644.666666666599</v>
      </c>
      <c r="P648">
        <f ca="1">IFERROR(__xludf.DUMMYFUNCTION("""COMPUTED_VALUE"""),32.11)</f>
        <v>32.11</v>
      </c>
    </row>
    <row r="649" spans="2:16" ht="12.75">
      <c r="B649" s="125">
        <f ca="1">IFERROR(__xludf.DUMMYFUNCTION("""COMPUTED_VALUE"""),43647.6666666666)</f>
        <v>43647.666666666599</v>
      </c>
      <c r="C649">
        <f ca="1">IFERROR(__xludf.DUMMYFUNCTION("""COMPUTED_VALUE"""),32.6)</f>
        <v>32.6</v>
      </c>
      <c r="D649">
        <v>29.64</v>
      </c>
      <c r="E649">
        <v>26.16</v>
      </c>
      <c r="F649">
        <v>31.08</v>
      </c>
      <c r="G649">
        <v>10.72</v>
      </c>
      <c r="H649">
        <v>212.29</v>
      </c>
      <c r="I649">
        <v>27.91</v>
      </c>
      <c r="J649">
        <v>58.42</v>
      </c>
      <c r="K649">
        <v>132.56</v>
      </c>
      <c r="M649" s="125">
        <f ca="1">IFERROR(__xludf.DUMMYFUNCTION("""COMPUTED_VALUE"""),44176.6666666666)</f>
        <v>44176.666666666599</v>
      </c>
      <c r="N649">
        <f ca="1">IFERROR(__xludf.DUMMYFUNCTION("""COMPUTED_VALUE"""),34.62)</f>
        <v>34.619999999999997</v>
      </c>
      <c r="O649" s="125">
        <f ca="1">IFERROR(__xludf.DUMMYFUNCTION("""COMPUTED_VALUE"""),43647.6666666666)</f>
        <v>43647.666666666599</v>
      </c>
      <c r="P649">
        <f ca="1">IFERROR(__xludf.DUMMYFUNCTION("""COMPUTED_VALUE"""),32.6)</f>
        <v>32.6</v>
      </c>
    </row>
    <row r="650" spans="2:16" ht="12.75">
      <c r="B650" s="125">
        <f ca="1">IFERROR(__xludf.DUMMYFUNCTION("""COMPUTED_VALUE"""),43648.6666666666)</f>
        <v>43648.666666666599</v>
      </c>
      <c r="C650">
        <f ca="1">IFERROR(__xludf.DUMMYFUNCTION("""COMPUTED_VALUE"""),32.71)</f>
        <v>32.71</v>
      </c>
      <c r="D650">
        <v>29.56</v>
      </c>
      <c r="E650">
        <v>26.14</v>
      </c>
      <c r="F650">
        <v>31.09</v>
      </c>
      <c r="G650">
        <v>10.75</v>
      </c>
      <c r="H650">
        <v>213.68</v>
      </c>
      <c r="I650">
        <v>27.21</v>
      </c>
      <c r="J650">
        <v>58.93</v>
      </c>
      <c r="K650">
        <v>134.19999999999999</v>
      </c>
      <c r="M650" s="125">
        <f ca="1">IFERROR(__xludf.DUMMYFUNCTION("""COMPUTED_VALUE"""),44179.6666666666)</f>
        <v>44179.666666666599</v>
      </c>
      <c r="N650">
        <f ca="1">IFERROR(__xludf.DUMMYFUNCTION("""COMPUTED_VALUE"""),34.41)</f>
        <v>34.409999999999997</v>
      </c>
      <c r="O650" s="125">
        <f ca="1">IFERROR(__xludf.DUMMYFUNCTION("""COMPUTED_VALUE"""),43648.6666666666)</f>
        <v>43648.666666666599</v>
      </c>
      <c r="P650">
        <f ca="1">IFERROR(__xludf.DUMMYFUNCTION("""COMPUTED_VALUE"""),32.71)</f>
        <v>32.71</v>
      </c>
    </row>
    <row r="651" spans="2:16" ht="12.75">
      <c r="B651" s="125">
        <f ca="1">IFERROR(__xludf.DUMMYFUNCTION("""COMPUTED_VALUE"""),43649.5416666666)</f>
        <v>43649.541666666599</v>
      </c>
      <c r="C651">
        <f ca="1">IFERROR(__xludf.DUMMYFUNCTION("""COMPUTED_VALUE"""),32.74)</f>
        <v>32.74</v>
      </c>
      <c r="D651">
        <v>29.85</v>
      </c>
      <c r="E651">
        <v>26.14</v>
      </c>
      <c r="F651">
        <v>31.35</v>
      </c>
      <c r="G651">
        <v>10.85</v>
      </c>
      <c r="H651">
        <v>214.47</v>
      </c>
      <c r="I651">
        <v>27.44</v>
      </c>
      <c r="J651">
        <v>59.66</v>
      </c>
      <c r="K651">
        <v>135.15</v>
      </c>
      <c r="M651" s="125">
        <f ca="1">IFERROR(__xludf.DUMMYFUNCTION("""COMPUTED_VALUE"""),44180.6666666666)</f>
        <v>44180.666666666599</v>
      </c>
      <c r="N651">
        <f ca="1">IFERROR(__xludf.DUMMYFUNCTION("""COMPUTED_VALUE"""),34.6)</f>
        <v>34.6</v>
      </c>
      <c r="O651" s="125">
        <f ca="1">IFERROR(__xludf.DUMMYFUNCTION("""COMPUTED_VALUE"""),43649.5416666666)</f>
        <v>43649.541666666599</v>
      </c>
      <c r="P651">
        <f ca="1">IFERROR(__xludf.DUMMYFUNCTION("""COMPUTED_VALUE"""),32.74)</f>
        <v>32.74</v>
      </c>
    </row>
    <row r="652" spans="2:16" ht="12.75">
      <c r="B652" s="125">
        <f ca="1">IFERROR(__xludf.DUMMYFUNCTION("""COMPUTED_VALUE"""),43651.6666666666)</f>
        <v>43651.666666666599</v>
      </c>
      <c r="C652">
        <f ca="1">IFERROR(__xludf.DUMMYFUNCTION("""COMPUTED_VALUE"""),32.6)</f>
        <v>32.6</v>
      </c>
      <c r="D652">
        <v>29.8</v>
      </c>
      <c r="E652">
        <v>26.28</v>
      </c>
      <c r="F652">
        <v>31.09</v>
      </c>
      <c r="G652">
        <v>10.85</v>
      </c>
      <c r="H652">
        <v>214.56</v>
      </c>
      <c r="I652">
        <v>27.31</v>
      </c>
      <c r="J652">
        <v>59.4</v>
      </c>
      <c r="K652">
        <v>135.11000000000001</v>
      </c>
      <c r="M652" s="125">
        <f ca="1">IFERROR(__xludf.DUMMYFUNCTION("""COMPUTED_VALUE"""),44181.6666666666)</f>
        <v>44181.666666666599</v>
      </c>
      <c r="N652">
        <f ca="1">IFERROR(__xludf.DUMMYFUNCTION("""COMPUTED_VALUE"""),34.78)</f>
        <v>34.78</v>
      </c>
      <c r="O652" s="125">
        <f ca="1">IFERROR(__xludf.DUMMYFUNCTION("""COMPUTED_VALUE"""),43651.6666666666)</f>
        <v>43651.666666666599</v>
      </c>
      <c r="P652">
        <f ca="1">IFERROR(__xludf.DUMMYFUNCTION("""COMPUTED_VALUE"""),32.6)</f>
        <v>32.6</v>
      </c>
    </row>
    <row r="653" spans="2:16" ht="12.75">
      <c r="B653" s="125">
        <f ca="1">IFERROR(__xludf.DUMMYFUNCTION("""COMPUTED_VALUE"""),43654.6666666666)</f>
        <v>43654.666666666599</v>
      </c>
      <c r="C653">
        <f ca="1">IFERROR(__xludf.DUMMYFUNCTION("""COMPUTED_VALUE"""),31.97)</f>
        <v>31.97</v>
      </c>
      <c r="D653">
        <v>29.68</v>
      </c>
      <c r="E653">
        <v>26.33</v>
      </c>
      <c r="F653">
        <v>30.86</v>
      </c>
      <c r="G653">
        <v>10.84</v>
      </c>
      <c r="H653">
        <v>212.43</v>
      </c>
      <c r="I653">
        <v>27.17</v>
      </c>
      <c r="J653">
        <v>59.48</v>
      </c>
      <c r="K653">
        <v>135.21</v>
      </c>
      <c r="M653" s="125">
        <f ca="1">IFERROR(__xludf.DUMMYFUNCTION("""COMPUTED_VALUE"""),44182.6666666666)</f>
        <v>44182.666666666599</v>
      </c>
      <c r="N653">
        <f ca="1">IFERROR(__xludf.DUMMYFUNCTION("""COMPUTED_VALUE"""),35.47)</f>
        <v>35.47</v>
      </c>
      <c r="O653" s="125">
        <f ca="1">IFERROR(__xludf.DUMMYFUNCTION("""COMPUTED_VALUE"""),43654.6666666666)</f>
        <v>43654.666666666599</v>
      </c>
      <c r="P653">
        <f ca="1">IFERROR(__xludf.DUMMYFUNCTION("""COMPUTED_VALUE"""),31.97)</f>
        <v>31.97</v>
      </c>
    </row>
    <row r="654" spans="2:16" ht="12.75">
      <c r="B654" s="125">
        <f ca="1">IFERROR(__xludf.DUMMYFUNCTION("""COMPUTED_VALUE"""),43655.6666666666)</f>
        <v>43655.666666666599</v>
      </c>
      <c r="C654">
        <f ca="1">IFERROR(__xludf.DUMMYFUNCTION("""COMPUTED_VALUE"""),32.18)</f>
        <v>32.18</v>
      </c>
      <c r="D654">
        <v>29.78</v>
      </c>
      <c r="E654">
        <v>26.35</v>
      </c>
      <c r="F654">
        <v>30.68</v>
      </c>
      <c r="G654">
        <v>10.84</v>
      </c>
      <c r="H654">
        <v>213.52</v>
      </c>
      <c r="I654">
        <v>27.08</v>
      </c>
      <c r="J654">
        <v>59.13</v>
      </c>
      <c r="K654">
        <v>135.30000000000001</v>
      </c>
      <c r="M654" s="125">
        <f ca="1">IFERROR(__xludf.DUMMYFUNCTION("""COMPUTED_VALUE"""),44183.6666666666)</f>
        <v>44183.666666666599</v>
      </c>
      <c r="N654">
        <f ca="1">IFERROR(__xludf.DUMMYFUNCTION("""COMPUTED_VALUE"""),35.4)</f>
        <v>35.4</v>
      </c>
      <c r="O654" s="125">
        <f ca="1">IFERROR(__xludf.DUMMYFUNCTION("""COMPUTED_VALUE"""),43655.6666666666)</f>
        <v>43655.666666666599</v>
      </c>
      <c r="P654">
        <f ca="1">IFERROR(__xludf.DUMMYFUNCTION("""COMPUTED_VALUE"""),32.18)</f>
        <v>32.18</v>
      </c>
    </row>
    <row r="655" spans="2:16" ht="12.75">
      <c r="B655" s="125">
        <f ca="1">IFERROR(__xludf.DUMMYFUNCTION("""COMPUTED_VALUE"""),43656.6666666666)</f>
        <v>43656.666666666599</v>
      </c>
      <c r="C655">
        <f ca="1">IFERROR(__xludf.DUMMYFUNCTION("""COMPUTED_VALUE"""),32.26)</f>
        <v>32.26</v>
      </c>
      <c r="D655">
        <v>30.08</v>
      </c>
      <c r="E655">
        <v>26.24</v>
      </c>
      <c r="F655">
        <v>30.78</v>
      </c>
      <c r="G655">
        <v>10.85</v>
      </c>
      <c r="H655">
        <v>213.4</v>
      </c>
      <c r="I655">
        <v>26.91</v>
      </c>
      <c r="J655">
        <v>59.51</v>
      </c>
      <c r="K655">
        <v>135.66999999999999</v>
      </c>
      <c r="M655" s="125">
        <f ca="1">IFERROR(__xludf.DUMMYFUNCTION("""COMPUTED_VALUE"""),44186.6666666666)</f>
        <v>44186.666666666599</v>
      </c>
      <c r="N655">
        <f ca="1">IFERROR(__xludf.DUMMYFUNCTION("""COMPUTED_VALUE"""),34.97)</f>
        <v>34.97</v>
      </c>
      <c r="O655" s="125">
        <f ca="1">IFERROR(__xludf.DUMMYFUNCTION("""COMPUTED_VALUE"""),43656.6666666666)</f>
        <v>43656.666666666599</v>
      </c>
      <c r="P655">
        <f ca="1">IFERROR(__xludf.DUMMYFUNCTION("""COMPUTED_VALUE"""),32.26)</f>
        <v>32.26</v>
      </c>
    </row>
    <row r="656" spans="2:16" ht="12.75">
      <c r="B656" s="125">
        <f ca="1">IFERROR(__xludf.DUMMYFUNCTION("""COMPUTED_VALUE"""),43657.6666666666)</f>
        <v>43657.666666666599</v>
      </c>
      <c r="C656">
        <f ca="1">IFERROR(__xludf.DUMMYFUNCTION("""COMPUTED_VALUE"""),32.17)</f>
        <v>32.17</v>
      </c>
      <c r="D656">
        <v>30.37</v>
      </c>
      <c r="E656">
        <v>26.24</v>
      </c>
      <c r="F656">
        <v>30.83</v>
      </c>
      <c r="G656">
        <v>10.83</v>
      </c>
      <c r="H656">
        <v>215.05</v>
      </c>
      <c r="I656">
        <v>26.83</v>
      </c>
      <c r="J656">
        <v>59.66</v>
      </c>
      <c r="K656">
        <v>135.61000000000001</v>
      </c>
      <c r="M656" s="125">
        <f ca="1">IFERROR(__xludf.DUMMYFUNCTION("""COMPUTED_VALUE"""),44187.6666666666)</f>
        <v>44187.666666666599</v>
      </c>
      <c r="N656">
        <f ca="1">IFERROR(__xludf.DUMMYFUNCTION("""COMPUTED_VALUE"""),35.4)</f>
        <v>35.4</v>
      </c>
      <c r="O656" s="125">
        <f ca="1">IFERROR(__xludf.DUMMYFUNCTION("""COMPUTED_VALUE"""),43657.6666666666)</f>
        <v>43657.666666666599</v>
      </c>
      <c r="P656">
        <f ca="1">IFERROR(__xludf.DUMMYFUNCTION("""COMPUTED_VALUE"""),32.17)</f>
        <v>32.17</v>
      </c>
    </row>
    <row r="657" spans="2:16" ht="12.75">
      <c r="B657" s="125">
        <f ca="1">IFERROR(__xludf.DUMMYFUNCTION("""COMPUTED_VALUE"""),43658.6666666666)</f>
        <v>43658.666666666599</v>
      </c>
      <c r="C657">
        <f ca="1">IFERROR(__xludf.DUMMYFUNCTION("""COMPUTED_VALUE"""),32.22)</f>
        <v>32.22</v>
      </c>
      <c r="D657">
        <v>30.46</v>
      </c>
      <c r="E657">
        <v>26.19</v>
      </c>
      <c r="F657">
        <v>30.96</v>
      </c>
      <c r="G657">
        <v>10.78</v>
      </c>
      <c r="H657">
        <v>217.8</v>
      </c>
      <c r="I657">
        <v>26.8</v>
      </c>
      <c r="J657">
        <v>59.83</v>
      </c>
      <c r="K657">
        <v>134.86000000000001</v>
      </c>
      <c r="M657" s="125">
        <f ca="1">IFERROR(__xludf.DUMMYFUNCTION("""COMPUTED_VALUE"""),44188.6666666666)</f>
        <v>44188.666666666599</v>
      </c>
      <c r="N657">
        <f ca="1">IFERROR(__xludf.DUMMYFUNCTION("""COMPUTED_VALUE"""),35.05)</f>
        <v>35.049999999999997</v>
      </c>
      <c r="O657" s="125">
        <f ca="1">IFERROR(__xludf.DUMMYFUNCTION("""COMPUTED_VALUE"""),43658.6666666666)</f>
        <v>43658.666666666599</v>
      </c>
      <c r="P657">
        <f ca="1">IFERROR(__xludf.DUMMYFUNCTION("""COMPUTED_VALUE"""),32.22)</f>
        <v>32.22</v>
      </c>
    </row>
    <row r="658" spans="2:16" ht="12.75">
      <c r="B658" s="125">
        <f ca="1">IFERROR(__xludf.DUMMYFUNCTION("""COMPUTED_VALUE"""),43661.6666666666)</f>
        <v>43661.666666666599</v>
      </c>
      <c r="C658">
        <f ca="1">IFERROR(__xludf.DUMMYFUNCTION("""COMPUTED_VALUE"""),32.52)</f>
        <v>32.520000000000003</v>
      </c>
      <c r="D658">
        <v>30.53</v>
      </c>
      <c r="E658">
        <v>26.23</v>
      </c>
      <c r="F658">
        <v>30.99</v>
      </c>
      <c r="G658">
        <v>10.75</v>
      </c>
      <c r="H658">
        <v>216.34</v>
      </c>
      <c r="I658">
        <v>26.98</v>
      </c>
      <c r="J658">
        <v>59.97</v>
      </c>
      <c r="K658">
        <v>135.25</v>
      </c>
      <c r="M658" s="125">
        <f ca="1">IFERROR(__xludf.DUMMYFUNCTION("""COMPUTED_VALUE"""),44189.5416666666)</f>
        <v>44189.541666666599</v>
      </c>
      <c r="N658">
        <f ca="1">IFERROR(__xludf.DUMMYFUNCTION("""COMPUTED_VALUE"""),35.17)</f>
        <v>35.17</v>
      </c>
      <c r="O658" s="125">
        <f ca="1">IFERROR(__xludf.DUMMYFUNCTION("""COMPUTED_VALUE"""),43661.6666666666)</f>
        <v>43661.666666666599</v>
      </c>
      <c r="P658">
        <f ca="1">IFERROR(__xludf.DUMMYFUNCTION("""COMPUTED_VALUE"""),32.52)</f>
        <v>32.520000000000003</v>
      </c>
    </row>
    <row r="659" spans="2:16" ht="12.75">
      <c r="B659" s="125">
        <f ca="1">IFERROR(__xludf.DUMMYFUNCTION("""COMPUTED_VALUE"""),43662.6666666666)</f>
        <v>43662.666666666599</v>
      </c>
      <c r="C659">
        <f ca="1">IFERROR(__xludf.DUMMYFUNCTION("""COMPUTED_VALUE"""),32.34)</f>
        <v>32.340000000000003</v>
      </c>
      <c r="D659">
        <v>30.31</v>
      </c>
      <c r="E659">
        <v>26.35</v>
      </c>
      <c r="F659">
        <v>30.98</v>
      </c>
      <c r="G659">
        <v>10.74</v>
      </c>
      <c r="H659">
        <v>216.82</v>
      </c>
      <c r="I659">
        <v>27.02</v>
      </c>
      <c r="J659">
        <v>59.99</v>
      </c>
      <c r="K659">
        <v>134.57</v>
      </c>
      <c r="M659" s="125">
        <f ca="1">IFERROR(__xludf.DUMMYFUNCTION("""COMPUTED_VALUE"""),44193.6666666666)</f>
        <v>44193.666666666599</v>
      </c>
      <c r="N659">
        <f ca="1">IFERROR(__xludf.DUMMYFUNCTION("""COMPUTED_VALUE"""),35.31)</f>
        <v>35.31</v>
      </c>
      <c r="O659" s="125">
        <f ca="1">IFERROR(__xludf.DUMMYFUNCTION("""COMPUTED_VALUE"""),43662.6666666666)</f>
        <v>43662.666666666599</v>
      </c>
      <c r="P659">
        <f ca="1">IFERROR(__xludf.DUMMYFUNCTION("""COMPUTED_VALUE"""),32.34)</f>
        <v>32.340000000000003</v>
      </c>
    </row>
    <row r="660" spans="2:16" ht="12.75">
      <c r="B660" s="125">
        <f ca="1">IFERROR(__xludf.DUMMYFUNCTION("""COMPUTED_VALUE"""),43663.6666666666)</f>
        <v>43663.666666666599</v>
      </c>
      <c r="C660">
        <f ca="1">IFERROR(__xludf.DUMMYFUNCTION("""COMPUTED_VALUE"""),32.16)</f>
        <v>32.159999999999997</v>
      </c>
      <c r="D660">
        <v>30.46</v>
      </c>
      <c r="E660">
        <v>26.3</v>
      </c>
      <c r="F660">
        <v>31.12</v>
      </c>
      <c r="G660">
        <v>10.78</v>
      </c>
      <c r="H660">
        <v>215.03</v>
      </c>
      <c r="I660">
        <v>26.78</v>
      </c>
      <c r="J660">
        <v>59.92</v>
      </c>
      <c r="K660">
        <v>135.06</v>
      </c>
      <c r="M660" s="125">
        <f ca="1">IFERROR(__xludf.DUMMYFUNCTION("""COMPUTED_VALUE"""),44194.6666666666)</f>
        <v>44194.666666666599</v>
      </c>
      <c r="N660">
        <f ca="1">IFERROR(__xludf.DUMMYFUNCTION("""COMPUTED_VALUE"""),35.29)</f>
        <v>35.29</v>
      </c>
      <c r="O660" s="125">
        <f ca="1">IFERROR(__xludf.DUMMYFUNCTION("""COMPUTED_VALUE"""),43663.6666666666)</f>
        <v>43663.666666666599</v>
      </c>
      <c r="P660">
        <f ca="1">IFERROR(__xludf.DUMMYFUNCTION("""COMPUTED_VALUE"""),32.16)</f>
        <v>32.159999999999997</v>
      </c>
    </row>
    <row r="661" spans="2:16" ht="12.75">
      <c r="B661" s="125">
        <f ca="1">IFERROR(__xludf.DUMMYFUNCTION("""COMPUTED_VALUE"""),43664.6666666666)</f>
        <v>43664.666666666599</v>
      </c>
      <c r="C661">
        <f ca="1">IFERROR(__xludf.DUMMYFUNCTION("""COMPUTED_VALUE"""),32.15)</f>
        <v>32.15</v>
      </c>
      <c r="D661">
        <v>30.61</v>
      </c>
      <c r="E661">
        <v>26.16</v>
      </c>
      <c r="F661">
        <v>31.32</v>
      </c>
      <c r="G661">
        <v>10.85</v>
      </c>
      <c r="H661">
        <v>213.91</v>
      </c>
      <c r="I661">
        <v>26.61</v>
      </c>
      <c r="J661">
        <v>60.32</v>
      </c>
      <c r="K661">
        <v>136.19999999999999</v>
      </c>
      <c r="M661" s="125">
        <f ca="1">IFERROR(__xludf.DUMMYFUNCTION("""COMPUTED_VALUE"""),44195.6666666666)</f>
        <v>44195.666666666599</v>
      </c>
      <c r="N661">
        <f ca="1">IFERROR(__xludf.DUMMYFUNCTION("""COMPUTED_VALUE"""),35.37)</f>
        <v>35.369999999999997</v>
      </c>
      <c r="O661" s="125">
        <f ca="1">IFERROR(__xludf.DUMMYFUNCTION("""COMPUTED_VALUE"""),43664.6666666666)</f>
        <v>43664.666666666599</v>
      </c>
      <c r="P661">
        <f ca="1">IFERROR(__xludf.DUMMYFUNCTION("""COMPUTED_VALUE"""),32.15)</f>
        <v>32.15</v>
      </c>
    </row>
    <row r="662" spans="2:16" ht="12.75">
      <c r="B662" s="125">
        <f ca="1">IFERROR(__xludf.DUMMYFUNCTION("""COMPUTED_VALUE"""),43665.6666666666)</f>
        <v>43665.666666666599</v>
      </c>
      <c r="C662">
        <f ca="1">IFERROR(__xludf.DUMMYFUNCTION("""COMPUTED_VALUE"""),32.07)</f>
        <v>32.07</v>
      </c>
      <c r="D662">
        <v>30.52</v>
      </c>
      <c r="E662">
        <v>26.29</v>
      </c>
      <c r="F662">
        <v>31.09</v>
      </c>
      <c r="G662">
        <v>10.81</v>
      </c>
      <c r="H662">
        <v>216.96</v>
      </c>
      <c r="I662">
        <v>26.59</v>
      </c>
      <c r="J662">
        <v>59.94</v>
      </c>
      <c r="K662">
        <v>134.19999999999999</v>
      </c>
      <c r="M662" s="125">
        <f ca="1">IFERROR(__xludf.DUMMYFUNCTION("""COMPUTED_VALUE"""),44196.6666666666)</f>
        <v>44196.666666666599</v>
      </c>
      <c r="N662">
        <f ca="1">IFERROR(__xludf.DUMMYFUNCTION("""COMPUTED_VALUE"""),35.85)</f>
        <v>35.85</v>
      </c>
      <c r="O662" s="125">
        <f ca="1">IFERROR(__xludf.DUMMYFUNCTION("""COMPUTED_VALUE"""),43665.6666666666)</f>
        <v>43665.666666666599</v>
      </c>
      <c r="P662">
        <f ca="1">IFERROR(__xludf.DUMMYFUNCTION("""COMPUTED_VALUE"""),32.07)</f>
        <v>32.07</v>
      </c>
    </row>
    <row r="663" spans="2:16" ht="12.75">
      <c r="B663" s="125">
        <f ca="1">IFERROR(__xludf.DUMMYFUNCTION("""COMPUTED_VALUE"""),43668.6666666666)</f>
        <v>43668.666666666599</v>
      </c>
      <c r="C663">
        <f ca="1">IFERROR(__xludf.DUMMYFUNCTION("""COMPUTED_VALUE"""),32.19)</f>
        <v>32.19</v>
      </c>
      <c r="D663">
        <v>30.71</v>
      </c>
      <c r="E663">
        <v>26.34</v>
      </c>
      <c r="F663">
        <v>31.38</v>
      </c>
      <c r="G663">
        <v>10.84</v>
      </c>
      <c r="H663">
        <v>216.83</v>
      </c>
      <c r="I663">
        <v>26.72</v>
      </c>
      <c r="J663">
        <v>59.59</v>
      </c>
      <c r="K663">
        <v>133.84</v>
      </c>
      <c r="M663" s="125">
        <f ca="1">IFERROR(__xludf.DUMMYFUNCTION("""COMPUTED_VALUE"""),44200.6666666666)</f>
        <v>44200.666666666599</v>
      </c>
      <c r="N663">
        <f ca="1">IFERROR(__xludf.DUMMYFUNCTION("""COMPUTED_VALUE"""),35.1)</f>
        <v>35.1</v>
      </c>
      <c r="O663" s="125">
        <f ca="1">IFERROR(__xludf.DUMMYFUNCTION("""COMPUTED_VALUE"""),43668.6666666666)</f>
        <v>43668.666666666599</v>
      </c>
      <c r="P663">
        <f ca="1">IFERROR(__xludf.DUMMYFUNCTION("""COMPUTED_VALUE"""),32.19)</f>
        <v>32.19</v>
      </c>
    </row>
    <row r="664" spans="2:16" ht="12.75">
      <c r="B664" s="125">
        <f ca="1">IFERROR(__xludf.DUMMYFUNCTION("""COMPUTED_VALUE"""),43669.6666666666)</f>
        <v>43669.666666666599</v>
      </c>
      <c r="C664">
        <f ca="1">IFERROR(__xludf.DUMMYFUNCTION("""COMPUTED_VALUE"""),32.63)</f>
        <v>32.630000000000003</v>
      </c>
      <c r="D664">
        <v>30.74</v>
      </c>
      <c r="E664">
        <v>26.46</v>
      </c>
      <c r="F664">
        <v>31.61</v>
      </c>
      <c r="G664">
        <v>10.76</v>
      </c>
      <c r="H664">
        <v>218.22</v>
      </c>
      <c r="I664">
        <v>27.21</v>
      </c>
      <c r="J664">
        <v>60.02</v>
      </c>
      <c r="K664">
        <v>133.24</v>
      </c>
      <c r="M664" s="125">
        <f ca="1">IFERROR(__xludf.DUMMYFUNCTION("""COMPUTED_VALUE"""),44201.6666666666)</f>
        <v>44201.666666666599</v>
      </c>
      <c r="N664">
        <f ca="1">IFERROR(__xludf.DUMMYFUNCTION("""COMPUTED_VALUE"""),35.05)</f>
        <v>35.049999999999997</v>
      </c>
      <c r="O664" s="125">
        <f ca="1">IFERROR(__xludf.DUMMYFUNCTION("""COMPUTED_VALUE"""),43669.6666666666)</f>
        <v>43669.666666666599</v>
      </c>
      <c r="P664">
        <f ca="1">IFERROR(__xludf.DUMMYFUNCTION("""COMPUTED_VALUE"""),32.63)</f>
        <v>32.630000000000003</v>
      </c>
    </row>
    <row r="665" spans="2:16" ht="12.75">
      <c r="B665" s="125">
        <f ca="1">IFERROR(__xludf.DUMMYFUNCTION("""COMPUTED_VALUE"""),43670.6666666666)</f>
        <v>43670.666666666599</v>
      </c>
      <c r="C665">
        <f ca="1">IFERROR(__xludf.DUMMYFUNCTION("""COMPUTED_VALUE"""),32.89)</f>
        <v>32.89</v>
      </c>
      <c r="D665">
        <v>30.81</v>
      </c>
      <c r="E665">
        <v>26.46</v>
      </c>
      <c r="F665">
        <v>31.79</v>
      </c>
      <c r="G665">
        <v>10.78</v>
      </c>
      <c r="H665">
        <v>218.99</v>
      </c>
      <c r="I665">
        <v>27.33</v>
      </c>
      <c r="J665">
        <v>59.62</v>
      </c>
      <c r="K665">
        <v>133.26</v>
      </c>
      <c r="M665" s="125">
        <f ca="1">IFERROR(__xludf.DUMMYFUNCTION("""COMPUTED_VALUE"""),44202.6666666666)</f>
        <v>44202.666666666599</v>
      </c>
      <c r="N665">
        <f ca="1">IFERROR(__xludf.DUMMYFUNCTION("""COMPUTED_VALUE"""),34.39)</f>
        <v>34.39</v>
      </c>
      <c r="O665" s="125">
        <f ca="1">IFERROR(__xludf.DUMMYFUNCTION("""COMPUTED_VALUE"""),43670.6666666666)</f>
        <v>43670.666666666599</v>
      </c>
      <c r="P665">
        <f ca="1">IFERROR(__xludf.DUMMYFUNCTION("""COMPUTED_VALUE"""),32.89)</f>
        <v>32.89</v>
      </c>
    </row>
    <row r="666" spans="2:16" ht="12.75">
      <c r="B666" s="125">
        <f ca="1">IFERROR(__xludf.DUMMYFUNCTION("""COMPUTED_VALUE"""),43671.6666666666)</f>
        <v>43671.666666666599</v>
      </c>
      <c r="C666">
        <f ca="1">IFERROR(__xludf.DUMMYFUNCTION("""COMPUTED_VALUE"""),32.78)</f>
        <v>32.78</v>
      </c>
      <c r="D666">
        <v>30.53</v>
      </c>
      <c r="E666">
        <v>26.51</v>
      </c>
      <c r="F666">
        <v>31.45</v>
      </c>
      <c r="G666">
        <v>10.72</v>
      </c>
      <c r="H666">
        <v>218.53</v>
      </c>
      <c r="I666">
        <v>26.89</v>
      </c>
      <c r="J666">
        <v>59.7</v>
      </c>
      <c r="K666">
        <v>132.97999999999999</v>
      </c>
      <c r="M666" s="125">
        <f ca="1">IFERROR(__xludf.DUMMYFUNCTION("""COMPUTED_VALUE"""),44203.6666666666)</f>
        <v>44203.666666666599</v>
      </c>
      <c r="N666">
        <f ca="1">IFERROR(__xludf.DUMMYFUNCTION("""COMPUTED_VALUE"""),34.6)</f>
        <v>34.6</v>
      </c>
      <c r="O666" s="125">
        <f ca="1">IFERROR(__xludf.DUMMYFUNCTION("""COMPUTED_VALUE"""),43671.6666666666)</f>
        <v>43671.666666666599</v>
      </c>
      <c r="P666">
        <f ca="1">IFERROR(__xludf.DUMMYFUNCTION("""COMPUTED_VALUE"""),32.78)</f>
        <v>32.78</v>
      </c>
    </row>
    <row r="667" spans="2:16" ht="12.75">
      <c r="B667" s="125">
        <f ca="1">IFERROR(__xludf.DUMMYFUNCTION("""COMPUTED_VALUE"""),43672.6666666666)</f>
        <v>43672.666666666599</v>
      </c>
      <c r="C667">
        <f ca="1">IFERROR(__xludf.DUMMYFUNCTION("""COMPUTED_VALUE"""),32.87)</f>
        <v>32.869999999999997</v>
      </c>
      <c r="D667">
        <v>31.23</v>
      </c>
      <c r="E667">
        <v>26.55</v>
      </c>
      <c r="F667">
        <v>31.54</v>
      </c>
      <c r="G667">
        <v>10.74</v>
      </c>
      <c r="H667">
        <v>217.43</v>
      </c>
      <c r="I667">
        <v>27.07</v>
      </c>
      <c r="J667">
        <v>60.37</v>
      </c>
      <c r="K667">
        <v>133.47</v>
      </c>
      <c r="M667" s="125">
        <f ca="1">IFERROR(__xludf.DUMMYFUNCTION("""COMPUTED_VALUE"""),44204.6666666666)</f>
        <v>44204.666666666599</v>
      </c>
      <c r="N667">
        <f ca="1">IFERROR(__xludf.DUMMYFUNCTION("""COMPUTED_VALUE"""),34.98)</f>
        <v>34.979999999999997</v>
      </c>
      <c r="O667" s="125">
        <f ca="1">IFERROR(__xludf.DUMMYFUNCTION("""COMPUTED_VALUE"""),43672.6666666666)</f>
        <v>43672.666666666599</v>
      </c>
      <c r="P667">
        <f ca="1">IFERROR(__xludf.DUMMYFUNCTION("""COMPUTED_VALUE"""),32.87)</f>
        <v>32.869999999999997</v>
      </c>
    </row>
    <row r="668" spans="2:16" ht="12.75">
      <c r="B668" s="125">
        <f ca="1">IFERROR(__xludf.DUMMYFUNCTION("""COMPUTED_VALUE"""),43675.6666666666)</f>
        <v>43675.666666666599</v>
      </c>
      <c r="C668">
        <f ca="1">IFERROR(__xludf.DUMMYFUNCTION("""COMPUTED_VALUE"""),32.77)</f>
        <v>32.770000000000003</v>
      </c>
      <c r="D668">
        <v>31.09</v>
      </c>
      <c r="E668">
        <v>26.57</v>
      </c>
      <c r="F668">
        <v>31.52</v>
      </c>
      <c r="G668">
        <v>10.75</v>
      </c>
      <c r="H668">
        <v>216.39</v>
      </c>
      <c r="I668">
        <v>27.08</v>
      </c>
      <c r="J668">
        <v>60.48</v>
      </c>
      <c r="K668">
        <v>134.18</v>
      </c>
      <c r="M668" s="125">
        <f ca="1">IFERROR(__xludf.DUMMYFUNCTION("""COMPUTED_VALUE"""),44207.6666666666)</f>
        <v>44207.666666666599</v>
      </c>
      <c r="N668">
        <f ca="1">IFERROR(__xludf.DUMMYFUNCTION("""COMPUTED_VALUE"""),34.63)</f>
        <v>34.630000000000003</v>
      </c>
      <c r="O668" s="125">
        <f ca="1">IFERROR(__xludf.DUMMYFUNCTION("""COMPUTED_VALUE"""),43675.6666666666)</f>
        <v>43675.666666666599</v>
      </c>
      <c r="P668">
        <f ca="1">IFERROR(__xludf.DUMMYFUNCTION("""COMPUTED_VALUE"""),32.77)</f>
        <v>32.770000000000003</v>
      </c>
    </row>
    <row r="669" spans="2:16" ht="12.75">
      <c r="B669" s="125">
        <f ca="1">IFERROR(__xludf.DUMMYFUNCTION("""COMPUTED_VALUE"""),43676.6666666666)</f>
        <v>43676.666666666599</v>
      </c>
      <c r="C669">
        <f ca="1">IFERROR(__xludf.DUMMYFUNCTION("""COMPUTED_VALUE"""),32.36)</f>
        <v>32.36</v>
      </c>
      <c r="D669">
        <v>30.54</v>
      </c>
      <c r="E669">
        <v>26.57</v>
      </c>
      <c r="F669">
        <v>31.2</v>
      </c>
      <c r="G669">
        <v>10.63</v>
      </c>
      <c r="H669">
        <v>216.73</v>
      </c>
      <c r="I669">
        <v>26.44</v>
      </c>
      <c r="J669">
        <v>60.66</v>
      </c>
      <c r="K669">
        <v>133.37</v>
      </c>
      <c r="M669" s="125">
        <f ca="1">IFERROR(__xludf.DUMMYFUNCTION("""COMPUTED_VALUE"""),44208.6666666666)</f>
        <v>44208.666666666599</v>
      </c>
      <c r="N669">
        <f ca="1">IFERROR(__xludf.DUMMYFUNCTION("""COMPUTED_VALUE"""),34.52)</f>
        <v>34.520000000000003</v>
      </c>
      <c r="O669" s="125">
        <f ca="1">IFERROR(__xludf.DUMMYFUNCTION("""COMPUTED_VALUE"""),43676.6666666666)</f>
        <v>43676.666666666599</v>
      </c>
      <c r="P669">
        <f ca="1">IFERROR(__xludf.DUMMYFUNCTION("""COMPUTED_VALUE"""),32.36)</f>
        <v>32.36</v>
      </c>
    </row>
    <row r="670" spans="2:16" ht="12.75">
      <c r="B670" s="125">
        <f ca="1">IFERROR(__xludf.DUMMYFUNCTION("""COMPUTED_VALUE"""),43677.6666666666)</f>
        <v>43677.666666666599</v>
      </c>
      <c r="C670">
        <f ca="1">IFERROR(__xludf.DUMMYFUNCTION("""COMPUTED_VALUE"""),32.03)</f>
        <v>32.03</v>
      </c>
      <c r="D670">
        <v>30.58</v>
      </c>
      <c r="E670">
        <v>26.73</v>
      </c>
      <c r="F670">
        <v>30.83</v>
      </c>
      <c r="G670">
        <v>10.73</v>
      </c>
      <c r="H670">
        <v>215.28</v>
      </c>
      <c r="I670">
        <v>26.55</v>
      </c>
      <c r="J670">
        <v>59.43</v>
      </c>
      <c r="K670">
        <v>132.65</v>
      </c>
      <c r="M670" s="125">
        <f ca="1">IFERROR(__xludf.DUMMYFUNCTION("""COMPUTED_VALUE"""),44209.6666666666)</f>
        <v>44209.666666666599</v>
      </c>
      <c r="N670">
        <f ca="1">IFERROR(__xludf.DUMMYFUNCTION("""COMPUTED_VALUE"""),34.72)</f>
        <v>34.72</v>
      </c>
      <c r="O670" s="125">
        <f ca="1">IFERROR(__xludf.DUMMYFUNCTION("""COMPUTED_VALUE"""),43677.6666666666)</f>
        <v>43677.666666666599</v>
      </c>
      <c r="P670">
        <f ca="1">IFERROR(__xludf.DUMMYFUNCTION("""COMPUTED_VALUE"""),32.03)</f>
        <v>32.03</v>
      </c>
    </row>
    <row r="671" spans="2:16" ht="12.75">
      <c r="B671" s="125">
        <f ca="1">IFERROR(__xludf.DUMMYFUNCTION("""COMPUTED_VALUE"""),43678.6666666666)</f>
        <v>43678.666666666599</v>
      </c>
      <c r="C671">
        <f ca="1">IFERROR(__xludf.DUMMYFUNCTION("""COMPUTED_VALUE"""),31.48)</f>
        <v>31.48</v>
      </c>
      <c r="D671">
        <v>30.28</v>
      </c>
      <c r="E671">
        <v>26.65</v>
      </c>
      <c r="F671">
        <v>30.8</v>
      </c>
      <c r="G671">
        <v>10.75</v>
      </c>
      <c r="H671">
        <v>212.11</v>
      </c>
      <c r="I671">
        <v>26.43</v>
      </c>
      <c r="J671">
        <v>59.22</v>
      </c>
      <c r="K671">
        <v>133.94999999999999</v>
      </c>
      <c r="M671" s="125">
        <f ca="1">IFERROR(__xludf.DUMMYFUNCTION("""COMPUTED_VALUE"""),44210.6666666666)</f>
        <v>44210.666666666599</v>
      </c>
      <c r="N671">
        <f ca="1">IFERROR(__xludf.DUMMYFUNCTION("""COMPUTED_VALUE"""),34.89)</f>
        <v>34.89</v>
      </c>
      <c r="O671" s="125">
        <f ca="1">IFERROR(__xludf.DUMMYFUNCTION("""COMPUTED_VALUE"""),43678.6666666666)</f>
        <v>43678.666666666599</v>
      </c>
      <c r="P671">
        <f ca="1">IFERROR(__xludf.DUMMYFUNCTION("""COMPUTED_VALUE"""),31.48)</f>
        <v>31.48</v>
      </c>
    </row>
    <row r="672" spans="2:16" ht="12.75">
      <c r="B672" s="125">
        <f ca="1">IFERROR(__xludf.DUMMYFUNCTION("""COMPUTED_VALUE"""),43679.6666666666)</f>
        <v>43679.666666666599</v>
      </c>
      <c r="C672">
        <f ca="1">IFERROR(__xludf.DUMMYFUNCTION("""COMPUTED_VALUE"""),31.16)</f>
        <v>31.16</v>
      </c>
      <c r="D672">
        <v>29.72</v>
      </c>
      <c r="E672">
        <v>26.59</v>
      </c>
      <c r="F672">
        <v>30.47</v>
      </c>
      <c r="G672">
        <v>10.77</v>
      </c>
      <c r="H672">
        <v>211.32</v>
      </c>
      <c r="I672">
        <v>26.1</v>
      </c>
      <c r="J672">
        <v>59.23</v>
      </c>
      <c r="K672">
        <v>133.97999999999999</v>
      </c>
      <c r="M672" s="125">
        <f ca="1">IFERROR(__xludf.DUMMYFUNCTION("""COMPUTED_VALUE"""),44211.6666666666)</f>
        <v>44211.666666666599</v>
      </c>
      <c r="N672">
        <f ca="1">IFERROR(__xludf.DUMMYFUNCTION("""COMPUTED_VALUE"""),35.31)</f>
        <v>35.31</v>
      </c>
      <c r="O672" s="125">
        <f ca="1">IFERROR(__xludf.DUMMYFUNCTION("""COMPUTED_VALUE"""),43679.6666666666)</f>
        <v>43679.666666666599</v>
      </c>
      <c r="P672">
        <f ca="1">IFERROR(__xludf.DUMMYFUNCTION("""COMPUTED_VALUE"""),31.16)</f>
        <v>31.16</v>
      </c>
    </row>
    <row r="673" spans="2:16" ht="12.75">
      <c r="B673" s="125">
        <f ca="1">IFERROR(__xludf.DUMMYFUNCTION("""COMPUTED_VALUE"""),43682.6666666666)</f>
        <v>43682.666666666599</v>
      </c>
      <c r="C673">
        <f ca="1">IFERROR(__xludf.DUMMYFUNCTION("""COMPUTED_VALUE"""),29.6)</f>
        <v>29.6</v>
      </c>
      <c r="D673">
        <v>28.48</v>
      </c>
      <c r="E673">
        <v>26.46</v>
      </c>
      <c r="F673">
        <v>29.73</v>
      </c>
      <c r="G673">
        <v>10.38</v>
      </c>
      <c r="H673">
        <v>206.56</v>
      </c>
      <c r="I673">
        <v>25.38</v>
      </c>
      <c r="J673">
        <v>57.69</v>
      </c>
      <c r="K673">
        <v>131.75</v>
      </c>
      <c r="M673" s="125">
        <f ca="1">IFERROR(__xludf.DUMMYFUNCTION("""COMPUTED_VALUE"""),44215.6666666666)</f>
        <v>44215.666666666599</v>
      </c>
      <c r="N673">
        <f ca="1">IFERROR(__xludf.DUMMYFUNCTION("""COMPUTED_VALUE"""),35.65)</f>
        <v>35.65</v>
      </c>
      <c r="O673" s="125">
        <f ca="1">IFERROR(__xludf.DUMMYFUNCTION("""COMPUTED_VALUE"""),43682.6666666666)</f>
        <v>43682.666666666599</v>
      </c>
      <c r="P673">
        <f ca="1">IFERROR(__xludf.DUMMYFUNCTION("""COMPUTED_VALUE"""),29.6)</f>
        <v>29.6</v>
      </c>
    </row>
    <row r="674" spans="2:16" ht="12.75">
      <c r="B674" s="125">
        <f ca="1">IFERROR(__xludf.DUMMYFUNCTION("""COMPUTED_VALUE"""),43683.6666666666)</f>
        <v>43683.666666666599</v>
      </c>
      <c r="C674">
        <f ca="1">IFERROR(__xludf.DUMMYFUNCTION("""COMPUTED_VALUE"""),29.88)</f>
        <v>29.88</v>
      </c>
      <c r="D674">
        <v>28.68</v>
      </c>
      <c r="E674">
        <v>26.49</v>
      </c>
      <c r="F674">
        <v>30.01</v>
      </c>
      <c r="G674">
        <v>10.52</v>
      </c>
      <c r="H674">
        <v>211.83</v>
      </c>
      <c r="I674">
        <v>25.46</v>
      </c>
      <c r="J674">
        <v>58.21</v>
      </c>
      <c r="K674">
        <v>133.35</v>
      </c>
      <c r="M674" s="125">
        <f ca="1">IFERROR(__xludf.DUMMYFUNCTION("""COMPUTED_VALUE"""),44216.6666666666)</f>
        <v>44216.666666666599</v>
      </c>
      <c r="N674">
        <f ca="1">IFERROR(__xludf.DUMMYFUNCTION("""COMPUTED_VALUE"""),36.09)</f>
        <v>36.090000000000003</v>
      </c>
      <c r="O674" s="125">
        <f ca="1">IFERROR(__xludf.DUMMYFUNCTION("""COMPUTED_VALUE"""),43683.6666666666)</f>
        <v>43683.666666666599</v>
      </c>
      <c r="P674">
        <f ca="1">IFERROR(__xludf.DUMMYFUNCTION("""COMPUTED_VALUE"""),29.88)</f>
        <v>29.88</v>
      </c>
    </row>
    <row r="675" spans="2:16" ht="12.75">
      <c r="B675" s="125">
        <f ca="1">IFERROR(__xludf.DUMMYFUNCTION("""COMPUTED_VALUE"""),43684.6666666666)</f>
        <v>43684.666666666599</v>
      </c>
      <c r="C675">
        <f ca="1">IFERROR(__xludf.DUMMYFUNCTION("""COMPUTED_VALUE"""),30.13)</f>
        <v>30.13</v>
      </c>
      <c r="D675">
        <v>28.91</v>
      </c>
      <c r="E675">
        <v>26.47</v>
      </c>
      <c r="F675">
        <v>30.15</v>
      </c>
      <c r="G675">
        <v>10.79</v>
      </c>
      <c r="H675">
        <v>212.96</v>
      </c>
      <c r="I675">
        <v>25.62</v>
      </c>
      <c r="J675">
        <v>58.89</v>
      </c>
      <c r="K675">
        <v>133.71</v>
      </c>
      <c r="M675" s="125">
        <f ca="1">IFERROR(__xludf.DUMMYFUNCTION("""COMPUTED_VALUE"""),44217.6666666666)</f>
        <v>44217.666666666599</v>
      </c>
      <c r="N675">
        <f ca="1">IFERROR(__xludf.DUMMYFUNCTION("""COMPUTED_VALUE"""),36.08)</f>
        <v>36.08</v>
      </c>
      <c r="O675" s="125">
        <f ca="1">IFERROR(__xludf.DUMMYFUNCTION("""COMPUTED_VALUE"""),43684.6666666666)</f>
        <v>43684.666666666599</v>
      </c>
      <c r="P675">
        <f ca="1">IFERROR(__xludf.DUMMYFUNCTION("""COMPUTED_VALUE"""),30.13)</f>
        <v>30.13</v>
      </c>
    </row>
    <row r="676" spans="2:16" ht="12.75">
      <c r="B676" s="125">
        <f ca="1">IFERROR(__xludf.DUMMYFUNCTION("""COMPUTED_VALUE"""),43685.6666666666)</f>
        <v>43685.666666666599</v>
      </c>
      <c r="C676">
        <f ca="1">IFERROR(__xludf.DUMMYFUNCTION("""COMPUTED_VALUE"""),31.06)</f>
        <v>31.06</v>
      </c>
      <c r="D676">
        <v>29.53</v>
      </c>
      <c r="E676">
        <v>26.49</v>
      </c>
      <c r="F676">
        <v>30.4</v>
      </c>
      <c r="G676">
        <v>10.99</v>
      </c>
      <c r="H676">
        <v>217.67</v>
      </c>
      <c r="I676">
        <v>25.89</v>
      </c>
      <c r="J676">
        <v>59.65</v>
      </c>
      <c r="K676">
        <v>135.26</v>
      </c>
      <c r="M676" s="125">
        <f ca="1">IFERROR(__xludf.DUMMYFUNCTION("""COMPUTED_VALUE"""),44218.6666666666)</f>
        <v>44218.666666666599</v>
      </c>
      <c r="N676">
        <f ca="1">IFERROR(__xludf.DUMMYFUNCTION("""COMPUTED_VALUE"""),36.2)</f>
        <v>36.200000000000003</v>
      </c>
      <c r="O676" s="125">
        <f ca="1">IFERROR(__xludf.DUMMYFUNCTION("""COMPUTED_VALUE"""),43685.6666666666)</f>
        <v>43685.666666666599</v>
      </c>
      <c r="P676">
        <f ca="1">IFERROR(__xludf.DUMMYFUNCTION("""COMPUTED_VALUE"""),31.06)</f>
        <v>31.06</v>
      </c>
    </row>
    <row r="677" spans="2:16" ht="12.75">
      <c r="B677" s="125">
        <f ca="1">IFERROR(__xludf.DUMMYFUNCTION("""COMPUTED_VALUE"""),43686.6666666666)</f>
        <v>43686.666666666599</v>
      </c>
      <c r="C677">
        <f ca="1">IFERROR(__xludf.DUMMYFUNCTION("""COMPUTED_VALUE"""),30.78)</f>
        <v>30.78</v>
      </c>
      <c r="D677">
        <v>29.06</v>
      </c>
      <c r="E677">
        <v>26.46</v>
      </c>
      <c r="F677">
        <v>30.2</v>
      </c>
      <c r="G677">
        <v>10.94</v>
      </c>
      <c r="H677">
        <v>216.36</v>
      </c>
      <c r="I677">
        <v>25.66</v>
      </c>
      <c r="J677">
        <v>59.32</v>
      </c>
      <c r="K677">
        <v>135.13</v>
      </c>
      <c r="M677" s="125">
        <f ca="1">IFERROR(__xludf.DUMMYFUNCTION("""COMPUTED_VALUE"""),44221.6666666666)</f>
        <v>44221.666666666599</v>
      </c>
      <c r="N677">
        <f ca="1">IFERROR(__xludf.DUMMYFUNCTION("""COMPUTED_VALUE"""),36.69)</f>
        <v>36.69</v>
      </c>
      <c r="O677" s="125">
        <f ca="1">IFERROR(__xludf.DUMMYFUNCTION("""COMPUTED_VALUE"""),43686.6666666666)</f>
        <v>43686.666666666599</v>
      </c>
      <c r="P677">
        <f ca="1">IFERROR(__xludf.DUMMYFUNCTION("""COMPUTED_VALUE"""),30.78)</f>
        <v>30.78</v>
      </c>
    </row>
    <row r="678" spans="2:16" ht="12.75">
      <c r="B678" s="125">
        <f ca="1">IFERROR(__xludf.DUMMYFUNCTION("""COMPUTED_VALUE"""),43689.6666666666)</f>
        <v>43689.666666666599</v>
      </c>
      <c r="C678">
        <f ca="1">IFERROR(__xludf.DUMMYFUNCTION("""COMPUTED_VALUE"""),30.1)</f>
        <v>30.1</v>
      </c>
      <c r="D678">
        <v>28.35</v>
      </c>
      <c r="E678">
        <v>26.44</v>
      </c>
      <c r="F678">
        <v>29.98</v>
      </c>
      <c r="G678">
        <v>10.85</v>
      </c>
      <c r="H678">
        <v>213.35</v>
      </c>
      <c r="I678">
        <v>25.41</v>
      </c>
      <c r="J678">
        <v>58.92</v>
      </c>
      <c r="K678">
        <v>134.96</v>
      </c>
      <c r="M678" s="125">
        <f ca="1">IFERROR(__xludf.DUMMYFUNCTION("""COMPUTED_VALUE"""),44222.6666666666)</f>
        <v>44222.666666666599</v>
      </c>
      <c r="N678">
        <f ca="1">IFERROR(__xludf.DUMMYFUNCTION("""COMPUTED_VALUE"""),36.99)</f>
        <v>36.99</v>
      </c>
      <c r="O678" s="125">
        <f ca="1">IFERROR(__xludf.DUMMYFUNCTION("""COMPUTED_VALUE"""),43689.6666666666)</f>
        <v>43689.666666666599</v>
      </c>
      <c r="P678">
        <f ca="1">IFERROR(__xludf.DUMMYFUNCTION("""COMPUTED_VALUE"""),30.1)</f>
        <v>30.1</v>
      </c>
    </row>
    <row r="679" spans="2:16" ht="12.75">
      <c r="B679" s="125">
        <f ca="1">IFERROR(__xludf.DUMMYFUNCTION("""COMPUTED_VALUE"""),43690.6666666666)</f>
        <v>43690.666666666599</v>
      </c>
      <c r="C679">
        <f ca="1">IFERROR(__xludf.DUMMYFUNCTION("""COMPUTED_VALUE"""),31.19)</f>
        <v>31.19</v>
      </c>
      <c r="D679">
        <v>28.85</v>
      </c>
      <c r="E679">
        <v>26.56</v>
      </c>
      <c r="F679">
        <v>30.26</v>
      </c>
      <c r="G679">
        <v>10.96</v>
      </c>
      <c r="H679">
        <v>214.23</v>
      </c>
      <c r="I679">
        <v>25.74</v>
      </c>
      <c r="J679">
        <v>59.59</v>
      </c>
      <c r="K679">
        <v>135.16999999999999</v>
      </c>
      <c r="M679" s="125">
        <f ca="1">IFERROR(__xludf.DUMMYFUNCTION("""COMPUTED_VALUE"""),44223.6666666666)</f>
        <v>44223.666666666599</v>
      </c>
      <c r="N679">
        <f ca="1">IFERROR(__xludf.DUMMYFUNCTION("""COMPUTED_VALUE"""),36.42)</f>
        <v>36.42</v>
      </c>
      <c r="O679" s="125">
        <f ca="1">IFERROR(__xludf.DUMMYFUNCTION("""COMPUTED_VALUE"""),43690.6666666666)</f>
        <v>43690.666666666599</v>
      </c>
      <c r="P679">
        <f ca="1">IFERROR(__xludf.DUMMYFUNCTION("""COMPUTED_VALUE"""),31.19)</f>
        <v>31.19</v>
      </c>
    </row>
    <row r="680" spans="2:16" ht="12.75">
      <c r="B680" s="125">
        <f ca="1">IFERROR(__xludf.DUMMYFUNCTION("""COMPUTED_VALUE"""),43691.6666666666)</f>
        <v>43691.666666666599</v>
      </c>
      <c r="C680">
        <f ca="1">IFERROR(__xludf.DUMMYFUNCTION("""COMPUTED_VALUE"""),30.24)</f>
        <v>30.24</v>
      </c>
      <c r="D680">
        <v>27.93</v>
      </c>
      <c r="E680">
        <v>26.62</v>
      </c>
      <c r="F680">
        <v>29.47</v>
      </c>
      <c r="G680">
        <v>10.68</v>
      </c>
      <c r="H680">
        <v>208.58</v>
      </c>
      <c r="I680">
        <v>25.01</v>
      </c>
      <c r="J680">
        <v>58.65</v>
      </c>
      <c r="K680">
        <v>133.91</v>
      </c>
      <c r="M680" s="125">
        <f ca="1">IFERROR(__xludf.DUMMYFUNCTION("""COMPUTED_VALUE"""),44224.6666666666)</f>
        <v>44224.666666666599</v>
      </c>
      <c r="N680">
        <f ca="1">IFERROR(__xludf.DUMMYFUNCTION("""COMPUTED_VALUE"""),36.36)</f>
        <v>36.36</v>
      </c>
      <c r="O680" s="125">
        <f ca="1">IFERROR(__xludf.DUMMYFUNCTION("""COMPUTED_VALUE"""),43691.6666666666)</f>
        <v>43691.666666666599</v>
      </c>
      <c r="P680">
        <f ca="1">IFERROR(__xludf.DUMMYFUNCTION("""COMPUTED_VALUE"""),30.24)</f>
        <v>30.24</v>
      </c>
    </row>
    <row r="681" spans="2:16" ht="12.75">
      <c r="B681" s="125">
        <f ca="1">IFERROR(__xludf.DUMMYFUNCTION("""COMPUTED_VALUE"""),43692.6666666666)</f>
        <v>43692.666666666599</v>
      </c>
      <c r="C681">
        <f ca="1">IFERROR(__xludf.DUMMYFUNCTION("""COMPUTED_VALUE"""),30.46)</f>
        <v>30.46</v>
      </c>
      <c r="D681">
        <v>27.89</v>
      </c>
      <c r="E681">
        <v>26.64</v>
      </c>
      <c r="F681">
        <v>29.41</v>
      </c>
      <c r="G681">
        <v>10.62</v>
      </c>
      <c r="H681">
        <v>210.6</v>
      </c>
      <c r="I681">
        <v>24.91</v>
      </c>
      <c r="J681">
        <v>59.53</v>
      </c>
      <c r="K681">
        <v>135.69</v>
      </c>
      <c r="M681" s="125">
        <f ca="1">IFERROR(__xludf.DUMMYFUNCTION("""COMPUTED_VALUE"""),44225.6666666666)</f>
        <v>44225.666666666599</v>
      </c>
      <c r="N681">
        <f ca="1">IFERROR(__xludf.DUMMYFUNCTION("""COMPUTED_VALUE"""),36.22)</f>
        <v>36.22</v>
      </c>
      <c r="O681" s="125">
        <f ca="1">IFERROR(__xludf.DUMMYFUNCTION("""COMPUTED_VALUE"""),43692.6666666666)</f>
        <v>43692.666666666599</v>
      </c>
      <c r="P681">
        <f ca="1">IFERROR(__xludf.DUMMYFUNCTION("""COMPUTED_VALUE"""),30.46)</f>
        <v>30.46</v>
      </c>
    </row>
    <row r="682" spans="2:16" ht="12.75">
      <c r="B682" s="125">
        <f ca="1">IFERROR(__xludf.DUMMYFUNCTION("""COMPUTED_VALUE"""),43693.6666666666)</f>
        <v>43693.666666666599</v>
      </c>
      <c r="C682">
        <f ca="1">IFERROR(__xludf.DUMMYFUNCTION("""COMPUTED_VALUE"""),31.24)</f>
        <v>31.24</v>
      </c>
      <c r="D682">
        <v>28.56</v>
      </c>
      <c r="E682">
        <v>26.66</v>
      </c>
      <c r="F682">
        <v>29.9</v>
      </c>
      <c r="G682">
        <v>10.78</v>
      </c>
      <c r="H682">
        <v>212.98</v>
      </c>
      <c r="I682">
        <v>25.29</v>
      </c>
      <c r="J682">
        <v>60.21</v>
      </c>
      <c r="K682">
        <v>136.49</v>
      </c>
      <c r="M682" s="125">
        <f ca="1">IFERROR(__xludf.DUMMYFUNCTION("""COMPUTED_VALUE"""),44228.6666666666)</f>
        <v>44228.666666666599</v>
      </c>
      <c r="N682">
        <f ca="1">IFERROR(__xludf.DUMMYFUNCTION("""COMPUTED_VALUE"""),37.18)</f>
        <v>37.18</v>
      </c>
      <c r="O682" s="125">
        <f ca="1">IFERROR(__xludf.DUMMYFUNCTION("""COMPUTED_VALUE"""),43693.6666666666)</f>
        <v>43693.666666666599</v>
      </c>
      <c r="P682">
        <f ca="1">IFERROR(__xludf.DUMMYFUNCTION("""COMPUTED_VALUE"""),31.24)</f>
        <v>31.24</v>
      </c>
    </row>
    <row r="683" spans="2:16" ht="12.75">
      <c r="B683" s="125">
        <f ca="1">IFERROR(__xludf.DUMMYFUNCTION("""COMPUTED_VALUE"""),43696.6666666666)</f>
        <v>43696.666666666599</v>
      </c>
      <c r="C683">
        <f ca="1">IFERROR(__xludf.DUMMYFUNCTION("""COMPUTED_VALUE"""),31.73)</f>
        <v>31.73</v>
      </c>
      <c r="D683">
        <v>28.73</v>
      </c>
      <c r="E683">
        <v>26.72</v>
      </c>
      <c r="F683">
        <v>30.11</v>
      </c>
      <c r="G683">
        <v>10.91</v>
      </c>
      <c r="H683">
        <v>215.32</v>
      </c>
      <c r="I683">
        <v>25.59</v>
      </c>
      <c r="J683">
        <v>60.81</v>
      </c>
      <c r="K683">
        <v>137.31</v>
      </c>
      <c r="M683" s="125">
        <f ca="1">IFERROR(__xludf.DUMMYFUNCTION("""COMPUTED_VALUE"""),44229.6666666666)</f>
        <v>44229.666666666599</v>
      </c>
      <c r="N683">
        <f ca="1">IFERROR(__xludf.DUMMYFUNCTION("""COMPUTED_VALUE"""),37.5)</f>
        <v>37.5</v>
      </c>
      <c r="O683" s="125">
        <f ca="1">IFERROR(__xludf.DUMMYFUNCTION("""COMPUTED_VALUE"""),43696.6666666666)</f>
        <v>43696.666666666599</v>
      </c>
      <c r="P683">
        <f ca="1">IFERROR(__xludf.DUMMYFUNCTION("""COMPUTED_VALUE"""),31.73)</f>
        <v>31.73</v>
      </c>
    </row>
    <row r="684" spans="2:16" ht="12.75">
      <c r="B684" s="125">
        <f ca="1">IFERROR(__xludf.DUMMYFUNCTION("""COMPUTED_VALUE"""),43697.6666666666)</f>
        <v>43697.666666666599</v>
      </c>
      <c r="C684">
        <f ca="1">IFERROR(__xludf.DUMMYFUNCTION("""COMPUTED_VALUE"""),31.79)</f>
        <v>31.79</v>
      </c>
      <c r="D684">
        <v>28.71</v>
      </c>
      <c r="E684">
        <v>26.66</v>
      </c>
      <c r="F684">
        <v>30.01</v>
      </c>
      <c r="G684">
        <v>10.91</v>
      </c>
      <c r="H684">
        <v>215.33</v>
      </c>
      <c r="I684">
        <v>25.41</v>
      </c>
      <c r="J684">
        <v>60.15</v>
      </c>
      <c r="K684">
        <v>137.08000000000001</v>
      </c>
      <c r="M684" s="125">
        <f ca="1">IFERROR(__xludf.DUMMYFUNCTION("""COMPUTED_VALUE"""),44230.6666666666)</f>
        <v>44230.666666666599</v>
      </c>
      <c r="N684">
        <f ca="1">IFERROR(__xludf.DUMMYFUNCTION("""COMPUTED_VALUE"""),37.18)</f>
        <v>37.18</v>
      </c>
      <c r="O684" s="125">
        <f ca="1">IFERROR(__xludf.DUMMYFUNCTION("""COMPUTED_VALUE"""),43697.6666666666)</f>
        <v>43697.666666666599</v>
      </c>
      <c r="P684">
        <f ca="1">IFERROR(__xludf.DUMMYFUNCTION("""COMPUTED_VALUE"""),31.79)</f>
        <v>31.79</v>
      </c>
    </row>
    <row r="685" spans="2:16" ht="12.75">
      <c r="B685" s="125">
        <f ca="1">IFERROR(__xludf.DUMMYFUNCTION("""COMPUTED_VALUE"""),43698.6666666666)</f>
        <v>43698.666666666599</v>
      </c>
      <c r="C685">
        <f ca="1">IFERROR(__xludf.DUMMYFUNCTION("""COMPUTED_VALUE"""),32.19)</f>
        <v>32.19</v>
      </c>
      <c r="D685">
        <v>29.09</v>
      </c>
      <c r="E685">
        <v>26.69</v>
      </c>
      <c r="F685">
        <v>30.27</v>
      </c>
      <c r="G685">
        <v>11.07</v>
      </c>
      <c r="H685">
        <v>217.12</v>
      </c>
      <c r="I685">
        <v>25.83</v>
      </c>
      <c r="J685">
        <v>60.31</v>
      </c>
      <c r="K685">
        <v>137.94</v>
      </c>
      <c r="M685" s="125">
        <f ca="1">IFERROR(__xludf.DUMMYFUNCTION("""COMPUTED_VALUE"""),44231.6666666666)</f>
        <v>44231.666666666599</v>
      </c>
      <c r="N685">
        <f ca="1">IFERROR(__xludf.DUMMYFUNCTION("""COMPUTED_VALUE"""),36.88)</f>
        <v>36.880000000000003</v>
      </c>
      <c r="O685" s="125">
        <f ca="1">IFERROR(__xludf.DUMMYFUNCTION("""COMPUTED_VALUE"""),43698.6666666666)</f>
        <v>43698.666666666599</v>
      </c>
      <c r="P685">
        <f ca="1">IFERROR(__xludf.DUMMYFUNCTION("""COMPUTED_VALUE"""),32.19)</f>
        <v>32.19</v>
      </c>
    </row>
    <row r="686" spans="2:16" ht="12.75">
      <c r="B686" s="125">
        <f ca="1">IFERROR(__xludf.DUMMYFUNCTION("""COMPUTED_VALUE"""),43699.6666666666)</f>
        <v>43699.666666666599</v>
      </c>
      <c r="C686">
        <f ca="1">IFERROR(__xludf.DUMMYFUNCTION("""COMPUTED_VALUE"""),31.71)</f>
        <v>31.71</v>
      </c>
      <c r="D686">
        <v>29.02</v>
      </c>
      <c r="E686">
        <v>26.67</v>
      </c>
      <c r="F686">
        <v>30.13</v>
      </c>
      <c r="G686">
        <v>10.95</v>
      </c>
      <c r="H686">
        <v>219.58</v>
      </c>
      <c r="I686">
        <v>25.75</v>
      </c>
      <c r="J686">
        <v>60.63</v>
      </c>
      <c r="K686">
        <v>138.06</v>
      </c>
      <c r="M686" s="125">
        <f ca="1">IFERROR(__xludf.DUMMYFUNCTION("""COMPUTED_VALUE"""),44232.6666666666)</f>
        <v>44232.666666666599</v>
      </c>
      <c r="N686">
        <f ca="1">IFERROR(__xludf.DUMMYFUNCTION("""COMPUTED_VALUE"""),37.18)</f>
        <v>37.18</v>
      </c>
      <c r="O686" s="125">
        <f ca="1">IFERROR(__xludf.DUMMYFUNCTION("""COMPUTED_VALUE"""),43699.6666666666)</f>
        <v>43699.666666666599</v>
      </c>
      <c r="P686">
        <f ca="1">IFERROR(__xludf.DUMMYFUNCTION("""COMPUTED_VALUE"""),31.71)</f>
        <v>31.71</v>
      </c>
    </row>
    <row r="687" spans="2:16" ht="12.75">
      <c r="B687" s="125">
        <f ca="1">IFERROR(__xludf.DUMMYFUNCTION("""COMPUTED_VALUE"""),43700.6666666666)</f>
        <v>43700.666666666599</v>
      </c>
      <c r="C687">
        <f ca="1">IFERROR(__xludf.DUMMYFUNCTION("""COMPUTED_VALUE"""),30.96)</f>
        <v>30.96</v>
      </c>
      <c r="D687">
        <v>28.43</v>
      </c>
      <c r="E687">
        <v>26.52</v>
      </c>
      <c r="F687">
        <v>29.68</v>
      </c>
      <c r="G687">
        <v>10.69</v>
      </c>
      <c r="H687">
        <v>215.35</v>
      </c>
      <c r="I687">
        <v>25.31</v>
      </c>
      <c r="J687">
        <v>59.62</v>
      </c>
      <c r="K687">
        <v>136.44</v>
      </c>
      <c r="M687" s="125">
        <f ca="1">IFERROR(__xludf.DUMMYFUNCTION("""COMPUTED_VALUE"""),44235.6666666666)</f>
        <v>44235.666666666599</v>
      </c>
      <c r="N687">
        <f ca="1">IFERROR(__xludf.DUMMYFUNCTION("""COMPUTED_VALUE"""),37.12)</f>
        <v>37.119999999999997</v>
      </c>
      <c r="O687" s="125">
        <f ca="1">IFERROR(__xludf.DUMMYFUNCTION("""COMPUTED_VALUE"""),43700.6666666666)</f>
        <v>43700.666666666599</v>
      </c>
      <c r="P687">
        <f ca="1">IFERROR(__xludf.DUMMYFUNCTION("""COMPUTED_VALUE"""),30.96)</f>
        <v>30.96</v>
      </c>
    </row>
    <row r="688" spans="2:16" ht="12.75">
      <c r="B688" s="125">
        <f ca="1">IFERROR(__xludf.DUMMYFUNCTION("""COMPUTED_VALUE"""),43703.6666666666)</f>
        <v>43703.666666666599</v>
      </c>
      <c r="C688">
        <f ca="1">IFERROR(__xludf.DUMMYFUNCTION("""COMPUTED_VALUE"""),31.26)</f>
        <v>31.26</v>
      </c>
      <c r="D688">
        <v>28.59</v>
      </c>
      <c r="E688">
        <v>26.66</v>
      </c>
      <c r="F688">
        <v>29.92</v>
      </c>
      <c r="G688">
        <v>10.9</v>
      </c>
      <c r="H688">
        <v>217.63</v>
      </c>
      <c r="I688">
        <v>25.58</v>
      </c>
      <c r="J688">
        <v>60.36</v>
      </c>
      <c r="K688">
        <v>138.12</v>
      </c>
      <c r="M688" s="125">
        <f ca="1">IFERROR(__xludf.DUMMYFUNCTION("""COMPUTED_VALUE"""),44236.6666666666)</f>
        <v>44236.666666666599</v>
      </c>
      <c r="N688">
        <f ca="1">IFERROR(__xludf.DUMMYFUNCTION("""COMPUTED_VALUE"""),37.35)</f>
        <v>37.35</v>
      </c>
      <c r="O688" s="125">
        <f ca="1">IFERROR(__xludf.DUMMYFUNCTION("""COMPUTED_VALUE"""),43703.6666666666)</f>
        <v>43703.666666666599</v>
      </c>
      <c r="P688">
        <f ca="1">IFERROR(__xludf.DUMMYFUNCTION("""COMPUTED_VALUE"""),31.26)</f>
        <v>31.26</v>
      </c>
    </row>
    <row r="689" spans="2:16" ht="12.75">
      <c r="B689" s="125">
        <f ca="1">IFERROR(__xludf.DUMMYFUNCTION("""COMPUTED_VALUE"""),43704.6666666666)</f>
        <v>43704.666666666599</v>
      </c>
      <c r="C689">
        <f ca="1">IFERROR(__xludf.DUMMYFUNCTION("""COMPUTED_VALUE"""),31.23)</f>
        <v>31.23</v>
      </c>
      <c r="D689">
        <v>28.56</v>
      </c>
      <c r="E689">
        <v>26.64</v>
      </c>
      <c r="F689">
        <v>29.97</v>
      </c>
      <c r="G689">
        <v>10.82</v>
      </c>
      <c r="H689">
        <v>215.86</v>
      </c>
      <c r="I689">
        <v>25.69</v>
      </c>
      <c r="J689">
        <v>60.19</v>
      </c>
      <c r="K689">
        <v>138.11000000000001</v>
      </c>
      <c r="M689" s="125">
        <f ca="1">IFERROR(__xludf.DUMMYFUNCTION("""COMPUTED_VALUE"""),44237.6666666666)</f>
        <v>44237.666666666599</v>
      </c>
      <c r="N689">
        <f ca="1">IFERROR(__xludf.DUMMYFUNCTION("""COMPUTED_VALUE"""),37.43)</f>
        <v>37.43</v>
      </c>
      <c r="O689" s="125">
        <f ca="1">IFERROR(__xludf.DUMMYFUNCTION("""COMPUTED_VALUE"""),43704.6666666666)</f>
        <v>43704.666666666599</v>
      </c>
      <c r="P689">
        <f ca="1">IFERROR(__xludf.DUMMYFUNCTION("""COMPUTED_VALUE"""),31.23)</f>
        <v>31.23</v>
      </c>
    </row>
    <row r="690" spans="2:16" ht="12.75">
      <c r="B690" s="125">
        <f ca="1">IFERROR(__xludf.DUMMYFUNCTION("""COMPUTED_VALUE"""),43705.6666666666)</f>
        <v>43705.666666666599</v>
      </c>
      <c r="C690">
        <f ca="1">IFERROR(__xludf.DUMMYFUNCTION("""COMPUTED_VALUE"""),31.34)</f>
        <v>31.34</v>
      </c>
      <c r="D690">
        <v>28.71</v>
      </c>
      <c r="E690">
        <v>26.7</v>
      </c>
      <c r="F690">
        <v>30.07</v>
      </c>
      <c r="G690">
        <v>10.83</v>
      </c>
      <c r="H690">
        <v>218.31</v>
      </c>
      <c r="I690">
        <v>25.64</v>
      </c>
      <c r="J690">
        <v>60.77</v>
      </c>
      <c r="K690">
        <v>137.99</v>
      </c>
      <c r="M690" s="125">
        <f ca="1">IFERROR(__xludf.DUMMYFUNCTION("""COMPUTED_VALUE"""),44238.6666666666)</f>
        <v>44238.666666666599</v>
      </c>
      <c r="N690">
        <f ca="1">IFERROR(__xludf.DUMMYFUNCTION("""COMPUTED_VALUE"""),36.99)</f>
        <v>36.99</v>
      </c>
      <c r="O690" s="125">
        <f ca="1">IFERROR(__xludf.DUMMYFUNCTION("""COMPUTED_VALUE"""),43705.6666666666)</f>
        <v>43705.666666666599</v>
      </c>
      <c r="P690">
        <f ca="1">IFERROR(__xludf.DUMMYFUNCTION("""COMPUTED_VALUE"""),31.34)</f>
        <v>31.34</v>
      </c>
    </row>
    <row r="691" spans="2:16" ht="12.75">
      <c r="B691" s="125">
        <f ca="1">IFERROR(__xludf.DUMMYFUNCTION("""COMPUTED_VALUE"""),43706.6666666666)</f>
        <v>43706.666666666599</v>
      </c>
      <c r="C691">
        <f ca="1">IFERROR(__xludf.DUMMYFUNCTION("""COMPUTED_VALUE"""),31.85)</f>
        <v>31.85</v>
      </c>
      <c r="D691">
        <v>29</v>
      </c>
      <c r="E691">
        <v>26.77</v>
      </c>
      <c r="F691">
        <v>30.39</v>
      </c>
      <c r="G691">
        <v>10.9</v>
      </c>
      <c r="H691">
        <v>221.22</v>
      </c>
      <c r="I691">
        <v>25.96</v>
      </c>
      <c r="J691">
        <v>60.8</v>
      </c>
      <c r="K691">
        <v>138.99</v>
      </c>
      <c r="M691" s="125">
        <f ca="1">IFERROR(__xludf.DUMMYFUNCTION("""COMPUTED_VALUE"""),44239.6666666666)</f>
        <v>44239.666666666599</v>
      </c>
      <c r="N691">
        <f ca="1">IFERROR(__xludf.DUMMYFUNCTION("""COMPUTED_VALUE"""),36.85)</f>
        <v>36.85</v>
      </c>
      <c r="O691" s="125">
        <f ca="1">IFERROR(__xludf.DUMMYFUNCTION("""COMPUTED_VALUE"""),43706.6666666666)</f>
        <v>43706.666666666599</v>
      </c>
      <c r="P691">
        <f ca="1">IFERROR(__xludf.DUMMYFUNCTION("""COMPUTED_VALUE"""),31.85)</f>
        <v>31.85</v>
      </c>
    </row>
    <row r="692" spans="2:16" ht="12.75">
      <c r="B692" s="125">
        <f ca="1">IFERROR(__xludf.DUMMYFUNCTION("""COMPUTED_VALUE"""),43707.6666666666)</f>
        <v>43707.666666666599</v>
      </c>
      <c r="C692">
        <f ca="1">IFERROR(__xludf.DUMMYFUNCTION("""COMPUTED_VALUE"""),31.95)</f>
        <v>31.95</v>
      </c>
      <c r="D692">
        <v>28.99</v>
      </c>
      <c r="E692">
        <v>26.87</v>
      </c>
      <c r="F692">
        <v>30.6</v>
      </c>
      <c r="G692">
        <v>10.87</v>
      </c>
      <c r="H692">
        <v>221.81</v>
      </c>
      <c r="I692">
        <v>26.22</v>
      </c>
      <c r="J692">
        <v>60.72</v>
      </c>
      <c r="K692">
        <v>139.06</v>
      </c>
      <c r="M692" s="125">
        <f ca="1">IFERROR(__xludf.DUMMYFUNCTION("""COMPUTED_VALUE"""),44243.6666666666)</f>
        <v>44243.666666666599</v>
      </c>
      <c r="N692">
        <f ca="1">IFERROR(__xludf.DUMMYFUNCTION("""COMPUTED_VALUE"""),36.34)</f>
        <v>36.340000000000003</v>
      </c>
      <c r="O692" s="125">
        <f ca="1">IFERROR(__xludf.DUMMYFUNCTION("""COMPUTED_VALUE"""),43707.6666666666)</f>
        <v>43707.666666666599</v>
      </c>
      <c r="P692">
        <f ca="1">IFERROR(__xludf.DUMMYFUNCTION("""COMPUTED_VALUE"""),31.95)</f>
        <v>31.95</v>
      </c>
    </row>
    <row r="693" spans="2:16" ht="12.75">
      <c r="B693" s="125">
        <f ca="1">IFERROR(__xludf.DUMMYFUNCTION("""COMPUTED_VALUE"""),43711.6666666666)</f>
        <v>43711.666666666599</v>
      </c>
      <c r="C693">
        <f ca="1">IFERROR(__xludf.DUMMYFUNCTION("""COMPUTED_VALUE"""),31.88)</f>
        <v>31.88</v>
      </c>
      <c r="D693">
        <v>28.87</v>
      </c>
      <c r="E693">
        <v>26.93</v>
      </c>
      <c r="F693">
        <v>30.43</v>
      </c>
      <c r="G693">
        <v>10.94</v>
      </c>
      <c r="H693">
        <v>219.44</v>
      </c>
      <c r="I693">
        <v>26.16</v>
      </c>
      <c r="J693">
        <v>61.07</v>
      </c>
      <c r="K693">
        <v>141.4</v>
      </c>
      <c r="M693" s="125">
        <f ca="1">IFERROR(__xludf.DUMMYFUNCTION("""COMPUTED_VALUE"""),44244.6666666666)</f>
        <v>44244.666666666599</v>
      </c>
      <c r="N693">
        <f ca="1">IFERROR(__xludf.DUMMYFUNCTION("""COMPUTED_VALUE"""),36.33)</f>
        <v>36.33</v>
      </c>
      <c r="O693" s="125">
        <f ca="1">IFERROR(__xludf.DUMMYFUNCTION("""COMPUTED_VALUE"""),43711.6666666666)</f>
        <v>43711.666666666599</v>
      </c>
      <c r="P693">
        <f ca="1">IFERROR(__xludf.DUMMYFUNCTION("""COMPUTED_VALUE"""),31.88)</f>
        <v>31.88</v>
      </c>
    </row>
    <row r="694" spans="2:16" ht="12.75">
      <c r="B694" s="125">
        <f ca="1">IFERROR(__xludf.DUMMYFUNCTION("""COMPUTED_VALUE"""),43712.6666666666)</f>
        <v>43712.666666666599</v>
      </c>
      <c r="C694">
        <f ca="1">IFERROR(__xludf.DUMMYFUNCTION("""COMPUTED_VALUE"""),32.47)</f>
        <v>32.47</v>
      </c>
      <c r="D694">
        <v>29.19</v>
      </c>
      <c r="E694">
        <v>26.76</v>
      </c>
      <c r="F694">
        <v>30.97</v>
      </c>
      <c r="G694">
        <v>11.1</v>
      </c>
      <c r="H694">
        <v>221.59</v>
      </c>
      <c r="I694">
        <v>26.4</v>
      </c>
      <c r="J694">
        <v>61.62</v>
      </c>
      <c r="K694">
        <v>141.62</v>
      </c>
      <c r="M694" s="125">
        <f ca="1">IFERROR(__xludf.DUMMYFUNCTION("""COMPUTED_VALUE"""),44245.6666666666)</f>
        <v>44245.666666666599</v>
      </c>
      <c r="N694">
        <f ca="1">IFERROR(__xludf.DUMMYFUNCTION("""COMPUTED_VALUE"""),36.2)</f>
        <v>36.200000000000003</v>
      </c>
      <c r="O694" s="125">
        <f ca="1">IFERROR(__xludf.DUMMYFUNCTION("""COMPUTED_VALUE"""),43712.6666666666)</f>
        <v>43712.666666666599</v>
      </c>
      <c r="P694">
        <f ca="1">IFERROR(__xludf.DUMMYFUNCTION("""COMPUTED_VALUE"""),32.47)</f>
        <v>32.47</v>
      </c>
    </row>
    <row r="695" spans="2:16" ht="12.75">
      <c r="B695" s="125">
        <f ca="1">IFERROR(__xludf.DUMMYFUNCTION("""COMPUTED_VALUE"""),43713.6666666666)</f>
        <v>43713.666666666599</v>
      </c>
      <c r="C695">
        <f ca="1">IFERROR(__xludf.DUMMYFUNCTION("""COMPUTED_VALUE"""),33.08)</f>
        <v>33.08</v>
      </c>
      <c r="D695">
        <v>29.94</v>
      </c>
      <c r="E695">
        <v>26.77</v>
      </c>
      <c r="F695">
        <v>31.27</v>
      </c>
      <c r="G695">
        <v>11.1</v>
      </c>
      <c r="H695">
        <v>223.23</v>
      </c>
      <c r="I695">
        <v>26.61</v>
      </c>
      <c r="J695">
        <v>61.24</v>
      </c>
      <c r="K695">
        <v>140.09</v>
      </c>
      <c r="M695" s="125">
        <f ca="1">IFERROR(__xludf.DUMMYFUNCTION("""COMPUTED_VALUE"""),44246.6666666666)</f>
        <v>44246.666666666599</v>
      </c>
      <c r="N695">
        <f ca="1">IFERROR(__xludf.DUMMYFUNCTION("""COMPUTED_VALUE"""),36.14)</f>
        <v>36.14</v>
      </c>
      <c r="O695" s="125">
        <f ca="1">IFERROR(__xludf.DUMMYFUNCTION("""COMPUTED_VALUE"""),43713.6666666666)</f>
        <v>43713.666666666599</v>
      </c>
      <c r="P695">
        <f ca="1">IFERROR(__xludf.DUMMYFUNCTION("""COMPUTED_VALUE"""),33.08)</f>
        <v>33.08</v>
      </c>
    </row>
    <row r="696" spans="2:16" ht="12.75">
      <c r="B696" s="125">
        <f ca="1">IFERROR(__xludf.DUMMYFUNCTION("""COMPUTED_VALUE"""),43714.6666666666)</f>
        <v>43714.666666666599</v>
      </c>
      <c r="C696">
        <f ca="1">IFERROR(__xludf.DUMMYFUNCTION("""COMPUTED_VALUE"""),33.09)</f>
        <v>33.090000000000003</v>
      </c>
      <c r="D696">
        <v>30.13</v>
      </c>
      <c r="E696">
        <v>26.78</v>
      </c>
      <c r="F696">
        <v>31.33</v>
      </c>
      <c r="G696">
        <v>11</v>
      </c>
      <c r="H696">
        <v>224.3</v>
      </c>
      <c r="I696">
        <v>26.72</v>
      </c>
      <c r="J696">
        <v>61.44</v>
      </c>
      <c r="K696">
        <v>139.57</v>
      </c>
      <c r="M696" s="125">
        <f ca="1">IFERROR(__xludf.DUMMYFUNCTION("""COMPUTED_VALUE"""),44249.6666666666)</f>
        <v>44249.666666666599</v>
      </c>
      <c r="N696">
        <f ca="1">IFERROR(__xludf.DUMMYFUNCTION("""COMPUTED_VALUE"""),35.72)</f>
        <v>35.72</v>
      </c>
      <c r="O696" s="125">
        <f ca="1">IFERROR(__xludf.DUMMYFUNCTION("""COMPUTED_VALUE"""),43714.6666666666)</f>
        <v>43714.666666666599</v>
      </c>
      <c r="P696">
        <f ca="1">IFERROR(__xludf.DUMMYFUNCTION("""COMPUTED_VALUE"""),33.09)</f>
        <v>33.090000000000003</v>
      </c>
    </row>
    <row r="697" spans="2:16" ht="12.75">
      <c r="B697" s="125">
        <f ca="1">IFERROR(__xludf.DUMMYFUNCTION("""COMPUTED_VALUE"""),43717.6666666666)</f>
        <v>43717.666666666599</v>
      </c>
      <c r="C697">
        <f ca="1">IFERROR(__xludf.DUMMYFUNCTION("""COMPUTED_VALUE"""),32.96)</f>
        <v>32.96</v>
      </c>
      <c r="D697">
        <v>29.55</v>
      </c>
      <c r="E697">
        <v>26.73</v>
      </c>
      <c r="F697">
        <v>31.36</v>
      </c>
      <c r="G697">
        <v>10.97</v>
      </c>
      <c r="H697">
        <v>221.46</v>
      </c>
      <c r="I697">
        <v>26.85</v>
      </c>
      <c r="J697">
        <v>61.3</v>
      </c>
      <c r="K697">
        <v>138.86000000000001</v>
      </c>
      <c r="M697" s="125">
        <f ca="1">IFERROR(__xludf.DUMMYFUNCTION("""COMPUTED_VALUE"""),44250.6666666666)</f>
        <v>44250.666666666599</v>
      </c>
      <c r="N697">
        <f ca="1">IFERROR(__xludf.DUMMYFUNCTION("""COMPUTED_VALUE"""),35.41)</f>
        <v>35.409999999999997</v>
      </c>
      <c r="O697" s="125">
        <f ca="1">IFERROR(__xludf.DUMMYFUNCTION("""COMPUTED_VALUE"""),43717.6666666666)</f>
        <v>43717.666666666599</v>
      </c>
      <c r="P697">
        <f ca="1">IFERROR(__xludf.DUMMYFUNCTION("""COMPUTED_VALUE"""),32.96)</f>
        <v>32.96</v>
      </c>
    </row>
    <row r="698" spans="2:16" ht="12.75">
      <c r="B698" s="125">
        <f ca="1">IFERROR(__xludf.DUMMYFUNCTION("""COMPUTED_VALUE"""),43718.6666666666)</f>
        <v>43718.666666666599</v>
      </c>
      <c r="C698">
        <f ca="1">IFERROR(__xludf.DUMMYFUNCTION("""COMPUTED_VALUE"""),32.76)</f>
        <v>32.76</v>
      </c>
      <c r="D698">
        <v>28.86</v>
      </c>
      <c r="E698">
        <v>26.76</v>
      </c>
      <c r="F698">
        <v>31.36</v>
      </c>
      <c r="G698">
        <v>10.9</v>
      </c>
      <c r="H698">
        <v>222.77</v>
      </c>
      <c r="I698">
        <v>27</v>
      </c>
      <c r="J698">
        <v>60.92</v>
      </c>
      <c r="K698">
        <v>138.87</v>
      </c>
      <c r="M698" s="125">
        <f ca="1">IFERROR(__xludf.DUMMYFUNCTION("""COMPUTED_VALUE"""),44251.6666666666)</f>
        <v>44251.666666666599</v>
      </c>
      <c r="N698">
        <f ca="1">IFERROR(__xludf.DUMMYFUNCTION("""COMPUTED_VALUE"""),35.41)</f>
        <v>35.409999999999997</v>
      </c>
      <c r="O698" s="125">
        <f ca="1">IFERROR(__xludf.DUMMYFUNCTION("""COMPUTED_VALUE"""),43718.6666666666)</f>
        <v>43718.666666666599</v>
      </c>
      <c r="P698">
        <f ca="1">IFERROR(__xludf.DUMMYFUNCTION("""COMPUTED_VALUE"""),32.76)</f>
        <v>32.76</v>
      </c>
    </row>
    <row r="699" spans="2:16" ht="12.75">
      <c r="B699" s="125">
        <f ca="1">IFERROR(__xludf.DUMMYFUNCTION("""COMPUTED_VALUE"""),43719.6666666666)</f>
        <v>43719.666666666599</v>
      </c>
      <c r="C699">
        <f ca="1">IFERROR(__xludf.DUMMYFUNCTION("""COMPUTED_VALUE"""),33.39)</f>
        <v>33.39</v>
      </c>
      <c r="D699">
        <v>28.91</v>
      </c>
      <c r="E699">
        <v>26.84</v>
      </c>
      <c r="F699">
        <v>31.65</v>
      </c>
      <c r="G699">
        <v>11.05</v>
      </c>
      <c r="H699">
        <v>225.7</v>
      </c>
      <c r="I699">
        <v>27.17</v>
      </c>
      <c r="J699">
        <v>61.14</v>
      </c>
      <c r="K699">
        <v>140.41999999999999</v>
      </c>
      <c r="M699" s="125">
        <f ca="1">IFERROR(__xludf.DUMMYFUNCTION("""COMPUTED_VALUE"""),44252.6666666666)</f>
        <v>44252.666666666599</v>
      </c>
      <c r="N699">
        <f ca="1">IFERROR(__xludf.DUMMYFUNCTION("""COMPUTED_VALUE"""),35.1)</f>
        <v>35.1</v>
      </c>
      <c r="O699" s="125">
        <f ca="1">IFERROR(__xludf.DUMMYFUNCTION("""COMPUTED_VALUE"""),43719.6666666666)</f>
        <v>43719.666666666599</v>
      </c>
      <c r="P699">
        <f ca="1">IFERROR(__xludf.DUMMYFUNCTION("""COMPUTED_VALUE"""),33.39)</f>
        <v>33.39</v>
      </c>
    </row>
    <row r="700" spans="2:16" ht="12.75">
      <c r="B700" s="125">
        <f ca="1">IFERROR(__xludf.DUMMYFUNCTION("""COMPUTED_VALUE"""),43720.6666666666)</f>
        <v>43720.666666666599</v>
      </c>
      <c r="C700">
        <f ca="1">IFERROR(__xludf.DUMMYFUNCTION("""COMPUTED_VALUE"""),33.49)</f>
        <v>33.49</v>
      </c>
      <c r="D700">
        <v>29.15</v>
      </c>
      <c r="E700">
        <v>26.76</v>
      </c>
      <c r="F700">
        <v>31.85</v>
      </c>
      <c r="G700">
        <v>11</v>
      </c>
      <c r="H700">
        <v>226.5</v>
      </c>
      <c r="I700">
        <v>27.22</v>
      </c>
      <c r="J700">
        <v>61.39</v>
      </c>
      <c r="K700">
        <v>140.69999999999999</v>
      </c>
      <c r="M700" s="125">
        <f ca="1">IFERROR(__xludf.DUMMYFUNCTION("""COMPUTED_VALUE"""),44253.6666666666)</f>
        <v>44253.666666666599</v>
      </c>
      <c r="N700">
        <f ca="1">IFERROR(__xludf.DUMMYFUNCTION("""COMPUTED_VALUE"""),34.98)</f>
        <v>34.979999999999997</v>
      </c>
      <c r="O700" s="125">
        <f ca="1">IFERROR(__xludf.DUMMYFUNCTION("""COMPUTED_VALUE"""),43720.6666666666)</f>
        <v>43720.666666666599</v>
      </c>
      <c r="P700">
        <f ca="1">IFERROR(__xludf.DUMMYFUNCTION("""COMPUTED_VALUE"""),33.49)</f>
        <v>33.49</v>
      </c>
    </row>
    <row r="701" spans="2:16" ht="12.75">
      <c r="B701" s="125">
        <f ca="1">IFERROR(__xludf.DUMMYFUNCTION("""COMPUTED_VALUE"""),43721.6666666666)</f>
        <v>43721.666666666599</v>
      </c>
      <c r="C701">
        <f ca="1">IFERROR(__xludf.DUMMYFUNCTION("""COMPUTED_VALUE"""),33.51)</f>
        <v>33.51</v>
      </c>
      <c r="D701">
        <v>29</v>
      </c>
      <c r="E701">
        <v>26.72</v>
      </c>
      <c r="F701">
        <v>31.98</v>
      </c>
      <c r="G701">
        <v>11.02</v>
      </c>
      <c r="H701">
        <v>227.52</v>
      </c>
      <c r="I701">
        <v>27.3</v>
      </c>
      <c r="J701">
        <v>61.04</v>
      </c>
      <c r="K701">
        <v>139.99</v>
      </c>
      <c r="M701" s="125">
        <f ca="1">IFERROR(__xludf.DUMMYFUNCTION("""COMPUTED_VALUE"""),44256.6666666666)</f>
        <v>44256.666666666599</v>
      </c>
      <c r="N701">
        <f ca="1">IFERROR(__xludf.DUMMYFUNCTION("""COMPUTED_VALUE"""),34.72)</f>
        <v>34.72</v>
      </c>
      <c r="O701" s="125">
        <f ca="1">IFERROR(__xludf.DUMMYFUNCTION("""COMPUTED_VALUE"""),43721.6666666666)</f>
        <v>43721.666666666599</v>
      </c>
      <c r="P701">
        <f ca="1">IFERROR(__xludf.DUMMYFUNCTION("""COMPUTED_VALUE"""),33.51)</f>
        <v>33.51</v>
      </c>
    </row>
    <row r="702" spans="2:16" ht="12.75">
      <c r="B702" s="125">
        <f ca="1">IFERROR(__xludf.DUMMYFUNCTION("""COMPUTED_VALUE"""),43724.6666666666)</f>
        <v>43724.666666666599</v>
      </c>
      <c r="C702">
        <f ca="1">IFERROR(__xludf.DUMMYFUNCTION("""COMPUTED_VALUE"""),33.14)</f>
        <v>33.14</v>
      </c>
      <c r="D702">
        <v>29.07</v>
      </c>
      <c r="E702">
        <v>26.84</v>
      </c>
      <c r="F702">
        <v>31.54</v>
      </c>
      <c r="G702">
        <v>11.08</v>
      </c>
      <c r="H702">
        <v>229.87</v>
      </c>
      <c r="I702">
        <v>27.17</v>
      </c>
      <c r="J702">
        <v>60.45</v>
      </c>
      <c r="K702">
        <v>140</v>
      </c>
      <c r="M702" s="125">
        <f ca="1">IFERROR(__xludf.DUMMYFUNCTION("""COMPUTED_VALUE"""),44257.6666666666)</f>
        <v>44257.666666666599</v>
      </c>
      <c r="N702">
        <f ca="1">IFERROR(__xludf.DUMMYFUNCTION("""COMPUTED_VALUE"""),34.23)</f>
        <v>34.229999999999997</v>
      </c>
      <c r="O702" s="125">
        <f ca="1">IFERROR(__xludf.DUMMYFUNCTION("""COMPUTED_VALUE"""),43724.6666666666)</f>
        <v>43724.666666666599</v>
      </c>
      <c r="P702">
        <f ca="1">IFERROR(__xludf.DUMMYFUNCTION("""COMPUTED_VALUE"""),33.14)</f>
        <v>33.14</v>
      </c>
    </row>
    <row r="703" spans="2:16" ht="12.75">
      <c r="B703" s="125">
        <f ca="1">IFERROR(__xludf.DUMMYFUNCTION("""COMPUTED_VALUE"""),43725.6666666666)</f>
        <v>43725.666666666599</v>
      </c>
      <c r="C703">
        <f ca="1">IFERROR(__xludf.DUMMYFUNCTION("""COMPUTED_VALUE"""),33.22)</f>
        <v>33.22</v>
      </c>
      <c r="D703">
        <v>29.43</v>
      </c>
      <c r="E703">
        <v>26.72</v>
      </c>
      <c r="F703">
        <v>31.67</v>
      </c>
      <c r="G703">
        <v>11.2</v>
      </c>
      <c r="H703">
        <v>230.56</v>
      </c>
      <c r="I703">
        <v>27.12</v>
      </c>
      <c r="J703">
        <v>60.78</v>
      </c>
      <c r="K703">
        <v>141.15</v>
      </c>
      <c r="M703" s="125">
        <f ca="1">IFERROR(__xludf.DUMMYFUNCTION("""COMPUTED_VALUE"""),44258.6666666666)</f>
        <v>44258.666666666599</v>
      </c>
      <c r="N703">
        <f ca="1">IFERROR(__xludf.DUMMYFUNCTION("""COMPUTED_VALUE"""),33.24)</f>
        <v>33.24</v>
      </c>
      <c r="O703" s="125">
        <f ca="1">IFERROR(__xludf.DUMMYFUNCTION("""COMPUTED_VALUE"""),43725.6666666666)</f>
        <v>43725.666666666599</v>
      </c>
      <c r="P703">
        <f ca="1">IFERROR(__xludf.DUMMYFUNCTION("""COMPUTED_VALUE"""),33.22)</f>
        <v>33.22</v>
      </c>
    </row>
    <row r="704" spans="2:16" ht="12.75">
      <c r="B704" s="125">
        <f ca="1">IFERROR(__xludf.DUMMYFUNCTION("""COMPUTED_VALUE"""),43726.6666666666)</f>
        <v>43726.666666666599</v>
      </c>
      <c r="C704">
        <f ca="1">IFERROR(__xludf.DUMMYFUNCTION("""COMPUTED_VALUE"""),32.99)</f>
        <v>32.99</v>
      </c>
      <c r="D704">
        <v>29.4</v>
      </c>
      <c r="E704">
        <v>26.82</v>
      </c>
      <c r="F704">
        <v>31.67</v>
      </c>
      <c r="G704">
        <v>11.2</v>
      </c>
      <c r="H704">
        <v>231.12</v>
      </c>
      <c r="I704">
        <v>27.18</v>
      </c>
      <c r="J704">
        <v>60.88</v>
      </c>
      <c r="K704">
        <v>141.91</v>
      </c>
      <c r="M704" s="125">
        <f ca="1">IFERROR(__xludf.DUMMYFUNCTION("""COMPUTED_VALUE"""),44259.6666666666)</f>
        <v>44259.666666666599</v>
      </c>
      <c r="N704">
        <f ca="1">IFERROR(__xludf.DUMMYFUNCTION("""COMPUTED_VALUE"""),32.92)</f>
        <v>32.92</v>
      </c>
      <c r="O704" s="125">
        <f ca="1">IFERROR(__xludf.DUMMYFUNCTION("""COMPUTED_VALUE"""),43726.6666666666)</f>
        <v>43726.666666666599</v>
      </c>
      <c r="P704">
        <f ca="1">IFERROR(__xludf.DUMMYFUNCTION("""COMPUTED_VALUE"""),32.99)</f>
        <v>32.99</v>
      </c>
    </row>
    <row r="705" spans="2:16" ht="12.75">
      <c r="B705" s="125">
        <f ca="1">IFERROR(__xludf.DUMMYFUNCTION("""COMPUTED_VALUE"""),43727.6666666666)</f>
        <v>43727.666666666599</v>
      </c>
      <c r="C705">
        <f ca="1">IFERROR(__xludf.DUMMYFUNCTION("""COMPUTED_VALUE"""),32.99)</f>
        <v>32.99</v>
      </c>
      <c r="D705">
        <v>29.41</v>
      </c>
      <c r="E705">
        <v>26.76</v>
      </c>
      <c r="F705">
        <v>31.73</v>
      </c>
      <c r="G705">
        <v>11.39</v>
      </c>
      <c r="H705">
        <v>230.03</v>
      </c>
      <c r="I705">
        <v>27.17</v>
      </c>
      <c r="J705">
        <v>60.87</v>
      </c>
      <c r="K705">
        <v>142.37</v>
      </c>
      <c r="M705" s="125">
        <f ca="1">IFERROR(__xludf.DUMMYFUNCTION("""COMPUTED_VALUE"""),44260.6666666666)</f>
        <v>44260.666666666599</v>
      </c>
      <c r="N705">
        <f ca="1">IFERROR(__xludf.DUMMYFUNCTION("""COMPUTED_VALUE"""),33.22)</f>
        <v>33.22</v>
      </c>
      <c r="O705" s="125">
        <f ca="1">IFERROR(__xludf.DUMMYFUNCTION("""COMPUTED_VALUE"""),43727.6666666666)</f>
        <v>43727.666666666599</v>
      </c>
      <c r="P705">
        <f ca="1">IFERROR(__xludf.DUMMYFUNCTION("""COMPUTED_VALUE"""),32.99)</f>
        <v>32.99</v>
      </c>
    </row>
    <row r="706" spans="2:16" ht="12.75">
      <c r="B706" s="125">
        <f ca="1">IFERROR(__xludf.DUMMYFUNCTION("""COMPUTED_VALUE"""),43728.6666666666)</f>
        <v>43728.666666666599</v>
      </c>
      <c r="C706">
        <f ca="1">IFERROR(__xludf.DUMMYFUNCTION("""COMPUTED_VALUE"""),32.79)</f>
        <v>32.79</v>
      </c>
      <c r="D706">
        <v>29.27</v>
      </c>
      <c r="E706">
        <v>26.83</v>
      </c>
      <c r="F706">
        <v>31.48</v>
      </c>
      <c r="G706">
        <v>11.38</v>
      </c>
      <c r="H706">
        <v>226.93</v>
      </c>
      <c r="I706">
        <v>27.11</v>
      </c>
      <c r="J706">
        <v>60.32</v>
      </c>
      <c r="K706">
        <v>142.79</v>
      </c>
      <c r="M706" s="125">
        <f ca="1">IFERROR(__xludf.DUMMYFUNCTION("""COMPUTED_VALUE"""),44263.6666666666)</f>
        <v>44263.666666666599</v>
      </c>
      <c r="N706">
        <f ca="1">IFERROR(__xludf.DUMMYFUNCTION("""COMPUTED_VALUE"""),32.86)</f>
        <v>32.86</v>
      </c>
      <c r="O706" s="125">
        <f ca="1">IFERROR(__xludf.DUMMYFUNCTION("""COMPUTED_VALUE"""),43728.6666666666)</f>
        <v>43728.666666666599</v>
      </c>
      <c r="P706">
        <f ca="1">IFERROR(__xludf.DUMMYFUNCTION("""COMPUTED_VALUE"""),32.79)</f>
        <v>32.79</v>
      </c>
    </row>
    <row r="707" spans="2:16" ht="12.75">
      <c r="B707" s="125">
        <f ca="1">IFERROR(__xludf.DUMMYFUNCTION("""COMPUTED_VALUE"""),43731.6666666666)</f>
        <v>43731.666666666599</v>
      </c>
      <c r="C707">
        <f ca="1">IFERROR(__xludf.DUMMYFUNCTION("""COMPUTED_VALUE"""),32.47)</f>
        <v>32.47</v>
      </c>
      <c r="D707">
        <v>29</v>
      </c>
      <c r="E707">
        <v>26.87</v>
      </c>
      <c r="F707">
        <v>31.47</v>
      </c>
      <c r="G707">
        <v>11.34</v>
      </c>
      <c r="H707">
        <v>226.5</v>
      </c>
      <c r="I707">
        <v>27</v>
      </c>
      <c r="J707">
        <v>60.56</v>
      </c>
      <c r="K707">
        <v>143.06</v>
      </c>
      <c r="M707" s="125">
        <f ca="1">IFERROR(__xludf.DUMMYFUNCTION("""COMPUTED_VALUE"""),44264.6666666666)</f>
        <v>44264.666666666599</v>
      </c>
      <c r="N707">
        <f ca="1">IFERROR(__xludf.DUMMYFUNCTION("""COMPUTED_VALUE"""),33.69)</f>
        <v>33.69</v>
      </c>
      <c r="O707" s="125">
        <f ca="1">IFERROR(__xludf.DUMMYFUNCTION("""COMPUTED_VALUE"""),43731.6666666666)</f>
        <v>43731.666666666599</v>
      </c>
      <c r="P707">
        <f ca="1">IFERROR(__xludf.DUMMYFUNCTION("""COMPUTED_VALUE"""),32.47)</f>
        <v>32.47</v>
      </c>
    </row>
    <row r="708" spans="2:16" ht="12.75">
      <c r="B708" s="125">
        <f ca="1">IFERROR(__xludf.DUMMYFUNCTION("""COMPUTED_VALUE"""),43732.6666666666)</f>
        <v>43732.666666666599</v>
      </c>
      <c r="C708">
        <f ca="1">IFERROR(__xludf.DUMMYFUNCTION("""COMPUTED_VALUE"""),31.66)</f>
        <v>31.66</v>
      </c>
      <c r="D708">
        <v>28.83</v>
      </c>
      <c r="E708">
        <v>26.77</v>
      </c>
      <c r="F708">
        <v>31.33</v>
      </c>
      <c r="G708">
        <v>11.23</v>
      </c>
      <c r="H708">
        <v>225.86</v>
      </c>
      <c r="I708">
        <v>26.75</v>
      </c>
      <c r="J708">
        <v>60.81</v>
      </c>
      <c r="K708">
        <v>144.51</v>
      </c>
      <c r="M708" s="125">
        <f ca="1">IFERROR(__xludf.DUMMYFUNCTION("""COMPUTED_VALUE"""),44265.6666666666)</f>
        <v>44265.666666666599</v>
      </c>
      <c r="N708">
        <f ca="1">IFERROR(__xludf.DUMMYFUNCTION("""COMPUTED_VALUE"""),33.93)</f>
        <v>33.93</v>
      </c>
      <c r="O708" s="125">
        <f ca="1">IFERROR(__xludf.DUMMYFUNCTION("""COMPUTED_VALUE"""),43732.6666666666)</f>
        <v>43732.666666666599</v>
      </c>
      <c r="P708">
        <f ca="1">IFERROR(__xludf.DUMMYFUNCTION("""COMPUTED_VALUE"""),31.66)</f>
        <v>31.66</v>
      </c>
    </row>
    <row r="709" spans="2:16" ht="12.75">
      <c r="B709" s="125">
        <f ca="1">IFERROR(__xludf.DUMMYFUNCTION("""COMPUTED_VALUE"""),43733.6666666666)</f>
        <v>43733.666666666599</v>
      </c>
      <c r="C709">
        <f ca="1">IFERROR(__xludf.DUMMYFUNCTION("""COMPUTED_VALUE"""),32.05)</f>
        <v>32.049999999999997</v>
      </c>
      <c r="D709">
        <v>28.98</v>
      </c>
      <c r="E709">
        <v>26.98</v>
      </c>
      <c r="F709">
        <v>31.26</v>
      </c>
      <c r="G709">
        <v>11.17</v>
      </c>
      <c r="H709">
        <v>227.75</v>
      </c>
      <c r="I709">
        <v>26.77</v>
      </c>
      <c r="J709">
        <v>60.85</v>
      </c>
      <c r="K709">
        <v>144.54</v>
      </c>
      <c r="M709" s="125">
        <f ca="1">IFERROR(__xludf.DUMMYFUNCTION("""COMPUTED_VALUE"""),44266.6666666666)</f>
        <v>44266.666666666599</v>
      </c>
      <c r="N709">
        <f ca="1">IFERROR(__xludf.DUMMYFUNCTION("""COMPUTED_VALUE"""),34.73)</f>
        <v>34.729999999999997</v>
      </c>
      <c r="O709" s="125">
        <f ca="1">IFERROR(__xludf.DUMMYFUNCTION("""COMPUTED_VALUE"""),43733.6666666666)</f>
        <v>43733.666666666599</v>
      </c>
      <c r="P709">
        <f ca="1">IFERROR(__xludf.DUMMYFUNCTION("""COMPUTED_VALUE"""),32.05)</f>
        <v>32.049999999999997</v>
      </c>
    </row>
    <row r="710" spans="2:16" ht="12.75">
      <c r="B710" s="125">
        <f ca="1">IFERROR(__xludf.DUMMYFUNCTION("""COMPUTED_VALUE"""),43734.6666666666)</f>
        <v>43734.666666666599</v>
      </c>
      <c r="C710">
        <f ca="1">IFERROR(__xludf.DUMMYFUNCTION("""COMPUTED_VALUE"""),32.02)</f>
        <v>32.020000000000003</v>
      </c>
      <c r="D710">
        <v>29.06</v>
      </c>
      <c r="E710">
        <v>27.05</v>
      </c>
      <c r="F710">
        <v>31.36</v>
      </c>
      <c r="G710">
        <v>11.07</v>
      </c>
      <c r="H710">
        <v>227.74</v>
      </c>
      <c r="I710">
        <v>26.92</v>
      </c>
      <c r="J710">
        <v>61.19</v>
      </c>
      <c r="K710">
        <v>144.05000000000001</v>
      </c>
      <c r="M710" s="125">
        <f ca="1">IFERROR(__xludf.DUMMYFUNCTION("""COMPUTED_VALUE"""),44267.6666666666)</f>
        <v>44267.666666666599</v>
      </c>
      <c r="N710">
        <f ca="1">IFERROR(__xludf.DUMMYFUNCTION("""COMPUTED_VALUE"""),35.07)</f>
        <v>35.07</v>
      </c>
      <c r="O710" s="125">
        <f ca="1">IFERROR(__xludf.DUMMYFUNCTION("""COMPUTED_VALUE"""),43734.6666666666)</f>
        <v>43734.666666666599</v>
      </c>
      <c r="P710">
        <f ca="1">IFERROR(__xludf.DUMMYFUNCTION("""COMPUTED_VALUE"""),32.02)</f>
        <v>32.020000000000003</v>
      </c>
    </row>
    <row r="711" spans="2:16" ht="12.75">
      <c r="B711" s="125">
        <f ca="1">IFERROR(__xludf.DUMMYFUNCTION("""COMPUTED_VALUE"""),43735.6666666666)</f>
        <v>43735.666666666599</v>
      </c>
      <c r="C711">
        <f ca="1">IFERROR(__xludf.DUMMYFUNCTION("""COMPUTED_VALUE"""),30.95)</f>
        <v>30.95</v>
      </c>
      <c r="D711">
        <v>28.69</v>
      </c>
      <c r="E711">
        <v>27.01</v>
      </c>
      <c r="F711">
        <v>31.11</v>
      </c>
      <c r="G711">
        <v>10.83</v>
      </c>
      <c r="H711">
        <v>225.09</v>
      </c>
      <c r="I711">
        <v>26.94</v>
      </c>
      <c r="J711">
        <v>61.12</v>
      </c>
      <c r="K711">
        <v>143.58000000000001</v>
      </c>
      <c r="M711" s="125">
        <f ca="1">IFERROR(__xludf.DUMMYFUNCTION("""COMPUTED_VALUE"""),44270.6666666666)</f>
        <v>44270.666666666599</v>
      </c>
      <c r="N711">
        <f ca="1">IFERROR(__xludf.DUMMYFUNCTION("""COMPUTED_VALUE"""),35.49)</f>
        <v>35.49</v>
      </c>
      <c r="O711" s="125">
        <f ca="1">IFERROR(__xludf.DUMMYFUNCTION("""COMPUTED_VALUE"""),43735.6666666666)</f>
        <v>43735.666666666599</v>
      </c>
      <c r="P711">
        <f ca="1">IFERROR(__xludf.DUMMYFUNCTION("""COMPUTED_VALUE"""),30.95)</f>
        <v>30.95</v>
      </c>
    </row>
    <row r="712" spans="2:16" ht="12.75">
      <c r="B712" s="125">
        <f ca="1">IFERROR(__xludf.DUMMYFUNCTION("""COMPUTED_VALUE"""),43738.6666666666)</f>
        <v>43738.666666666599</v>
      </c>
      <c r="C712">
        <f ca="1">IFERROR(__xludf.DUMMYFUNCTION("""COMPUTED_VALUE"""),31.2)</f>
        <v>31.2</v>
      </c>
      <c r="D712">
        <v>28.77</v>
      </c>
      <c r="E712">
        <v>27.1</v>
      </c>
      <c r="F712">
        <v>31.36</v>
      </c>
      <c r="G712">
        <v>10.9</v>
      </c>
      <c r="H712">
        <v>224.7</v>
      </c>
      <c r="I712">
        <v>27.13</v>
      </c>
      <c r="J712">
        <v>61.42</v>
      </c>
      <c r="K712">
        <v>143.65</v>
      </c>
      <c r="M712" s="125">
        <f ca="1">IFERROR(__xludf.DUMMYFUNCTION("""COMPUTED_VALUE"""),44271.6666666666)</f>
        <v>44271.666666666599</v>
      </c>
      <c r="N712">
        <f ca="1">IFERROR(__xludf.DUMMYFUNCTION("""COMPUTED_VALUE"""),35.7)</f>
        <v>35.700000000000003</v>
      </c>
      <c r="O712" s="125">
        <f ca="1">IFERROR(__xludf.DUMMYFUNCTION("""COMPUTED_VALUE"""),43738.6666666666)</f>
        <v>43738.666666666599</v>
      </c>
      <c r="P712">
        <f ca="1">IFERROR(__xludf.DUMMYFUNCTION("""COMPUTED_VALUE"""),31.2)</f>
        <v>31.2</v>
      </c>
    </row>
    <row r="713" spans="2:16" ht="12.75">
      <c r="B713" s="125">
        <f ca="1">IFERROR(__xludf.DUMMYFUNCTION("""COMPUTED_VALUE"""),43739.6666666666)</f>
        <v>43739.666666666599</v>
      </c>
      <c r="C713">
        <f ca="1">IFERROR(__xludf.DUMMYFUNCTION("""COMPUTED_VALUE"""),31.13)</f>
        <v>31.13</v>
      </c>
      <c r="D713">
        <v>28.55</v>
      </c>
      <c r="E713">
        <v>27.01</v>
      </c>
      <c r="F713">
        <v>31.15</v>
      </c>
      <c r="G713">
        <v>10.86</v>
      </c>
      <c r="H713">
        <v>219.77</v>
      </c>
      <c r="I713">
        <v>26.77</v>
      </c>
      <c r="J713">
        <v>61.26</v>
      </c>
      <c r="K713">
        <v>143.16</v>
      </c>
      <c r="M713" s="125">
        <f ca="1">IFERROR(__xludf.DUMMYFUNCTION("""COMPUTED_VALUE"""),44272.6666666666)</f>
        <v>44272.666666666599</v>
      </c>
      <c r="N713">
        <f ca="1">IFERROR(__xludf.DUMMYFUNCTION("""COMPUTED_VALUE"""),35.56)</f>
        <v>35.56</v>
      </c>
      <c r="O713" s="125">
        <f ca="1">IFERROR(__xludf.DUMMYFUNCTION("""COMPUTED_VALUE"""),43739.6666666666)</f>
        <v>43739.666666666599</v>
      </c>
      <c r="P713">
        <f ca="1">IFERROR(__xludf.DUMMYFUNCTION("""COMPUTED_VALUE"""),31.13)</f>
        <v>31.13</v>
      </c>
    </row>
    <row r="714" spans="2:16" ht="12.75">
      <c r="B714" s="125">
        <f ca="1">IFERROR(__xludf.DUMMYFUNCTION("""COMPUTED_VALUE"""),43740.6666666666)</f>
        <v>43740.666666666599</v>
      </c>
      <c r="C714">
        <f ca="1">IFERROR(__xludf.DUMMYFUNCTION("""COMPUTED_VALUE"""),30.88)</f>
        <v>30.88</v>
      </c>
      <c r="D714">
        <v>27.61</v>
      </c>
      <c r="E714">
        <v>26.99</v>
      </c>
      <c r="F714">
        <v>30.42</v>
      </c>
      <c r="G714">
        <v>10.68</v>
      </c>
      <c r="H714">
        <v>216.4</v>
      </c>
      <c r="I714">
        <v>26.11</v>
      </c>
      <c r="J714">
        <v>60.03</v>
      </c>
      <c r="K714">
        <v>141.33000000000001</v>
      </c>
      <c r="M714" s="125">
        <f ca="1">IFERROR(__xludf.DUMMYFUNCTION("""COMPUTED_VALUE"""),44273.6666666666)</f>
        <v>44273.666666666599</v>
      </c>
      <c r="N714">
        <f ca="1">IFERROR(__xludf.DUMMYFUNCTION("""COMPUTED_VALUE"""),35.13)</f>
        <v>35.130000000000003</v>
      </c>
      <c r="O714" s="125">
        <f ca="1">IFERROR(__xludf.DUMMYFUNCTION("""COMPUTED_VALUE"""),43740.6666666666)</f>
        <v>43740.666666666599</v>
      </c>
      <c r="P714">
        <f ca="1">IFERROR(__xludf.DUMMYFUNCTION("""COMPUTED_VALUE"""),30.88)</f>
        <v>30.88</v>
      </c>
    </row>
    <row r="715" spans="2:16" ht="12.75">
      <c r="B715" s="125">
        <f ca="1">IFERROR(__xludf.DUMMYFUNCTION("""COMPUTED_VALUE"""),43741.6666666666)</f>
        <v>43741.666666666599</v>
      </c>
      <c r="C715">
        <f ca="1">IFERROR(__xludf.DUMMYFUNCTION("""COMPUTED_VALUE"""),31.43)</f>
        <v>31.43</v>
      </c>
      <c r="D715">
        <v>27.98</v>
      </c>
      <c r="E715">
        <v>26.98</v>
      </c>
      <c r="F715">
        <v>30.69</v>
      </c>
      <c r="G715">
        <v>10.8</v>
      </c>
      <c r="H715">
        <v>217.92</v>
      </c>
      <c r="I715">
        <v>26.23</v>
      </c>
      <c r="J715">
        <v>60.45</v>
      </c>
      <c r="K715">
        <v>141.63</v>
      </c>
      <c r="M715" s="125">
        <f ca="1">IFERROR(__xludf.DUMMYFUNCTION("""COMPUTED_VALUE"""),44274.6666666666)</f>
        <v>44274.666666666599</v>
      </c>
      <c r="N715">
        <f ca="1">IFERROR(__xludf.DUMMYFUNCTION("""COMPUTED_VALUE"""),35.1)</f>
        <v>35.1</v>
      </c>
      <c r="O715" s="125">
        <f ca="1">IFERROR(__xludf.DUMMYFUNCTION("""COMPUTED_VALUE"""),43741.6666666666)</f>
        <v>43741.666666666599</v>
      </c>
      <c r="P715">
        <f ca="1">IFERROR(__xludf.DUMMYFUNCTION("""COMPUTED_VALUE"""),31.43)</f>
        <v>31.43</v>
      </c>
    </row>
    <row r="716" spans="2:16" ht="12.75">
      <c r="B716" s="125">
        <f ca="1">IFERROR(__xludf.DUMMYFUNCTION("""COMPUTED_VALUE"""),43742.6666666666)</f>
        <v>43742.666666666599</v>
      </c>
      <c r="C716">
        <f ca="1">IFERROR(__xludf.DUMMYFUNCTION("""COMPUTED_VALUE"""),31.45)</f>
        <v>31.45</v>
      </c>
      <c r="D716">
        <v>28.63</v>
      </c>
      <c r="E716">
        <v>26.96</v>
      </c>
      <c r="F716">
        <v>31.02</v>
      </c>
      <c r="G716">
        <v>11.05</v>
      </c>
      <c r="H716">
        <v>220.31</v>
      </c>
      <c r="I716">
        <v>26.44</v>
      </c>
      <c r="J716">
        <v>61.4</v>
      </c>
      <c r="K716">
        <v>143.74</v>
      </c>
      <c r="M716" s="125">
        <f ca="1">IFERROR(__xludf.DUMMYFUNCTION("""COMPUTED_VALUE"""),44277.6666666666)</f>
        <v>44277.666666666599</v>
      </c>
      <c r="N716">
        <f ca="1">IFERROR(__xludf.DUMMYFUNCTION("""COMPUTED_VALUE"""),35.44)</f>
        <v>35.44</v>
      </c>
      <c r="O716" s="125">
        <f ca="1">IFERROR(__xludf.DUMMYFUNCTION("""COMPUTED_VALUE"""),43742.6666666666)</f>
        <v>43742.666666666599</v>
      </c>
      <c r="P716">
        <f ca="1">IFERROR(__xludf.DUMMYFUNCTION("""COMPUTED_VALUE"""),31.45)</f>
        <v>31.45</v>
      </c>
    </row>
    <row r="717" spans="2:16" ht="12.75">
      <c r="B717" s="125">
        <f ca="1">IFERROR(__xludf.DUMMYFUNCTION("""COMPUTED_VALUE"""),43745.6666666666)</f>
        <v>43745.666666666599</v>
      </c>
      <c r="C717">
        <f ca="1">IFERROR(__xludf.DUMMYFUNCTION("""COMPUTED_VALUE"""),31.13)</f>
        <v>31.13</v>
      </c>
      <c r="D717">
        <v>28.58</v>
      </c>
      <c r="E717">
        <v>27.01</v>
      </c>
      <c r="F717">
        <v>31.06</v>
      </c>
      <c r="G717">
        <v>10.99</v>
      </c>
      <c r="H717">
        <v>219.97</v>
      </c>
      <c r="I717">
        <v>26.45</v>
      </c>
      <c r="J717">
        <v>60.9</v>
      </c>
      <c r="K717">
        <v>143.05000000000001</v>
      </c>
      <c r="M717" s="125">
        <f ca="1">IFERROR(__xludf.DUMMYFUNCTION("""COMPUTED_VALUE"""),44278.6666666666)</f>
        <v>44278.666666666599</v>
      </c>
      <c r="N717">
        <f ca="1">IFERROR(__xludf.DUMMYFUNCTION("""COMPUTED_VALUE"""),35.68)</f>
        <v>35.68</v>
      </c>
      <c r="O717" s="125">
        <f ca="1">IFERROR(__xludf.DUMMYFUNCTION("""COMPUTED_VALUE"""),43745.6666666666)</f>
        <v>43745.666666666599</v>
      </c>
      <c r="P717">
        <f ca="1">IFERROR(__xludf.DUMMYFUNCTION("""COMPUTED_VALUE"""),31.13)</f>
        <v>31.13</v>
      </c>
    </row>
    <row r="718" spans="2:16" ht="12.75">
      <c r="B718" s="125">
        <f ca="1">IFERROR(__xludf.DUMMYFUNCTION("""COMPUTED_VALUE"""),43746.6666666666)</f>
        <v>43746.666666666599</v>
      </c>
      <c r="C718">
        <f ca="1">IFERROR(__xludf.DUMMYFUNCTION("""COMPUTED_VALUE"""),30.34)</f>
        <v>30.34</v>
      </c>
      <c r="D718">
        <v>28</v>
      </c>
      <c r="E718">
        <v>27.05</v>
      </c>
      <c r="F718">
        <v>30.61</v>
      </c>
      <c r="G718">
        <v>10.9</v>
      </c>
      <c r="H718">
        <v>218.22</v>
      </c>
      <c r="I718">
        <v>26.18</v>
      </c>
      <c r="J718">
        <v>60.32</v>
      </c>
      <c r="K718">
        <v>141.62</v>
      </c>
      <c r="M718" s="125">
        <f ca="1">IFERROR(__xludf.DUMMYFUNCTION("""COMPUTED_VALUE"""),44279.6666666666)</f>
        <v>44279.666666666599</v>
      </c>
      <c r="N718">
        <f ca="1">IFERROR(__xludf.DUMMYFUNCTION("""COMPUTED_VALUE"""),35.15)</f>
        <v>35.15</v>
      </c>
      <c r="O718" s="125">
        <f ca="1">IFERROR(__xludf.DUMMYFUNCTION("""COMPUTED_VALUE"""),43746.6666666666)</f>
        <v>43746.666666666599</v>
      </c>
      <c r="P718">
        <f ca="1">IFERROR(__xludf.DUMMYFUNCTION("""COMPUTED_VALUE"""),30.34)</f>
        <v>30.34</v>
      </c>
    </row>
    <row r="719" spans="2:16" ht="12.75">
      <c r="B719" s="125">
        <f ca="1">IFERROR(__xludf.DUMMYFUNCTION("""COMPUTED_VALUE"""),43747.6666666666)</f>
        <v>43747.666666666599</v>
      </c>
      <c r="C719">
        <f ca="1">IFERROR(__xludf.DUMMYFUNCTION("""COMPUTED_VALUE"""),30.67)</f>
        <v>30.67</v>
      </c>
      <c r="D719">
        <v>28.54</v>
      </c>
      <c r="E719">
        <v>27.03</v>
      </c>
      <c r="F719">
        <v>30.88</v>
      </c>
      <c r="G719">
        <v>10.98</v>
      </c>
      <c r="H719">
        <v>219.8</v>
      </c>
      <c r="I719">
        <v>26.48</v>
      </c>
      <c r="J719">
        <v>60.78</v>
      </c>
      <c r="K719">
        <v>142.38</v>
      </c>
      <c r="M719" s="125">
        <f ca="1">IFERROR(__xludf.DUMMYFUNCTION("""COMPUTED_VALUE"""),44280.6666666666)</f>
        <v>44280.666666666599</v>
      </c>
      <c r="N719">
        <f ca="1">IFERROR(__xludf.DUMMYFUNCTION("""COMPUTED_VALUE"""),35.27)</f>
        <v>35.270000000000003</v>
      </c>
      <c r="O719" s="125">
        <f ca="1">IFERROR(__xludf.DUMMYFUNCTION("""COMPUTED_VALUE"""),43747.6666666666)</f>
        <v>43747.666666666599</v>
      </c>
      <c r="P719">
        <f ca="1">IFERROR(__xludf.DUMMYFUNCTION("""COMPUTED_VALUE"""),30.67)</f>
        <v>30.67</v>
      </c>
    </row>
    <row r="720" spans="2:16" ht="12.75">
      <c r="B720" s="125">
        <f ca="1">IFERROR(__xludf.DUMMYFUNCTION("""COMPUTED_VALUE"""),43748.6666666666)</f>
        <v>43748.666666666599</v>
      </c>
      <c r="C720">
        <f ca="1">IFERROR(__xludf.DUMMYFUNCTION("""COMPUTED_VALUE"""),31)</f>
        <v>31</v>
      </c>
      <c r="D720">
        <v>28.59</v>
      </c>
      <c r="E720">
        <v>26.92</v>
      </c>
      <c r="F720">
        <v>31.09</v>
      </c>
      <c r="G720">
        <v>10.99</v>
      </c>
      <c r="H720">
        <v>220.74</v>
      </c>
      <c r="I720">
        <v>26.55</v>
      </c>
      <c r="J720">
        <v>60.9</v>
      </c>
      <c r="K720">
        <v>142.26</v>
      </c>
      <c r="M720" s="125">
        <f ca="1">IFERROR(__xludf.DUMMYFUNCTION("""COMPUTED_VALUE"""),44281.6666666666)</f>
        <v>44281.666666666599</v>
      </c>
      <c r="N720">
        <f ca="1">IFERROR(__xludf.DUMMYFUNCTION("""COMPUTED_VALUE"""),36.16)</f>
        <v>36.159999999999997</v>
      </c>
      <c r="O720" s="125">
        <f ca="1">IFERROR(__xludf.DUMMYFUNCTION("""COMPUTED_VALUE"""),43748.6666666666)</f>
        <v>43748.666666666599</v>
      </c>
      <c r="P720">
        <f ca="1">IFERROR(__xludf.DUMMYFUNCTION("""COMPUTED_VALUE"""),31)</f>
        <v>31</v>
      </c>
    </row>
    <row r="721" spans="2:16" ht="12.75">
      <c r="B721" s="125">
        <f ca="1">IFERROR(__xludf.DUMMYFUNCTION("""COMPUTED_VALUE"""),43749.6666666666)</f>
        <v>43749.666666666599</v>
      </c>
      <c r="C721">
        <f ca="1">IFERROR(__xludf.DUMMYFUNCTION("""COMPUTED_VALUE"""),31.56)</f>
        <v>31.56</v>
      </c>
      <c r="D721">
        <v>29.18</v>
      </c>
      <c r="E721">
        <v>26.82</v>
      </c>
      <c r="F721">
        <v>31.63</v>
      </c>
      <c r="G721">
        <v>11.04</v>
      </c>
      <c r="H721">
        <v>222.42</v>
      </c>
      <c r="I721">
        <v>27.19</v>
      </c>
      <c r="J721">
        <v>60.84</v>
      </c>
      <c r="K721">
        <v>141.91999999999999</v>
      </c>
      <c r="M721" s="125">
        <f ca="1">IFERROR(__xludf.DUMMYFUNCTION("""COMPUTED_VALUE"""),44284.6666666666)</f>
        <v>44284.666666666599</v>
      </c>
      <c r="N721">
        <f ca="1">IFERROR(__xludf.DUMMYFUNCTION("""COMPUTED_VALUE"""),36.23)</f>
        <v>36.229999999999997</v>
      </c>
      <c r="O721" s="125">
        <f ca="1">IFERROR(__xludf.DUMMYFUNCTION("""COMPUTED_VALUE"""),43749.6666666666)</f>
        <v>43749.666666666599</v>
      </c>
      <c r="P721">
        <f ca="1">IFERROR(__xludf.DUMMYFUNCTION("""COMPUTED_VALUE"""),31.56)</f>
        <v>31.56</v>
      </c>
    </row>
    <row r="722" spans="2:16" ht="12.75">
      <c r="B722" s="125">
        <f ca="1">IFERROR(__xludf.DUMMYFUNCTION("""COMPUTED_VALUE"""),43752.6666666666)</f>
        <v>43752.666666666599</v>
      </c>
      <c r="C722">
        <f ca="1">IFERROR(__xludf.DUMMYFUNCTION("""COMPUTED_VALUE"""),31.5)</f>
        <v>31.5</v>
      </c>
      <c r="D722">
        <v>29.17</v>
      </c>
      <c r="E722">
        <v>26.9</v>
      </c>
      <c r="F722">
        <v>31.69</v>
      </c>
      <c r="G722">
        <v>11</v>
      </c>
      <c r="H722">
        <v>222.23</v>
      </c>
      <c r="I722">
        <v>27.26</v>
      </c>
      <c r="J722">
        <v>60.54</v>
      </c>
      <c r="K722">
        <v>140.88999999999999</v>
      </c>
      <c r="M722" s="125">
        <f ca="1">IFERROR(__xludf.DUMMYFUNCTION("""COMPUTED_VALUE"""),44285.6666666666)</f>
        <v>44285.666666666599</v>
      </c>
      <c r="N722">
        <f ca="1">IFERROR(__xludf.DUMMYFUNCTION("""COMPUTED_VALUE"""),35.94)</f>
        <v>35.94</v>
      </c>
      <c r="O722" s="125">
        <f ca="1">IFERROR(__xludf.DUMMYFUNCTION("""COMPUTED_VALUE"""),43752.6666666666)</f>
        <v>43752.666666666599</v>
      </c>
      <c r="P722">
        <f ca="1">IFERROR(__xludf.DUMMYFUNCTION("""COMPUTED_VALUE"""),31.5)</f>
        <v>31.5</v>
      </c>
    </row>
    <row r="723" spans="2:16" ht="12.75">
      <c r="B723" s="125">
        <f ca="1">IFERROR(__xludf.DUMMYFUNCTION("""COMPUTED_VALUE"""),43753.6666666666)</f>
        <v>43753.666666666599</v>
      </c>
      <c r="C723">
        <f ca="1">IFERROR(__xludf.DUMMYFUNCTION("""COMPUTED_VALUE"""),31.8)</f>
        <v>31.8</v>
      </c>
      <c r="D723">
        <v>29.04</v>
      </c>
      <c r="E723">
        <v>26.82</v>
      </c>
      <c r="F723">
        <v>32.03</v>
      </c>
      <c r="G723">
        <v>10.88</v>
      </c>
      <c r="H723">
        <v>222.54</v>
      </c>
      <c r="I723">
        <v>27.61</v>
      </c>
      <c r="J723">
        <v>60.28</v>
      </c>
      <c r="K723">
        <v>140.41999999999999</v>
      </c>
      <c r="M723" s="125">
        <f ca="1">IFERROR(__xludf.DUMMYFUNCTION("""COMPUTED_VALUE"""),44286.6666666666)</f>
        <v>44286.666666666599</v>
      </c>
      <c r="N723">
        <f ca="1">IFERROR(__xludf.DUMMYFUNCTION("""COMPUTED_VALUE"""),36.2)</f>
        <v>36.200000000000003</v>
      </c>
      <c r="O723" s="125">
        <f ca="1">IFERROR(__xludf.DUMMYFUNCTION("""COMPUTED_VALUE"""),43753.6666666666)</f>
        <v>43753.666666666599</v>
      </c>
      <c r="P723">
        <f ca="1">IFERROR(__xludf.DUMMYFUNCTION("""COMPUTED_VALUE"""),31.8)</f>
        <v>31.8</v>
      </c>
    </row>
    <row r="724" spans="2:16" ht="12.75">
      <c r="B724" s="125">
        <f ca="1">IFERROR(__xludf.DUMMYFUNCTION("""COMPUTED_VALUE"""),43754.6666666666)</f>
        <v>43754.666666666599</v>
      </c>
      <c r="C724">
        <f ca="1">IFERROR(__xludf.DUMMYFUNCTION("""COMPUTED_VALUE"""),31.82)</f>
        <v>31.82</v>
      </c>
      <c r="D724">
        <v>28.8</v>
      </c>
      <c r="E724">
        <v>26.75</v>
      </c>
      <c r="F724">
        <v>31.8</v>
      </c>
      <c r="G724">
        <v>10.83</v>
      </c>
      <c r="H724">
        <v>222.87</v>
      </c>
      <c r="I724">
        <v>27.66</v>
      </c>
      <c r="J724">
        <v>60.34</v>
      </c>
      <c r="K724">
        <v>140.82</v>
      </c>
      <c r="M724" s="125">
        <f ca="1">IFERROR(__xludf.DUMMYFUNCTION("""COMPUTED_VALUE"""),44287.6666666666)</f>
        <v>44287.666666666599</v>
      </c>
      <c r="N724">
        <f ca="1">IFERROR(__xludf.DUMMYFUNCTION("""COMPUTED_VALUE"""),36.57)</f>
        <v>36.57</v>
      </c>
      <c r="O724" s="125">
        <f ca="1">IFERROR(__xludf.DUMMYFUNCTION("""COMPUTED_VALUE"""),43754.6666666666)</f>
        <v>43754.666666666599</v>
      </c>
      <c r="P724">
        <f ca="1">IFERROR(__xludf.DUMMYFUNCTION("""COMPUTED_VALUE"""),31.82)</f>
        <v>31.82</v>
      </c>
    </row>
    <row r="725" spans="2:16" ht="12.75">
      <c r="B725" s="125">
        <f ca="1">IFERROR(__xludf.DUMMYFUNCTION("""COMPUTED_VALUE"""),43755.6666666666)</f>
        <v>43755.666666666599</v>
      </c>
      <c r="C725">
        <f ca="1">IFERROR(__xludf.DUMMYFUNCTION("""COMPUTED_VALUE"""),31.92)</f>
        <v>31.92</v>
      </c>
      <c r="D725">
        <v>28.67</v>
      </c>
      <c r="E725">
        <v>26.65</v>
      </c>
      <c r="F725">
        <v>32.049999999999997</v>
      </c>
      <c r="G725">
        <v>10.9</v>
      </c>
      <c r="H725">
        <v>221.56</v>
      </c>
      <c r="I725">
        <v>27.7</v>
      </c>
      <c r="J725">
        <v>60.62</v>
      </c>
      <c r="K725">
        <v>141.22999999999999</v>
      </c>
      <c r="M725" s="125">
        <f ca="1">IFERROR(__xludf.DUMMYFUNCTION("""COMPUTED_VALUE"""),44291.6666666666)</f>
        <v>44291.666666666599</v>
      </c>
      <c r="N725">
        <f ca="1">IFERROR(__xludf.DUMMYFUNCTION("""COMPUTED_VALUE"""),37.01)</f>
        <v>37.01</v>
      </c>
      <c r="O725" s="125">
        <f ca="1">IFERROR(__xludf.DUMMYFUNCTION("""COMPUTED_VALUE"""),43755.6666666666)</f>
        <v>43755.666666666599</v>
      </c>
      <c r="P725">
        <f ca="1">IFERROR(__xludf.DUMMYFUNCTION("""COMPUTED_VALUE"""),31.92)</f>
        <v>31.92</v>
      </c>
    </row>
    <row r="726" spans="2:16" ht="12.75">
      <c r="B726" s="125">
        <f ca="1">IFERROR(__xludf.DUMMYFUNCTION("""COMPUTED_VALUE"""),43756.6666666666)</f>
        <v>43756.666666666599</v>
      </c>
      <c r="C726">
        <f ca="1">IFERROR(__xludf.DUMMYFUNCTION("""COMPUTED_VALUE"""),31.3)</f>
        <v>31.3</v>
      </c>
      <c r="D726">
        <v>28.14</v>
      </c>
      <c r="E726">
        <v>26.55</v>
      </c>
      <c r="F726">
        <v>32.08</v>
      </c>
      <c r="G726">
        <v>10.95</v>
      </c>
      <c r="H726">
        <v>215.92</v>
      </c>
      <c r="I726">
        <v>27.72</v>
      </c>
      <c r="J726">
        <v>60.74</v>
      </c>
      <c r="K726">
        <v>141.72</v>
      </c>
      <c r="M726" s="125">
        <f ca="1">IFERROR(__xludf.DUMMYFUNCTION("""COMPUTED_VALUE"""),44292.6666666666)</f>
        <v>44292.666666666599</v>
      </c>
      <c r="N726">
        <f ca="1">IFERROR(__xludf.DUMMYFUNCTION("""COMPUTED_VALUE"""),36.94)</f>
        <v>36.94</v>
      </c>
      <c r="O726" s="125">
        <f ca="1">IFERROR(__xludf.DUMMYFUNCTION("""COMPUTED_VALUE"""),43756.6666666666)</f>
        <v>43756.666666666599</v>
      </c>
      <c r="P726">
        <f ca="1">IFERROR(__xludf.DUMMYFUNCTION("""COMPUTED_VALUE"""),31.3)</f>
        <v>31.3</v>
      </c>
    </row>
    <row r="727" spans="2:16" ht="12.75">
      <c r="B727" s="125">
        <f ca="1">IFERROR(__xludf.DUMMYFUNCTION("""COMPUTED_VALUE"""),43759.6666666666)</f>
        <v>43759.666666666599</v>
      </c>
      <c r="C727">
        <f ca="1">IFERROR(__xludf.DUMMYFUNCTION("""COMPUTED_VALUE"""),31.77)</f>
        <v>31.77</v>
      </c>
      <c r="D727">
        <v>28.15</v>
      </c>
      <c r="E727">
        <v>26.57</v>
      </c>
      <c r="F727">
        <v>32.11</v>
      </c>
      <c r="G727">
        <v>11.08</v>
      </c>
      <c r="H727">
        <v>214.68</v>
      </c>
      <c r="I727">
        <v>28</v>
      </c>
      <c r="J727">
        <v>60.94</v>
      </c>
      <c r="K727">
        <v>142.21</v>
      </c>
      <c r="M727" s="125">
        <f ca="1">IFERROR(__xludf.DUMMYFUNCTION("""COMPUTED_VALUE"""),44293.6666666666)</f>
        <v>44293.666666666599</v>
      </c>
      <c r="N727">
        <f ca="1">IFERROR(__xludf.DUMMYFUNCTION("""COMPUTED_VALUE"""),36.7)</f>
        <v>36.700000000000003</v>
      </c>
      <c r="O727" s="125">
        <f ca="1">IFERROR(__xludf.DUMMYFUNCTION("""COMPUTED_VALUE"""),43759.6666666666)</f>
        <v>43759.666666666599</v>
      </c>
      <c r="P727">
        <f ca="1">IFERROR(__xludf.DUMMYFUNCTION("""COMPUTED_VALUE"""),31.77)</f>
        <v>31.77</v>
      </c>
    </row>
    <row r="728" spans="2:16" ht="12.75">
      <c r="B728" s="125">
        <f ca="1">IFERROR(__xludf.DUMMYFUNCTION("""COMPUTED_VALUE"""),43760.6666666666)</f>
        <v>43760.666666666599</v>
      </c>
      <c r="C728">
        <f ca="1">IFERROR(__xludf.DUMMYFUNCTION("""COMPUTED_VALUE"""),31.49)</f>
        <v>31.49</v>
      </c>
      <c r="D728">
        <v>27.4</v>
      </c>
      <c r="E728">
        <v>26.63</v>
      </c>
      <c r="F728">
        <v>31.93</v>
      </c>
      <c r="G728">
        <v>10.92</v>
      </c>
      <c r="H728">
        <v>216.38</v>
      </c>
      <c r="I728">
        <v>27.9</v>
      </c>
      <c r="J728">
        <v>60.96</v>
      </c>
      <c r="K728">
        <v>142.72999999999999</v>
      </c>
      <c r="M728" s="125">
        <f ca="1">IFERROR(__xludf.DUMMYFUNCTION("""COMPUTED_VALUE"""),44294.6666666666)</f>
        <v>44294.666666666599</v>
      </c>
      <c r="N728">
        <f ca="1">IFERROR(__xludf.DUMMYFUNCTION("""COMPUTED_VALUE"""),36.54)</f>
        <v>36.54</v>
      </c>
      <c r="O728" s="125">
        <f ca="1">IFERROR(__xludf.DUMMYFUNCTION("""COMPUTED_VALUE"""),43760.6666666666)</f>
        <v>43760.666666666599</v>
      </c>
      <c r="P728">
        <f ca="1">IFERROR(__xludf.DUMMYFUNCTION("""COMPUTED_VALUE"""),31.49)</f>
        <v>31.49</v>
      </c>
    </row>
    <row r="729" spans="2:16" ht="12.75">
      <c r="B729" s="125">
        <f ca="1">IFERROR(__xludf.DUMMYFUNCTION("""COMPUTED_VALUE"""),43761.6666666666)</f>
        <v>43761.666666666599</v>
      </c>
      <c r="C729">
        <f ca="1">IFERROR(__xludf.DUMMYFUNCTION("""COMPUTED_VALUE"""),31.45)</f>
        <v>31.45</v>
      </c>
      <c r="D729">
        <v>27.44</v>
      </c>
      <c r="E729">
        <v>26.62</v>
      </c>
      <c r="F729">
        <v>31.79</v>
      </c>
      <c r="G729">
        <v>10.89</v>
      </c>
      <c r="H729">
        <v>216.92</v>
      </c>
      <c r="I729">
        <v>28.09</v>
      </c>
      <c r="J729">
        <v>61.24</v>
      </c>
      <c r="K729">
        <v>143.33000000000001</v>
      </c>
      <c r="M729" s="125">
        <f ca="1">IFERROR(__xludf.DUMMYFUNCTION("""COMPUTED_VALUE"""),44295.6666666666)</f>
        <v>44295.666666666599</v>
      </c>
      <c r="N729">
        <f ca="1">IFERROR(__xludf.DUMMYFUNCTION("""COMPUTED_VALUE"""),36.41)</f>
        <v>36.409999999999997</v>
      </c>
      <c r="O729" s="125">
        <f ca="1">IFERROR(__xludf.DUMMYFUNCTION("""COMPUTED_VALUE"""),43761.6666666666)</f>
        <v>43761.666666666599</v>
      </c>
      <c r="P729">
        <f ca="1">IFERROR(__xludf.DUMMYFUNCTION("""COMPUTED_VALUE"""),31.45)</f>
        <v>31.45</v>
      </c>
    </row>
    <row r="730" spans="2:16" ht="12.75">
      <c r="B730" s="125">
        <f ca="1">IFERROR(__xludf.DUMMYFUNCTION("""COMPUTED_VALUE"""),43762.6666666666)</f>
        <v>43762.666666666599</v>
      </c>
      <c r="C730">
        <f ca="1">IFERROR(__xludf.DUMMYFUNCTION("""COMPUTED_VALUE"""),32.11)</f>
        <v>32.11</v>
      </c>
      <c r="D730">
        <v>27.91</v>
      </c>
      <c r="E730">
        <v>26.7</v>
      </c>
      <c r="F730">
        <v>32</v>
      </c>
      <c r="G730">
        <v>10.9</v>
      </c>
      <c r="H730">
        <v>220.21</v>
      </c>
      <c r="I730">
        <v>28.24</v>
      </c>
      <c r="J730">
        <v>61.45</v>
      </c>
      <c r="K730">
        <v>143.77000000000001</v>
      </c>
      <c r="M730" s="125">
        <f ca="1">IFERROR(__xludf.DUMMYFUNCTION("""COMPUTED_VALUE"""),44298.6666666666)</f>
        <v>44298.666666666599</v>
      </c>
      <c r="N730">
        <f ca="1">IFERROR(__xludf.DUMMYFUNCTION("""COMPUTED_VALUE"""),36.59)</f>
        <v>36.590000000000003</v>
      </c>
      <c r="O730" s="125">
        <f ca="1">IFERROR(__xludf.DUMMYFUNCTION("""COMPUTED_VALUE"""),43762.6666666666)</f>
        <v>43762.666666666599</v>
      </c>
      <c r="P730">
        <f ca="1">IFERROR(__xludf.DUMMYFUNCTION("""COMPUTED_VALUE"""),32.11)</f>
        <v>32.11</v>
      </c>
    </row>
    <row r="731" spans="2:16" ht="12.75">
      <c r="B731" s="125">
        <f ca="1">IFERROR(__xludf.DUMMYFUNCTION("""COMPUTED_VALUE"""),43763.6666666666)</f>
        <v>43763.666666666599</v>
      </c>
      <c r="C731">
        <f ca="1">IFERROR(__xludf.DUMMYFUNCTION("""COMPUTED_VALUE"""),32.27)</f>
        <v>32.270000000000003</v>
      </c>
      <c r="D731">
        <v>28.28</v>
      </c>
      <c r="E731">
        <v>26.73</v>
      </c>
      <c r="F731">
        <v>31.91</v>
      </c>
      <c r="G731">
        <v>10.83</v>
      </c>
      <c r="H731">
        <v>218.32</v>
      </c>
      <c r="I731">
        <v>28.23</v>
      </c>
      <c r="J731">
        <v>61.09</v>
      </c>
      <c r="K731">
        <v>142.22999999999999</v>
      </c>
      <c r="M731" s="125">
        <f ca="1">IFERROR(__xludf.DUMMYFUNCTION("""COMPUTED_VALUE"""),44299.6666666666)</f>
        <v>44299.666666666599</v>
      </c>
      <c r="N731">
        <f ca="1">IFERROR(__xludf.DUMMYFUNCTION("""COMPUTED_VALUE"""),36.93)</f>
        <v>36.93</v>
      </c>
      <c r="O731" s="125">
        <f ca="1">IFERROR(__xludf.DUMMYFUNCTION("""COMPUTED_VALUE"""),43763.6666666666)</f>
        <v>43763.666666666599</v>
      </c>
      <c r="P731">
        <f ca="1">IFERROR(__xludf.DUMMYFUNCTION("""COMPUTED_VALUE"""),32.27)</f>
        <v>32.270000000000003</v>
      </c>
    </row>
    <row r="732" spans="2:16" ht="12.75">
      <c r="B732" s="125">
        <f ca="1">IFERROR(__xludf.DUMMYFUNCTION("""COMPUTED_VALUE"""),43766.6666666666)</f>
        <v>43766.666666666599</v>
      </c>
      <c r="C732">
        <f ca="1">IFERROR(__xludf.DUMMYFUNCTION("""COMPUTED_VALUE"""),32.85)</f>
        <v>32.85</v>
      </c>
      <c r="D732">
        <v>28.32</v>
      </c>
      <c r="E732">
        <v>26.71</v>
      </c>
      <c r="F732">
        <v>32.020000000000003</v>
      </c>
      <c r="G732">
        <v>10.88</v>
      </c>
      <c r="H732">
        <v>219</v>
      </c>
      <c r="I732">
        <v>28.37</v>
      </c>
      <c r="J732">
        <v>60.97</v>
      </c>
      <c r="K732">
        <v>140.46</v>
      </c>
      <c r="M732" s="125">
        <f ca="1">IFERROR(__xludf.DUMMYFUNCTION("""COMPUTED_VALUE"""),44300.6666666666)</f>
        <v>44300.666666666599</v>
      </c>
      <c r="N732">
        <f ca="1">IFERROR(__xludf.DUMMYFUNCTION("""COMPUTED_VALUE"""),36.68)</f>
        <v>36.68</v>
      </c>
      <c r="O732" s="125">
        <f ca="1">IFERROR(__xludf.DUMMYFUNCTION("""COMPUTED_VALUE"""),43766.6666666666)</f>
        <v>43766.666666666599</v>
      </c>
      <c r="P732">
        <f ca="1">IFERROR(__xludf.DUMMYFUNCTION("""COMPUTED_VALUE"""),32.85)</f>
        <v>32.85</v>
      </c>
    </row>
    <row r="733" spans="2:16" ht="12.75">
      <c r="B733" s="125">
        <f ca="1">IFERROR(__xludf.DUMMYFUNCTION("""COMPUTED_VALUE"""),43767.6666666666)</f>
        <v>43767.666666666599</v>
      </c>
      <c r="C733">
        <f ca="1">IFERROR(__xludf.DUMMYFUNCTION("""COMPUTED_VALUE"""),32.45)</f>
        <v>32.450000000000003</v>
      </c>
      <c r="D733">
        <v>28.45</v>
      </c>
      <c r="E733">
        <v>26.7</v>
      </c>
      <c r="F733">
        <v>32.01</v>
      </c>
      <c r="G733">
        <v>10.85</v>
      </c>
      <c r="H733">
        <v>220.05</v>
      </c>
      <c r="I733">
        <v>28.26</v>
      </c>
      <c r="J733">
        <v>60.97</v>
      </c>
      <c r="K733">
        <v>140.53</v>
      </c>
      <c r="M733" s="125">
        <f ca="1">IFERROR(__xludf.DUMMYFUNCTION("""COMPUTED_VALUE"""),44301.6666666666)</f>
        <v>44301.666666666599</v>
      </c>
      <c r="N733">
        <f ca="1">IFERROR(__xludf.DUMMYFUNCTION("""COMPUTED_VALUE"""),37.44)</f>
        <v>37.44</v>
      </c>
      <c r="O733" s="125">
        <f ca="1">IFERROR(__xludf.DUMMYFUNCTION("""COMPUTED_VALUE"""),43767.6666666666)</f>
        <v>43767.666666666599</v>
      </c>
      <c r="P733">
        <f ca="1">IFERROR(__xludf.DUMMYFUNCTION("""COMPUTED_VALUE"""),32.45)</f>
        <v>32.450000000000003</v>
      </c>
    </row>
    <row r="734" spans="2:16" ht="12.75">
      <c r="B734" s="125">
        <f ca="1">IFERROR(__xludf.DUMMYFUNCTION("""COMPUTED_VALUE"""),43768.6666666666)</f>
        <v>43768.666666666599</v>
      </c>
      <c r="C734">
        <f ca="1">IFERROR(__xludf.DUMMYFUNCTION("""COMPUTED_VALUE"""),32.55)</f>
        <v>32.549999999999997</v>
      </c>
      <c r="D734">
        <v>28.55</v>
      </c>
      <c r="E734">
        <v>26.64</v>
      </c>
      <c r="F734">
        <v>32.08</v>
      </c>
      <c r="G734">
        <v>10.66</v>
      </c>
      <c r="H734">
        <v>221.42</v>
      </c>
      <c r="I734">
        <v>28.31</v>
      </c>
      <c r="J734">
        <v>61.25</v>
      </c>
      <c r="K734">
        <v>141.9</v>
      </c>
      <c r="M734" s="125">
        <f ca="1">IFERROR(__xludf.DUMMYFUNCTION("""COMPUTED_VALUE"""),44302.6666666666)</f>
        <v>44302.666666666599</v>
      </c>
      <c r="N734">
        <f ca="1">IFERROR(__xludf.DUMMYFUNCTION("""COMPUTED_VALUE"""),37.33)</f>
        <v>37.33</v>
      </c>
      <c r="O734" s="125">
        <f ca="1">IFERROR(__xludf.DUMMYFUNCTION("""COMPUTED_VALUE"""),43768.6666666666)</f>
        <v>43768.666666666599</v>
      </c>
      <c r="P734">
        <f ca="1">IFERROR(__xludf.DUMMYFUNCTION("""COMPUTED_VALUE"""),32.55)</f>
        <v>32.549999999999997</v>
      </c>
    </row>
    <row r="735" spans="2:16" ht="12.75">
      <c r="B735" s="125">
        <f ca="1">IFERROR(__xludf.DUMMYFUNCTION("""COMPUTED_VALUE"""),43769.6666666666)</f>
        <v>43769.666666666599</v>
      </c>
      <c r="C735">
        <f ca="1">IFERROR(__xludf.DUMMYFUNCTION("""COMPUTED_VALUE"""),32.49)</f>
        <v>32.49</v>
      </c>
      <c r="D735">
        <v>28.6</v>
      </c>
      <c r="E735">
        <v>26.59</v>
      </c>
      <c r="F735">
        <v>31.98</v>
      </c>
      <c r="G735">
        <v>10.66</v>
      </c>
      <c r="H735">
        <v>220.1</v>
      </c>
      <c r="I735">
        <v>28.2</v>
      </c>
      <c r="J735">
        <v>61.16</v>
      </c>
      <c r="K735">
        <v>142.41</v>
      </c>
      <c r="M735" s="125">
        <f ca="1">IFERROR(__xludf.DUMMYFUNCTION("""COMPUTED_VALUE"""),44305.6666666666)</f>
        <v>44305.666666666599</v>
      </c>
      <c r="N735">
        <f ca="1">IFERROR(__xludf.DUMMYFUNCTION("""COMPUTED_VALUE"""),37.53)</f>
        <v>37.53</v>
      </c>
      <c r="O735" s="125">
        <f ca="1">IFERROR(__xludf.DUMMYFUNCTION("""COMPUTED_VALUE"""),43769.6666666666)</f>
        <v>43769.666666666599</v>
      </c>
      <c r="P735">
        <f ca="1">IFERROR(__xludf.DUMMYFUNCTION("""COMPUTED_VALUE"""),32.49)</f>
        <v>32.49</v>
      </c>
    </row>
    <row r="736" spans="2:16" ht="12.75">
      <c r="B736" s="125">
        <f ca="1">IFERROR(__xludf.DUMMYFUNCTION("""COMPUTED_VALUE"""),43770.6666666666)</f>
        <v>43770.666666666599</v>
      </c>
      <c r="C736">
        <f ca="1">IFERROR(__xludf.DUMMYFUNCTION("""COMPUTED_VALUE"""),32.92)</f>
        <v>32.92</v>
      </c>
      <c r="D736">
        <v>28.93</v>
      </c>
      <c r="E736">
        <v>26.58</v>
      </c>
      <c r="F736">
        <v>32.33</v>
      </c>
      <c r="G736">
        <v>10.7</v>
      </c>
      <c r="H736">
        <v>223.6</v>
      </c>
      <c r="I736">
        <v>28.41</v>
      </c>
      <c r="J736">
        <v>61.15</v>
      </c>
      <c r="K736">
        <v>142.16999999999999</v>
      </c>
      <c r="M736" s="125">
        <f ca="1">IFERROR(__xludf.DUMMYFUNCTION("""COMPUTED_VALUE"""),44306.6666666666)</f>
        <v>44306.666666666599</v>
      </c>
      <c r="N736">
        <f ca="1">IFERROR(__xludf.DUMMYFUNCTION("""COMPUTED_VALUE"""),37.9)</f>
        <v>37.9</v>
      </c>
      <c r="O736" s="125">
        <f ca="1">IFERROR(__xludf.DUMMYFUNCTION("""COMPUTED_VALUE"""),43770.6666666666)</f>
        <v>43770.666666666599</v>
      </c>
      <c r="P736">
        <f ca="1">IFERROR(__xludf.DUMMYFUNCTION("""COMPUTED_VALUE"""),32.92)</f>
        <v>32.92</v>
      </c>
    </row>
    <row r="737" spans="2:16" ht="12.75">
      <c r="B737" s="125">
        <f ca="1">IFERROR(__xludf.DUMMYFUNCTION("""COMPUTED_VALUE"""),43773.6666666666)</f>
        <v>43773.666666666599</v>
      </c>
      <c r="C737">
        <f ca="1">IFERROR(__xludf.DUMMYFUNCTION("""COMPUTED_VALUE"""),33.61)</f>
        <v>33.61</v>
      </c>
      <c r="D737">
        <v>28.88</v>
      </c>
      <c r="E737">
        <v>26.68</v>
      </c>
      <c r="F737">
        <v>32.35</v>
      </c>
      <c r="G737">
        <v>10.64</v>
      </c>
      <c r="H737">
        <v>223.08</v>
      </c>
      <c r="I737">
        <v>28.78</v>
      </c>
      <c r="J737">
        <v>60.56</v>
      </c>
      <c r="K737">
        <v>140.33000000000001</v>
      </c>
      <c r="M737" s="125">
        <f ca="1">IFERROR(__xludf.DUMMYFUNCTION("""COMPUTED_VALUE"""),44307.6666666666)</f>
        <v>44307.666666666599</v>
      </c>
      <c r="N737">
        <f ca="1">IFERROR(__xludf.DUMMYFUNCTION("""COMPUTED_VALUE"""),38.09)</f>
        <v>38.090000000000003</v>
      </c>
      <c r="O737" s="125">
        <f ca="1">IFERROR(__xludf.DUMMYFUNCTION("""COMPUTED_VALUE"""),43773.6666666666)</f>
        <v>43773.666666666599</v>
      </c>
      <c r="P737">
        <f ca="1">IFERROR(__xludf.DUMMYFUNCTION("""COMPUTED_VALUE"""),33.61)</f>
        <v>33.61</v>
      </c>
    </row>
    <row r="738" spans="2:16" ht="12.75">
      <c r="B738" s="125">
        <f ca="1">IFERROR(__xludf.DUMMYFUNCTION("""COMPUTED_VALUE"""),43774.6666666666)</f>
        <v>43774.666666666599</v>
      </c>
      <c r="C738">
        <f ca="1">IFERROR(__xludf.DUMMYFUNCTION("""COMPUTED_VALUE"""),33.39)</f>
        <v>33.39</v>
      </c>
      <c r="D738">
        <v>28.46</v>
      </c>
      <c r="E738">
        <v>26.78</v>
      </c>
      <c r="F738">
        <v>32.549999999999997</v>
      </c>
      <c r="G738">
        <v>10.63</v>
      </c>
      <c r="H738">
        <v>224.57</v>
      </c>
      <c r="I738">
        <v>28.82</v>
      </c>
      <c r="J738">
        <v>60.76</v>
      </c>
      <c r="K738">
        <v>138.91</v>
      </c>
      <c r="M738" s="125">
        <f ca="1">IFERROR(__xludf.DUMMYFUNCTION("""COMPUTED_VALUE"""),44308.6666666666)</f>
        <v>44308.666666666599</v>
      </c>
      <c r="N738">
        <f ca="1">IFERROR(__xludf.DUMMYFUNCTION("""COMPUTED_VALUE"""),38.1)</f>
        <v>38.1</v>
      </c>
      <c r="O738" s="125">
        <f ca="1">IFERROR(__xludf.DUMMYFUNCTION("""COMPUTED_VALUE"""),43774.6666666666)</f>
        <v>43774.666666666599</v>
      </c>
      <c r="P738">
        <f ca="1">IFERROR(__xludf.DUMMYFUNCTION("""COMPUTED_VALUE"""),33.39)</f>
        <v>33.39</v>
      </c>
    </row>
    <row r="739" spans="2:16" ht="12.75">
      <c r="B739" s="125">
        <f ca="1">IFERROR(__xludf.DUMMYFUNCTION("""COMPUTED_VALUE"""),43775.6666666666)</f>
        <v>43775.666666666599</v>
      </c>
      <c r="C739">
        <f ca="1">IFERROR(__xludf.DUMMYFUNCTION("""COMPUTED_VALUE"""),33.27)</f>
        <v>33.270000000000003</v>
      </c>
      <c r="D739">
        <v>28.23</v>
      </c>
      <c r="E739">
        <v>26.78</v>
      </c>
      <c r="F739">
        <v>32.64</v>
      </c>
      <c r="G739">
        <v>10.57</v>
      </c>
      <c r="H739">
        <v>225.26</v>
      </c>
      <c r="I739">
        <v>28.86</v>
      </c>
      <c r="J739">
        <v>61.01</v>
      </c>
      <c r="K739">
        <v>139.38</v>
      </c>
      <c r="M739" s="125">
        <f ca="1">IFERROR(__xludf.DUMMYFUNCTION("""COMPUTED_VALUE"""),44309.6666666666)</f>
        <v>44309.666666666599</v>
      </c>
      <c r="N739">
        <f ca="1">IFERROR(__xludf.DUMMYFUNCTION("""COMPUTED_VALUE"""),38.4)</f>
        <v>38.4</v>
      </c>
      <c r="O739" s="125">
        <f ca="1">IFERROR(__xludf.DUMMYFUNCTION("""COMPUTED_VALUE"""),43775.6666666666)</f>
        <v>43775.666666666599</v>
      </c>
      <c r="P739">
        <f ca="1">IFERROR(__xludf.DUMMYFUNCTION("""COMPUTED_VALUE"""),33.27)</f>
        <v>33.270000000000003</v>
      </c>
    </row>
    <row r="740" spans="2:16" ht="12.75">
      <c r="B740" s="125">
        <f ca="1">IFERROR(__xludf.DUMMYFUNCTION("""COMPUTED_VALUE"""),43776.6666666666)</f>
        <v>43776.666666666599</v>
      </c>
      <c r="C740">
        <f ca="1">IFERROR(__xludf.DUMMYFUNCTION("""COMPUTED_VALUE"""),33.91)</f>
        <v>33.909999999999997</v>
      </c>
      <c r="D740">
        <v>28.7</v>
      </c>
      <c r="E740">
        <v>26.84</v>
      </c>
      <c r="F740">
        <v>32.68</v>
      </c>
      <c r="G740">
        <v>10.55</v>
      </c>
      <c r="H740">
        <v>225.26</v>
      </c>
      <c r="I740">
        <v>29.07</v>
      </c>
      <c r="J740">
        <v>60.8</v>
      </c>
      <c r="K740">
        <v>137.55000000000001</v>
      </c>
      <c r="M740" s="125">
        <f ca="1">IFERROR(__xludf.DUMMYFUNCTION("""COMPUTED_VALUE"""),44312.6666666666)</f>
        <v>44312.666666666599</v>
      </c>
      <c r="N740">
        <f ca="1">IFERROR(__xludf.DUMMYFUNCTION("""COMPUTED_VALUE"""),38.41)</f>
        <v>38.409999999999997</v>
      </c>
      <c r="O740" s="125">
        <f ca="1">IFERROR(__xludf.DUMMYFUNCTION("""COMPUTED_VALUE"""),43776.6666666666)</f>
        <v>43776.666666666599</v>
      </c>
      <c r="P740">
        <f ca="1">IFERROR(__xludf.DUMMYFUNCTION("""COMPUTED_VALUE"""),33.91)</f>
        <v>33.909999999999997</v>
      </c>
    </row>
    <row r="741" spans="2:16" ht="12.75">
      <c r="B741" s="125">
        <f ca="1">IFERROR(__xludf.DUMMYFUNCTION("""COMPUTED_VALUE"""),43777.6666666666)</f>
        <v>43777.666666666599</v>
      </c>
      <c r="C741">
        <f ca="1">IFERROR(__xludf.DUMMYFUNCTION("""COMPUTED_VALUE"""),33.8)</f>
        <v>33.799999999999997</v>
      </c>
      <c r="D741">
        <v>28.8</v>
      </c>
      <c r="E741">
        <v>26.9</v>
      </c>
      <c r="F741">
        <v>32.71</v>
      </c>
      <c r="G741">
        <v>10.59</v>
      </c>
      <c r="H741">
        <v>226.98</v>
      </c>
      <c r="I741">
        <v>29.02</v>
      </c>
      <c r="J741">
        <v>60.76</v>
      </c>
      <c r="K741">
        <v>136.97</v>
      </c>
      <c r="M741" s="125">
        <f ca="1">IFERROR(__xludf.DUMMYFUNCTION("""COMPUTED_VALUE"""),44313.6666666666)</f>
        <v>44313.666666666599</v>
      </c>
      <c r="N741">
        <f ca="1">IFERROR(__xludf.DUMMYFUNCTION("""COMPUTED_VALUE"""),38.28)</f>
        <v>38.28</v>
      </c>
      <c r="O741" s="125">
        <f ca="1">IFERROR(__xludf.DUMMYFUNCTION("""COMPUTED_VALUE"""),43777.6666666666)</f>
        <v>43777.666666666599</v>
      </c>
      <c r="P741">
        <f ca="1">IFERROR(__xludf.DUMMYFUNCTION("""COMPUTED_VALUE"""),33.8)</f>
        <v>33.799999999999997</v>
      </c>
    </row>
    <row r="742" spans="2:16" ht="12.75">
      <c r="B742" s="125">
        <f ca="1">IFERROR(__xludf.DUMMYFUNCTION("""COMPUTED_VALUE"""),43780.6666666666)</f>
        <v>43780.666666666599</v>
      </c>
      <c r="C742">
        <f ca="1">IFERROR(__xludf.DUMMYFUNCTION("""COMPUTED_VALUE"""),33.61)</f>
        <v>33.61</v>
      </c>
      <c r="D742">
        <v>29.07</v>
      </c>
      <c r="E742">
        <v>26.86</v>
      </c>
      <c r="F742">
        <v>32.67</v>
      </c>
      <c r="G742">
        <v>10.7</v>
      </c>
      <c r="H742">
        <v>229.18</v>
      </c>
      <c r="I742">
        <v>28.93</v>
      </c>
      <c r="J742">
        <v>60.67</v>
      </c>
      <c r="K742">
        <v>136.01</v>
      </c>
      <c r="M742" s="125">
        <f ca="1">IFERROR(__xludf.DUMMYFUNCTION("""COMPUTED_VALUE"""),44314.6666666666)</f>
        <v>44314.666666666599</v>
      </c>
      <c r="N742">
        <f ca="1">IFERROR(__xludf.DUMMYFUNCTION("""COMPUTED_VALUE"""),38.17)</f>
        <v>38.17</v>
      </c>
      <c r="O742" s="125">
        <f ca="1">IFERROR(__xludf.DUMMYFUNCTION("""COMPUTED_VALUE"""),43780.6666666666)</f>
        <v>43780.666666666599</v>
      </c>
      <c r="P742">
        <f ca="1">IFERROR(__xludf.DUMMYFUNCTION("""COMPUTED_VALUE"""),33.61)</f>
        <v>33.61</v>
      </c>
    </row>
    <row r="743" spans="2:16" ht="12.75">
      <c r="B743" s="125">
        <f ca="1">IFERROR(__xludf.DUMMYFUNCTION("""COMPUTED_VALUE"""),43781.6666666666)</f>
        <v>43781.666666666599</v>
      </c>
      <c r="C743">
        <f ca="1">IFERROR(__xludf.DUMMYFUNCTION("""COMPUTED_VALUE"""),33.64)</f>
        <v>33.64</v>
      </c>
      <c r="D743">
        <v>29.14</v>
      </c>
      <c r="E743">
        <v>26.9</v>
      </c>
      <c r="F743">
        <v>32.700000000000003</v>
      </c>
      <c r="G743">
        <v>10.61</v>
      </c>
      <c r="H743">
        <v>229.59</v>
      </c>
      <c r="I743">
        <v>28.99</v>
      </c>
      <c r="J743">
        <v>60.87</v>
      </c>
      <c r="K743">
        <v>136.29</v>
      </c>
      <c r="M743" s="125">
        <f ca="1">IFERROR(__xludf.DUMMYFUNCTION("""COMPUTED_VALUE"""),44315.6666666666)</f>
        <v>44315.666666666599</v>
      </c>
      <c r="N743">
        <f ca="1">IFERROR(__xludf.DUMMYFUNCTION("""COMPUTED_VALUE"""),38.24)</f>
        <v>38.24</v>
      </c>
      <c r="O743" s="125">
        <f ca="1">IFERROR(__xludf.DUMMYFUNCTION("""COMPUTED_VALUE"""),43781.6666666666)</f>
        <v>43781.666666666599</v>
      </c>
      <c r="P743">
        <f ca="1">IFERROR(__xludf.DUMMYFUNCTION("""COMPUTED_VALUE"""),33.64)</f>
        <v>33.64</v>
      </c>
    </row>
    <row r="744" spans="2:16" ht="12.75">
      <c r="B744" s="125">
        <f ca="1">IFERROR(__xludf.DUMMYFUNCTION("""COMPUTED_VALUE"""),43782.6666666666)</f>
        <v>43782.666666666599</v>
      </c>
      <c r="C744">
        <f ca="1">IFERROR(__xludf.DUMMYFUNCTION("""COMPUTED_VALUE"""),33.16)</f>
        <v>33.159999999999997</v>
      </c>
      <c r="D744">
        <v>29.21</v>
      </c>
      <c r="E744">
        <v>26.89</v>
      </c>
      <c r="F744">
        <v>32.6</v>
      </c>
      <c r="G744">
        <v>10.6</v>
      </c>
      <c r="H744">
        <v>229.92</v>
      </c>
      <c r="I744">
        <v>28.95</v>
      </c>
      <c r="J744">
        <v>61.33</v>
      </c>
      <c r="K744">
        <v>138.15</v>
      </c>
      <c r="M744" s="125">
        <f ca="1">IFERROR(__xludf.DUMMYFUNCTION("""COMPUTED_VALUE"""),44316.6666666666)</f>
        <v>44316.666666666599</v>
      </c>
      <c r="N744">
        <f ca="1">IFERROR(__xludf.DUMMYFUNCTION("""COMPUTED_VALUE"""),38.52)</f>
        <v>38.520000000000003</v>
      </c>
      <c r="O744" s="125">
        <f ca="1">IFERROR(__xludf.DUMMYFUNCTION("""COMPUTED_VALUE"""),43782.6666666666)</f>
        <v>43782.666666666599</v>
      </c>
      <c r="P744">
        <f ca="1">IFERROR(__xludf.DUMMYFUNCTION("""COMPUTED_VALUE"""),33.16)</f>
        <v>33.159999999999997</v>
      </c>
    </row>
    <row r="745" spans="2:16" ht="12.75">
      <c r="B745" s="125">
        <f ca="1">IFERROR(__xludf.DUMMYFUNCTION("""COMPUTED_VALUE"""),43783.6666666666)</f>
        <v>43783.666666666599</v>
      </c>
      <c r="C745">
        <f ca="1">IFERROR(__xludf.DUMMYFUNCTION("""COMPUTED_VALUE"""),33.26)</f>
        <v>33.26</v>
      </c>
      <c r="D745">
        <v>29.62</v>
      </c>
      <c r="E745">
        <v>26.87</v>
      </c>
      <c r="F745">
        <v>32.590000000000003</v>
      </c>
      <c r="G745">
        <v>10.69</v>
      </c>
      <c r="H745">
        <v>231.63</v>
      </c>
      <c r="I745">
        <v>28.84</v>
      </c>
      <c r="J745">
        <v>61.31</v>
      </c>
      <c r="K745">
        <v>138.69999999999999</v>
      </c>
      <c r="M745" s="125">
        <f ca="1">IFERROR(__xludf.DUMMYFUNCTION("""COMPUTED_VALUE"""),44319.6666666666)</f>
        <v>44319.666666666599</v>
      </c>
      <c r="N745">
        <f ca="1">IFERROR(__xludf.DUMMYFUNCTION("""COMPUTED_VALUE"""),38.24)</f>
        <v>38.24</v>
      </c>
      <c r="O745" s="125">
        <f ca="1">IFERROR(__xludf.DUMMYFUNCTION("""COMPUTED_VALUE"""),43783.6666666666)</f>
        <v>43783.666666666599</v>
      </c>
      <c r="P745">
        <f ca="1">IFERROR(__xludf.DUMMYFUNCTION("""COMPUTED_VALUE"""),33.26)</f>
        <v>33.26</v>
      </c>
    </row>
    <row r="746" spans="2:16" ht="12.75">
      <c r="B746" s="125">
        <f ca="1">IFERROR(__xludf.DUMMYFUNCTION("""COMPUTED_VALUE"""),43784.6666666666)</f>
        <v>43784.666666666599</v>
      </c>
      <c r="C746">
        <f ca="1">IFERROR(__xludf.DUMMYFUNCTION("""COMPUTED_VALUE"""),33.63)</f>
        <v>33.630000000000003</v>
      </c>
      <c r="D746">
        <v>29.89</v>
      </c>
      <c r="E746">
        <v>26.81</v>
      </c>
      <c r="F746">
        <v>32.869999999999997</v>
      </c>
      <c r="G746">
        <v>10.75</v>
      </c>
      <c r="H746">
        <v>233.69</v>
      </c>
      <c r="I746">
        <v>28.97</v>
      </c>
      <c r="J746">
        <v>61.33</v>
      </c>
      <c r="K746">
        <v>139.1</v>
      </c>
      <c r="M746" s="125">
        <f ca="1">IFERROR(__xludf.DUMMYFUNCTION("""COMPUTED_VALUE"""),44320.6666666666)</f>
        <v>44320.666666666599</v>
      </c>
      <c r="N746">
        <f ca="1">IFERROR(__xludf.DUMMYFUNCTION("""COMPUTED_VALUE"""),37.8)</f>
        <v>37.799999999999997</v>
      </c>
      <c r="O746" s="125">
        <f ca="1">IFERROR(__xludf.DUMMYFUNCTION("""COMPUTED_VALUE"""),43784.6666666666)</f>
        <v>43784.666666666599</v>
      </c>
      <c r="P746">
        <f ca="1">IFERROR(__xludf.DUMMYFUNCTION("""COMPUTED_VALUE"""),33.63)</f>
        <v>33.630000000000003</v>
      </c>
    </row>
    <row r="747" spans="2:16" ht="12.75">
      <c r="B747" s="125">
        <f ca="1">IFERROR(__xludf.DUMMYFUNCTION("""COMPUTED_VALUE"""),43787.6666666666)</f>
        <v>43787.666666666599</v>
      </c>
      <c r="C747">
        <f ca="1">IFERROR(__xludf.DUMMYFUNCTION("""COMPUTED_VALUE"""),33.65)</f>
        <v>33.65</v>
      </c>
      <c r="D747">
        <v>29.89</v>
      </c>
      <c r="E747">
        <v>26.76</v>
      </c>
      <c r="F747">
        <v>32.86</v>
      </c>
      <c r="G747">
        <v>10.67</v>
      </c>
      <c r="H747">
        <v>233.39</v>
      </c>
      <c r="I747">
        <v>28.9</v>
      </c>
      <c r="J747">
        <v>61.65</v>
      </c>
      <c r="K747">
        <v>139.21</v>
      </c>
      <c r="M747" s="125">
        <f ca="1">IFERROR(__xludf.DUMMYFUNCTION("""COMPUTED_VALUE"""),44321.6666666666)</f>
        <v>44321.666666666599</v>
      </c>
      <c r="N747">
        <f ca="1">IFERROR(__xludf.DUMMYFUNCTION("""COMPUTED_VALUE"""),37.48)</f>
        <v>37.479999999999997</v>
      </c>
      <c r="O747" s="125">
        <f ca="1">IFERROR(__xludf.DUMMYFUNCTION("""COMPUTED_VALUE"""),43787.6666666666)</f>
        <v>43787.666666666599</v>
      </c>
      <c r="P747">
        <f ca="1">IFERROR(__xludf.DUMMYFUNCTION("""COMPUTED_VALUE"""),33.65)</f>
        <v>33.65</v>
      </c>
    </row>
    <row r="748" spans="2:16" ht="12.75">
      <c r="B748" s="125">
        <f ca="1">IFERROR(__xludf.DUMMYFUNCTION("""COMPUTED_VALUE"""),43788.6666666666)</f>
        <v>43788.666666666599</v>
      </c>
      <c r="C748">
        <f ca="1">IFERROR(__xludf.DUMMYFUNCTION("""COMPUTED_VALUE"""),33.45)</f>
        <v>33.450000000000003</v>
      </c>
      <c r="D748">
        <v>29.87</v>
      </c>
      <c r="E748">
        <v>26.79</v>
      </c>
      <c r="F748">
        <v>32.76</v>
      </c>
      <c r="G748">
        <v>10.69</v>
      </c>
      <c r="H748">
        <v>232.55</v>
      </c>
      <c r="I748">
        <v>28.88</v>
      </c>
      <c r="J748">
        <v>61.57</v>
      </c>
      <c r="K748">
        <v>139.03</v>
      </c>
      <c r="M748" s="125">
        <f ca="1">IFERROR(__xludf.DUMMYFUNCTION("""COMPUTED_VALUE"""),44322.6666666666)</f>
        <v>44322.666666666599</v>
      </c>
      <c r="N748">
        <f ca="1">IFERROR(__xludf.DUMMYFUNCTION("""COMPUTED_VALUE"""),37.42)</f>
        <v>37.42</v>
      </c>
      <c r="O748" s="125">
        <f ca="1">IFERROR(__xludf.DUMMYFUNCTION("""COMPUTED_VALUE"""),43788.6666666666)</f>
        <v>43788.666666666599</v>
      </c>
      <c r="P748">
        <f ca="1">IFERROR(__xludf.DUMMYFUNCTION("""COMPUTED_VALUE"""),33.45)</f>
        <v>33.450000000000003</v>
      </c>
    </row>
    <row r="749" spans="2:16" ht="12.75">
      <c r="B749" s="125">
        <f ca="1">IFERROR(__xludf.DUMMYFUNCTION("""COMPUTED_VALUE"""),43789.6666666666)</f>
        <v>43789.666666666599</v>
      </c>
      <c r="C749">
        <f ca="1">IFERROR(__xludf.DUMMYFUNCTION("""COMPUTED_VALUE"""),32.47)</f>
        <v>32.47</v>
      </c>
      <c r="D749">
        <v>29.75</v>
      </c>
      <c r="E749">
        <v>26.79</v>
      </c>
      <c r="F749">
        <v>32.51</v>
      </c>
      <c r="G749">
        <v>10.59</v>
      </c>
      <c r="H749">
        <v>232.8</v>
      </c>
      <c r="I749">
        <v>28.75</v>
      </c>
      <c r="J749">
        <v>61.71</v>
      </c>
      <c r="K749">
        <v>139.77000000000001</v>
      </c>
      <c r="M749" s="125">
        <f ca="1">IFERROR(__xludf.DUMMYFUNCTION("""COMPUTED_VALUE"""),44323.6666666666)</f>
        <v>44323.666666666599</v>
      </c>
      <c r="N749">
        <f ca="1">IFERROR(__xludf.DUMMYFUNCTION("""COMPUTED_VALUE"""),37.85)</f>
        <v>37.85</v>
      </c>
      <c r="O749" s="125">
        <f ca="1">IFERROR(__xludf.DUMMYFUNCTION("""COMPUTED_VALUE"""),43789.6666666666)</f>
        <v>43789.666666666599</v>
      </c>
      <c r="P749">
        <f ca="1">IFERROR(__xludf.DUMMYFUNCTION("""COMPUTED_VALUE"""),32.47)</f>
        <v>32.47</v>
      </c>
    </row>
    <row r="750" spans="2:16" ht="12.75">
      <c r="B750" s="125">
        <f ca="1">IFERROR(__xludf.DUMMYFUNCTION("""COMPUTED_VALUE"""),43790.6666666666)</f>
        <v>43790.666666666599</v>
      </c>
      <c r="C750">
        <f ca="1">IFERROR(__xludf.DUMMYFUNCTION("""COMPUTED_VALUE"""),32.62)</f>
        <v>32.619999999999997</v>
      </c>
      <c r="D750">
        <v>29.57</v>
      </c>
      <c r="E750">
        <v>26.83</v>
      </c>
      <c r="F750">
        <v>32.36</v>
      </c>
      <c r="G750">
        <v>10.61</v>
      </c>
      <c r="H750">
        <v>230.71</v>
      </c>
      <c r="I750">
        <v>28.82</v>
      </c>
      <c r="J750">
        <v>61.4</v>
      </c>
      <c r="K750">
        <v>139.33000000000001</v>
      </c>
      <c r="M750" s="125">
        <f ca="1">IFERROR(__xludf.DUMMYFUNCTION("""COMPUTED_VALUE"""),44326.6666666666)</f>
        <v>44326.666666666599</v>
      </c>
      <c r="N750">
        <f ca="1">IFERROR(__xludf.DUMMYFUNCTION("""COMPUTED_VALUE"""),37.7)</f>
        <v>37.700000000000003</v>
      </c>
      <c r="O750" s="125">
        <f ca="1">IFERROR(__xludf.DUMMYFUNCTION("""COMPUTED_VALUE"""),43790.6666666666)</f>
        <v>43790.666666666599</v>
      </c>
      <c r="P750">
        <f ca="1">IFERROR(__xludf.DUMMYFUNCTION("""COMPUTED_VALUE"""),32.62)</f>
        <v>32.619999999999997</v>
      </c>
    </row>
    <row r="751" spans="2:16" ht="12.75">
      <c r="B751" s="125">
        <f ca="1">IFERROR(__xludf.DUMMYFUNCTION("""COMPUTED_VALUE"""),43791.6666666666)</f>
        <v>43791.666666666599</v>
      </c>
      <c r="C751">
        <f ca="1">IFERROR(__xludf.DUMMYFUNCTION("""COMPUTED_VALUE"""),33.27)</f>
        <v>33.270000000000003</v>
      </c>
      <c r="D751">
        <v>29.83</v>
      </c>
      <c r="E751">
        <v>26.91</v>
      </c>
      <c r="F751">
        <v>32.43</v>
      </c>
      <c r="G751">
        <v>10.6</v>
      </c>
      <c r="H751">
        <v>231.18</v>
      </c>
      <c r="I751">
        <v>28.9</v>
      </c>
      <c r="J751">
        <v>61.3</v>
      </c>
      <c r="K751">
        <v>139.41999999999999</v>
      </c>
      <c r="M751" s="125">
        <f ca="1">IFERROR(__xludf.DUMMYFUNCTION("""COMPUTED_VALUE"""),44327.6666666666)</f>
        <v>44327.666666666599</v>
      </c>
      <c r="N751">
        <f ca="1">IFERROR(__xludf.DUMMYFUNCTION("""COMPUTED_VALUE"""),37.43)</f>
        <v>37.43</v>
      </c>
      <c r="O751" s="125">
        <f ca="1">IFERROR(__xludf.DUMMYFUNCTION("""COMPUTED_VALUE"""),43791.6666666666)</f>
        <v>43791.666666666599</v>
      </c>
      <c r="P751">
        <f ca="1">IFERROR(__xludf.DUMMYFUNCTION("""COMPUTED_VALUE"""),33.27)</f>
        <v>33.270000000000003</v>
      </c>
    </row>
    <row r="752" spans="2:16" ht="12.75">
      <c r="B752" s="125">
        <f ca="1">IFERROR(__xludf.DUMMYFUNCTION("""COMPUTED_VALUE"""),43794.6666666666)</f>
        <v>43794.666666666599</v>
      </c>
      <c r="C752">
        <f ca="1">IFERROR(__xludf.DUMMYFUNCTION("""COMPUTED_VALUE"""),34.01)</f>
        <v>34.01</v>
      </c>
      <c r="D752">
        <v>30.24</v>
      </c>
      <c r="E752">
        <v>26.93</v>
      </c>
      <c r="F752">
        <v>32.6</v>
      </c>
      <c r="G752">
        <v>10.8</v>
      </c>
      <c r="H752">
        <v>231.68</v>
      </c>
      <c r="I752">
        <v>29.07</v>
      </c>
      <c r="J752">
        <v>61.37</v>
      </c>
      <c r="K752">
        <v>139.01</v>
      </c>
      <c r="M752" s="125">
        <f ca="1">IFERROR(__xludf.DUMMYFUNCTION("""COMPUTED_VALUE"""),44328.6666666666)</f>
        <v>44328.666666666599</v>
      </c>
      <c r="N752">
        <f ca="1">IFERROR(__xludf.DUMMYFUNCTION("""COMPUTED_VALUE"""),36.86)</f>
        <v>36.86</v>
      </c>
      <c r="O752" s="125">
        <f ca="1">IFERROR(__xludf.DUMMYFUNCTION("""COMPUTED_VALUE"""),43794.6666666666)</f>
        <v>43794.666666666599</v>
      </c>
      <c r="P752">
        <f ca="1">IFERROR(__xludf.DUMMYFUNCTION("""COMPUTED_VALUE"""),34.01)</f>
        <v>34.01</v>
      </c>
    </row>
    <row r="753" spans="2:16" ht="12.75">
      <c r="B753" s="125">
        <f ca="1">IFERROR(__xludf.DUMMYFUNCTION("""COMPUTED_VALUE"""),43795.6666666666)</f>
        <v>43795.666666666599</v>
      </c>
      <c r="C753">
        <f ca="1">IFERROR(__xludf.DUMMYFUNCTION("""COMPUTED_VALUE"""),33.86)</f>
        <v>33.86</v>
      </c>
      <c r="D753">
        <v>30.37</v>
      </c>
      <c r="E753">
        <v>26.9</v>
      </c>
      <c r="F753">
        <v>32.72</v>
      </c>
      <c r="G753">
        <v>10.84</v>
      </c>
      <c r="H753">
        <v>232.81</v>
      </c>
      <c r="I753">
        <v>29.07</v>
      </c>
      <c r="J753">
        <v>61.87</v>
      </c>
      <c r="K753">
        <v>139.54</v>
      </c>
      <c r="M753" s="125">
        <f ca="1">IFERROR(__xludf.DUMMYFUNCTION("""COMPUTED_VALUE"""),44329.6666666666)</f>
        <v>44329.666666666599</v>
      </c>
      <c r="N753">
        <f ca="1">IFERROR(__xludf.DUMMYFUNCTION("""COMPUTED_VALUE"""),37.05)</f>
        <v>37.049999999999997</v>
      </c>
      <c r="O753" s="125">
        <f ca="1">IFERROR(__xludf.DUMMYFUNCTION("""COMPUTED_VALUE"""),43795.6666666666)</f>
        <v>43795.666666666599</v>
      </c>
      <c r="P753">
        <f ca="1">IFERROR(__xludf.DUMMYFUNCTION("""COMPUTED_VALUE"""),33.86)</f>
        <v>33.86</v>
      </c>
    </row>
    <row r="754" spans="2:16" ht="12.75">
      <c r="B754" s="125">
        <f ca="1">IFERROR(__xludf.DUMMYFUNCTION("""COMPUTED_VALUE"""),43796.6666666666)</f>
        <v>43796.666666666599</v>
      </c>
      <c r="C754">
        <f ca="1">IFERROR(__xludf.DUMMYFUNCTION("""COMPUTED_VALUE"""),34.05)</f>
        <v>34.049999999999997</v>
      </c>
      <c r="D754">
        <v>30.57</v>
      </c>
      <c r="E754">
        <v>26.94</v>
      </c>
      <c r="F754">
        <v>32.71</v>
      </c>
      <c r="G754">
        <v>10.98</v>
      </c>
      <c r="H754">
        <v>232.48</v>
      </c>
      <c r="I754">
        <v>29.17</v>
      </c>
      <c r="J754">
        <v>62.02</v>
      </c>
      <c r="K754">
        <v>139.82</v>
      </c>
      <c r="M754" s="125">
        <f ca="1">IFERROR(__xludf.DUMMYFUNCTION("""COMPUTED_VALUE"""),44330.6666666666)</f>
        <v>44330.666666666599</v>
      </c>
      <c r="N754">
        <f ca="1">IFERROR(__xludf.DUMMYFUNCTION("""COMPUTED_VALUE"""),37.52)</f>
        <v>37.520000000000003</v>
      </c>
      <c r="O754" s="125">
        <f ca="1">IFERROR(__xludf.DUMMYFUNCTION("""COMPUTED_VALUE"""),43796.6666666666)</f>
        <v>43796.666666666599</v>
      </c>
      <c r="P754">
        <f ca="1">IFERROR(__xludf.DUMMYFUNCTION("""COMPUTED_VALUE"""),34.05)</f>
        <v>34.049999999999997</v>
      </c>
    </row>
    <row r="755" spans="2:16" ht="12.75">
      <c r="B755" s="125">
        <f ca="1">IFERROR(__xludf.DUMMYFUNCTION("""COMPUTED_VALUE"""),43798.5416666666)</f>
        <v>43798.541666666599</v>
      </c>
      <c r="C755">
        <f ca="1">IFERROR(__xludf.DUMMYFUNCTION("""COMPUTED_VALUE"""),33.77)</f>
        <v>33.770000000000003</v>
      </c>
      <c r="D755">
        <v>30.53</v>
      </c>
      <c r="E755">
        <v>26.91</v>
      </c>
      <c r="F755">
        <v>32.6</v>
      </c>
      <c r="G755">
        <v>11.01</v>
      </c>
      <c r="H755">
        <v>231.54</v>
      </c>
      <c r="I755">
        <v>29</v>
      </c>
      <c r="J755">
        <v>62</v>
      </c>
      <c r="K755">
        <v>139.59</v>
      </c>
      <c r="M755" s="125">
        <f ca="1">IFERROR(__xludf.DUMMYFUNCTION("""COMPUTED_VALUE"""),44333.6666666666)</f>
        <v>44333.666666666599</v>
      </c>
      <c r="N755">
        <f ca="1">IFERROR(__xludf.DUMMYFUNCTION("""COMPUTED_VALUE"""),37.59)</f>
        <v>37.590000000000003</v>
      </c>
      <c r="O755" s="125">
        <f ca="1">IFERROR(__xludf.DUMMYFUNCTION("""COMPUTED_VALUE"""),43798.5416666666)</f>
        <v>43798.541666666599</v>
      </c>
      <c r="P755">
        <f ca="1">IFERROR(__xludf.DUMMYFUNCTION("""COMPUTED_VALUE"""),33.77)</f>
        <v>33.770000000000003</v>
      </c>
    </row>
    <row r="756" spans="2:16" ht="12.75">
      <c r="B756" s="125">
        <f ca="1">IFERROR(__xludf.DUMMYFUNCTION("""COMPUTED_VALUE"""),43801.6666666666)</f>
        <v>43801.666666666599</v>
      </c>
      <c r="C756">
        <f ca="1">IFERROR(__xludf.DUMMYFUNCTION("""COMPUTED_VALUE"""),33.45)</f>
        <v>33.450000000000003</v>
      </c>
      <c r="D756">
        <v>29.95</v>
      </c>
      <c r="E756">
        <v>26.8</v>
      </c>
      <c r="F756">
        <v>32.299999999999997</v>
      </c>
      <c r="G756">
        <v>11.01</v>
      </c>
      <c r="H756">
        <v>226.46</v>
      </c>
      <c r="I756">
        <v>28.54</v>
      </c>
      <c r="J756">
        <v>62.14</v>
      </c>
      <c r="K756">
        <v>138.47</v>
      </c>
      <c r="M756" s="125">
        <f ca="1">IFERROR(__xludf.DUMMYFUNCTION("""COMPUTED_VALUE"""),44334.6666666666)</f>
        <v>44334.666666666599</v>
      </c>
      <c r="N756">
        <f ca="1">IFERROR(__xludf.DUMMYFUNCTION("""COMPUTED_VALUE"""),37.78)</f>
        <v>37.78</v>
      </c>
      <c r="O756" s="125">
        <f ca="1">IFERROR(__xludf.DUMMYFUNCTION("""COMPUTED_VALUE"""),43801.6666666666)</f>
        <v>43801.666666666599</v>
      </c>
      <c r="P756">
        <f ca="1">IFERROR(__xludf.DUMMYFUNCTION("""COMPUTED_VALUE"""),33.45)</f>
        <v>33.450000000000003</v>
      </c>
    </row>
    <row r="757" spans="2:16" ht="12.75">
      <c r="B757" s="125">
        <f ca="1">IFERROR(__xludf.DUMMYFUNCTION("""COMPUTED_VALUE"""),43802.6666666666)</f>
        <v>43802.666666666599</v>
      </c>
      <c r="C757">
        <f ca="1">IFERROR(__xludf.DUMMYFUNCTION("""COMPUTED_VALUE"""),33.21)</f>
        <v>33.21</v>
      </c>
      <c r="D757">
        <v>29.88</v>
      </c>
      <c r="E757">
        <v>26.77</v>
      </c>
      <c r="F757">
        <v>32.25</v>
      </c>
      <c r="G757">
        <v>11.09</v>
      </c>
      <c r="H757">
        <v>225.72</v>
      </c>
      <c r="I757">
        <v>28.69</v>
      </c>
      <c r="J757">
        <v>62.04</v>
      </c>
      <c r="K757">
        <v>138.99</v>
      </c>
      <c r="M757" s="125">
        <f ca="1">IFERROR(__xludf.DUMMYFUNCTION("""COMPUTED_VALUE"""),44335.6666666666)</f>
        <v>44335.666666666599</v>
      </c>
      <c r="N757">
        <f ca="1">IFERROR(__xludf.DUMMYFUNCTION("""COMPUTED_VALUE"""),37.61)</f>
        <v>37.61</v>
      </c>
      <c r="O757" s="125">
        <f ca="1">IFERROR(__xludf.DUMMYFUNCTION("""COMPUTED_VALUE"""),43802.6666666666)</f>
        <v>43802.666666666599</v>
      </c>
      <c r="P757">
        <f ca="1">IFERROR(__xludf.DUMMYFUNCTION("""COMPUTED_VALUE"""),33.21)</f>
        <v>33.21</v>
      </c>
    </row>
    <row r="758" spans="2:16" ht="12.75">
      <c r="B758" s="125">
        <f ca="1">IFERROR(__xludf.DUMMYFUNCTION("""COMPUTED_VALUE"""),43803.6666666666)</f>
        <v>43803.666666666599</v>
      </c>
      <c r="C758">
        <f ca="1">IFERROR(__xludf.DUMMYFUNCTION("""COMPUTED_VALUE"""),33.25)</f>
        <v>33.25</v>
      </c>
      <c r="D758">
        <v>30.01</v>
      </c>
      <c r="E758">
        <v>26.74</v>
      </c>
      <c r="F758">
        <v>32.58</v>
      </c>
      <c r="G758">
        <v>11.16</v>
      </c>
      <c r="H758">
        <v>226.08</v>
      </c>
      <c r="I758">
        <v>28.91</v>
      </c>
      <c r="J758">
        <v>62.45</v>
      </c>
      <c r="K758">
        <v>139.94999999999999</v>
      </c>
      <c r="M758" s="125">
        <f ca="1">IFERROR(__xludf.DUMMYFUNCTION("""COMPUTED_VALUE"""),44336.6666666666)</f>
        <v>44336.666666666599</v>
      </c>
      <c r="N758">
        <f ca="1">IFERROR(__xludf.DUMMYFUNCTION("""COMPUTED_VALUE"""),38.08)</f>
        <v>38.08</v>
      </c>
      <c r="O758" s="125">
        <f ca="1">IFERROR(__xludf.DUMMYFUNCTION("""COMPUTED_VALUE"""),43803.6666666666)</f>
        <v>43803.666666666599</v>
      </c>
      <c r="P758">
        <f ca="1">IFERROR(__xludf.DUMMYFUNCTION("""COMPUTED_VALUE"""),33.25)</f>
        <v>33.25</v>
      </c>
    </row>
    <row r="759" spans="2:16" ht="12.75">
      <c r="B759" s="125">
        <f ca="1">IFERROR(__xludf.DUMMYFUNCTION("""COMPUTED_VALUE"""),43804.6666666666)</f>
        <v>43804.666666666599</v>
      </c>
      <c r="C759">
        <f ca="1">IFERROR(__xludf.DUMMYFUNCTION("""COMPUTED_VALUE"""),33.51)</f>
        <v>33.51</v>
      </c>
      <c r="D759">
        <v>30.01</v>
      </c>
      <c r="E759">
        <v>26.68</v>
      </c>
      <c r="F759">
        <v>32.67</v>
      </c>
      <c r="G759">
        <v>11.12</v>
      </c>
      <c r="H759">
        <v>226.24</v>
      </c>
      <c r="I759">
        <v>28.74</v>
      </c>
      <c r="J759">
        <v>62.43</v>
      </c>
      <c r="K759">
        <v>140.08000000000001</v>
      </c>
      <c r="M759" s="125">
        <f ca="1">IFERROR(__xludf.DUMMYFUNCTION("""COMPUTED_VALUE"""),44337.6666666666)</f>
        <v>44337.666666666599</v>
      </c>
      <c r="N759">
        <f ca="1">IFERROR(__xludf.DUMMYFUNCTION("""COMPUTED_VALUE"""),38.04)</f>
        <v>38.04</v>
      </c>
      <c r="O759" s="125">
        <f ca="1">IFERROR(__xludf.DUMMYFUNCTION("""COMPUTED_VALUE"""),43804.6666666666)</f>
        <v>43804.666666666599</v>
      </c>
      <c r="P759">
        <f ca="1">IFERROR(__xludf.DUMMYFUNCTION("""COMPUTED_VALUE"""),33.51)</f>
        <v>33.51</v>
      </c>
    </row>
    <row r="760" spans="2:16" ht="12.75">
      <c r="B760" s="125">
        <f ca="1">IFERROR(__xludf.DUMMYFUNCTION("""COMPUTED_VALUE"""),43805.6666666666)</f>
        <v>43805.666666666599</v>
      </c>
      <c r="C760">
        <f ca="1">IFERROR(__xludf.DUMMYFUNCTION("""COMPUTED_VALUE"""),33.94)</f>
        <v>33.94</v>
      </c>
      <c r="D760">
        <v>30.04</v>
      </c>
      <c r="E760">
        <v>26.78</v>
      </c>
      <c r="F760">
        <v>33.07</v>
      </c>
      <c r="G760">
        <v>11.22</v>
      </c>
      <c r="H760">
        <v>228.68</v>
      </c>
      <c r="I760">
        <v>28.92</v>
      </c>
      <c r="J760">
        <v>62.67</v>
      </c>
      <c r="K760">
        <v>139.84</v>
      </c>
      <c r="M760" s="125">
        <f ca="1">IFERROR(__xludf.DUMMYFUNCTION("""COMPUTED_VALUE"""),44340.6666666666)</f>
        <v>44340.666666666599</v>
      </c>
      <c r="N760">
        <f ca="1">IFERROR(__xludf.DUMMYFUNCTION("""COMPUTED_VALUE"""),38.25)</f>
        <v>38.25</v>
      </c>
      <c r="O760" s="125">
        <f ca="1">IFERROR(__xludf.DUMMYFUNCTION("""COMPUTED_VALUE"""),43805.6666666666)</f>
        <v>43805.666666666599</v>
      </c>
      <c r="P760">
        <f ca="1">IFERROR(__xludf.DUMMYFUNCTION("""COMPUTED_VALUE"""),33.94)</f>
        <v>33.94</v>
      </c>
    </row>
    <row r="761" spans="2:16" ht="12.75">
      <c r="B761" s="125">
        <f ca="1">IFERROR(__xludf.DUMMYFUNCTION("""COMPUTED_VALUE"""),43808.6666666666)</f>
        <v>43808.666666666599</v>
      </c>
      <c r="C761">
        <f ca="1">IFERROR(__xludf.DUMMYFUNCTION("""COMPUTED_VALUE"""),33.63)</f>
        <v>33.630000000000003</v>
      </c>
      <c r="D761">
        <v>29.77</v>
      </c>
      <c r="E761">
        <v>26.75</v>
      </c>
      <c r="F761">
        <v>32.99</v>
      </c>
      <c r="G761">
        <v>11.17</v>
      </c>
      <c r="H761">
        <v>227.05</v>
      </c>
      <c r="I761">
        <v>28.71</v>
      </c>
      <c r="J761">
        <v>62.72</v>
      </c>
      <c r="K761">
        <v>139.29</v>
      </c>
      <c r="M761" s="125">
        <f ca="1">IFERROR(__xludf.DUMMYFUNCTION("""COMPUTED_VALUE"""),44341.6666666666)</f>
        <v>44341.666666666599</v>
      </c>
      <c r="N761">
        <f ca="1">IFERROR(__xludf.DUMMYFUNCTION("""COMPUTED_VALUE"""),38.49)</f>
        <v>38.49</v>
      </c>
      <c r="O761" s="125">
        <f ca="1">IFERROR(__xludf.DUMMYFUNCTION("""COMPUTED_VALUE"""),43808.6666666666)</f>
        <v>43808.666666666599</v>
      </c>
      <c r="P761">
        <f ca="1">IFERROR(__xludf.DUMMYFUNCTION("""COMPUTED_VALUE"""),33.63)</f>
        <v>33.630000000000003</v>
      </c>
    </row>
    <row r="762" spans="2:16" ht="12.75">
      <c r="B762" s="125">
        <f ca="1">IFERROR(__xludf.DUMMYFUNCTION("""COMPUTED_VALUE"""),43809.6666666666)</f>
        <v>43809.666666666599</v>
      </c>
      <c r="C762">
        <f ca="1">IFERROR(__xludf.DUMMYFUNCTION("""COMPUTED_VALUE"""),33.62)</f>
        <v>33.619999999999997</v>
      </c>
      <c r="D762">
        <v>29.49</v>
      </c>
      <c r="E762">
        <v>26.72</v>
      </c>
      <c r="F762">
        <v>32.950000000000003</v>
      </c>
      <c r="G762">
        <v>11.09</v>
      </c>
      <c r="H762">
        <v>226.53</v>
      </c>
      <c r="I762">
        <v>28.71</v>
      </c>
      <c r="J762">
        <v>62.52</v>
      </c>
      <c r="K762">
        <v>139.28</v>
      </c>
      <c r="M762" s="125">
        <f ca="1">IFERROR(__xludf.DUMMYFUNCTION("""COMPUTED_VALUE"""),44342.6666666666)</f>
        <v>44342.666666666599</v>
      </c>
      <c r="N762">
        <f ca="1">IFERROR(__xludf.DUMMYFUNCTION("""COMPUTED_VALUE"""),38.62)</f>
        <v>38.619999999999997</v>
      </c>
      <c r="O762" s="125">
        <f ca="1">IFERROR(__xludf.DUMMYFUNCTION("""COMPUTED_VALUE"""),43809.6666666666)</f>
        <v>43809.666666666599</v>
      </c>
      <c r="P762">
        <f ca="1">IFERROR(__xludf.DUMMYFUNCTION("""COMPUTED_VALUE"""),33.62)</f>
        <v>33.619999999999997</v>
      </c>
    </row>
    <row r="763" spans="2:16" ht="12.75">
      <c r="B763" s="125">
        <f ca="1">IFERROR(__xludf.DUMMYFUNCTION("""COMPUTED_VALUE"""),43810.6666666666)</f>
        <v>43810.666666666599</v>
      </c>
      <c r="C763">
        <f ca="1">IFERROR(__xludf.DUMMYFUNCTION("""COMPUTED_VALUE"""),33.97)</f>
        <v>33.97</v>
      </c>
      <c r="D763">
        <v>29.44</v>
      </c>
      <c r="E763">
        <v>26.62</v>
      </c>
      <c r="F763">
        <v>33.14</v>
      </c>
      <c r="G763">
        <v>11.25</v>
      </c>
      <c r="H763">
        <v>228</v>
      </c>
      <c r="I763">
        <v>28.86</v>
      </c>
      <c r="J763">
        <v>62.61</v>
      </c>
      <c r="K763">
        <v>139.74</v>
      </c>
      <c r="M763" s="125">
        <f ca="1">IFERROR(__xludf.DUMMYFUNCTION("""COMPUTED_VALUE"""),44343.6666666666)</f>
        <v>44343.666666666599</v>
      </c>
      <c r="N763">
        <f ca="1">IFERROR(__xludf.DUMMYFUNCTION("""COMPUTED_VALUE"""),38.64)</f>
        <v>38.64</v>
      </c>
      <c r="O763" s="125">
        <f ca="1">IFERROR(__xludf.DUMMYFUNCTION("""COMPUTED_VALUE"""),43810.6666666666)</f>
        <v>43810.666666666599</v>
      </c>
      <c r="P763">
        <f ca="1">IFERROR(__xludf.DUMMYFUNCTION("""COMPUTED_VALUE"""),33.97)</f>
        <v>33.97</v>
      </c>
    </row>
    <row r="764" spans="2:16" ht="12.75">
      <c r="B764" s="125">
        <f ca="1">IFERROR(__xludf.DUMMYFUNCTION("""COMPUTED_VALUE"""),43811.6666666666)</f>
        <v>43811.666666666599</v>
      </c>
      <c r="C764">
        <f ca="1">IFERROR(__xludf.DUMMYFUNCTION("""COMPUTED_VALUE"""),34.51)</f>
        <v>34.51</v>
      </c>
      <c r="D764">
        <v>29.65</v>
      </c>
      <c r="E764">
        <v>26.66</v>
      </c>
      <c r="F764">
        <v>33.369999999999997</v>
      </c>
      <c r="G764">
        <v>11.33</v>
      </c>
      <c r="H764">
        <v>228.11</v>
      </c>
      <c r="I764">
        <v>29.12</v>
      </c>
      <c r="J764">
        <v>62.56</v>
      </c>
      <c r="K764">
        <v>139.09</v>
      </c>
      <c r="M764" s="125">
        <f ca="1">IFERROR(__xludf.DUMMYFUNCTION("""COMPUTED_VALUE"""),44344.6666666666)</f>
        <v>44344.666666666599</v>
      </c>
      <c r="N764">
        <f ca="1">IFERROR(__xludf.DUMMYFUNCTION("""COMPUTED_VALUE"""),38.7)</f>
        <v>38.700000000000003</v>
      </c>
      <c r="O764" s="125">
        <f ca="1">IFERROR(__xludf.DUMMYFUNCTION("""COMPUTED_VALUE"""),43811.6666666666)</f>
        <v>43811.666666666599</v>
      </c>
      <c r="P764">
        <f ca="1">IFERROR(__xludf.DUMMYFUNCTION("""COMPUTED_VALUE"""),34.51)</f>
        <v>34.51</v>
      </c>
    </row>
    <row r="765" spans="2:16" ht="12.75">
      <c r="B765" s="125">
        <f ca="1">IFERROR(__xludf.DUMMYFUNCTION("""COMPUTED_VALUE"""),43812.6666666666)</f>
        <v>43812.666666666599</v>
      </c>
      <c r="C765">
        <f ca="1">IFERROR(__xludf.DUMMYFUNCTION("""COMPUTED_VALUE"""),34.54)</f>
        <v>34.54</v>
      </c>
      <c r="D765">
        <v>29.84</v>
      </c>
      <c r="E765">
        <v>26.66</v>
      </c>
      <c r="F765">
        <v>33.56</v>
      </c>
      <c r="G765">
        <v>11.38</v>
      </c>
      <c r="H765">
        <v>227.49</v>
      </c>
      <c r="I765">
        <v>29.25</v>
      </c>
      <c r="J765">
        <v>62.78</v>
      </c>
      <c r="K765">
        <v>140.26</v>
      </c>
      <c r="M765" s="125">
        <f ca="1">IFERROR(__xludf.DUMMYFUNCTION("""COMPUTED_VALUE"""),44348.6666666666)</f>
        <v>44348.666666666599</v>
      </c>
      <c r="N765">
        <f ca="1">IFERROR(__xludf.DUMMYFUNCTION("""COMPUTED_VALUE"""),39.01)</f>
        <v>39.01</v>
      </c>
      <c r="O765" s="125">
        <f ca="1">IFERROR(__xludf.DUMMYFUNCTION("""COMPUTED_VALUE"""),43812.6666666666)</f>
        <v>43812.666666666599</v>
      </c>
      <c r="P765">
        <f ca="1">IFERROR(__xludf.DUMMYFUNCTION("""COMPUTED_VALUE"""),34.54)</f>
        <v>34.54</v>
      </c>
    </row>
    <row r="766" spans="2:16" ht="12.75">
      <c r="B766" s="125">
        <f ca="1">IFERROR(__xludf.DUMMYFUNCTION("""COMPUTED_VALUE"""),43815.6666666666)</f>
        <v>43815.666666666599</v>
      </c>
      <c r="C766">
        <f ca="1">IFERROR(__xludf.DUMMYFUNCTION("""COMPUTED_VALUE"""),35.05)</f>
        <v>35.049999999999997</v>
      </c>
      <c r="D766">
        <v>30.07</v>
      </c>
      <c r="E766">
        <v>26.61</v>
      </c>
      <c r="F766">
        <v>33.729999999999997</v>
      </c>
      <c r="G766">
        <v>11.53</v>
      </c>
      <c r="H766">
        <v>224.77</v>
      </c>
      <c r="I766">
        <v>29.47</v>
      </c>
      <c r="J766">
        <v>63</v>
      </c>
      <c r="K766">
        <v>140.93</v>
      </c>
      <c r="M766" s="125">
        <f ca="1">IFERROR(__xludf.DUMMYFUNCTION("""COMPUTED_VALUE"""),44349.6666666666)</f>
        <v>44349.666666666599</v>
      </c>
      <c r="N766">
        <f ca="1">IFERROR(__xludf.DUMMYFUNCTION("""COMPUTED_VALUE"""),39.64)</f>
        <v>39.64</v>
      </c>
      <c r="O766" s="125">
        <f ca="1">IFERROR(__xludf.DUMMYFUNCTION("""COMPUTED_VALUE"""),43815.6666666666)</f>
        <v>43815.666666666599</v>
      </c>
      <c r="P766">
        <f ca="1">IFERROR(__xludf.DUMMYFUNCTION("""COMPUTED_VALUE"""),35.05)</f>
        <v>35.049999999999997</v>
      </c>
    </row>
    <row r="767" spans="2:16" ht="12.75">
      <c r="B767" s="125">
        <f ca="1">IFERROR(__xludf.DUMMYFUNCTION("""COMPUTED_VALUE"""),43816.6666666666)</f>
        <v>43816.666666666599</v>
      </c>
      <c r="C767">
        <f ca="1">IFERROR(__xludf.DUMMYFUNCTION("""COMPUTED_VALUE"""),35.27)</f>
        <v>35.270000000000003</v>
      </c>
      <c r="D767">
        <v>30</v>
      </c>
      <c r="E767">
        <v>26.66</v>
      </c>
      <c r="F767">
        <v>33.54</v>
      </c>
      <c r="G767">
        <v>11.58</v>
      </c>
      <c r="H767">
        <v>223.24</v>
      </c>
      <c r="I767">
        <v>29.23</v>
      </c>
      <c r="J767">
        <v>62.9</v>
      </c>
      <c r="K767">
        <v>141.32</v>
      </c>
      <c r="M767" s="125">
        <f ca="1">IFERROR(__xludf.DUMMYFUNCTION("""COMPUTED_VALUE"""),44350.6666666666)</f>
        <v>44350.666666666599</v>
      </c>
      <c r="N767">
        <f ca="1">IFERROR(__xludf.DUMMYFUNCTION("""COMPUTED_VALUE"""),39.63)</f>
        <v>39.630000000000003</v>
      </c>
      <c r="O767" s="125">
        <f ca="1">IFERROR(__xludf.DUMMYFUNCTION("""COMPUTED_VALUE"""),43816.6666666666)</f>
        <v>43816.666666666599</v>
      </c>
      <c r="P767">
        <f ca="1">IFERROR(__xludf.DUMMYFUNCTION("""COMPUTED_VALUE"""),35.27)</f>
        <v>35.270000000000003</v>
      </c>
    </row>
    <row r="768" spans="2:16" ht="12.75">
      <c r="B768" s="125">
        <f ca="1">IFERROR(__xludf.DUMMYFUNCTION("""COMPUTED_VALUE"""),43817.6666666666)</f>
        <v>43817.666666666599</v>
      </c>
      <c r="C768">
        <f ca="1">IFERROR(__xludf.DUMMYFUNCTION("""COMPUTED_VALUE"""),35.32)</f>
        <v>35.32</v>
      </c>
      <c r="D768">
        <v>30.12</v>
      </c>
      <c r="E768">
        <v>26.71</v>
      </c>
      <c r="F768">
        <v>33.44</v>
      </c>
      <c r="G768">
        <v>11.56</v>
      </c>
      <c r="H768">
        <v>221.85</v>
      </c>
      <c r="I768">
        <v>29.08</v>
      </c>
      <c r="J768">
        <v>62.8</v>
      </c>
      <c r="K768">
        <v>142.08000000000001</v>
      </c>
      <c r="M768" s="125">
        <f ca="1">IFERROR(__xludf.DUMMYFUNCTION("""COMPUTED_VALUE"""),44351.6666666666)</f>
        <v>44351.666666666599</v>
      </c>
      <c r="N768">
        <f ca="1">IFERROR(__xludf.DUMMYFUNCTION("""COMPUTED_VALUE"""),39.92)</f>
        <v>39.92</v>
      </c>
      <c r="O768" s="125">
        <f ca="1">IFERROR(__xludf.DUMMYFUNCTION("""COMPUTED_VALUE"""),43817.6666666666)</f>
        <v>43817.666666666599</v>
      </c>
      <c r="P768">
        <f ca="1">IFERROR(__xludf.DUMMYFUNCTION("""COMPUTED_VALUE"""),35.32)</f>
        <v>35.32</v>
      </c>
    </row>
    <row r="769" spans="2:16" ht="12.75">
      <c r="B769" s="125">
        <f ca="1">IFERROR(__xludf.DUMMYFUNCTION("""COMPUTED_VALUE"""),43818.6666666666)</f>
        <v>43818.666666666599</v>
      </c>
      <c r="C769">
        <f ca="1">IFERROR(__xludf.DUMMYFUNCTION("""COMPUTED_VALUE"""),35.48)</f>
        <v>35.479999999999997</v>
      </c>
      <c r="D769">
        <v>30.17</v>
      </c>
      <c r="E769">
        <v>26.71</v>
      </c>
      <c r="F769">
        <v>33.44</v>
      </c>
      <c r="G769">
        <v>11.58</v>
      </c>
      <c r="H769">
        <v>223.19</v>
      </c>
      <c r="I769">
        <v>29.09</v>
      </c>
      <c r="J769">
        <v>63.14</v>
      </c>
      <c r="K769">
        <v>141.96</v>
      </c>
      <c r="M769" s="125">
        <f ca="1">IFERROR(__xludf.DUMMYFUNCTION("""COMPUTED_VALUE"""),44354.6666666666)</f>
        <v>44354.666666666599</v>
      </c>
      <c r="N769">
        <f ca="1">IFERROR(__xludf.DUMMYFUNCTION("""COMPUTED_VALUE"""),40.62)</f>
        <v>40.619999999999997</v>
      </c>
      <c r="O769" s="125">
        <f ca="1">IFERROR(__xludf.DUMMYFUNCTION("""COMPUTED_VALUE"""),43818.6666666666)</f>
        <v>43818.666666666599</v>
      </c>
      <c r="P769">
        <f ca="1">IFERROR(__xludf.DUMMYFUNCTION("""COMPUTED_VALUE"""),35.48)</f>
        <v>35.479999999999997</v>
      </c>
    </row>
    <row r="770" spans="2:16" ht="12.75">
      <c r="B770" s="125">
        <f ca="1">IFERROR(__xludf.DUMMYFUNCTION("""COMPUTED_VALUE"""),43819.6666666666)</f>
        <v>43819.666666666599</v>
      </c>
      <c r="C770">
        <f ca="1">IFERROR(__xludf.DUMMYFUNCTION("""COMPUTED_VALUE"""),35.68)</f>
        <v>35.68</v>
      </c>
      <c r="D770">
        <v>30.23</v>
      </c>
      <c r="E770">
        <v>26.8</v>
      </c>
      <c r="F770">
        <v>33.51</v>
      </c>
      <c r="G770">
        <v>11.63</v>
      </c>
      <c r="H770">
        <v>224</v>
      </c>
      <c r="I770">
        <v>29.25</v>
      </c>
      <c r="J770">
        <v>63.1</v>
      </c>
      <c r="K770">
        <v>143.04</v>
      </c>
      <c r="M770" s="125">
        <f ca="1">IFERROR(__xludf.DUMMYFUNCTION("""COMPUTED_VALUE"""),44355.6666666666)</f>
        <v>44355.666666666599</v>
      </c>
      <c r="N770">
        <f ca="1">IFERROR(__xludf.DUMMYFUNCTION("""COMPUTED_VALUE"""),40.93)</f>
        <v>40.93</v>
      </c>
      <c r="O770" s="125">
        <f ca="1">IFERROR(__xludf.DUMMYFUNCTION("""COMPUTED_VALUE"""),43819.6666666666)</f>
        <v>43819.666666666599</v>
      </c>
      <c r="P770">
        <f ca="1">IFERROR(__xludf.DUMMYFUNCTION("""COMPUTED_VALUE"""),35.68)</f>
        <v>35.68</v>
      </c>
    </row>
    <row r="771" spans="2:16" ht="12.75">
      <c r="B771" s="125">
        <f ca="1">IFERROR(__xludf.DUMMYFUNCTION("""COMPUTED_VALUE"""),43822.6666666666)</f>
        <v>43822.666666666599</v>
      </c>
      <c r="C771">
        <f ca="1">IFERROR(__xludf.DUMMYFUNCTION("""COMPUTED_VALUE"""),35.79)</f>
        <v>35.79</v>
      </c>
      <c r="D771">
        <v>30.32</v>
      </c>
      <c r="E771">
        <v>26.26</v>
      </c>
      <c r="F771">
        <v>33.630000000000003</v>
      </c>
      <c r="G771">
        <v>11.71</v>
      </c>
      <c r="H771">
        <v>226.43</v>
      </c>
      <c r="I771">
        <v>29.26</v>
      </c>
      <c r="J771">
        <v>62.83</v>
      </c>
      <c r="K771">
        <v>141.55000000000001</v>
      </c>
      <c r="M771" s="125">
        <f ca="1">IFERROR(__xludf.DUMMYFUNCTION("""COMPUTED_VALUE"""),44356.6666666666)</f>
        <v>44356.666666666599</v>
      </c>
      <c r="N771">
        <f ca="1">IFERROR(__xludf.DUMMYFUNCTION("""COMPUTED_VALUE"""),40.95)</f>
        <v>40.950000000000003</v>
      </c>
      <c r="O771" s="125">
        <f ca="1">IFERROR(__xludf.DUMMYFUNCTION("""COMPUTED_VALUE"""),43822.6666666666)</f>
        <v>43822.666666666599</v>
      </c>
      <c r="P771">
        <f ca="1">IFERROR(__xludf.DUMMYFUNCTION("""COMPUTED_VALUE"""),35.79)</f>
        <v>35.79</v>
      </c>
    </row>
    <row r="772" spans="2:16" ht="12.75">
      <c r="B772" s="125">
        <f ca="1">IFERROR(__xludf.DUMMYFUNCTION("""COMPUTED_VALUE"""),43823.5416666666)</f>
        <v>43823.541666666599</v>
      </c>
      <c r="C772">
        <f ca="1">IFERROR(__xludf.DUMMYFUNCTION("""COMPUTED_VALUE"""),35.33)</f>
        <v>35.33</v>
      </c>
      <c r="D772">
        <v>30.37</v>
      </c>
      <c r="E772">
        <v>26.26</v>
      </c>
      <c r="F772">
        <v>33.549999999999997</v>
      </c>
      <c r="G772">
        <v>11.74</v>
      </c>
      <c r="H772">
        <v>225.1</v>
      </c>
      <c r="I772">
        <v>29.21</v>
      </c>
      <c r="J772">
        <v>62.91</v>
      </c>
      <c r="K772">
        <v>141.62</v>
      </c>
      <c r="M772" s="125">
        <f ca="1">IFERROR(__xludf.DUMMYFUNCTION("""COMPUTED_VALUE"""),44357.6666666666)</f>
        <v>44357.666666666599</v>
      </c>
      <c r="N772">
        <f ca="1">IFERROR(__xludf.DUMMYFUNCTION("""COMPUTED_VALUE"""),41.49)</f>
        <v>41.49</v>
      </c>
      <c r="O772" s="125">
        <f ca="1">IFERROR(__xludf.DUMMYFUNCTION("""COMPUTED_VALUE"""),43823.5416666666)</f>
        <v>43823.541666666599</v>
      </c>
      <c r="P772">
        <f ca="1">IFERROR(__xludf.DUMMYFUNCTION("""COMPUTED_VALUE"""),35.33)</f>
        <v>35.33</v>
      </c>
    </row>
    <row r="773" spans="2:16" ht="12.75">
      <c r="B773" s="125">
        <f ca="1">IFERROR(__xludf.DUMMYFUNCTION("""COMPUTED_VALUE"""),43825.6666666666)</f>
        <v>43825.666666666599</v>
      </c>
      <c r="C773">
        <f ca="1">IFERROR(__xludf.DUMMYFUNCTION("""COMPUTED_VALUE"""),35.54)</f>
        <v>35.54</v>
      </c>
      <c r="D773">
        <v>30.44</v>
      </c>
      <c r="E773">
        <v>26.22</v>
      </c>
      <c r="F773">
        <v>33.76</v>
      </c>
      <c r="G773">
        <v>11.81</v>
      </c>
      <c r="H773">
        <v>224.9</v>
      </c>
      <c r="I773">
        <v>29.28</v>
      </c>
      <c r="J773">
        <v>62.97</v>
      </c>
      <c r="K773">
        <v>141.86000000000001</v>
      </c>
      <c r="M773" s="125">
        <f ca="1">IFERROR(__xludf.DUMMYFUNCTION("""COMPUTED_VALUE"""),44358.6666666666)</f>
        <v>44358.666666666599</v>
      </c>
      <c r="N773">
        <f ca="1">IFERROR(__xludf.DUMMYFUNCTION("""COMPUTED_VALUE"""),41.25)</f>
        <v>41.25</v>
      </c>
      <c r="O773" s="125">
        <f ca="1">IFERROR(__xludf.DUMMYFUNCTION("""COMPUTED_VALUE"""),43825.6666666666)</f>
        <v>43825.666666666599</v>
      </c>
      <c r="P773">
        <f ca="1">IFERROR(__xludf.DUMMYFUNCTION("""COMPUTED_VALUE"""),35.54)</f>
        <v>35.54</v>
      </c>
    </row>
    <row r="774" spans="2:16" ht="12.75">
      <c r="B774" s="125">
        <f ca="1">IFERROR(__xludf.DUMMYFUNCTION("""COMPUTED_VALUE"""),43826.6666666666)</f>
        <v>43826.666666666599</v>
      </c>
      <c r="C774">
        <f ca="1">IFERROR(__xludf.DUMMYFUNCTION("""COMPUTED_VALUE"""),35.59)</f>
        <v>35.590000000000003</v>
      </c>
      <c r="D774">
        <v>30.59</v>
      </c>
      <c r="E774">
        <v>26.09</v>
      </c>
      <c r="F774">
        <v>33.83</v>
      </c>
      <c r="G774">
        <v>11.77</v>
      </c>
      <c r="H774">
        <v>224.31</v>
      </c>
      <c r="I774">
        <v>29.25</v>
      </c>
      <c r="J774">
        <v>63.25</v>
      </c>
      <c r="K774">
        <v>142.25</v>
      </c>
      <c r="M774" s="125">
        <f ca="1">IFERROR(__xludf.DUMMYFUNCTION("""COMPUTED_VALUE"""),44361.6666666666)</f>
        <v>44361.666666666599</v>
      </c>
      <c r="N774">
        <f ca="1">IFERROR(__xludf.DUMMYFUNCTION("""COMPUTED_VALUE"""),41.53)</f>
        <v>41.53</v>
      </c>
      <c r="O774" s="125">
        <f ca="1">IFERROR(__xludf.DUMMYFUNCTION("""COMPUTED_VALUE"""),43826.6666666666)</f>
        <v>43826.666666666599</v>
      </c>
      <c r="P774">
        <f ca="1">IFERROR(__xludf.DUMMYFUNCTION("""COMPUTED_VALUE"""),35.59)</f>
        <v>35.590000000000003</v>
      </c>
    </row>
    <row r="775" spans="2:16" ht="12.75">
      <c r="B775" s="125">
        <f ca="1">IFERROR(__xludf.DUMMYFUNCTION("""COMPUTED_VALUE"""),43829.6666666666)</f>
        <v>43829.666666666599</v>
      </c>
      <c r="C775">
        <f ca="1">IFERROR(__xludf.DUMMYFUNCTION("""COMPUTED_VALUE"""),35.33)</f>
        <v>35.33</v>
      </c>
      <c r="D775">
        <v>30.27</v>
      </c>
      <c r="E775">
        <v>26.04</v>
      </c>
      <c r="F775">
        <v>33.72</v>
      </c>
      <c r="G775">
        <v>11.71</v>
      </c>
      <c r="H775">
        <v>223.05</v>
      </c>
      <c r="I775">
        <v>28.84</v>
      </c>
      <c r="J775">
        <v>62.92</v>
      </c>
      <c r="K775">
        <v>142.25</v>
      </c>
      <c r="M775" s="125">
        <f ca="1">IFERROR(__xludf.DUMMYFUNCTION("""COMPUTED_VALUE"""),44362.6666666666)</f>
        <v>44362.666666666599</v>
      </c>
      <c r="N775">
        <f ca="1">IFERROR(__xludf.DUMMYFUNCTION("""COMPUTED_VALUE"""),41.12)</f>
        <v>41.12</v>
      </c>
      <c r="O775" s="125">
        <f ca="1">IFERROR(__xludf.DUMMYFUNCTION("""COMPUTED_VALUE"""),43829.6666666666)</f>
        <v>43829.666666666599</v>
      </c>
      <c r="P775">
        <f ca="1">IFERROR(__xludf.DUMMYFUNCTION("""COMPUTED_VALUE"""),35.33)</f>
        <v>35.33</v>
      </c>
    </row>
    <row r="776" spans="2:16" ht="12.75">
      <c r="B776" s="125">
        <f ca="1">IFERROR(__xludf.DUMMYFUNCTION("""COMPUTED_VALUE"""),43830.6666666666)</f>
        <v>43830.666666666599</v>
      </c>
      <c r="C776">
        <f ca="1">IFERROR(__xludf.DUMMYFUNCTION("""COMPUTED_VALUE"""),35.3)</f>
        <v>35.299999999999997</v>
      </c>
      <c r="D776">
        <v>30.38</v>
      </c>
      <c r="E776">
        <v>25.97</v>
      </c>
      <c r="F776">
        <v>33.86</v>
      </c>
      <c r="G776">
        <v>11.75</v>
      </c>
      <c r="H776">
        <v>222.08</v>
      </c>
      <c r="I776">
        <v>28.99</v>
      </c>
      <c r="J776">
        <v>62.98</v>
      </c>
      <c r="K776">
        <v>142.88999999999999</v>
      </c>
      <c r="M776" s="125">
        <f ca="1">IFERROR(__xludf.DUMMYFUNCTION("""COMPUTED_VALUE"""),44363.6666666666)</f>
        <v>44363.666666666599</v>
      </c>
      <c r="N776">
        <f ca="1">IFERROR(__xludf.DUMMYFUNCTION("""COMPUTED_VALUE"""),40.74)</f>
        <v>40.74</v>
      </c>
      <c r="O776" s="125">
        <f ca="1">IFERROR(__xludf.DUMMYFUNCTION("""COMPUTED_VALUE"""),43830.6666666666)</f>
        <v>43830.666666666599</v>
      </c>
      <c r="P776">
        <f ca="1">IFERROR(__xludf.DUMMYFUNCTION("""COMPUTED_VALUE"""),35.3)</f>
        <v>35.299999999999997</v>
      </c>
    </row>
    <row r="777" spans="2:16" ht="12.75">
      <c r="B777" s="125">
        <f ca="1">IFERROR(__xludf.DUMMYFUNCTION("""COMPUTED_VALUE"""),43832.6666666666)</f>
        <v>43832.666666666599</v>
      </c>
      <c r="C777">
        <f ca="1">IFERROR(__xludf.DUMMYFUNCTION("""COMPUTED_VALUE"""),36.87)</f>
        <v>36.869999999999997</v>
      </c>
      <c r="D777">
        <v>30.84</v>
      </c>
      <c r="E777">
        <v>26.06</v>
      </c>
      <c r="F777">
        <v>34.21</v>
      </c>
      <c r="G777">
        <v>11.93</v>
      </c>
      <c r="H777">
        <v>227.38</v>
      </c>
      <c r="I777">
        <v>29.59</v>
      </c>
      <c r="J777">
        <v>62.48</v>
      </c>
      <c r="K777">
        <v>141.12</v>
      </c>
      <c r="M777" s="125">
        <f ca="1">IFERROR(__xludf.DUMMYFUNCTION("""COMPUTED_VALUE"""),44364.6666666666)</f>
        <v>44364.666666666599</v>
      </c>
      <c r="N777">
        <f ca="1">IFERROR(__xludf.DUMMYFUNCTION("""COMPUTED_VALUE"""),40.92)</f>
        <v>40.92</v>
      </c>
      <c r="O777" s="125">
        <f ca="1">IFERROR(__xludf.DUMMYFUNCTION("""COMPUTED_VALUE"""),43832.6666666666)</f>
        <v>43832.666666666599</v>
      </c>
      <c r="P777">
        <f ca="1">IFERROR(__xludf.DUMMYFUNCTION("""COMPUTED_VALUE"""),36.87)</f>
        <v>36.869999999999997</v>
      </c>
    </row>
    <row r="778" spans="2:16" ht="12.75">
      <c r="B778" s="125">
        <f ca="1">IFERROR(__xludf.DUMMYFUNCTION("""COMPUTED_VALUE"""),43833.6666666666)</f>
        <v>43833.666666666599</v>
      </c>
      <c r="C778">
        <f ca="1">IFERROR(__xludf.DUMMYFUNCTION("""COMPUTED_VALUE"""),36.32)</f>
        <v>36.32</v>
      </c>
      <c r="D778">
        <v>30.66</v>
      </c>
      <c r="E778">
        <v>26.09</v>
      </c>
      <c r="F778">
        <v>33.81</v>
      </c>
      <c r="G778">
        <v>11.87</v>
      </c>
      <c r="H778">
        <v>229.98</v>
      </c>
      <c r="I778">
        <v>29.07</v>
      </c>
      <c r="J778">
        <v>62.38</v>
      </c>
      <c r="K778">
        <v>141.16</v>
      </c>
      <c r="M778" s="125">
        <f ca="1">IFERROR(__xludf.DUMMYFUNCTION("""COMPUTED_VALUE"""),44365.6666666666)</f>
        <v>44365.666666666599</v>
      </c>
      <c r="N778">
        <f ca="1">IFERROR(__xludf.DUMMYFUNCTION("""COMPUTED_VALUE"""),40.67)</f>
        <v>40.67</v>
      </c>
      <c r="O778" s="125">
        <f ca="1">IFERROR(__xludf.DUMMYFUNCTION("""COMPUTED_VALUE"""),43833.6666666666)</f>
        <v>43833.666666666599</v>
      </c>
      <c r="P778">
        <f ca="1">IFERROR(__xludf.DUMMYFUNCTION("""COMPUTED_VALUE"""),36.32)</f>
        <v>36.32</v>
      </c>
    </row>
    <row r="779" spans="2:16" ht="12.75">
      <c r="B779" s="125">
        <f ca="1">IFERROR(__xludf.DUMMYFUNCTION("""COMPUTED_VALUE"""),43836.6666666666)</f>
        <v>43836.666666666599</v>
      </c>
      <c r="C779">
        <f ca="1">IFERROR(__xludf.DUMMYFUNCTION("""COMPUTED_VALUE"""),36.39)</f>
        <v>36.39</v>
      </c>
      <c r="D779">
        <v>30.66</v>
      </c>
      <c r="E779">
        <v>26.03</v>
      </c>
      <c r="F779">
        <v>33.76</v>
      </c>
      <c r="G779">
        <v>11.84</v>
      </c>
      <c r="H779">
        <v>230.29</v>
      </c>
      <c r="I779">
        <v>29.02</v>
      </c>
      <c r="J779">
        <v>62.51</v>
      </c>
      <c r="K779">
        <v>141.44</v>
      </c>
      <c r="M779" s="125">
        <f ca="1">IFERROR(__xludf.DUMMYFUNCTION("""COMPUTED_VALUE"""),44368.6666666666)</f>
        <v>44368.666666666599</v>
      </c>
      <c r="N779">
        <f ca="1">IFERROR(__xludf.DUMMYFUNCTION("""COMPUTED_VALUE"""),40.78)</f>
        <v>40.78</v>
      </c>
      <c r="O779" s="125">
        <f ca="1">IFERROR(__xludf.DUMMYFUNCTION("""COMPUTED_VALUE"""),43836.6666666666)</f>
        <v>43836.666666666599</v>
      </c>
      <c r="P779">
        <f ca="1">IFERROR(__xludf.DUMMYFUNCTION("""COMPUTED_VALUE"""),36.39)</f>
        <v>36.39</v>
      </c>
    </row>
    <row r="780" spans="2:16" ht="12.75">
      <c r="B780" s="125">
        <f ca="1">IFERROR(__xludf.DUMMYFUNCTION("""COMPUTED_VALUE"""),43837.6666666666)</f>
        <v>43837.666666666599</v>
      </c>
      <c r="C780">
        <f ca="1">IFERROR(__xludf.DUMMYFUNCTION("""COMPUTED_VALUE"""),36.86)</f>
        <v>36.86</v>
      </c>
      <c r="D780">
        <v>30.63</v>
      </c>
      <c r="E780">
        <v>26.12</v>
      </c>
      <c r="F780">
        <v>33.700000000000003</v>
      </c>
      <c r="G780">
        <v>11.81</v>
      </c>
      <c r="H780">
        <v>231.33</v>
      </c>
      <c r="I780">
        <v>29.08</v>
      </c>
      <c r="J780">
        <v>62.03</v>
      </c>
      <c r="K780">
        <v>141.08000000000001</v>
      </c>
      <c r="M780" s="125">
        <f ca="1">IFERROR(__xludf.DUMMYFUNCTION("""COMPUTED_VALUE"""),44369.6666666666)</f>
        <v>44369.666666666599</v>
      </c>
      <c r="N780">
        <f ca="1">IFERROR(__xludf.DUMMYFUNCTION("""COMPUTED_VALUE"""),40.62)</f>
        <v>40.619999999999997</v>
      </c>
      <c r="O780" s="125">
        <f ca="1">IFERROR(__xludf.DUMMYFUNCTION("""COMPUTED_VALUE"""),43837.6666666666)</f>
        <v>43837.666666666599</v>
      </c>
      <c r="P780">
        <f ca="1">IFERROR(__xludf.DUMMYFUNCTION("""COMPUTED_VALUE"""),36.86)</f>
        <v>36.86</v>
      </c>
    </row>
    <row r="781" spans="2:16" ht="12.75">
      <c r="B781" s="125">
        <f ca="1">IFERROR(__xludf.DUMMYFUNCTION("""COMPUTED_VALUE"""),43838.6666666666)</f>
        <v>43838.666666666599</v>
      </c>
      <c r="C781">
        <f ca="1">IFERROR(__xludf.DUMMYFUNCTION("""COMPUTED_VALUE"""),36.95)</f>
        <v>36.950000000000003</v>
      </c>
      <c r="D781">
        <v>30.85</v>
      </c>
      <c r="E781">
        <v>26.19</v>
      </c>
      <c r="F781">
        <v>33.840000000000003</v>
      </c>
      <c r="G781">
        <v>11.91</v>
      </c>
      <c r="H781">
        <v>229.79</v>
      </c>
      <c r="I781">
        <v>29.45</v>
      </c>
      <c r="J781">
        <v>62.26</v>
      </c>
      <c r="K781">
        <v>141.08000000000001</v>
      </c>
      <c r="M781" s="125">
        <f ca="1">IFERROR(__xludf.DUMMYFUNCTION("""COMPUTED_VALUE"""),44370.6666666666)</f>
        <v>44370.666666666599</v>
      </c>
      <c r="N781">
        <f ca="1">IFERROR(__xludf.DUMMYFUNCTION("""COMPUTED_VALUE"""),40.27)</f>
        <v>40.270000000000003</v>
      </c>
      <c r="O781" s="125">
        <f ca="1">IFERROR(__xludf.DUMMYFUNCTION("""COMPUTED_VALUE"""),43838.6666666666)</f>
        <v>43838.666666666599</v>
      </c>
      <c r="P781">
        <f ca="1">IFERROR(__xludf.DUMMYFUNCTION("""COMPUTED_VALUE"""),36.95)</f>
        <v>36.950000000000003</v>
      </c>
    </row>
    <row r="782" spans="2:16" ht="12.75">
      <c r="B782" s="125">
        <f ca="1">IFERROR(__xludf.DUMMYFUNCTION("""COMPUTED_VALUE"""),43839.6666666666)</f>
        <v>43839.666666666599</v>
      </c>
      <c r="C782">
        <f ca="1">IFERROR(__xludf.DUMMYFUNCTION("""COMPUTED_VALUE"""),37.31)</f>
        <v>37.31</v>
      </c>
      <c r="D782">
        <v>31.06</v>
      </c>
      <c r="E782">
        <v>26.24</v>
      </c>
      <c r="F782">
        <v>33.909999999999997</v>
      </c>
      <c r="G782">
        <v>11.93</v>
      </c>
      <c r="H782">
        <v>231.53</v>
      </c>
      <c r="I782">
        <v>29.7</v>
      </c>
      <c r="J782">
        <v>62.7</v>
      </c>
      <c r="K782">
        <v>141.72</v>
      </c>
      <c r="M782" s="125">
        <f ca="1">IFERROR(__xludf.DUMMYFUNCTION("""COMPUTED_VALUE"""),44371.6666666666)</f>
        <v>44371.666666666599</v>
      </c>
      <c r="N782">
        <f ca="1">IFERROR(__xludf.DUMMYFUNCTION("""COMPUTED_VALUE"""),40.07)</f>
        <v>40.07</v>
      </c>
      <c r="O782" s="125">
        <f ca="1">IFERROR(__xludf.DUMMYFUNCTION("""COMPUTED_VALUE"""),43839.6666666666)</f>
        <v>43839.666666666599</v>
      </c>
      <c r="P782">
        <f ca="1">IFERROR(__xludf.DUMMYFUNCTION("""COMPUTED_VALUE"""),37.31)</f>
        <v>37.31</v>
      </c>
    </row>
    <row r="783" spans="2:16" ht="12.75">
      <c r="B783" s="125">
        <f ca="1">IFERROR(__xludf.DUMMYFUNCTION("""COMPUTED_VALUE"""),43840.6666666666)</f>
        <v>43840.666666666599</v>
      </c>
      <c r="C783">
        <f ca="1">IFERROR(__xludf.DUMMYFUNCTION("""COMPUTED_VALUE"""),37.66)</f>
        <v>37.659999999999997</v>
      </c>
      <c r="D783">
        <v>31.03</v>
      </c>
      <c r="E783">
        <v>26.22</v>
      </c>
      <c r="F783">
        <v>33.74</v>
      </c>
      <c r="G783">
        <v>11.95</v>
      </c>
      <c r="H783">
        <v>228.57</v>
      </c>
      <c r="I783">
        <v>29.58</v>
      </c>
      <c r="J783">
        <v>62.66</v>
      </c>
      <c r="K783">
        <v>142.08000000000001</v>
      </c>
      <c r="M783" s="125">
        <f ca="1">IFERROR(__xludf.DUMMYFUNCTION("""COMPUTED_VALUE"""),44372.6666666666)</f>
        <v>44372.666666666599</v>
      </c>
      <c r="N783">
        <f ca="1">IFERROR(__xludf.DUMMYFUNCTION("""COMPUTED_VALUE"""),40.45)</f>
        <v>40.450000000000003</v>
      </c>
      <c r="O783" s="125">
        <f ca="1">IFERROR(__xludf.DUMMYFUNCTION("""COMPUTED_VALUE"""),43840.6666666666)</f>
        <v>43840.666666666599</v>
      </c>
      <c r="P783">
        <f ca="1">IFERROR(__xludf.DUMMYFUNCTION("""COMPUTED_VALUE"""),37.66)</f>
        <v>37.659999999999997</v>
      </c>
    </row>
    <row r="784" spans="2:16" ht="12.75">
      <c r="B784" s="125">
        <f ca="1">IFERROR(__xludf.DUMMYFUNCTION("""COMPUTED_VALUE"""),43843.6666666666)</f>
        <v>43843.666666666599</v>
      </c>
      <c r="C784">
        <f ca="1">IFERROR(__xludf.DUMMYFUNCTION("""COMPUTED_VALUE"""),38.41)</f>
        <v>38.409999999999997</v>
      </c>
      <c r="D784">
        <v>31.43</v>
      </c>
      <c r="E784">
        <v>26.22</v>
      </c>
      <c r="F784">
        <v>33.909999999999997</v>
      </c>
      <c r="G784">
        <v>12.13</v>
      </c>
      <c r="H784">
        <v>230.43</v>
      </c>
      <c r="I784">
        <v>29.6</v>
      </c>
      <c r="J784">
        <v>63.07</v>
      </c>
      <c r="K784">
        <v>143.07</v>
      </c>
      <c r="M784" s="125">
        <f ca="1">IFERROR(__xludf.DUMMYFUNCTION("""COMPUTED_VALUE"""),44375.6666666666)</f>
        <v>44375.666666666599</v>
      </c>
      <c r="N784">
        <f ca="1">IFERROR(__xludf.DUMMYFUNCTION("""COMPUTED_VALUE"""),40.62)</f>
        <v>40.619999999999997</v>
      </c>
      <c r="O784" s="125">
        <f ca="1">IFERROR(__xludf.DUMMYFUNCTION("""COMPUTED_VALUE"""),43843.6666666666)</f>
        <v>43843.666666666599</v>
      </c>
      <c r="P784">
        <f ca="1">IFERROR(__xludf.DUMMYFUNCTION("""COMPUTED_VALUE"""),38.41)</f>
        <v>38.409999999999997</v>
      </c>
    </row>
    <row r="785" spans="2:16" ht="12.75">
      <c r="B785" s="125">
        <f ca="1">IFERROR(__xludf.DUMMYFUNCTION("""COMPUTED_VALUE"""),43844.6666666666)</f>
        <v>43844.666666666599</v>
      </c>
      <c r="C785">
        <f ca="1">IFERROR(__xludf.DUMMYFUNCTION("""COMPUTED_VALUE"""),37.92)</f>
        <v>37.92</v>
      </c>
      <c r="D785">
        <v>31.4</v>
      </c>
      <c r="E785">
        <v>26.23</v>
      </c>
      <c r="F785">
        <v>34</v>
      </c>
      <c r="G785">
        <v>12.23</v>
      </c>
      <c r="H785">
        <v>230.36</v>
      </c>
      <c r="I785">
        <v>29.64</v>
      </c>
      <c r="J785">
        <v>63.09</v>
      </c>
      <c r="K785">
        <v>143.46</v>
      </c>
      <c r="M785" s="125">
        <f ca="1">IFERROR(__xludf.DUMMYFUNCTION("""COMPUTED_VALUE"""),44376.6666666666)</f>
        <v>44376.666666666599</v>
      </c>
      <c r="N785">
        <f ca="1">IFERROR(__xludf.DUMMYFUNCTION("""COMPUTED_VALUE"""),40.62)</f>
        <v>40.619999999999997</v>
      </c>
      <c r="O785" s="125">
        <f ca="1">IFERROR(__xludf.DUMMYFUNCTION("""COMPUTED_VALUE"""),43844.6666666666)</f>
        <v>43844.666666666599</v>
      </c>
      <c r="P785">
        <f ca="1">IFERROR(__xludf.DUMMYFUNCTION("""COMPUTED_VALUE"""),37.92)</f>
        <v>37.92</v>
      </c>
    </row>
    <row r="786" spans="2:16" ht="12.75">
      <c r="B786" s="125">
        <f ca="1">IFERROR(__xludf.DUMMYFUNCTION("""COMPUTED_VALUE"""),43845.6666666666)</f>
        <v>43845.666666666599</v>
      </c>
      <c r="C786">
        <f ca="1">IFERROR(__xludf.DUMMYFUNCTION("""COMPUTED_VALUE"""),38.03)</f>
        <v>38.03</v>
      </c>
      <c r="D786">
        <v>31.58</v>
      </c>
      <c r="E786">
        <v>26.19</v>
      </c>
      <c r="F786">
        <v>33.92</v>
      </c>
      <c r="G786">
        <v>12.25</v>
      </c>
      <c r="H786">
        <v>230.89</v>
      </c>
      <c r="I786">
        <v>29.5</v>
      </c>
      <c r="J786">
        <v>63.54</v>
      </c>
      <c r="K786">
        <v>145.44999999999999</v>
      </c>
      <c r="M786" s="125">
        <f ca="1">IFERROR(__xludf.DUMMYFUNCTION("""COMPUTED_VALUE"""),44377.6666666666)</f>
        <v>44377.666666666599</v>
      </c>
      <c r="N786">
        <f ca="1">IFERROR(__xludf.DUMMYFUNCTION("""COMPUTED_VALUE"""),40.34)</f>
        <v>40.340000000000003</v>
      </c>
      <c r="O786" s="125">
        <f ca="1">IFERROR(__xludf.DUMMYFUNCTION("""COMPUTED_VALUE"""),43845.6666666666)</f>
        <v>43845.666666666599</v>
      </c>
      <c r="P786">
        <f ca="1">IFERROR(__xludf.DUMMYFUNCTION("""COMPUTED_VALUE"""),38.03)</f>
        <v>38.03</v>
      </c>
    </row>
    <row r="787" spans="2:16" ht="12.75">
      <c r="B787" s="125">
        <f ca="1">IFERROR(__xludf.DUMMYFUNCTION("""COMPUTED_VALUE"""),43846.6666666666)</f>
        <v>43846.666666666599</v>
      </c>
      <c r="C787">
        <f ca="1">IFERROR(__xludf.DUMMYFUNCTION("""COMPUTED_VALUE"""),38.13)</f>
        <v>38.130000000000003</v>
      </c>
      <c r="D787">
        <v>31.89</v>
      </c>
      <c r="E787">
        <v>26.23</v>
      </c>
      <c r="F787">
        <v>34.07</v>
      </c>
      <c r="G787">
        <v>12.35</v>
      </c>
      <c r="H787">
        <v>233.52</v>
      </c>
      <c r="I787">
        <v>29.63</v>
      </c>
      <c r="J787">
        <v>63.71</v>
      </c>
      <c r="K787">
        <v>146.37</v>
      </c>
      <c r="M787" s="125">
        <f ca="1">IFERROR(__xludf.DUMMYFUNCTION("""COMPUTED_VALUE"""),44378.6666666666)</f>
        <v>44378.666666666599</v>
      </c>
      <c r="N787">
        <f ca="1">IFERROR(__xludf.DUMMYFUNCTION("""COMPUTED_VALUE"""),40.19)</f>
        <v>40.19</v>
      </c>
      <c r="O787" s="125">
        <f ca="1">IFERROR(__xludf.DUMMYFUNCTION("""COMPUTED_VALUE"""),43846.6666666666)</f>
        <v>43846.666666666599</v>
      </c>
      <c r="P787">
        <f ca="1">IFERROR(__xludf.DUMMYFUNCTION("""COMPUTED_VALUE"""),38.13)</f>
        <v>38.130000000000003</v>
      </c>
    </row>
    <row r="788" spans="2:16" ht="12.75">
      <c r="B788" s="125">
        <f ca="1">IFERROR(__xludf.DUMMYFUNCTION("""COMPUTED_VALUE"""),43847.6666666666)</f>
        <v>43847.666666666599</v>
      </c>
      <c r="C788">
        <f ca="1">IFERROR(__xludf.DUMMYFUNCTION("""COMPUTED_VALUE"""),38.38)</f>
        <v>38.380000000000003</v>
      </c>
      <c r="D788">
        <v>31.9</v>
      </c>
      <c r="E788">
        <v>26.32</v>
      </c>
      <c r="F788">
        <v>34.14</v>
      </c>
      <c r="G788">
        <v>12.49</v>
      </c>
      <c r="H788">
        <v>232.21</v>
      </c>
      <c r="I788">
        <v>29.78</v>
      </c>
      <c r="J788">
        <v>63.82</v>
      </c>
      <c r="K788">
        <v>147.35</v>
      </c>
      <c r="M788" s="125">
        <f ca="1">IFERROR(__xludf.DUMMYFUNCTION("""COMPUTED_VALUE"""),44379.6666666666)</f>
        <v>44379.666666666599</v>
      </c>
      <c r="N788">
        <f ca="1">IFERROR(__xludf.DUMMYFUNCTION("""COMPUTED_VALUE"""),40.44)</f>
        <v>40.44</v>
      </c>
      <c r="O788" s="125">
        <f ca="1">IFERROR(__xludf.DUMMYFUNCTION("""COMPUTED_VALUE"""),43847.6666666666)</f>
        <v>43847.666666666599</v>
      </c>
      <c r="P788">
        <f ca="1">IFERROR(__xludf.DUMMYFUNCTION("""COMPUTED_VALUE"""),38.38)</f>
        <v>38.380000000000003</v>
      </c>
    </row>
    <row r="789" spans="2:16" ht="12.75">
      <c r="B789" s="125">
        <f ca="1">IFERROR(__xludf.DUMMYFUNCTION("""COMPUTED_VALUE"""),43851.6666666666)</f>
        <v>43851.666666666599</v>
      </c>
      <c r="C789">
        <f ca="1">IFERROR(__xludf.DUMMYFUNCTION("""COMPUTED_VALUE"""),37.31)</f>
        <v>37.31</v>
      </c>
      <c r="D789">
        <v>31.95</v>
      </c>
      <c r="E789">
        <v>26.3</v>
      </c>
      <c r="F789">
        <v>33.83</v>
      </c>
      <c r="G789">
        <v>12.43</v>
      </c>
      <c r="H789">
        <v>230.39</v>
      </c>
      <c r="I789">
        <v>29.79</v>
      </c>
      <c r="J789">
        <v>64.040000000000006</v>
      </c>
      <c r="K789">
        <v>148.49</v>
      </c>
      <c r="M789" s="125">
        <f ca="1">IFERROR(__xludf.DUMMYFUNCTION("""COMPUTED_VALUE"""),44383.6666666666)</f>
        <v>44383.666666666599</v>
      </c>
      <c r="N789">
        <f ca="1">IFERROR(__xludf.DUMMYFUNCTION("""COMPUTED_VALUE"""),40.79)</f>
        <v>40.79</v>
      </c>
      <c r="O789" s="125">
        <f ca="1">IFERROR(__xludf.DUMMYFUNCTION("""COMPUTED_VALUE"""),43851.6666666666)</f>
        <v>43851.666666666599</v>
      </c>
      <c r="P789">
        <f ca="1">IFERROR(__xludf.DUMMYFUNCTION("""COMPUTED_VALUE"""),37.31)</f>
        <v>37.31</v>
      </c>
    </row>
    <row r="790" spans="2:16" ht="12.75">
      <c r="B790" s="125">
        <f ca="1">IFERROR(__xludf.DUMMYFUNCTION("""COMPUTED_VALUE"""),43852.6666666666)</f>
        <v>43852.666666666599</v>
      </c>
      <c r="C790">
        <f ca="1">IFERROR(__xludf.DUMMYFUNCTION("""COMPUTED_VALUE"""),37.6)</f>
        <v>37.6</v>
      </c>
      <c r="D790">
        <v>32.270000000000003</v>
      </c>
      <c r="E790">
        <v>26.28</v>
      </c>
      <c r="F790">
        <v>33.83</v>
      </c>
      <c r="G790">
        <v>12.39</v>
      </c>
      <c r="H790">
        <v>228.9</v>
      </c>
      <c r="I790">
        <v>29.71</v>
      </c>
      <c r="J790">
        <v>64.09</v>
      </c>
      <c r="K790">
        <v>148.93</v>
      </c>
      <c r="M790" s="125">
        <f ca="1">IFERROR(__xludf.DUMMYFUNCTION("""COMPUTED_VALUE"""),44384.6666666666)</f>
        <v>44384.666666666599</v>
      </c>
      <c r="N790">
        <f ca="1">IFERROR(__xludf.DUMMYFUNCTION("""COMPUTED_VALUE"""),40.94)</f>
        <v>40.94</v>
      </c>
      <c r="O790" s="125">
        <f ca="1">IFERROR(__xludf.DUMMYFUNCTION("""COMPUTED_VALUE"""),43852.6666666666)</f>
        <v>43852.666666666599</v>
      </c>
      <c r="P790">
        <f ca="1">IFERROR(__xludf.DUMMYFUNCTION("""COMPUTED_VALUE"""),37.6)</f>
        <v>37.6</v>
      </c>
    </row>
    <row r="791" spans="2:16" ht="12.75">
      <c r="B791" s="125">
        <f ca="1">IFERROR(__xludf.DUMMYFUNCTION("""COMPUTED_VALUE"""),43853.6666666666)</f>
        <v>43853.666666666599</v>
      </c>
      <c r="C791">
        <f ca="1">IFERROR(__xludf.DUMMYFUNCTION("""COMPUTED_VALUE"""),37.17)</f>
        <v>37.17</v>
      </c>
      <c r="D791">
        <v>32.35</v>
      </c>
      <c r="E791">
        <v>26.35</v>
      </c>
      <c r="F791">
        <v>33.64</v>
      </c>
      <c r="G791">
        <v>12.42</v>
      </c>
      <c r="H791">
        <v>231.24</v>
      </c>
      <c r="I791">
        <v>29.68</v>
      </c>
      <c r="J791">
        <v>64.03</v>
      </c>
      <c r="K791">
        <v>150.22</v>
      </c>
      <c r="M791" s="125">
        <f ca="1">IFERROR(__xludf.DUMMYFUNCTION("""COMPUTED_VALUE"""),44385.6666666666)</f>
        <v>44385.666666666599</v>
      </c>
      <c r="N791">
        <f ca="1">IFERROR(__xludf.DUMMYFUNCTION("""COMPUTED_VALUE"""),40.73)</f>
        <v>40.729999999999997</v>
      </c>
      <c r="O791" s="125">
        <f ca="1">IFERROR(__xludf.DUMMYFUNCTION("""COMPUTED_VALUE"""),43853.6666666666)</f>
        <v>43853.666666666599</v>
      </c>
      <c r="P791">
        <f ca="1">IFERROR(__xludf.DUMMYFUNCTION("""COMPUTED_VALUE"""),37.17)</f>
        <v>37.17</v>
      </c>
    </row>
    <row r="792" spans="2:16" ht="12.75">
      <c r="B792" s="125">
        <f ca="1">IFERROR(__xludf.DUMMYFUNCTION("""COMPUTED_VALUE"""),43854.6666666666)</f>
        <v>43854.666666666599</v>
      </c>
      <c r="C792">
        <f ca="1">IFERROR(__xludf.DUMMYFUNCTION("""COMPUTED_VALUE"""),36.4)</f>
        <v>36.4</v>
      </c>
      <c r="D792">
        <v>32.44</v>
      </c>
      <c r="E792">
        <v>26.39</v>
      </c>
      <c r="F792">
        <v>33.700000000000003</v>
      </c>
      <c r="G792">
        <v>12.43</v>
      </c>
      <c r="H792">
        <v>231.78</v>
      </c>
      <c r="I792">
        <v>29.77</v>
      </c>
      <c r="J792">
        <v>63.59</v>
      </c>
      <c r="K792">
        <v>150.56</v>
      </c>
      <c r="M792" s="125">
        <f ca="1">IFERROR(__xludf.DUMMYFUNCTION("""COMPUTED_VALUE"""),44386.6666666666)</f>
        <v>44386.666666666599</v>
      </c>
      <c r="N792">
        <f ca="1">IFERROR(__xludf.DUMMYFUNCTION("""COMPUTED_VALUE"""),41.02)</f>
        <v>41.02</v>
      </c>
      <c r="O792" s="125">
        <f ca="1">IFERROR(__xludf.DUMMYFUNCTION("""COMPUTED_VALUE"""),43854.6666666666)</f>
        <v>43854.666666666599</v>
      </c>
      <c r="P792">
        <f ca="1">IFERROR(__xludf.DUMMYFUNCTION("""COMPUTED_VALUE"""),36.4)</f>
        <v>36.4</v>
      </c>
    </row>
    <row r="793" spans="2:16" ht="12.75">
      <c r="B793" s="125">
        <f ca="1">IFERROR(__xludf.DUMMYFUNCTION("""COMPUTED_VALUE"""),43857.6666666666)</f>
        <v>43857.666666666599</v>
      </c>
      <c r="C793">
        <f ca="1">IFERROR(__xludf.DUMMYFUNCTION("""COMPUTED_VALUE"""),35.28)</f>
        <v>35.28</v>
      </c>
      <c r="D793">
        <v>31.62</v>
      </c>
      <c r="E793">
        <v>26.43</v>
      </c>
      <c r="F793">
        <v>32.840000000000003</v>
      </c>
      <c r="G793">
        <v>12.14</v>
      </c>
      <c r="H793">
        <v>230.05</v>
      </c>
      <c r="I793">
        <v>29.1</v>
      </c>
      <c r="J793">
        <v>63.39</v>
      </c>
      <c r="K793">
        <v>150.07</v>
      </c>
      <c r="M793" s="125">
        <f ca="1">IFERROR(__xludf.DUMMYFUNCTION("""COMPUTED_VALUE"""),44389.6666666666)</f>
        <v>44389.666666666599</v>
      </c>
      <c r="N793">
        <f ca="1">IFERROR(__xludf.DUMMYFUNCTION("""COMPUTED_VALUE"""),41.29)</f>
        <v>41.29</v>
      </c>
      <c r="O793" s="125">
        <f ca="1">IFERROR(__xludf.DUMMYFUNCTION("""COMPUTED_VALUE"""),43857.6666666666)</f>
        <v>43857.666666666599</v>
      </c>
      <c r="P793">
        <f ca="1">IFERROR(__xludf.DUMMYFUNCTION("""COMPUTED_VALUE"""),35.28)</f>
        <v>35.28</v>
      </c>
    </row>
    <row r="794" spans="2:16" ht="12.75">
      <c r="B794" s="125">
        <f ca="1">IFERROR(__xludf.DUMMYFUNCTION("""COMPUTED_VALUE"""),43858.6666666666)</f>
        <v>43858.666666666599</v>
      </c>
      <c r="C794">
        <f ca="1">IFERROR(__xludf.DUMMYFUNCTION("""COMPUTED_VALUE"""),36.01)</f>
        <v>36.01</v>
      </c>
      <c r="D794">
        <v>32.33</v>
      </c>
      <c r="E794">
        <v>26.43</v>
      </c>
      <c r="F794">
        <v>33.17</v>
      </c>
      <c r="G794">
        <v>12.38</v>
      </c>
      <c r="H794">
        <v>232</v>
      </c>
      <c r="I794">
        <v>29.35</v>
      </c>
      <c r="J794">
        <v>63.47</v>
      </c>
      <c r="K794">
        <v>150.69999999999999</v>
      </c>
      <c r="M794" s="125">
        <f ca="1">IFERROR(__xludf.DUMMYFUNCTION("""COMPUTED_VALUE"""),44390.6666666666)</f>
        <v>44390.666666666599</v>
      </c>
      <c r="N794">
        <f ca="1">IFERROR(__xludf.DUMMYFUNCTION("""COMPUTED_VALUE"""),40.95)</f>
        <v>40.950000000000003</v>
      </c>
      <c r="O794" s="125">
        <f ca="1">IFERROR(__xludf.DUMMYFUNCTION("""COMPUTED_VALUE"""),43858.6666666666)</f>
        <v>43858.666666666599</v>
      </c>
      <c r="P794">
        <f ca="1">IFERROR(__xludf.DUMMYFUNCTION("""COMPUTED_VALUE"""),36.01)</f>
        <v>36.01</v>
      </c>
    </row>
    <row r="795" spans="2:16" ht="12.75">
      <c r="B795" s="125">
        <f ca="1">IFERROR(__xludf.DUMMYFUNCTION("""COMPUTED_VALUE"""),43859.6666666666)</f>
        <v>43859.666666666599</v>
      </c>
      <c r="C795">
        <f ca="1">IFERROR(__xludf.DUMMYFUNCTION("""COMPUTED_VALUE"""),36.4)</f>
        <v>36.4</v>
      </c>
      <c r="D795">
        <v>32.549999999999997</v>
      </c>
      <c r="E795">
        <v>26.47</v>
      </c>
      <c r="F795">
        <v>33.25</v>
      </c>
      <c r="G795">
        <v>12.44</v>
      </c>
      <c r="H795">
        <v>232.11</v>
      </c>
      <c r="I795">
        <v>29.32</v>
      </c>
      <c r="J795">
        <v>63.15</v>
      </c>
      <c r="K795">
        <v>151.04</v>
      </c>
      <c r="M795" s="125">
        <f ca="1">IFERROR(__xludf.DUMMYFUNCTION("""COMPUTED_VALUE"""),44391.6666666666)</f>
        <v>44391.666666666599</v>
      </c>
      <c r="N795">
        <f ca="1">IFERROR(__xludf.DUMMYFUNCTION("""COMPUTED_VALUE"""),41.12)</f>
        <v>41.12</v>
      </c>
      <c r="O795" s="125">
        <f ca="1">IFERROR(__xludf.DUMMYFUNCTION("""COMPUTED_VALUE"""),43859.6666666666)</f>
        <v>43859.666666666599</v>
      </c>
      <c r="P795">
        <f ca="1">IFERROR(__xludf.DUMMYFUNCTION("""COMPUTED_VALUE"""),36.4)</f>
        <v>36.4</v>
      </c>
    </row>
    <row r="796" spans="2:16" ht="12.75">
      <c r="B796" s="125">
        <f ca="1">IFERROR(__xludf.DUMMYFUNCTION("""COMPUTED_VALUE"""),43860.6666666666)</f>
        <v>43860.666666666599</v>
      </c>
      <c r="C796">
        <f ca="1">IFERROR(__xludf.DUMMYFUNCTION("""COMPUTED_VALUE"""),35.87)</f>
        <v>35.869999999999997</v>
      </c>
      <c r="D796">
        <v>32.54</v>
      </c>
      <c r="E796">
        <v>26.39</v>
      </c>
      <c r="F796">
        <v>33.33</v>
      </c>
      <c r="G796">
        <v>12.31</v>
      </c>
      <c r="H796">
        <v>232.25</v>
      </c>
      <c r="I796">
        <v>29.17</v>
      </c>
      <c r="J796">
        <v>63.9</v>
      </c>
      <c r="K796">
        <v>152.35</v>
      </c>
      <c r="M796" s="125">
        <f ca="1">IFERROR(__xludf.DUMMYFUNCTION("""COMPUTED_VALUE"""),44392.6666666666)</f>
        <v>44392.666666666599</v>
      </c>
      <c r="N796">
        <f ca="1">IFERROR(__xludf.DUMMYFUNCTION("""COMPUTED_VALUE"""),41.15)</f>
        <v>41.15</v>
      </c>
      <c r="O796" s="125">
        <f ca="1">IFERROR(__xludf.DUMMYFUNCTION("""COMPUTED_VALUE"""),43860.6666666666)</f>
        <v>43860.666666666599</v>
      </c>
      <c r="P796">
        <f ca="1">IFERROR(__xludf.DUMMYFUNCTION("""COMPUTED_VALUE"""),35.87)</f>
        <v>35.869999999999997</v>
      </c>
    </row>
    <row r="797" spans="2:16" ht="12.75">
      <c r="B797" s="125">
        <f ca="1">IFERROR(__xludf.DUMMYFUNCTION("""COMPUTED_VALUE"""),43861.6666666666)</f>
        <v>43861.666666666599</v>
      </c>
      <c r="C797">
        <f ca="1">IFERROR(__xludf.DUMMYFUNCTION("""COMPUTED_VALUE"""),35.21)</f>
        <v>35.21</v>
      </c>
      <c r="D797">
        <v>31.85</v>
      </c>
      <c r="E797">
        <v>26.28</v>
      </c>
      <c r="F797">
        <v>32.69</v>
      </c>
      <c r="G797">
        <v>12.12</v>
      </c>
      <c r="H797">
        <v>227.7</v>
      </c>
      <c r="I797">
        <v>28.52</v>
      </c>
      <c r="J797">
        <v>63.18</v>
      </c>
      <c r="K797">
        <v>151.6</v>
      </c>
      <c r="M797" s="125">
        <f ca="1">IFERROR(__xludf.DUMMYFUNCTION("""COMPUTED_VALUE"""),44393.6666666666)</f>
        <v>44393.666666666599</v>
      </c>
      <c r="N797">
        <f ca="1">IFERROR(__xludf.DUMMYFUNCTION("""COMPUTED_VALUE"""),41.05)</f>
        <v>41.05</v>
      </c>
      <c r="O797" s="125">
        <f ca="1">IFERROR(__xludf.DUMMYFUNCTION("""COMPUTED_VALUE"""),43861.6666666666)</f>
        <v>43861.666666666599</v>
      </c>
      <c r="P797">
        <f ca="1">IFERROR(__xludf.DUMMYFUNCTION("""COMPUTED_VALUE"""),35.21)</f>
        <v>35.21</v>
      </c>
    </row>
    <row r="798" spans="2:16" ht="12.75">
      <c r="B798" s="125">
        <f ca="1">IFERROR(__xludf.DUMMYFUNCTION("""COMPUTED_VALUE"""),43864.6666666666)</f>
        <v>43864.666666666599</v>
      </c>
      <c r="C798">
        <f ca="1">IFERROR(__xludf.DUMMYFUNCTION("""COMPUTED_VALUE"""),36.14)</f>
        <v>36.14</v>
      </c>
      <c r="D798">
        <v>32.43</v>
      </c>
      <c r="E798">
        <v>26.41</v>
      </c>
      <c r="F798">
        <v>32.99</v>
      </c>
      <c r="G798">
        <v>12.28</v>
      </c>
      <c r="H798">
        <v>227.31</v>
      </c>
      <c r="I798">
        <v>28.67</v>
      </c>
      <c r="J798">
        <v>63.18</v>
      </c>
      <c r="K798">
        <v>152.21</v>
      </c>
      <c r="M798" s="125">
        <f ca="1">IFERROR(__xludf.DUMMYFUNCTION("""COMPUTED_VALUE"""),44396.6666666666)</f>
        <v>44396.666666666599</v>
      </c>
      <c r="N798">
        <f ca="1">IFERROR(__xludf.DUMMYFUNCTION("""COMPUTED_VALUE"""),40.73)</f>
        <v>40.729999999999997</v>
      </c>
      <c r="O798" s="125">
        <f ca="1">IFERROR(__xludf.DUMMYFUNCTION("""COMPUTED_VALUE"""),43864.6666666666)</f>
        <v>43864.666666666599</v>
      </c>
      <c r="P798">
        <f ca="1">IFERROR(__xludf.DUMMYFUNCTION("""COMPUTED_VALUE"""),36.14)</f>
        <v>36.14</v>
      </c>
    </row>
    <row r="799" spans="2:16" ht="12.75">
      <c r="B799" s="125">
        <f ca="1">IFERROR(__xludf.DUMMYFUNCTION("""COMPUTED_VALUE"""),43865.6666666666)</f>
        <v>43865.666666666599</v>
      </c>
      <c r="C799">
        <f ca="1">IFERROR(__xludf.DUMMYFUNCTION("""COMPUTED_VALUE"""),37.32)</f>
        <v>37.32</v>
      </c>
      <c r="D799">
        <v>33.090000000000003</v>
      </c>
      <c r="E799">
        <v>26.45</v>
      </c>
      <c r="F799">
        <v>33.64</v>
      </c>
      <c r="G799">
        <v>12.7</v>
      </c>
      <c r="H799">
        <v>231.11</v>
      </c>
      <c r="I799">
        <v>29.23</v>
      </c>
      <c r="J799">
        <v>63.56</v>
      </c>
      <c r="K799">
        <v>150.80000000000001</v>
      </c>
      <c r="M799" s="125">
        <f ca="1">IFERROR(__xludf.DUMMYFUNCTION("""COMPUTED_VALUE"""),44397.6666666666)</f>
        <v>44397.666666666599</v>
      </c>
      <c r="N799">
        <f ca="1">IFERROR(__xludf.DUMMYFUNCTION("""COMPUTED_VALUE"""),41.02)</f>
        <v>41.02</v>
      </c>
      <c r="O799" s="125">
        <f ca="1">IFERROR(__xludf.DUMMYFUNCTION("""COMPUTED_VALUE"""),43865.6666666666)</f>
        <v>43865.666666666599</v>
      </c>
      <c r="P799">
        <f ca="1">IFERROR(__xludf.DUMMYFUNCTION("""COMPUTED_VALUE"""),37.32)</f>
        <v>37.32</v>
      </c>
    </row>
    <row r="800" spans="2:16" ht="12.75">
      <c r="B800" s="125">
        <f ca="1">IFERROR(__xludf.DUMMYFUNCTION("""COMPUTED_VALUE"""),43866.6666666666)</f>
        <v>43866.666666666599</v>
      </c>
      <c r="C800">
        <f ca="1">IFERROR(__xludf.DUMMYFUNCTION("""COMPUTED_VALUE"""),37.07)</f>
        <v>37.07</v>
      </c>
      <c r="D800">
        <v>32.93</v>
      </c>
      <c r="E800">
        <v>26.55</v>
      </c>
      <c r="F800">
        <v>34.07</v>
      </c>
      <c r="G800">
        <v>12.86</v>
      </c>
      <c r="H800">
        <v>234.89</v>
      </c>
      <c r="I800">
        <v>29.68</v>
      </c>
      <c r="J800">
        <v>64.069999999999993</v>
      </c>
      <c r="K800">
        <v>151.5</v>
      </c>
      <c r="M800" s="125">
        <f ca="1">IFERROR(__xludf.DUMMYFUNCTION("""COMPUTED_VALUE"""),44398.6666666666)</f>
        <v>44398.666666666599</v>
      </c>
      <c r="N800">
        <f ca="1">IFERROR(__xludf.DUMMYFUNCTION("""COMPUTED_VALUE"""),40.81)</f>
        <v>40.81</v>
      </c>
      <c r="O800" s="125">
        <f ca="1">IFERROR(__xludf.DUMMYFUNCTION("""COMPUTED_VALUE"""),43866.6666666666)</f>
        <v>43866.666666666599</v>
      </c>
      <c r="P800">
        <f ca="1">IFERROR(__xludf.DUMMYFUNCTION("""COMPUTED_VALUE"""),37.07)</f>
        <v>37.07</v>
      </c>
    </row>
    <row r="801" spans="2:16" ht="12.75">
      <c r="B801" s="125">
        <f ca="1">IFERROR(__xludf.DUMMYFUNCTION("""COMPUTED_VALUE"""),43867.6666666666)</f>
        <v>43867.666666666599</v>
      </c>
      <c r="C801">
        <f ca="1">IFERROR(__xludf.DUMMYFUNCTION("""COMPUTED_VALUE"""),37.34)</f>
        <v>37.340000000000003</v>
      </c>
      <c r="D801">
        <v>32.86</v>
      </c>
      <c r="E801">
        <v>26.6</v>
      </c>
      <c r="F801">
        <v>34.229999999999997</v>
      </c>
      <c r="G801">
        <v>12.9</v>
      </c>
      <c r="H801">
        <v>237.63</v>
      </c>
      <c r="I801">
        <v>29.83</v>
      </c>
      <c r="J801">
        <v>64.180000000000007</v>
      </c>
      <c r="K801">
        <v>151.6</v>
      </c>
      <c r="M801" s="125">
        <f ca="1">IFERROR(__xludf.DUMMYFUNCTION("""COMPUTED_VALUE"""),44399.6666666666)</f>
        <v>44399.666666666599</v>
      </c>
      <c r="N801">
        <f ca="1">IFERROR(__xludf.DUMMYFUNCTION("""COMPUTED_VALUE"""),40.4)</f>
        <v>40.4</v>
      </c>
      <c r="O801" s="125">
        <f ca="1">IFERROR(__xludf.DUMMYFUNCTION("""COMPUTED_VALUE"""),43867.6666666666)</f>
        <v>43867.666666666599</v>
      </c>
      <c r="P801">
        <f ca="1">IFERROR(__xludf.DUMMYFUNCTION("""COMPUTED_VALUE"""),37.34)</f>
        <v>37.340000000000003</v>
      </c>
    </row>
    <row r="802" spans="2:16" ht="12.75">
      <c r="B802" s="125">
        <f ca="1">IFERROR(__xludf.DUMMYFUNCTION("""COMPUTED_VALUE"""),43868.6666666666)</f>
        <v>43868.666666666599</v>
      </c>
      <c r="C802">
        <f ca="1">IFERROR(__xludf.DUMMYFUNCTION("""COMPUTED_VALUE"""),36.75)</f>
        <v>36.75</v>
      </c>
      <c r="D802">
        <v>32.65</v>
      </c>
      <c r="E802">
        <v>26.66</v>
      </c>
      <c r="F802">
        <v>33.92</v>
      </c>
      <c r="G802">
        <v>12.76</v>
      </c>
      <c r="H802">
        <v>237.35</v>
      </c>
      <c r="I802">
        <v>29.6</v>
      </c>
      <c r="J802">
        <v>64.260000000000005</v>
      </c>
      <c r="K802">
        <v>151.08000000000001</v>
      </c>
      <c r="M802" s="125">
        <f ca="1">IFERROR(__xludf.DUMMYFUNCTION("""COMPUTED_VALUE"""),44400.6666666666)</f>
        <v>44400.666666666599</v>
      </c>
      <c r="N802">
        <f ca="1">IFERROR(__xludf.DUMMYFUNCTION("""COMPUTED_VALUE"""),40.55)</f>
        <v>40.549999999999997</v>
      </c>
      <c r="O802" s="125">
        <f ca="1">IFERROR(__xludf.DUMMYFUNCTION("""COMPUTED_VALUE"""),43868.6666666666)</f>
        <v>43868.666666666599</v>
      </c>
      <c r="P802">
        <f ca="1">IFERROR(__xludf.DUMMYFUNCTION("""COMPUTED_VALUE"""),36.75)</f>
        <v>36.75</v>
      </c>
    </row>
    <row r="803" spans="2:16" ht="12.75">
      <c r="B803" s="125">
        <f ca="1">IFERROR(__xludf.DUMMYFUNCTION("""COMPUTED_VALUE"""),43871.6666666666)</f>
        <v>43871.666666666599</v>
      </c>
      <c r="C803">
        <f ca="1">IFERROR(__xludf.DUMMYFUNCTION("""COMPUTED_VALUE"""),36.94)</f>
        <v>36.94</v>
      </c>
      <c r="D803">
        <v>32.89</v>
      </c>
      <c r="E803">
        <v>26.7</v>
      </c>
      <c r="F803">
        <v>34.06</v>
      </c>
      <c r="G803">
        <v>12.8</v>
      </c>
      <c r="H803">
        <v>238.85</v>
      </c>
      <c r="I803">
        <v>29.72</v>
      </c>
      <c r="J803">
        <v>64.53</v>
      </c>
      <c r="K803">
        <v>151.58000000000001</v>
      </c>
      <c r="M803" s="125">
        <f ca="1">IFERROR(__xludf.DUMMYFUNCTION("""COMPUTED_VALUE"""),44403.6666666666)</f>
        <v>44403.666666666599</v>
      </c>
      <c r="N803">
        <f ca="1">IFERROR(__xludf.DUMMYFUNCTION("""COMPUTED_VALUE"""),40.3)</f>
        <v>40.299999999999997</v>
      </c>
      <c r="O803" s="125">
        <f ca="1">IFERROR(__xludf.DUMMYFUNCTION("""COMPUTED_VALUE"""),43871.6666666666)</f>
        <v>43871.666666666599</v>
      </c>
      <c r="P803">
        <f ca="1">IFERROR(__xludf.DUMMYFUNCTION("""COMPUTED_VALUE"""),36.94)</f>
        <v>36.94</v>
      </c>
    </row>
    <row r="804" spans="2:16" ht="12.75">
      <c r="B804" s="125">
        <f ca="1">IFERROR(__xludf.DUMMYFUNCTION("""COMPUTED_VALUE"""),43872.6666666666)</f>
        <v>43872.666666666599</v>
      </c>
      <c r="C804">
        <f ca="1">IFERROR(__xludf.DUMMYFUNCTION("""COMPUTED_VALUE"""),37.43)</f>
        <v>37.43</v>
      </c>
      <c r="D804">
        <v>32.979999999999997</v>
      </c>
      <c r="E804">
        <v>26.67</v>
      </c>
      <c r="F804">
        <v>34.380000000000003</v>
      </c>
      <c r="G804">
        <v>13.13</v>
      </c>
      <c r="H804">
        <v>238.86</v>
      </c>
      <c r="I804">
        <v>29.96</v>
      </c>
      <c r="J804">
        <v>64.290000000000006</v>
      </c>
      <c r="K804">
        <v>152.1</v>
      </c>
      <c r="M804" s="125">
        <f ca="1">IFERROR(__xludf.DUMMYFUNCTION("""COMPUTED_VALUE"""),44404.6666666666)</f>
        <v>44404.666666666599</v>
      </c>
      <c r="N804">
        <f ca="1">IFERROR(__xludf.DUMMYFUNCTION("""COMPUTED_VALUE"""),40.39)</f>
        <v>40.39</v>
      </c>
      <c r="O804" s="125">
        <f ca="1">IFERROR(__xludf.DUMMYFUNCTION("""COMPUTED_VALUE"""),43872.6666666666)</f>
        <v>43872.666666666599</v>
      </c>
      <c r="P804">
        <f ca="1">IFERROR(__xludf.DUMMYFUNCTION("""COMPUTED_VALUE"""),37.43)</f>
        <v>37.43</v>
      </c>
    </row>
    <row r="805" spans="2:16" ht="12.75">
      <c r="B805" s="125">
        <f ca="1">IFERROR(__xludf.DUMMYFUNCTION("""COMPUTED_VALUE"""),43873.6666666666)</f>
        <v>43873.666666666599</v>
      </c>
      <c r="C805">
        <f ca="1">IFERROR(__xludf.DUMMYFUNCTION("""COMPUTED_VALUE"""),38.26)</f>
        <v>38.26</v>
      </c>
      <c r="D805">
        <v>33.119999999999997</v>
      </c>
      <c r="E805">
        <v>26.74</v>
      </c>
      <c r="F805">
        <v>34.659999999999997</v>
      </c>
      <c r="G805">
        <v>13.42</v>
      </c>
      <c r="H805">
        <v>239.8</v>
      </c>
      <c r="I805">
        <v>30.28</v>
      </c>
      <c r="J805">
        <v>64.260000000000005</v>
      </c>
      <c r="K805">
        <v>152.31</v>
      </c>
      <c r="M805" s="125">
        <f ca="1">IFERROR(__xludf.DUMMYFUNCTION("""COMPUTED_VALUE"""),44405.6666666666)</f>
        <v>44405.666666666599</v>
      </c>
      <c r="N805">
        <f ca="1">IFERROR(__xludf.DUMMYFUNCTION("""COMPUTED_VALUE"""),40.57)</f>
        <v>40.57</v>
      </c>
      <c r="O805" s="125">
        <f ca="1">IFERROR(__xludf.DUMMYFUNCTION("""COMPUTED_VALUE"""),43873.6666666666)</f>
        <v>43873.666666666599</v>
      </c>
      <c r="P805">
        <f ca="1">IFERROR(__xludf.DUMMYFUNCTION("""COMPUTED_VALUE"""),38.26)</f>
        <v>38.26</v>
      </c>
    </row>
    <row r="806" spans="2:16" ht="12.75">
      <c r="B806" s="125">
        <f ca="1">IFERROR(__xludf.DUMMYFUNCTION("""COMPUTED_VALUE"""),43874.6666666666)</f>
        <v>43874.666666666599</v>
      </c>
      <c r="C806">
        <f ca="1">IFERROR(__xludf.DUMMYFUNCTION("""COMPUTED_VALUE"""),38.18)</f>
        <v>38.18</v>
      </c>
      <c r="D806">
        <v>33.409999999999997</v>
      </c>
      <c r="E806">
        <v>26.77</v>
      </c>
      <c r="F806">
        <v>34.58</v>
      </c>
      <c r="G806">
        <v>13.35</v>
      </c>
      <c r="H806">
        <v>238.54</v>
      </c>
      <c r="I806">
        <v>30.12</v>
      </c>
      <c r="J806">
        <v>64.64</v>
      </c>
      <c r="K806">
        <v>153.97999999999999</v>
      </c>
      <c r="M806" s="125">
        <f ca="1">IFERROR(__xludf.DUMMYFUNCTION("""COMPUTED_VALUE"""),44406.6666666666)</f>
        <v>44406.666666666599</v>
      </c>
      <c r="N806">
        <f ca="1">IFERROR(__xludf.DUMMYFUNCTION("""COMPUTED_VALUE"""),40)</f>
        <v>40</v>
      </c>
      <c r="O806" s="125">
        <f ca="1">IFERROR(__xludf.DUMMYFUNCTION("""COMPUTED_VALUE"""),43874.6666666666)</f>
        <v>43874.666666666599</v>
      </c>
      <c r="P806">
        <f ca="1">IFERROR(__xludf.DUMMYFUNCTION("""COMPUTED_VALUE"""),38.18)</f>
        <v>38.18</v>
      </c>
    </row>
    <row r="807" spans="2:16" ht="12.75">
      <c r="B807" s="125">
        <f ca="1">IFERROR(__xludf.DUMMYFUNCTION("""COMPUTED_VALUE"""),43875.6666666666)</f>
        <v>43875.666666666599</v>
      </c>
      <c r="C807">
        <f ca="1">IFERROR(__xludf.DUMMYFUNCTION("""COMPUTED_VALUE"""),37.96)</f>
        <v>37.96</v>
      </c>
      <c r="D807">
        <v>33.79</v>
      </c>
      <c r="E807">
        <v>26.76</v>
      </c>
      <c r="F807">
        <v>34.56</v>
      </c>
      <c r="G807">
        <v>13.34</v>
      </c>
      <c r="H807">
        <v>238.09</v>
      </c>
      <c r="I807">
        <v>30.17</v>
      </c>
      <c r="J807">
        <v>64.790000000000006</v>
      </c>
      <c r="K807">
        <v>155.03</v>
      </c>
      <c r="M807" s="125">
        <f ca="1">IFERROR(__xludf.DUMMYFUNCTION("""COMPUTED_VALUE"""),44407.6666666666)</f>
        <v>44407.666666666599</v>
      </c>
      <c r="N807">
        <f ca="1">IFERROR(__xludf.DUMMYFUNCTION("""COMPUTED_VALUE"""),40.4)</f>
        <v>40.4</v>
      </c>
      <c r="O807" s="125">
        <f ca="1">IFERROR(__xludf.DUMMYFUNCTION("""COMPUTED_VALUE"""),43875.6666666666)</f>
        <v>43875.666666666599</v>
      </c>
      <c r="P807">
        <f ca="1">IFERROR(__xludf.DUMMYFUNCTION("""COMPUTED_VALUE"""),37.96)</f>
        <v>37.96</v>
      </c>
    </row>
    <row r="808" spans="2:16" ht="12.75">
      <c r="B808" s="125">
        <f ca="1">IFERROR(__xludf.DUMMYFUNCTION("""COMPUTED_VALUE"""),43879.6666666666)</f>
        <v>43879.666666666599</v>
      </c>
      <c r="C808">
        <f ca="1">IFERROR(__xludf.DUMMYFUNCTION("""COMPUTED_VALUE"""),37.88)</f>
        <v>37.880000000000003</v>
      </c>
      <c r="D808">
        <v>33.869999999999997</v>
      </c>
      <c r="E808">
        <v>26.86</v>
      </c>
      <c r="F808">
        <v>34.19</v>
      </c>
      <c r="G808">
        <v>13.39</v>
      </c>
      <c r="H808">
        <v>236.33</v>
      </c>
      <c r="I808">
        <v>30.03</v>
      </c>
      <c r="J808">
        <v>64.56</v>
      </c>
      <c r="K808">
        <v>156.1</v>
      </c>
      <c r="M808" s="125">
        <f ca="1">IFERROR(__xludf.DUMMYFUNCTION("""COMPUTED_VALUE"""),44410.6666666666)</f>
        <v>44410.666666666599</v>
      </c>
      <c r="N808">
        <f ca="1">IFERROR(__xludf.DUMMYFUNCTION("""COMPUTED_VALUE"""),40.47)</f>
        <v>40.47</v>
      </c>
      <c r="O808" s="125">
        <f ca="1">IFERROR(__xludf.DUMMYFUNCTION("""COMPUTED_VALUE"""),43879.6666666666)</f>
        <v>43879.666666666599</v>
      </c>
      <c r="P808">
        <f ca="1">IFERROR(__xludf.DUMMYFUNCTION("""COMPUTED_VALUE"""),37.88)</f>
        <v>37.880000000000003</v>
      </c>
    </row>
    <row r="809" spans="2:16" ht="12.75">
      <c r="B809" s="125">
        <f ca="1">IFERROR(__xludf.DUMMYFUNCTION("""COMPUTED_VALUE"""),43880.6666666666)</f>
        <v>43880.666666666599</v>
      </c>
      <c r="C809">
        <f ca="1">IFERROR(__xludf.DUMMYFUNCTION("""COMPUTED_VALUE"""),38.47)</f>
        <v>38.47</v>
      </c>
      <c r="D809">
        <v>34.39</v>
      </c>
      <c r="E809">
        <v>26.91</v>
      </c>
      <c r="F809">
        <v>34.36</v>
      </c>
      <c r="G809">
        <v>14.14</v>
      </c>
      <c r="H809">
        <v>235.98</v>
      </c>
      <c r="I809">
        <v>30.23</v>
      </c>
      <c r="J809">
        <v>64.489999999999995</v>
      </c>
      <c r="K809">
        <v>154.63999999999999</v>
      </c>
      <c r="M809" s="125">
        <f ca="1">IFERROR(__xludf.DUMMYFUNCTION("""COMPUTED_VALUE"""),44411.6666666666)</f>
        <v>44411.666666666599</v>
      </c>
      <c r="N809">
        <f ca="1">IFERROR(__xludf.DUMMYFUNCTION("""COMPUTED_VALUE"""),40.56)</f>
        <v>40.56</v>
      </c>
      <c r="O809" s="125">
        <f ca="1">IFERROR(__xludf.DUMMYFUNCTION("""COMPUTED_VALUE"""),43880.6666666666)</f>
        <v>43880.666666666599</v>
      </c>
      <c r="P809">
        <f ca="1">IFERROR(__xludf.DUMMYFUNCTION("""COMPUTED_VALUE"""),38.47)</f>
        <v>38.47</v>
      </c>
    </row>
    <row r="810" spans="2:16" ht="12.75">
      <c r="B810" s="125">
        <f ca="1">IFERROR(__xludf.DUMMYFUNCTION("""COMPUTED_VALUE"""),43881.6666666666)</f>
        <v>43881.666666666599</v>
      </c>
      <c r="C810">
        <f ca="1">IFERROR(__xludf.DUMMYFUNCTION("""COMPUTED_VALUE"""),38.06)</f>
        <v>38.06</v>
      </c>
      <c r="D810">
        <v>34.01</v>
      </c>
      <c r="E810">
        <v>26.99</v>
      </c>
      <c r="F810">
        <v>34.24</v>
      </c>
      <c r="G810">
        <v>14.24</v>
      </c>
      <c r="H810">
        <v>234.47</v>
      </c>
      <c r="I810">
        <v>30.16</v>
      </c>
      <c r="J810">
        <v>64.540000000000006</v>
      </c>
      <c r="K810">
        <v>155.05000000000001</v>
      </c>
      <c r="M810" s="125">
        <f ca="1">IFERROR(__xludf.DUMMYFUNCTION("""COMPUTED_VALUE"""),44412.6666666666)</f>
        <v>44412.666666666599</v>
      </c>
      <c r="N810">
        <f ca="1">IFERROR(__xludf.DUMMYFUNCTION("""COMPUTED_VALUE"""),40.67)</f>
        <v>40.67</v>
      </c>
      <c r="O810" s="125">
        <f ca="1">IFERROR(__xludf.DUMMYFUNCTION("""COMPUTED_VALUE"""),43881.6666666666)</f>
        <v>43881.666666666599</v>
      </c>
      <c r="P810">
        <f ca="1">IFERROR(__xludf.DUMMYFUNCTION("""COMPUTED_VALUE"""),38.06)</f>
        <v>38.06</v>
      </c>
    </row>
    <row r="811" spans="2:16" ht="12.75">
      <c r="B811" s="125">
        <f ca="1">IFERROR(__xludf.DUMMYFUNCTION("""COMPUTED_VALUE"""),43882.6666666666)</f>
        <v>43882.666666666599</v>
      </c>
      <c r="C811">
        <f ca="1">IFERROR(__xludf.DUMMYFUNCTION("""COMPUTED_VALUE"""),37.38)</f>
        <v>37.380000000000003</v>
      </c>
      <c r="D811">
        <v>33.61</v>
      </c>
      <c r="E811">
        <v>26.83</v>
      </c>
      <c r="F811">
        <v>33.93</v>
      </c>
      <c r="G811">
        <v>14.11</v>
      </c>
      <c r="H811">
        <v>233.85</v>
      </c>
      <c r="I811">
        <v>29.77</v>
      </c>
      <c r="J811">
        <v>64.650000000000006</v>
      </c>
      <c r="K811">
        <v>154.81</v>
      </c>
      <c r="M811" s="125">
        <f ca="1">IFERROR(__xludf.DUMMYFUNCTION("""COMPUTED_VALUE"""),44413.6666666666)</f>
        <v>44413.666666666599</v>
      </c>
      <c r="N811">
        <f ca="1">IFERROR(__xludf.DUMMYFUNCTION("""COMPUTED_VALUE"""),40.78)</f>
        <v>40.78</v>
      </c>
      <c r="O811" s="125">
        <f ca="1">IFERROR(__xludf.DUMMYFUNCTION("""COMPUTED_VALUE"""),43882.6666666666)</f>
        <v>43882.666666666599</v>
      </c>
      <c r="P811">
        <f ca="1">IFERROR(__xludf.DUMMYFUNCTION("""COMPUTED_VALUE"""),37.38)</f>
        <v>37.380000000000003</v>
      </c>
    </row>
    <row r="812" spans="2:16" ht="12.75">
      <c r="B812" s="125">
        <f ca="1">IFERROR(__xludf.DUMMYFUNCTION("""COMPUTED_VALUE"""),43885.6666666666)</f>
        <v>43885.666666666599</v>
      </c>
      <c r="C812">
        <f ca="1">IFERROR(__xludf.DUMMYFUNCTION("""COMPUTED_VALUE"""),35.9)</f>
        <v>35.9</v>
      </c>
      <c r="D812">
        <v>32.26</v>
      </c>
      <c r="E812">
        <v>26.84</v>
      </c>
      <c r="F812">
        <v>32.46</v>
      </c>
      <c r="G812">
        <v>13.61</v>
      </c>
      <c r="H812">
        <v>226.76</v>
      </c>
      <c r="I812">
        <v>28.54</v>
      </c>
      <c r="J812">
        <v>63.16</v>
      </c>
      <c r="K812">
        <v>152.86000000000001</v>
      </c>
      <c r="M812" s="125">
        <f ca="1">IFERROR(__xludf.DUMMYFUNCTION("""COMPUTED_VALUE"""),44414.6666666666)</f>
        <v>44414.666666666599</v>
      </c>
      <c r="N812">
        <f ca="1">IFERROR(__xludf.DUMMYFUNCTION("""COMPUTED_VALUE"""),41.04)</f>
        <v>41.04</v>
      </c>
      <c r="O812" s="125">
        <f ca="1">IFERROR(__xludf.DUMMYFUNCTION("""COMPUTED_VALUE"""),43885.6666666666)</f>
        <v>43885.666666666599</v>
      </c>
      <c r="P812">
        <f ca="1">IFERROR(__xludf.DUMMYFUNCTION("""COMPUTED_VALUE"""),35.9)</f>
        <v>35.9</v>
      </c>
    </row>
    <row r="813" spans="2:16" ht="12.75">
      <c r="B813" s="125">
        <f ca="1">IFERROR(__xludf.DUMMYFUNCTION("""COMPUTED_VALUE"""),43886.6666666666)</f>
        <v>43886.666666666599</v>
      </c>
      <c r="C813">
        <f ca="1">IFERROR(__xludf.DUMMYFUNCTION("""COMPUTED_VALUE"""),35.52)</f>
        <v>35.520000000000003</v>
      </c>
      <c r="D813">
        <v>31.28</v>
      </c>
      <c r="E813">
        <v>26.76</v>
      </c>
      <c r="F813">
        <v>31.78</v>
      </c>
      <c r="G813">
        <v>13.24</v>
      </c>
      <c r="H813">
        <v>215.5</v>
      </c>
      <c r="I813">
        <v>27.84</v>
      </c>
      <c r="J813">
        <v>62.02</v>
      </c>
      <c r="K813">
        <v>149.62</v>
      </c>
      <c r="M813" s="125">
        <f ca="1">IFERROR(__xludf.DUMMYFUNCTION("""COMPUTED_VALUE"""),44417.6666666666)</f>
        <v>44417.666666666599</v>
      </c>
      <c r="N813">
        <f ca="1">IFERROR(__xludf.DUMMYFUNCTION("""COMPUTED_VALUE"""),40.95)</f>
        <v>40.950000000000003</v>
      </c>
      <c r="O813" s="125">
        <f ca="1">IFERROR(__xludf.DUMMYFUNCTION("""COMPUTED_VALUE"""),43886.6666666666)</f>
        <v>43886.666666666599</v>
      </c>
      <c r="P813">
        <f ca="1">IFERROR(__xludf.DUMMYFUNCTION("""COMPUTED_VALUE"""),35.52)</f>
        <v>35.520000000000003</v>
      </c>
    </row>
    <row r="814" spans="2:16" ht="12.75">
      <c r="B814" s="125">
        <f ca="1">IFERROR(__xludf.DUMMYFUNCTION("""COMPUTED_VALUE"""),43887.6666666666)</f>
        <v>43887.666666666599</v>
      </c>
      <c r="C814">
        <f ca="1">IFERROR(__xludf.DUMMYFUNCTION("""COMPUTED_VALUE"""),35.88)</f>
        <v>35.880000000000003</v>
      </c>
      <c r="D814">
        <v>31.15</v>
      </c>
      <c r="E814">
        <v>26.78</v>
      </c>
      <c r="F814">
        <v>31.73</v>
      </c>
      <c r="G814">
        <v>13.06</v>
      </c>
      <c r="H814">
        <v>213.98</v>
      </c>
      <c r="I814">
        <v>27.72</v>
      </c>
      <c r="J814">
        <v>61.67</v>
      </c>
      <c r="K814">
        <v>148.02000000000001</v>
      </c>
      <c r="M814" s="125">
        <f ca="1">IFERROR(__xludf.DUMMYFUNCTION("""COMPUTED_VALUE"""),44418.6666666666)</f>
        <v>44418.666666666599</v>
      </c>
      <c r="N814">
        <f ca="1">IFERROR(__xludf.DUMMYFUNCTION("""COMPUTED_VALUE"""),40.53)</f>
        <v>40.53</v>
      </c>
      <c r="O814" s="125">
        <f ca="1">IFERROR(__xludf.DUMMYFUNCTION("""COMPUTED_VALUE"""),43887.6666666666)</f>
        <v>43887.666666666599</v>
      </c>
      <c r="P814">
        <f ca="1">IFERROR(__xludf.DUMMYFUNCTION("""COMPUTED_VALUE"""),35.88)</f>
        <v>35.880000000000003</v>
      </c>
    </row>
    <row r="815" spans="2:16" ht="12.75">
      <c r="B815" s="125">
        <f ca="1">IFERROR(__xludf.DUMMYFUNCTION("""COMPUTED_VALUE"""),43888.6666666666)</f>
        <v>43888.666666666599</v>
      </c>
      <c r="C815">
        <f ca="1">IFERROR(__xludf.DUMMYFUNCTION("""COMPUTED_VALUE"""),34.76)</f>
        <v>34.76</v>
      </c>
      <c r="D815">
        <v>30.21</v>
      </c>
      <c r="E815">
        <v>26.62</v>
      </c>
      <c r="F815">
        <v>30.7</v>
      </c>
      <c r="G815">
        <v>12.56</v>
      </c>
      <c r="H815">
        <v>205.63</v>
      </c>
      <c r="I815">
        <v>26.75</v>
      </c>
      <c r="J815">
        <v>59.16</v>
      </c>
      <c r="K815">
        <v>141.26</v>
      </c>
      <c r="M815" s="125">
        <f ca="1">IFERROR(__xludf.DUMMYFUNCTION("""COMPUTED_VALUE"""),44419.6666666666)</f>
        <v>44419.666666666599</v>
      </c>
      <c r="N815">
        <f ca="1">IFERROR(__xludf.DUMMYFUNCTION("""COMPUTED_VALUE"""),40.77)</f>
        <v>40.770000000000003</v>
      </c>
      <c r="O815" s="125">
        <f ca="1">IFERROR(__xludf.DUMMYFUNCTION("""COMPUTED_VALUE"""),43888.6666666666)</f>
        <v>43888.666666666599</v>
      </c>
      <c r="P815">
        <f ca="1">IFERROR(__xludf.DUMMYFUNCTION("""COMPUTED_VALUE"""),34.76)</f>
        <v>34.76</v>
      </c>
    </row>
    <row r="816" spans="2:16" ht="12.75">
      <c r="B816" s="125">
        <f ca="1">IFERROR(__xludf.DUMMYFUNCTION("""COMPUTED_VALUE"""),43889.6666666666)</f>
        <v>43889.666666666599</v>
      </c>
      <c r="C816">
        <f ca="1">IFERROR(__xludf.DUMMYFUNCTION("""COMPUTED_VALUE"""),34.22)</f>
        <v>34.22</v>
      </c>
      <c r="D816">
        <v>30.1</v>
      </c>
      <c r="E816">
        <v>26.53</v>
      </c>
      <c r="F816">
        <v>30.44</v>
      </c>
      <c r="G816">
        <v>12.56</v>
      </c>
      <c r="H816">
        <v>200.89</v>
      </c>
      <c r="I816">
        <v>26.33</v>
      </c>
      <c r="J816">
        <v>57.99</v>
      </c>
      <c r="K816">
        <v>136.46</v>
      </c>
      <c r="M816" s="125">
        <f ca="1">IFERROR(__xludf.DUMMYFUNCTION("""COMPUTED_VALUE"""),44420.6666666666)</f>
        <v>44420.666666666599</v>
      </c>
      <c r="N816">
        <f ca="1">IFERROR(__xludf.DUMMYFUNCTION("""COMPUTED_VALUE"""),41)</f>
        <v>41</v>
      </c>
      <c r="O816" s="125">
        <f ca="1">IFERROR(__xludf.DUMMYFUNCTION("""COMPUTED_VALUE"""),43889.6666666666)</f>
        <v>43889.666666666599</v>
      </c>
      <c r="P816">
        <f ca="1">IFERROR(__xludf.DUMMYFUNCTION("""COMPUTED_VALUE"""),34.22)</f>
        <v>34.22</v>
      </c>
    </row>
    <row r="817" spans="2:16" ht="12.75">
      <c r="B817" s="125">
        <f ca="1">IFERROR(__xludf.DUMMYFUNCTION("""COMPUTED_VALUE"""),43892.6666666666)</f>
        <v>43892.666666666599</v>
      </c>
      <c r="C817">
        <f ca="1">IFERROR(__xludf.DUMMYFUNCTION("""COMPUTED_VALUE"""),35.64)</f>
        <v>35.64</v>
      </c>
      <c r="D817">
        <v>31.08</v>
      </c>
      <c r="E817">
        <v>26.39</v>
      </c>
      <c r="F817">
        <v>31.22</v>
      </c>
      <c r="G817">
        <v>12.69</v>
      </c>
      <c r="H817">
        <v>207.17</v>
      </c>
      <c r="I817">
        <v>26.56</v>
      </c>
      <c r="J817">
        <v>61.09</v>
      </c>
      <c r="K817">
        <v>144.1</v>
      </c>
      <c r="M817" s="125">
        <f ca="1">IFERROR(__xludf.DUMMYFUNCTION("""COMPUTED_VALUE"""),44421.6666666666)</f>
        <v>44421.666666666599</v>
      </c>
      <c r="N817">
        <f ca="1">IFERROR(__xludf.DUMMYFUNCTION("""COMPUTED_VALUE"""),41.07)</f>
        <v>41.07</v>
      </c>
      <c r="O817" s="125">
        <f ca="1">IFERROR(__xludf.DUMMYFUNCTION("""COMPUTED_VALUE"""),43892.6666666666)</f>
        <v>43892.666666666599</v>
      </c>
      <c r="P817">
        <f ca="1">IFERROR(__xludf.DUMMYFUNCTION("""COMPUTED_VALUE"""),35.64)</f>
        <v>35.64</v>
      </c>
    </row>
    <row r="818" spans="2:16" ht="12.75">
      <c r="B818" s="125">
        <f ca="1">IFERROR(__xludf.DUMMYFUNCTION("""COMPUTED_VALUE"""),43893.6666666666)</f>
        <v>43893.666666666599</v>
      </c>
      <c r="C818">
        <f ca="1">IFERROR(__xludf.DUMMYFUNCTION("""COMPUTED_VALUE"""),35.21)</f>
        <v>35.21</v>
      </c>
      <c r="D818">
        <v>30.56</v>
      </c>
      <c r="E818">
        <v>26.28</v>
      </c>
      <c r="F818">
        <v>30.93</v>
      </c>
      <c r="G818">
        <v>12.79</v>
      </c>
      <c r="H818">
        <v>203.8</v>
      </c>
      <c r="I818">
        <v>26.16</v>
      </c>
      <c r="J818">
        <v>60.26</v>
      </c>
      <c r="K818">
        <v>142.63</v>
      </c>
      <c r="M818" s="125">
        <f ca="1">IFERROR(__xludf.DUMMYFUNCTION("""COMPUTED_VALUE"""),44424.6666666666)</f>
        <v>44424.666666666599</v>
      </c>
      <c r="N818">
        <f ca="1">IFERROR(__xludf.DUMMYFUNCTION("""COMPUTED_VALUE"""),41.1)</f>
        <v>41.1</v>
      </c>
      <c r="O818" s="125">
        <f ca="1">IFERROR(__xludf.DUMMYFUNCTION("""COMPUTED_VALUE"""),43893.6666666666)</f>
        <v>43893.666666666599</v>
      </c>
      <c r="P818">
        <f ca="1">IFERROR(__xludf.DUMMYFUNCTION("""COMPUTED_VALUE"""),35.21)</f>
        <v>35.21</v>
      </c>
    </row>
    <row r="819" spans="2:16" ht="12.75">
      <c r="B819" s="125">
        <f ca="1">IFERROR(__xludf.DUMMYFUNCTION("""COMPUTED_VALUE"""),43894.6666666666)</f>
        <v>43894.666666666599</v>
      </c>
      <c r="C819">
        <f ca="1">IFERROR(__xludf.DUMMYFUNCTION("""COMPUTED_VALUE"""),36.15)</f>
        <v>36.15</v>
      </c>
      <c r="D819">
        <v>31.43</v>
      </c>
      <c r="E819">
        <v>26.37</v>
      </c>
      <c r="F819">
        <v>32.11</v>
      </c>
      <c r="G819">
        <v>13.28</v>
      </c>
      <c r="H819">
        <v>211.18</v>
      </c>
      <c r="I819">
        <v>27.09</v>
      </c>
      <c r="J819">
        <v>63.22</v>
      </c>
      <c r="K819">
        <v>150.38</v>
      </c>
      <c r="M819" s="125">
        <f ca="1">IFERROR(__xludf.DUMMYFUNCTION("""COMPUTED_VALUE"""),44425.6666666666)</f>
        <v>44425.666666666599</v>
      </c>
      <c r="N819">
        <f ca="1">IFERROR(__xludf.DUMMYFUNCTION("""COMPUTED_VALUE"""),41.13)</f>
        <v>41.13</v>
      </c>
      <c r="O819" s="125">
        <f ca="1">IFERROR(__xludf.DUMMYFUNCTION("""COMPUTED_VALUE"""),43894.6666666666)</f>
        <v>43894.666666666599</v>
      </c>
      <c r="P819">
        <f ca="1">IFERROR(__xludf.DUMMYFUNCTION("""COMPUTED_VALUE"""),36.15)</f>
        <v>36.15</v>
      </c>
    </row>
    <row r="820" spans="2:16" ht="12.75">
      <c r="B820" s="125">
        <f ca="1">IFERROR(__xludf.DUMMYFUNCTION("""COMPUTED_VALUE"""),43895.6666666666)</f>
        <v>43895.666666666599</v>
      </c>
      <c r="C820">
        <f ca="1">IFERROR(__xludf.DUMMYFUNCTION("""COMPUTED_VALUE"""),35.74)</f>
        <v>35.74</v>
      </c>
      <c r="D820">
        <v>30.24</v>
      </c>
      <c r="E820">
        <v>26.17</v>
      </c>
      <c r="F820">
        <v>31.07</v>
      </c>
      <c r="G820">
        <v>13.14</v>
      </c>
      <c r="H820">
        <v>197.67</v>
      </c>
      <c r="I820">
        <v>26.01</v>
      </c>
      <c r="J820">
        <v>62.03</v>
      </c>
      <c r="K820">
        <v>148.11000000000001</v>
      </c>
      <c r="M820" s="125">
        <f ca="1">IFERROR(__xludf.DUMMYFUNCTION("""COMPUTED_VALUE"""),44426.6666666666)</f>
        <v>44426.666666666599</v>
      </c>
      <c r="N820">
        <f ca="1">IFERROR(__xludf.DUMMYFUNCTION("""COMPUTED_VALUE"""),40.72)</f>
        <v>40.72</v>
      </c>
      <c r="O820" s="125">
        <f ca="1">IFERROR(__xludf.DUMMYFUNCTION("""COMPUTED_VALUE"""),43895.6666666666)</f>
        <v>43895.666666666599</v>
      </c>
      <c r="P820">
        <f ca="1">IFERROR(__xludf.DUMMYFUNCTION("""COMPUTED_VALUE"""),35.74)</f>
        <v>35.74</v>
      </c>
    </row>
    <row r="821" spans="2:16" ht="12.75">
      <c r="B821" s="125">
        <f ca="1">IFERROR(__xludf.DUMMYFUNCTION("""COMPUTED_VALUE"""),43896.6666666666)</f>
        <v>43896.666666666599</v>
      </c>
      <c r="C821">
        <f ca="1">IFERROR(__xludf.DUMMYFUNCTION("""COMPUTED_VALUE"""),34.9)</f>
        <v>34.9</v>
      </c>
      <c r="D821">
        <v>29.62</v>
      </c>
      <c r="E821">
        <v>26.02</v>
      </c>
      <c r="F821">
        <v>30.68</v>
      </c>
      <c r="G821">
        <v>12.74</v>
      </c>
      <c r="H821">
        <v>195.04</v>
      </c>
      <c r="I821">
        <v>25.51</v>
      </c>
      <c r="J821">
        <v>61.54</v>
      </c>
      <c r="K821">
        <v>146.88999999999999</v>
      </c>
      <c r="M821" s="125">
        <f ca="1">IFERROR(__xludf.DUMMYFUNCTION("""COMPUTED_VALUE"""),44427.6666666666)</f>
        <v>44427.666666666599</v>
      </c>
      <c r="N821">
        <f ca="1">IFERROR(__xludf.DUMMYFUNCTION("""COMPUTED_VALUE"""),41.12)</f>
        <v>41.12</v>
      </c>
      <c r="O821" s="125">
        <f ca="1">IFERROR(__xludf.DUMMYFUNCTION("""COMPUTED_VALUE"""),43896.6666666666)</f>
        <v>43896.666666666599</v>
      </c>
      <c r="P821">
        <f ca="1">IFERROR(__xludf.DUMMYFUNCTION("""COMPUTED_VALUE"""),34.9)</f>
        <v>34.9</v>
      </c>
    </row>
    <row r="822" spans="2:16" ht="12.75">
      <c r="B822" s="125">
        <f ca="1">IFERROR(__xludf.DUMMYFUNCTION("""COMPUTED_VALUE"""),43899.6666666666)</f>
        <v>43899.666666666599</v>
      </c>
      <c r="C822">
        <f ca="1">IFERROR(__xludf.DUMMYFUNCTION("""COMPUTED_VALUE"""),32.7)</f>
        <v>32.700000000000003</v>
      </c>
      <c r="D822">
        <v>26.84</v>
      </c>
      <c r="E822">
        <v>25.74</v>
      </c>
      <c r="F822">
        <v>28.33</v>
      </c>
      <c r="G822">
        <v>11.3</v>
      </c>
      <c r="H822">
        <v>176.34</v>
      </c>
      <c r="I822">
        <v>22.92</v>
      </c>
      <c r="J822">
        <v>58.86</v>
      </c>
      <c r="K822">
        <v>138.72</v>
      </c>
      <c r="M822" s="125">
        <f ca="1">IFERROR(__xludf.DUMMYFUNCTION("""COMPUTED_VALUE"""),44428.6666666666)</f>
        <v>44428.666666666599</v>
      </c>
      <c r="N822">
        <f ca="1">IFERROR(__xludf.DUMMYFUNCTION("""COMPUTED_VALUE"""),41.36)</f>
        <v>41.36</v>
      </c>
      <c r="O822" s="125">
        <f ca="1">IFERROR(__xludf.DUMMYFUNCTION("""COMPUTED_VALUE"""),43899.6666666666)</f>
        <v>43899.666666666599</v>
      </c>
      <c r="P822">
        <f ca="1">IFERROR(__xludf.DUMMYFUNCTION("""COMPUTED_VALUE"""),32.7)</f>
        <v>32.700000000000003</v>
      </c>
    </row>
    <row r="823" spans="2:16" ht="12.75">
      <c r="B823" s="125">
        <f ca="1">IFERROR(__xludf.DUMMYFUNCTION("""COMPUTED_VALUE"""),43900.6666666666)</f>
        <v>43900.666666666599</v>
      </c>
      <c r="C823">
        <f ca="1">IFERROR(__xludf.DUMMYFUNCTION("""COMPUTED_VALUE"""),34.49)</f>
        <v>34.49</v>
      </c>
      <c r="D823">
        <v>28.47</v>
      </c>
      <c r="E823">
        <v>26.12</v>
      </c>
      <c r="F823">
        <v>29.25</v>
      </c>
      <c r="G823">
        <v>11.56</v>
      </c>
      <c r="H823">
        <v>183.31</v>
      </c>
      <c r="I823">
        <v>24.05</v>
      </c>
      <c r="J823">
        <v>60.55</v>
      </c>
      <c r="K823">
        <v>139.44999999999999</v>
      </c>
      <c r="M823" s="125">
        <f ca="1">IFERROR(__xludf.DUMMYFUNCTION("""COMPUTED_VALUE"""),44431.6666666666)</f>
        <v>44431.666666666599</v>
      </c>
      <c r="N823">
        <f ca="1">IFERROR(__xludf.DUMMYFUNCTION("""COMPUTED_VALUE"""),41.44)</f>
        <v>41.44</v>
      </c>
      <c r="O823" s="125">
        <f ca="1">IFERROR(__xludf.DUMMYFUNCTION("""COMPUTED_VALUE"""),43900.6666666666)</f>
        <v>43900.666666666599</v>
      </c>
      <c r="P823">
        <f ca="1">IFERROR(__xludf.DUMMYFUNCTION("""COMPUTED_VALUE"""),34.49)</f>
        <v>34.49</v>
      </c>
    </row>
    <row r="824" spans="2:16" ht="12.75">
      <c r="B824" s="125">
        <f ca="1">IFERROR(__xludf.DUMMYFUNCTION("""COMPUTED_VALUE"""),43901.6666666666)</f>
        <v>43901.666666666599</v>
      </c>
      <c r="C824">
        <f ca="1">IFERROR(__xludf.DUMMYFUNCTION("""COMPUTED_VALUE"""),32.96)</f>
        <v>32.96</v>
      </c>
      <c r="D824">
        <v>26.85</v>
      </c>
      <c r="E824">
        <v>26.16</v>
      </c>
      <c r="F824">
        <v>27.57</v>
      </c>
      <c r="G824">
        <v>10.85</v>
      </c>
      <c r="H824">
        <v>166.68</v>
      </c>
      <c r="I824">
        <v>22.73</v>
      </c>
      <c r="J824">
        <v>57.58</v>
      </c>
      <c r="K824">
        <v>132.22999999999999</v>
      </c>
      <c r="M824" s="125">
        <f ca="1">IFERROR(__xludf.DUMMYFUNCTION("""COMPUTED_VALUE"""),44432.6666666666)</f>
        <v>44432.666666666599</v>
      </c>
      <c r="N824">
        <f ca="1">IFERROR(__xludf.DUMMYFUNCTION("""COMPUTED_VALUE"""),41.21)</f>
        <v>41.21</v>
      </c>
      <c r="O824" s="125">
        <f ca="1">IFERROR(__xludf.DUMMYFUNCTION("""COMPUTED_VALUE"""),43901.6666666666)</f>
        <v>43901.666666666599</v>
      </c>
      <c r="P824">
        <f ca="1">IFERROR(__xludf.DUMMYFUNCTION("""COMPUTED_VALUE"""),32.96)</f>
        <v>32.96</v>
      </c>
    </row>
    <row r="825" spans="2:16" ht="12.75">
      <c r="B825" s="125">
        <f ca="1">IFERROR(__xludf.DUMMYFUNCTION("""COMPUTED_VALUE"""),43902.6666666666)</f>
        <v>43902.666666666599</v>
      </c>
      <c r="C825">
        <f ca="1">IFERROR(__xludf.DUMMYFUNCTION("""COMPUTED_VALUE"""),30.08)</f>
        <v>30.08</v>
      </c>
      <c r="D825">
        <v>23.96</v>
      </c>
      <c r="E825">
        <v>26.44</v>
      </c>
      <c r="F825">
        <v>24.86</v>
      </c>
      <c r="G825">
        <v>9.4600000000000009</v>
      </c>
      <c r="H825">
        <v>148.16</v>
      </c>
      <c r="I825">
        <v>20.010000000000002</v>
      </c>
      <c r="J825">
        <v>52.17</v>
      </c>
      <c r="K825">
        <v>118.47</v>
      </c>
      <c r="M825" s="125">
        <f ca="1">IFERROR(__xludf.DUMMYFUNCTION("""COMPUTED_VALUE"""),44433.6666666666)</f>
        <v>44433.666666666599</v>
      </c>
      <c r="N825">
        <f ca="1">IFERROR(__xludf.DUMMYFUNCTION("""COMPUTED_VALUE"""),41.01)</f>
        <v>41.01</v>
      </c>
      <c r="O825" s="125">
        <f ca="1">IFERROR(__xludf.DUMMYFUNCTION("""COMPUTED_VALUE"""),43902.6666666666)</f>
        <v>43902.666666666599</v>
      </c>
      <c r="P825">
        <f ca="1">IFERROR(__xludf.DUMMYFUNCTION("""COMPUTED_VALUE"""),30.08)</f>
        <v>30.08</v>
      </c>
    </row>
    <row r="826" spans="2:16" ht="12.75">
      <c r="B826" s="125">
        <f ca="1">IFERROR(__xludf.DUMMYFUNCTION("""COMPUTED_VALUE"""),43903.6666666666)</f>
        <v>43903.666666666599</v>
      </c>
      <c r="C826">
        <f ca="1">IFERROR(__xludf.DUMMYFUNCTION("""COMPUTED_VALUE"""),31.54)</f>
        <v>31.54</v>
      </c>
      <c r="D826">
        <v>26.09</v>
      </c>
      <c r="E826">
        <v>27.44</v>
      </c>
      <c r="F826">
        <v>25.81</v>
      </c>
      <c r="G826">
        <v>9.9600000000000009</v>
      </c>
      <c r="H826">
        <v>157.38</v>
      </c>
      <c r="I826">
        <v>21.18</v>
      </c>
      <c r="J826">
        <v>56.61</v>
      </c>
      <c r="K826">
        <v>125.16</v>
      </c>
      <c r="M826" s="125">
        <f ca="1">IFERROR(__xludf.DUMMYFUNCTION("""COMPUTED_VALUE"""),44434.6666666666)</f>
        <v>44434.666666666599</v>
      </c>
      <c r="N826">
        <f ca="1">IFERROR(__xludf.DUMMYFUNCTION("""COMPUTED_VALUE"""),41.03)</f>
        <v>41.03</v>
      </c>
      <c r="O826" s="125">
        <f ca="1">IFERROR(__xludf.DUMMYFUNCTION("""COMPUTED_VALUE"""),43903.6666666666)</f>
        <v>43903.666666666599</v>
      </c>
      <c r="P826">
        <f ca="1">IFERROR(__xludf.DUMMYFUNCTION("""COMPUTED_VALUE"""),31.54)</f>
        <v>31.54</v>
      </c>
    </row>
    <row r="827" spans="2:16" ht="12.75">
      <c r="B827" s="125">
        <f ca="1">IFERROR(__xludf.DUMMYFUNCTION("""COMPUTED_VALUE"""),43906.6666666666)</f>
        <v>43906.666666666599</v>
      </c>
      <c r="C827">
        <f ca="1">IFERROR(__xludf.DUMMYFUNCTION("""COMPUTED_VALUE"""),28)</f>
        <v>28</v>
      </c>
      <c r="D827">
        <v>22.74</v>
      </c>
      <c r="E827">
        <v>26.56</v>
      </c>
      <c r="F827">
        <v>23.13</v>
      </c>
      <c r="G827">
        <v>8.7799999999999994</v>
      </c>
      <c r="H827">
        <v>134.18</v>
      </c>
      <c r="I827">
        <v>18.36</v>
      </c>
      <c r="J827">
        <v>52.77</v>
      </c>
      <c r="K827">
        <v>111.11</v>
      </c>
      <c r="M827" s="125">
        <f ca="1">IFERROR(__xludf.DUMMYFUNCTION("""COMPUTED_VALUE"""),44435.6666666666)</f>
        <v>44435.666666666599</v>
      </c>
      <c r="N827">
        <f ca="1">IFERROR(__xludf.DUMMYFUNCTION("""COMPUTED_VALUE"""),41.09)</f>
        <v>41.09</v>
      </c>
      <c r="O827" s="125">
        <f ca="1">IFERROR(__xludf.DUMMYFUNCTION("""COMPUTED_VALUE"""),43906.6666666666)</f>
        <v>43906.666666666599</v>
      </c>
      <c r="P827">
        <f ca="1">IFERROR(__xludf.DUMMYFUNCTION("""COMPUTED_VALUE"""),28)</f>
        <v>28</v>
      </c>
    </row>
    <row r="828" spans="2:16" ht="12.75">
      <c r="B828" s="125">
        <f ca="1">IFERROR(__xludf.DUMMYFUNCTION("""COMPUTED_VALUE"""),43907.6666666666)</f>
        <v>43907.666666666599</v>
      </c>
      <c r="C828">
        <f ca="1">IFERROR(__xludf.DUMMYFUNCTION("""COMPUTED_VALUE"""),29.43)</f>
        <v>29.43</v>
      </c>
      <c r="D828">
        <v>23.25</v>
      </c>
      <c r="E828">
        <v>27.03</v>
      </c>
      <c r="F828">
        <v>24.04</v>
      </c>
      <c r="G828">
        <v>9.4700000000000006</v>
      </c>
      <c r="H828">
        <v>137.05000000000001</v>
      </c>
      <c r="I828">
        <v>19.64</v>
      </c>
      <c r="J828">
        <v>57.22</v>
      </c>
      <c r="K828">
        <v>125.56</v>
      </c>
      <c r="M828" s="125">
        <f ca="1">IFERROR(__xludf.DUMMYFUNCTION("""COMPUTED_VALUE"""),44438.6666666666)</f>
        <v>44438.666666666599</v>
      </c>
      <c r="N828">
        <f ca="1">IFERROR(__xludf.DUMMYFUNCTION("""COMPUTED_VALUE"""),41.68)</f>
        <v>41.68</v>
      </c>
      <c r="O828" s="125">
        <f ca="1">IFERROR(__xludf.DUMMYFUNCTION("""COMPUTED_VALUE"""),43907.6666666666)</f>
        <v>43907.666666666599</v>
      </c>
      <c r="P828">
        <f ca="1">IFERROR(__xludf.DUMMYFUNCTION("""COMPUTED_VALUE"""),29.43)</f>
        <v>29.43</v>
      </c>
    </row>
    <row r="829" spans="2:16" ht="12.75">
      <c r="B829" s="125">
        <f ca="1">IFERROR(__xludf.DUMMYFUNCTION("""COMPUTED_VALUE"""),43908.6666666666)</f>
        <v>43908.666666666599</v>
      </c>
      <c r="C829">
        <f ca="1">IFERROR(__xludf.DUMMYFUNCTION("""COMPUTED_VALUE"""),27.51)</f>
        <v>27.51</v>
      </c>
      <c r="D829">
        <v>20.89</v>
      </c>
      <c r="E829">
        <v>27.44</v>
      </c>
      <c r="F829">
        <v>22.43</v>
      </c>
      <c r="G829">
        <v>8.5</v>
      </c>
      <c r="H829">
        <v>123.41</v>
      </c>
      <c r="I829">
        <v>18.45</v>
      </c>
      <c r="J829">
        <v>55.75</v>
      </c>
      <c r="K829">
        <v>119.66</v>
      </c>
      <c r="M829" s="125">
        <f ca="1">IFERROR(__xludf.DUMMYFUNCTION("""COMPUTED_VALUE"""),44439.6666666666)</f>
        <v>44439.666666666599</v>
      </c>
      <c r="N829">
        <f ca="1">IFERROR(__xludf.DUMMYFUNCTION("""COMPUTED_VALUE"""),41.96)</f>
        <v>41.96</v>
      </c>
      <c r="O829" s="125">
        <f ca="1">IFERROR(__xludf.DUMMYFUNCTION("""COMPUTED_VALUE"""),43908.6666666666)</f>
        <v>43908.666666666599</v>
      </c>
      <c r="P829">
        <f ca="1">IFERROR(__xludf.DUMMYFUNCTION("""COMPUTED_VALUE"""),27.51)</f>
        <v>27.51</v>
      </c>
    </row>
    <row r="830" spans="2:16" ht="12.75">
      <c r="B830" s="125">
        <f ca="1">IFERROR(__xludf.DUMMYFUNCTION("""COMPUTED_VALUE"""),43909.6666666666)</f>
        <v>43909.666666666599</v>
      </c>
      <c r="C830">
        <f ca="1">IFERROR(__xludf.DUMMYFUNCTION("""COMPUTED_VALUE"""),28.24)</f>
        <v>28.24</v>
      </c>
      <c r="D830">
        <v>21.25</v>
      </c>
      <c r="E830">
        <v>28.09</v>
      </c>
      <c r="F830">
        <v>23.12</v>
      </c>
      <c r="G830">
        <v>8.6999999999999993</v>
      </c>
      <c r="H830">
        <v>125.55</v>
      </c>
      <c r="I830">
        <v>19.14</v>
      </c>
      <c r="J830">
        <v>53.89</v>
      </c>
      <c r="K830">
        <v>114</v>
      </c>
      <c r="M830" s="125">
        <f ca="1">IFERROR(__xludf.DUMMYFUNCTION("""COMPUTED_VALUE"""),44440.6666666666)</f>
        <v>44440.666666666599</v>
      </c>
      <c r="N830">
        <f ca="1">IFERROR(__xludf.DUMMYFUNCTION("""COMPUTED_VALUE"""),42.75)</f>
        <v>42.75</v>
      </c>
      <c r="O830" s="125">
        <f ca="1">IFERROR(__xludf.DUMMYFUNCTION("""COMPUTED_VALUE"""),43909.6666666666)</f>
        <v>43909.666666666599</v>
      </c>
      <c r="P830">
        <f ca="1">IFERROR(__xludf.DUMMYFUNCTION("""COMPUTED_VALUE"""),28.24)</f>
        <v>28.24</v>
      </c>
    </row>
    <row r="831" spans="2:16" ht="12.75">
      <c r="B831" s="125">
        <f ca="1">IFERROR(__xludf.DUMMYFUNCTION("""COMPUTED_VALUE"""),43910.6666666666)</f>
        <v>43910.666666666599</v>
      </c>
      <c r="C831">
        <f ca="1">IFERROR(__xludf.DUMMYFUNCTION("""COMPUTED_VALUE"""),28.6)</f>
        <v>28.6</v>
      </c>
      <c r="D831">
        <v>20.54</v>
      </c>
      <c r="E831">
        <v>28.01</v>
      </c>
      <c r="F831">
        <v>22.58</v>
      </c>
      <c r="G831">
        <v>8.69</v>
      </c>
      <c r="H831">
        <v>120.75</v>
      </c>
      <c r="I831">
        <v>19.27</v>
      </c>
      <c r="J831">
        <v>50.4</v>
      </c>
      <c r="K831">
        <v>104.19</v>
      </c>
      <c r="M831" s="125">
        <f ca="1">IFERROR(__xludf.DUMMYFUNCTION("""COMPUTED_VALUE"""),44441.6666666666)</f>
        <v>44441.666666666599</v>
      </c>
      <c r="N831">
        <f ca="1">IFERROR(__xludf.DUMMYFUNCTION("""COMPUTED_VALUE"""),43.05)</f>
        <v>43.05</v>
      </c>
      <c r="O831" s="125">
        <f ca="1">IFERROR(__xludf.DUMMYFUNCTION("""COMPUTED_VALUE"""),43910.6666666666)</f>
        <v>43910.666666666599</v>
      </c>
      <c r="P831">
        <f ca="1">IFERROR(__xludf.DUMMYFUNCTION("""COMPUTED_VALUE"""),28.6)</f>
        <v>28.6</v>
      </c>
    </row>
    <row r="832" spans="2:16" ht="12.75">
      <c r="B832" s="125">
        <f ca="1">IFERROR(__xludf.DUMMYFUNCTION("""COMPUTED_VALUE"""),43913.6666666666)</f>
        <v>43913.666666666599</v>
      </c>
      <c r="C832">
        <f ca="1">IFERROR(__xludf.DUMMYFUNCTION("""COMPUTED_VALUE"""),28.6)</f>
        <v>28.6</v>
      </c>
      <c r="D832">
        <v>20.3</v>
      </c>
      <c r="E832">
        <v>27.97</v>
      </c>
      <c r="F832">
        <v>23.11</v>
      </c>
      <c r="G832">
        <v>8.33</v>
      </c>
      <c r="H832">
        <v>117.51</v>
      </c>
      <c r="I832">
        <v>19.510000000000002</v>
      </c>
      <c r="J832">
        <v>48.63</v>
      </c>
      <c r="K832">
        <v>98.62</v>
      </c>
      <c r="M832" s="125">
        <f ca="1">IFERROR(__xludf.DUMMYFUNCTION("""COMPUTED_VALUE"""),44442.6666666666)</f>
        <v>44442.666666666599</v>
      </c>
      <c r="N832">
        <f ca="1">IFERROR(__xludf.DUMMYFUNCTION("""COMPUTED_VALUE"""),43.2)</f>
        <v>43.2</v>
      </c>
      <c r="O832" s="125">
        <f ca="1">IFERROR(__xludf.DUMMYFUNCTION("""COMPUTED_VALUE"""),43913.6666666666)</f>
        <v>43913.666666666599</v>
      </c>
      <c r="P832">
        <f ca="1">IFERROR(__xludf.DUMMYFUNCTION("""COMPUTED_VALUE"""),28.6)</f>
        <v>28.6</v>
      </c>
    </row>
    <row r="833" spans="2:16" ht="12.75">
      <c r="B833" s="125">
        <f ca="1">IFERROR(__xludf.DUMMYFUNCTION("""COMPUTED_VALUE"""),43914.6666666666)</f>
        <v>43914.666666666599</v>
      </c>
      <c r="C833">
        <f ca="1">IFERROR(__xludf.DUMMYFUNCTION("""COMPUTED_VALUE"""),30.67)</f>
        <v>30.67</v>
      </c>
      <c r="D833">
        <v>22.56</v>
      </c>
      <c r="E833">
        <v>27.65</v>
      </c>
      <c r="F833">
        <v>24.82</v>
      </c>
      <c r="G833">
        <v>9.2799999999999994</v>
      </c>
      <c r="H833">
        <v>131.96</v>
      </c>
      <c r="I833">
        <v>21.37</v>
      </c>
      <c r="J833">
        <v>51.11</v>
      </c>
      <c r="K833">
        <v>109.58</v>
      </c>
      <c r="M833" s="125">
        <f ca="1">IFERROR(__xludf.DUMMYFUNCTION("""COMPUTED_VALUE"""),44446.6666666666)</f>
        <v>44446.666666666599</v>
      </c>
      <c r="N833">
        <f ca="1">IFERROR(__xludf.DUMMYFUNCTION("""COMPUTED_VALUE"""),42.92)</f>
        <v>42.92</v>
      </c>
      <c r="O833" s="125">
        <f ca="1">IFERROR(__xludf.DUMMYFUNCTION("""COMPUTED_VALUE"""),43914.6666666666)</f>
        <v>43914.666666666599</v>
      </c>
      <c r="P833">
        <f ca="1">IFERROR(__xludf.DUMMYFUNCTION("""COMPUTED_VALUE"""),30.67)</f>
        <v>30.67</v>
      </c>
    </row>
    <row r="834" spans="2:16" ht="12.75">
      <c r="B834" s="125">
        <f ca="1">IFERROR(__xludf.DUMMYFUNCTION("""COMPUTED_VALUE"""),43915.6666666666)</f>
        <v>43915.666666666599</v>
      </c>
      <c r="C834">
        <f ca="1">IFERROR(__xludf.DUMMYFUNCTION("""COMPUTED_VALUE"""),31.47)</f>
        <v>31.47</v>
      </c>
      <c r="D834">
        <v>23.61</v>
      </c>
      <c r="E834">
        <v>27.39</v>
      </c>
      <c r="F834">
        <v>25.35</v>
      </c>
      <c r="G834">
        <v>9.74</v>
      </c>
      <c r="H834">
        <v>144.57</v>
      </c>
      <c r="I834">
        <v>21.61</v>
      </c>
      <c r="J834">
        <v>50.97</v>
      </c>
      <c r="K834">
        <v>112.46</v>
      </c>
      <c r="M834" s="125">
        <f ca="1">IFERROR(__xludf.DUMMYFUNCTION("""COMPUTED_VALUE"""),44447.6666666666)</f>
        <v>44447.666666666599</v>
      </c>
      <c r="N834">
        <f ca="1">IFERROR(__xludf.DUMMYFUNCTION("""COMPUTED_VALUE"""),42.98)</f>
        <v>42.98</v>
      </c>
      <c r="O834" s="125">
        <f ca="1">IFERROR(__xludf.DUMMYFUNCTION("""COMPUTED_VALUE"""),43915.6666666666)</f>
        <v>43915.666666666599</v>
      </c>
      <c r="P834">
        <f ca="1">IFERROR(__xludf.DUMMYFUNCTION("""COMPUTED_VALUE"""),31.47)</f>
        <v>31.47</v>
      </c>
    </row>
    <row r="835" spans="2:16" ht="12.75">
      <c r="B835" s="125">
        <f ca="1">IFERROR(__xludf.DUMMYFUNCTION("""COMPUTED_VALUE"""),43916.6666666666)</f>
        <v>43916.666666666599</v>
      </c>
      <c r="C835">
        <f ca="1">IFERROR(__xludf.DUMMYFUNCTION("""COMPUTED_VALUE"""),32.37)</f>
        <v>32.369999999999997</v>
      </c>
      <c r="D835">
        <v>25.26</v>
      </c>
      <c r="E835">
        <v>26.95</v>
      </c>
      <c r="F835">
        <v>26.65</v>
      </c>
      <c r="G835">
        <v>10.1</v>
      </c>
      <c r="H835">
        <v>159.06</v>
      </c>
      <c r="I835">
        <v>22.09</v>
      </c>
      <c r="J835">
        <v>53.76</v>
      </c>
      <c r="K835">
        <v>121.6</v>
      </c>
      <c r="M835" s="125">
        <f ca="1">IFERROR(__xludf.DUMMYFUNCTION("""COMPUTED_VALUE"""),44448.6666666666)</f>
        <v>44448.666666666599</v>
      </c>
      <c r="N835">
        <f ca="1">IFERROR(__xludf.DUMMYFUNCTION("""COMPUTED_VALUE"""),42.16)</f>
        <v>42.16</v>
      </c>
      <c r="O835" s="125">
        <f ca="1">IFERROR(__xludf.DUMMYFUNCTION("""COMPUTED_VALUE"""),43916.6666666666)</f>
        <v>43916.666666666599</v>
      </c>
      <c r="P835">
        <f ca="1">IFERROR(__xludf.DUMMYFUNCTION("""COMPUTED_VALUE"""),32.37)</f>
        <v>32.369999999999997</v>
      </c>
    </row>
    <row r="836" spans="2:16" ht="12.75">
      <c r="B836" s="125">
        <f ca="1">IFERROR(__xludf.DUMMYFUNCTION("""COMPUTED_VALUE"""),43917.6666666666)</f>
        <v>43917.666666666599</v>
      </c>
      <c r="C836">
        <f ca="1">IFERROR(__xludf.DUMMYFUNCTION("""COMPUTED_VALUE"""),31.02)</f>
        <v>31.02</v>
      </c>
      <c r="D836">
        <v>24.05</v>
      </c>
      <c r="E836">
        <v>26.73</v>
      </c>
      <c r="F836">
        <v>25.64</v>
      </c>
      <c r="G836">
        <v>9.49</v>
      </c>
      <c r="H836">
        <v>149.03</v>
      </c>
      <c r="I836">
        <v>21.02</v>
      </c>
      <c r="J836">
        <v>53.51</v>
      </c>
      <c r="K836">
        <v>122.38</v>
      </c>
      <c r="M836" s="125">
        <f ca="1">IFERROR(__xludf.DUMMYFUNCTION("""COMPUTED_VALUE"""),44449.6666666666)</f>
        <v>44449.666666666599</v>
      </c>
      <c r="N836">
        <f ca="1">IFERROR(__xludf.DUMMYFUNCTION("""COMPUTED_VALUE"""),41.48)</f>
        <v>41.48</v>
      </c>
      <c r="O836" s="125">
        <f ca="1">IFERROR(__xludf.DUMMYFUNCTION("""COMPUTED_VALUE"""),43917.6666666666)</f>
        <v>43917.666666666599</v>
      </c>
      <c r="P836">
        <f ca="1">IFERROR(__xludf.DUMMYFUNCTION("""COMPUTED_VALUE"""),31.02)</f>
        <v>31.02</v>
      </c>
    </row>
    <row r="837" spans="2:16" ht="12.75">
      <c r="B837" s="125">
        <f ca="1">IFERROR(__xludf.DUMMYFUNCTION("""COMPUTED_VALUE"""),43920.6666666666)</f>
        <v>43920.666666666599</v>
      </c>
      <c r="C837">
        <f ca="1">IFERROR(__xludf.DUMMYFUNCTION("""COMPUTED_VALUE"""),31.29)</f>
        <v>31.29</v>
      </c>
      <c r="D837">
        <v>24.69</v>
      </c>
      <c r="E837">
        <v>26.85</v>
      </c>
      <c r="F837">
        <v>26.38</v>
      </c>
      <c r="G837">
        <v>9.57</v>
      </c>
      <c r="H837">
        <v>147.57</v>
      </c>
      <c r="I837">
        <v>21.6</v>
      </c>
      <c r="J837">
        <v>55.6</v>
      </c>
      <c r="K837">
        <v>126.92</v>
      </c>
      <c r="M837" s="125">
        <f ca="1">IFERROR(__xludf.DUMMYFUNCTION("""COMPUTED_VALUE"""),44452.6666666666)</f>
        <v>44452.666666666599</v>
      </c>
      <c r="N837">
        <f ca="1">IFERROR(__xludf.DUMMYFUNCTION("""COMPUTED_VALUE"""),41.55)</f>
        <v>41.55</v>
      </c>
      <c r="O837" s="125">
        <f ca="1">IFERROR(__xludf.DUMMYFUNCTION("""COMPUTED_VALUE"""),43920.6666666666)</f>
        <v>43920.666666666599</v>
      </c>
      <c r="P837">
        <f ca="1">IFERROR(__xludf.DUMMYFUNCTION("""COMPUTED_VALUE"""),31.29)</f>
        <v>31.29</v>
      </c>
    </row>
    <row r="838" spans="2:16" ht="12.75">
      <c r="B838" s="125">
        <f ca="1">IFERROR(__xludf.DUMMYFUNCTION("""COMPUTED_VALUE"""),43921.6666666666)</f>
        <v>43921.666666666599</v>
      </c>
      <c r="C838">
        <f ca="1">IFERROR(__xludf.DUMMYFUNCTION("""COMPUTED_VALUE"""),31.51)</f>
        <v>31.51</v>
      </c>
      <c r="D838">
        <v>24.16</v>
      </c>
      <c r="E838">
        <v>26.83</v>
      </c>
      <c r="F838">
        <v>25.99</v>
      </c>
      <c r="G838">
        <v>9.5500000000000007</v>
      </c>
      <c r="H838">
        <v>143.85</v>
      </c>
      <c r="I838">
        <v>21.62</v>
      </c>
      <c r="J838">
        <v>54.47</v>
      </c>
      <c r="K838">
        <v>121.93</v>
      </c>
      <c r="M838" s="125">
        <f ca="1">IFERROR(__xludf.DUMMYFUNCTION("""COMPUTED_VALUE"""),44453.6666666666)</f>
        <v>44453.666666666599</v>
      </c>
      <c r="N838">
        <f ca="1">IFERROR(__xludf.DUMMYFUNCTION("""COMPUTED_VALUE"""),41.46)</f>
        <v>41.46</v>
      </c>
      <c r="O838" s="125">
        <f ca="1">IFERROR(__xludf.DUMMYFUNCTION("""COMPUTED_VALUE"""),43921.6666666666)</f>
        <v>43921.666666666599</v>
      </c>
      <c r="P838">
        <f ca="1">IFERROR(__xludf.DUMMYFUNCTION("""COMPUTED_VALUE"""),31.51)</f>
        <v>31.51</v>
      </c>
    </row>
    <row r="839" spans="2:16" ht="12.75">
      <c r="B839" s="125">
        <f ca="1">IFERROR(__xludf.DUMMYFUNCTION("""COMPUTED_VALUE"""),43922.6666666666)</f>
        <v>43922.666666666599</v>
      </c>
      <c r="C839">
        <f ca="1">IFERROR(__xludf.DUMMYFUNCTION("""COMPUTED_VALUE"""),30.55)</f>
        <v>30.55</v>
      </c>
      <c r="D839">
        <v>22.86</v>
      </c>
      <c r="E839">
        <v>27</v>
      </c>
      <c r="F839">
        <v>24.86</v>
      </c>
      <c r="G839">
        <v>9.19</v>
      </c>
      <c r="H839">
        <v>136.47</v>
      </c>
      <c r="I839">
        <v>20.68</v>
      </c>
      <c r="J839">
        <v>53.55</v>
      </c>
      <c r="K839">
        <v>114.64</v>
      </c>
      <c r="M839" s="125">
        <f ca="1">IFERROR(__xludf.DUMMYFUNCTION("""COMPUTED_VALUE"""),44454.6666666666)</f>
        <v>44454.666666666599</v>
      </c>
      <c r="N839">
        <f ca="1">IFERROR(__xludf.DUMMYFUNCTION("""COMPUTED_VALUE"""),41.58)</f>
        <v>41.58</v>
      </c>
      <c r="O839" s="125">
        <f ca="1">IFERROR(__xludf.DUMMYFUNCTION("""COMPUTED_VALUE"""),43922.6666666666)</f>
        <v>43922.666666666599</v>
      </c>
      <c r="P839">
        <f ca="1">IFERROR(__xludf.DUMMYFUNCTION("""COMPUTED_VALUE"""),30.55)</f>
        <v>30.55</v>
      </c>
    </row>
    <row r="840" spans="2:16" ht="12.75">
      <c r="B840" s="125">
        <f ca="1">IFERROR(__xludf.DUMMYFUNCTION("""COMPUTED_VALUE"""),43923.6666666666)</f>
        <v>43923.666666666599</v>
      </c>
      <c r="C840">
        <f ca="1">IFERROR(__xludf.DUMMYFUNCTION("""COMPUTED_VALUE"""),31.07)</f>
        <v>31.07</v>
      </c>
      <c r="D840">
        <v>23.11</v>
      </c>
      <c r="E840">
        <v>27.14</v>
      </c>
      <c r="F840">
        <v>25.28</v>
      </c>
      <c r="G840">
        <v>9.27</v>
      </c>
      <c r="H840">
        <v>135.84</v>
      </c>
      <c r="I840">
        <v>21.25</v>
      </c>
      <c r="J840">
        <v>54.92</v>
      </c>
      <c r="K840">
        <v>118.15</v>
      </c>
      <c r="M840" s="125">
        <f ca="1">IFERROR(__xludf.DUMMYFUNCTION("""COMPUTED_VALUE"""),44455.6666666666)</f>
        <v>44455.666666666599</v>
      </c>
      <c r="N840">
        <f ca="1">IFERROR(__xludf.DUMMYFUNCTION("""COMPUTED_VALUE"""),41.66)</f>
        <v>41.66</v>
      </c>
      <c r="O840" s="125">
        <f ca="1">IFERROR(__xludf.DUMMYFUNCTION("""COMPUTED_VALUE"""),43923.6666666666)</f>
        <v>43923.666666666599</v>
      </c>
      <c r="P840">
        <f ca="1">IFERROR(__xludf.DUMMYFUNCTION("""COMPUTED_VALUE"""),31.07)</f>
        <v>31.07</v>
      </c>
    </row>
    <row r="841" spans="2:16" ht="12.75">
      <c r="B841" s="125">
        <f ca="1">IFERROR(__xludf.DUMMYFUNCTION("""COMPUTED_VALUE"""),43924.6666666666)</f>
        <v>43924.666666666599</v>
      </c>
      <c r="C841">
        <f ca="1">IFERROR(__xludf.DUMMYFUNCTION("""COMPUTED_VALUE"""),30.41)</f>
        <v>30.41</v>
      </c>
      <c r="D841">
        <v>22.36</v>
      </c>
      <c r="E841">
        <v>27.29</v>
      </c>
      <c r="F841">
        <v>24.81</v>
      </c>
      <c r="G841">
        <v>9.1999999999999993</v>
      </c>
      <c r="H841">
        <v>135.9</v>
      </c>
      <c r="I841">
        <v>21.08</v>
      </c>
      <c r="J841">
        <v>55.35</v>
      </c>
      <c r="K841">
        <v>113.96</v>
      </c>
      <c r="M841" s="125">
        <f ca="1">IFERROR(__xludf.DUMMYFUNCTION("""COMPUTED_VALUE"""),44456.6666666666)</f>
        <v>44456.666666666599</v>
      </c>
      <c r="N841">
        <f ca="1">IFERROR(__xludf.DUMMYFUNCTION("""COMPUTED_VALUE"""),41.73)</f>
        <v>41.73</v>
      </c>
      <c r="O841" s="125">
        <f ca="1">IFERROR(__xludf.DUMMYFUNCTION("""COMPUTED_VALUE"""),43924.6666666666)</f>
        <v>43924.666666666599</v>
      </c>
      <c r="P841">
        <f ca="1">IFERROR(__xludf.DUMMYFUNCTION("""COMPUTED_VALUE"""),30.41)</f>
        <v>30.41</v>
      </c>
    </row>
    <row r="842" spans="2:16" ht="12.75">
      <c r="B842" s="125">
        <f ca="1">IFERROR(__xludf.DUMMYFUNCTION("""COMPUTED_VALUE"""),43927.6666666666)</f>
        <v>43927.666666666599</v>
      </c>
      <c r="C842">
        <f ca="1">IFERROR(__xludf.DUMMYFUNCTION("""COMPUTED_VALUE"""),32.17)</f>
        <v>32.17</v>
      </c>
      <c r="D842">
        <v>24.49</v>
      </c>
      <c r="E842">
        <v>27.3</v>
      </c>
      <c r="F842">
        <v>26.42</v>
      </c>
      <c r="G842">
        <v>9.82</v>
      </c>
      <c r="H842">
        <v>146.86000000000001</v>
      </c>
      <c r="I842">
        <v>22.53</v>
      </c>
      <c r="J842">
        <v>57.41</v>
      </c>
      <c r="K842">
        <v>122.75</v>
      </c>
      <c r="M842" s="125">
        <f ca="1">IFERROR(__xludf.DUMMYFUNCTION("""COMPUTED_VALUE"""),44459.6666666666)</f>
        <v>44459.666666666599</v>
      </c>
      <c r="N842">
        <f ca="1">IFERROR(__xludf.DUMMYFUNCTION("""COMPUTED_VALUE"""),41.18)</f>
        <v>41.18</v>
      </c>
      <c r="O842" s="125">
        <f ca="1">IFERROR(__xludf.DUMMYFUNCTION("""COMPUTED_VALUE"""),43927.6666666666)</f>
        <v>43927.666666666599</v>
      </c>
      <c r="P842">
        <f ca="1">IFERROR(__xludf.DUMMYFUNCTION("""COMPUTED_VALUE"""),32.17)</f>
        <v>32.17</v>
      </c>
    </row>
    <row r="843" spans="2:16" ht="12.75">
      <c r="B843" s="125">
        <f ca="1">IFERROR(__xludf.DUMMYFUNCTION("""COMPUTED_VALUE"""),43928.6666666666)</f>
        <v>43928.666666666599</v>
      </c>
      <c r="C843">
        <f ca="1">IFERROR(__xludf.DUMMYFUNCTION("""COMPUTED_VALUE"""),32.49)</f>
        <v>32.49</v>
      </c>
      <c r="D843">
        <v>24.58</v>
      </c>
      <c r="E843">
        <v>27.05</v>
      </c>
      <c r="F843">
        <v>26.57</v>
      </c>
      <c r="G843">
        <v>10.01</v>
      </c>
      <c r="H843">
        <v>144.91999999999999</v>
      </c>
      <c r="I843">
        <v>22.44</v>
      </c>
      <c r="J843">
        <v>56.75</v>
      </c>
      <c r="K843">
        <v>121.4</v>
      </c>
      <c r="M843" s="125">
        <f ca="1">IFERROR(__xludf.DUMMYFUNCTION("""COMPUTED_VALUE"""),44460.6666666666)</f>
        <v>44460.666666666599</v>
      </c>
      <c r="N843">
        <f ca="1">IFERROR(__xludf.DUMMYFUNCTION("""COMPUTED_VALUE"""),41.42)</f>
        <v>41.42</v>
      </c>
      <c r="O843" s="125">
        <f ca="1">IFERROR(__xludf.DUMMYFUNCTION("""COMPUTED_VALUE"""),43928.6666666666)</f>
        <v>43928.666666666599</v>
      </c>
      <c r="P843">
        <f ca="1">IFERROR(__xludf.DUMMYFUNCTION("""COMPUTED_VALUE"""),32.49)</f>
        <v>32.49</v>
      </c>
    </row>
    <row r="844" spans="2:16" ht="12.75">
      <c r="B844" s="125">
        <f ca="1">IFERROR(__xludf.DUMMYFUNCTION("""COMPUTED_VALUE"""),43929.6666666666)</f>
        <v>43929.666666666599</v>
      </c>
      <c r="C844">
        <f ca="1">IFERROR(__xludf.DUMMYFUNCTION("""COMPUTED_VALUE"""),32.68)</f>
        <v>32.68</v>
      </c>
      <c r="D844">
        <v>25.54</v>
      </c>
      <c r="E844">
        <v>27.15</v>
      </c>
      <c r="F844">
        <v>27.09</v>
      </c>
      <c r="G844">
        <v>10.3</v>
      </c>
      <c r="H844">
        <v>150.94999999999999</v>
      </c>
      <c r="I844">
        <v>22.78</v>
      </c>
      <c r="J844">
        <v>57.59</v>
      </c>
      <c r="K844">
        <v>127.67</v>
      </c>
      <c r="M844" s="125">
        <f ca="1">IFERROR(__xludf.DUMMYFUNCTION("""COMPUTED_VALUE"""),44461.6666666666)</f>
        <v>44461.666666666599</v>
      </c>
      <c r="N844">
        <f ca="1">IFERROR(__xludf.DUMMYFUNCTION("""COMPUTED_VALUE"""),41.83)</f>
        <v>41.83</v>
      </c>
      <c r="O844" s="125">
        <f ca="1">IFERROR(__xludf.DUMMYFUNCTION("""COMPUTED_VALUE"""),43929.6666666666)</f>
        <v>43929.666666666599</v>
      </c>
      <c r="P844">
        <f ca="1">IFERROR(__xludf.DUMMYFUNCTION("""COMPUTED_VALUE"""),32.68)</f>
        <v>32.68</v>
      </c>
    </row>
    <row r="845" spans="2:16" ht="12.75">
      <c r="B845" s="125">
        <f ca="1">IFERROR(__xludf.DUMMYFUNCTION("""COMPUTED_VALUE"""),43930.6666666666)</f>
        <v>43930.666666666599</v>
      </c>
      <c r="C845">
        <f ca="1">IFERROR(__xludf.DUMMYFUNCTION("""COMPUTED_VALUE"""),32.62)</f>
        <v>32.619999999999997</v>
      </c>
      <c r="D845">
        <v>26.14</v>
      </c>
      <c r="E845">
        <v>26.95</v>
      </c>
      <c r="F845">
        <v>27.56</v>
      </c>
      <c r="G845">
        <v>10.51</v>
      </c>
      <c r="H845">
        <v>155.49</v>
      </c>
      <c r="I845">
        <v>23.42</v>
      </c>
      <c r="J845">
        <v>58.13</v>
      </c>
      <c r="K845">
        <v>133.80000000000001</v>
      </c>
      <c r="M845" s="125">
        <f ca="1">IFERROR(__xludf.DUMMYFUNCTION("""COMPUTED_VALUE"""),44462.6666666666)</f>
        <v>44462.666666666599</v>
      </c>
      <c r="N845">
        <f ca="1">IFERROR(__xludf.DUMMYFUNCTION("""COMPUTED_VALUE"""),41.32)</f>
        <v>41.32</v>
      </c>
      <c r="O845" s="125">
        <f ca="1">IFERROR(__xludf.DUMMYFUNCTION("""COMPUTED_VALUE"""),43930.6666666666)</f>
        <v>43930.666666666599</v>
      </c>
      <c r="P845">
        <f ca="1">IFERROR(__xludf.DUMMYFUNCTION("""COMPUTED_VALUE"""),32.62)</f>
        <v>32.619999999999997</v>
      </c>
    </row>
    <row r="846" spans="2:16" ht="12.75">
      <c r="B846" s="125">
        <f ca="1">IFERROR(__xludf.DUMMYFUNCTION("""COMPUTED_VALUE"""),43934.6666666666)</f>
        <v>43934.666666666599</v>
      </c>
      <c r="C846">
        <f ca="1">IFERROR(__xludf.DUMMYFUNCTION("""COMPUTED_VALUE"""),32.69)</f>
        <v>32.69</v>
      </c>
      <c r="D846">
        <v>25.73</v>
      </c>
      <c r="E846">
        <v>26.91</v>
      </c>
      <c r="F846">
        <v>27.19</v>
      </c>
      <c r="G846">
        <v>10.43</v>
      </c>
      <c r="H846">
        <v>150.63</v>
      </c>
      <c r="I846">
        <v>23.12</v>
      </c>
      <c r="J846">
        <v>57.7</v>
      </c>
      <c r="K846">
        <v>129.56</v>
      </c>
      <c r="M846" s="125">
        <f ca="1">IFERROR(__xludf.DUMMYFUNCTION("""COMPUTED_VALUE"""),44463.6666666666)</f>
        <v>44463.666666666599</v>
      </c>
      <c r="N846">
        <f ca="1">IFERROR(__xludf.DUMMYFUNCTION("""COMPUTED_VALUE"""),40.58)</f>
        <v>40.58</v>
      </c>
      <c r="O846" s="125">
        <f ca="1">IFERROR(__xludf.DUMMYFUNCTION("""COMPUTED_VALUE"""),43934.6666666666)</f>
        <v>43934.666666666599</v>
      </c>
      <c r="P846">
        <f ca="1">IFERROR(__xludf.DUMMYFUNCTION("""COMPUTED_VALUE"""),32.69)</f>
        <v>32.69</v>
      </c>
    </row>
    <row r="847" spans="2:16" ht="12.75">
      <c r="B847" s="125">
        <f ca="1">IFERROR(__xludf.DUMMYFUNCTION("""COMPUTED_VALUE"""),43935.6666666666)</f>
        <v>43935.666666666599</v>
      </c>
      <c r="C847">
        <f ca="1">IFERROR(__xludf.DUMMYFUNCTION("""COMPUTED_VALUE"""),33.33)</f>
        <v>33.33</v>
      </c>
      <c r="D847">
        <v>26.73</v>
      </c>
      <c r="E847">
        <v>26.76</v>
      </c>
      <c r="F847">
        <v>27.75</v>
      </c>
      <c r="G847">
        <v>10.6</v>
      </c>
      <c r="H847">
        <v>153.15</v>
      </c>
      <c r="I847">
        <v>23.59</v>
      </c>
      <c r="J847">
        <v>60.15</v>
      </c>
      <c r="K847">
        <v>133.16</v>
      </c>
      <c r="M847" s="125">
        <f ca="1">IFERROR(__xludf.DUMMYFUNCTION("""COMPUTED_VALUE"""),44466.6666666666)</f>
        <v>44466.666666666599</v>
      </c>
      <c r="N847">
        <f ca="1">IFERROR(__xludf.DUMMYFUNCTION("""COMPUTED_VALUE"""),39.71)</f>
        <v>39.71</v>
      </c>
      <c r="O847" s="125">
        <f ca="1">IFERROR(__xludf.DUMMYFUNCTION("""COMPUTED_VALUE"""),43935.6666666666)</f>
        <v>43935.666666666599</v>
      </c>
      <c r="P847">
        <f ca="1">IFERROR(__xludf.DUMMYFUNCTION("""COMPUTED_VALUE"""),33.33)</f>
        <v>33.33</v>
      </c>
    </row>
    <row r="848" spans="2:16" ht="12.75">
      <c r="B848" s="125">
        <f ca="1">IFERROR(__xludf.DUMMYFUNCTION("""COMPUTED_VALUE"""),43936.6666666666)</f>
        <v>43936.666666666599</v>
      </c>
      <c r="C848">
        <f ca="1">IFERROR(__xludf.DUMMYFUNCTION("""COMPUTED_VALUE"""),33.4)</f>
        <v>33.4</v>
      </c>
      <c r="D848">
        <v>25.73</v>
      </c>
      <c r="E848">
        <v>26.96</v>
      </c>
      <c r="F848">
        <v>26.89</v>
      </c>
      <c r="G848">
        <v>10.26</v>
      </c>
      <c r="H848">
        <v>149.96</v>
      </c>
      <c r="I848">
        <v>22.48</v>
      </c>
      <c r="J848">
        <v>59.2</v>
      </c>
      <c r="K848">
        <v>128.4</v>
      </c>
      <c r="M848" s="125">
        <f ca="1">IFERROR(__xludf.DUMMYFUNCTION("""COMPUTED_VALUE"""),44467.6666666666)</f>
        <v>44467.666666666599</v>
      </c>
      <c r="N848">
        <f ca="1">IFERROR(__xludf.DUMMYFUNCTION("""COMPUTED_VALUE"""),39.19)</f>
        <v>39.19</v>
      </c>
      <c r="O848" s="125">
        <f ca="1">IFERROR(__xludf.DUMMYFUNCTION("""COMPUTED_VALUE"""),43936.6666666666)</f>
        <v>43936.666666666599</v>
      </c>
      <c r="P848">
        <f ca="1">IFERROR(__xludf.DUMMYFUNCTION("""COMPUTED_VALUE"""),33.4)</f>
        <v>33.4</v>
      </c>
    </row>
    <row r="849" spans="2:16" ht="12.75">
      <c r="B849" s="125">
        <f ca="1">IFERROR(__xludf.DUMMYFUNCTION("""COMPUTED_VALUE"""),43937.6666666666)</f>
        <v>43937.666666666599</v>
      </c>
      <c r="C849">
        <f ca="1">IFERROR(__xludf.DUMMYFUNCTION("""COMPUTED_VALUE"""),34.47)</f>
        <v>34.47</v>
      </c>
      <c r="D849">
        <v>25.92</v>
      </c>
      <c r="E849">
        <v>27.08</v>
      </c>
      <c r="F849">
        <v>27.17</v>
      </c>
      <c r="G849">
        <v>10.24</v>
      </c>
      <c r="H849">
        <v>147.66999999999999</v>
      </c>
      <c r="I849">
        <v>22.7</v>
      </c>
      <c r="J849">
        <v>59.59</v>
      </c>
      <c r="K849">
        <v>128.47999999999999</v>
      </c>
      <c r="M849" s="125">
        <f ca="1">IFERROR(__xludf.DUMMYFUNCTION("""COMPUTED_VALUE"""),44468.6666666666)</f>
        <v>44468.666666666599</v>
      </c>
      <c r="N849">
        <f ca="1">IFERROR(__xludf.DUMMYFUNCTION("""COMPUTED_VALUE"""),39.37)</f>
        <v>39.369999999999997</v>
      </c>
      <c r="O849" s="125">
        <f ca="1">IFERROR(__xludf.DUMMYFUNCTION("""COMPUTED_VALUE"""),43937.6666666666)</f>
        <v>43937.666666666599</v>
      </c>
      <c r="P849">
        <f ca="1">IFERROR(__xludf.DUMMYFUNCTION("""COMPUTED_VALUE"""),34.47)</f>
        <v>34.47</v>
      </c>
    </row>
    <row r="850" spans="2:16" ht="12.75">
      <c r="B850" s="125">
        <f ca="1">IFERROR(__xludf.DUMMYFUNCTION("""COMPUTED_VALUE"""),43938.6666666666)</f>
        <v>43938.666666666599</v>
      </c>
      <c r="C850">
        <f ca="1">IFERROR(__xludf.DUMMYFUNCTION("""COMPUTED_VALUE"""),34.51)</f>
        <v>34.51</v>
      </c>
      <c r="D850">
        <v>26.93</v>
      </c>
      <c r="E850">
        <v>27.01</v>
      </c>
      <c r="F850">
        <v>27.75</v>
      </c>
      <c r="G850">
        <v>10.52</v>
      </c>
      <c r="H850">
        <v>157.57</v>
      </c>
      <c r="I850">
        <v>23.58</v>
      </c>
      <c r="J850">
        <v>60.5</v>
      </c>
      <c r="K850">
        <v>132.80000000000001</v>
      </c>
      <c r="M850" s="125">
        <f ca="1">IFERROR(__xludf.DUMMYFUNCTION("""COMPUTED_VALUE"""),44469.6666666666)</f>
        <v>44469.666666666599</v>
      </c>
      <c r="N850">
        <f ca="1">IFERROR(__xludf.DUMMYFUNCTION("""COMPUTED_VALUE"""),38.92)</f>
        <v>38.92</v>
      </c>
      <c r="O850" s="125">
        <f ca="1">IFERROR(__xludf.DUMMYFUNCTION("""COMPUTED_VALUE"""),43938.6666666666)</f>
        <v>43938.666666666599</v>
      </c>
      <c r="P850">
        <f ca="1">IFERROR(__xludf.DUMMYFUNCTION("""COMPUTED_VALUE"""),34.51)</f>
        <v>34.51</v>
      </c>
    </row>
    <row r="851" spans="2:16" ht="12.75">
      <c r="B851" s="125">
        <f ca="1">IFERROR(__xludf.DUMMYFUNCTION("""COMPUTED_VALUE"""),43941.6666666666)</f>
        <v>43941.666666666599</v>
      </c>
      <c r="C851">
        <f ca="1">IFERROR(__xludf.DUMMYFUNCTION("""COMPUTED_VALUE"""),34.75)</f>
        <v>34.75</v>
      </c>
      <c r="D851">
        <v>26.56</v>
      </c>
      <c r="E851">
        <v>27.1</v>
      </c>
      <c r="F851">
        <v>27.63</v>
      </c>
      <c r="G851">
        <v>10.38</v>
      </c>
      <c r="H851">
        <v>152.68</v>
      </c>
      <c r="I851">
        <v>23.22</v>
      </c>
      <c r="J851">
        <v>59.31</v>
      </c>
      <c r="K851">
        <v>127.44</v>
      </c>
      <c r="M851" s="125">
        <f ca="1">IFERROR(__xludf.DUMMYFUNCTION("""COMPUTED_VALUE"""),44470.6666666666)</f>
        <v>44470.666666666599</v>
      </c>
      <c r="N851">
        <f ca="1">IFERROR(__xludf.DUMMYFUNCTION("""COMPUTED_VALUE"""),39.13)</f>
        <v>39.130000000000003</v>
      </c>
      <c r="O851" s="125">
        <f ca="1">IFERROR(__xludf.DUMMYFUNCTION("""COMPUTED_VALUE"""),43941.6666666666)</f>
        <v>43941.666666666599</v>
      </c>
      <c r="P851">
        <f ca="1">IFERROR(__xludf.DUMMYFUNCTION("""COMPUTED_VALUE"""),34.75)</f>
        <v>34.75</v>
      </c>
    </row>
    <row r="852" spans="2:16" ht="12.75">
      <c r="B852" s="125">
        <f ca="1">IFERROR(__xludf.DUMMYFUNCTION("""COMPUTED_VALUE"""),43942.6666666666)</f>
        <v>43942.666666666599</v>
      </c>
      <c r="C852">
        <f ca="1">IFERROR(__xludf.DUMMYFUNCTION("""COMPUTED_VALUE"""),33.95)</f>
        <v>33.950000000000003</v>
      </c>
      <c r="D852">
        <v>25.81</v>
      </c>
      <c r="E852">
        <v>27.14</v>
      </c>
      <c r="F852">
        <v>27.07</v>
      </c>
      <c r="G852">
        <v>10.02</v>
      </c>
      <c r="H852">
        <v>147.46</v>
      </c>
      <c r="I852">
        <v>22.74</v>
      </c>
      <c r="J852">
        <v>58.05</v>
      </c>
      <c r="K852">
        <v>125.74</v>
      </c>
      <c r="M852" s="125">
        <f ca="1">IFERROR(__xludf.DUMMYFUNCTION("""COMPUTED_VALUE"""),44473.6666666666)</f>
        <v>44473.666666666599</v>
      </c>
      <c r="N852">
        <f ca="1">IFERROR(__xludf.DUMMYFUNCTION("""COMPUTED_VALUE"""),39)</f>
        <v>39</v>
      </c>
      <c r="O852" s="125">
        <f ca="1">IFERROR(__xludf.DUMMYFUNCTION("""COMPUTED_VALUE"""),43942.6666666666)</f>
        <v>43942.666666666599</v>
      </c>
      <c r="P852">
        <f ca="1">IFERROR(__xludf.DUMMYFUNCTION("""COMPUTED_VALUE"""),33.95)</f>
        <v>33.950000000000003</v>
      </c>
    </row>
    <row r="853" spans="2:16" ht="12.75">
      <c r="B853" s="125">
        <f ca="1">IFERROR(__xludf.DUMMYFUNCTION("""COMPUTED_VALUE"""),43943.6666666666)</f>
        <v>43943.666666666599</v>
      </c>
      <c r="C853">
        <f ca="1">IFERROR(__xludf.DUMMYFUNCTION("""COMPUTED_VALUE"""),34.91)</f>
        <v>34.909999999999997</v>
      </c>
      <c r="D853">
        <v>26.67</v>
      </c>
      <c r="E853">
        <v>27.22</v>
      </c>
      <c r="F853">
        <v>27.66</v>
      </c>
      <c r="G853">
        <v>10.27</v>
      </c>
      <c r="H853">
        <v>149.03</v>
      </c>
      <c r="I853">
        <v>23.07</v>
      </c>
      <c r="J853">
        <v>58.61</v>
      </c>
      <c r="K853">
        <v>129.13999999999999</v>
      </c>
      <c r="M853" s="125">
        <f ca="1">IFERROR(__xludf.DUMMYFUNCTION("""COMPUTED_VALUE"""),44474.6666666666)</f>
        <v>44474.666666666599</v>
      </c>
      <c r="N853">
        <f ca="1">IFERROR(__xludf.DUMMYFUNCTION("""COMPUTED_VALUE"""),38.65)</f>
        <v>38.65</v>
      </c>
      <c r="O853" s="125">
        <f ca="1">IFERROR(__xludf.DUMMYFUNCTION("""COMPUTED_VALUE"""),43943.6666666666)</f>
        <v>43943.666666666599</v>
      </c>
      <c r="P853">
        <f ca="1">IFERROR(__xludf.DUMMYFUNCTION("""COMPUTED_VALUE"""),34.91)</f>
        <v>34.909999999999997</v>
      </c>
    </row>
    <row r="854" spans="2:16" ht="12.75">
      <c r="B854" s="125">
        <f ca="1">IFERROR(__xludf.DUMMYFUNCTION("""COMPUTED_VALUE"""),43944.6666666666)</f>
        <v>43944.666666666599</v>
      </c>
      <c r="C854">
        <f ca="1">IFERROR(__xludf.DUMMYFUNCTION("""COMPUTED_VALUE"""),34.58)</f>
        <v>34.58</v>
      </c>
      <c r="D854">
        <v>26.68</v>
      </c>
      <c r="E854">
        <v>27.23</v>
      </c>
      <c r="F854">
        <v>27.31</v>
      </c>
      <c r="G854">
        <v>10.31</v>
      </c>
      <c r="H854">
        <v>149.54</v>
      </c>
      <c r="I854">
        <v>22.95</v>
      </c>
      <c r="J854">
        <v>58.09</v>
      </c>
      <c r="K854">
        <v>127.18</v>
      </c>
      <c r="M854" s="125">
        <f ca="1">IFERROR(__xludf.DUMMYFUNCTION("""COMPUTED_VALUE"""),44475.6666666666)</f>
        <v>44475.666666666599</v>
      </c>
      <c r="N854">
        <f ca="1">IFERROR(__xludf.DUMMYFUNCTION("""COMPUTED_VALUE"""),38.82)</f>
        <v>38.82</v>
      </c>
      <c r="O854" s="125">
        <f ca="1">IFERROR(__xludf.DUMMYFUNCTION("""COMPUTED_VALUE"""),43944.6666666666)</f>
        <v>43944.666666666599</v>
      </c>
      <c r="P854">
        <f ca="1">IFERROR(__xludf.DUMMYFUNCTION("""COMPUTED_VALUE"""),34.58)</f>
        <v>34.58</v>
      </c>
    </row>
    <row r="855" spans="2:16" ht="12.75">
      <c r="B855" s="125">
        <f ca="1">IFERROR(__xludf.DUMMYFUNCTION("""COMPUTED_VALUE"""),43945.6666666666)</f>
        <v>43945.666666666599</v>
      </c>
      <c r="C855">
        <f ca="1">IFERROR(__xludf.DUMMYFUNCTION("""COMPUTED_VALUE"""),34.68)</f>
        <v>34.68</v>
      </c>
      <c r="D855">
        <v>27.12</v>
      </c>
      <c r="E855">
        <v>27.17</v>
      </c>
      <c r="F855">
        <v>27.8</v>
      </c>
      <c r="G855">
        <v>10.19</v>
      </c>
      <c r="H855">
        <v>148.66</v>
      </c>
      <c r="I855">
        <v>23.17</v>
      </c>
      <c r="J855">
        <v>58.71</v>
      </c>
      <c r="K855">
        <v>127.9</v>
      </c>
      <c r="M855" s="125">
        <f ca="1">IFERROR(__xludf.DUMMYFUNCTION("""COMPUTED_VALUE"""),44476.6666666666)</f>
        <v>44476.666666666599</v>
      </c>
      <c r="N855">
        <f ca="1">IFERROR(__xludf.DUMMYFUNCTION("""COMPUTED_VALUE"""),39.06)</f>
        <v>39.06</v>
      </c>
      <c r="O855" s="125">
        <f ca="1">IFERROR(__xludf.DUMMYFUNCTION("""COMPUTED_VALUE"""),43945.6666666666)</f>
        <v>43945.666666666599</v>
      </c>
      <c r="P855">
        <f ca="1">IFERROR(__xludf.DUMMYFUNCTION("""COMPUTED_VALUE"""),34.68)</f>
        <v>34.68</v>
      </c>
    </row>
    <row r="856" spans="2:16" ht="12.75">
      <c r="B856" s="125">
        <f ca="1">IFERROR(__xludf.DUMMYFUNCTION("""COMPUTED_VALUE"""),43948.6666666666)</f>
        <v>43948.666666666599</v>
      </c>
      <c r="C856">
        <f ca="1">IFERROR(__xludf.DUMMYFUNCTION("""COMPUTED_VALUE"""),35.21)</f>
        <v>35.21</v>
      </c>
      <c r="D856">
        <v>27.82</v>
      </c>
      <c r="E856">
        <v>27.1</v>
      </c>
      <c r="F856">
        <v>28.03</v>
      </c>
      <c r="G856">
        <v>10.41</v>
      </c>
      <c r="H856">
        <v>151.06</v>
      </c>
      <c r="I856">
        <v>23.59</v>
      </c>
      <c r="J856">
        <v>58.88</v>
      </c>
      <c r="K856">
        <v>129.43</v>
      </c>
      <c r="M856" s="125">
        <f ca="1">IFERROR(__xludf.DUMMYFUNCTION("""COMPUTED_VALUE"""),44477.6666666666)</f>
        <v>44477.666666666599</v>
      </c>
      <c r="N856">
        <f ca="1">IFERROR(__xludf.DUMMYFUNCTION("""COMPUTED_VALUE"""),38.42)</f>
        <v>38.42</v>
      </c>
      <c r="O856" s="125">
        <f ca="1">IFERROR(__xludf.DUMMYFUNCTION("""COMPUTED_VALUE"""),43948.6666666666)</f>
        <v>43948.666666666599</v>
      </c>
      <c r="P856">
        <f ca="1">IFERROR(__xludf.DUMMYFUNCTION("""COMPUTED_VALUE"""),35.21)</f>
        <v>35.21</v>
      </c>
    </row>
    <row r="857" spans="2:16" ht="12.75">
      <c r="B857" s="125">
        <f ca="1">IFERROR(__xludf.DUMMYFUNCTION("""COMPUTED_VALUE"""),43949.6666666666)</f>
        <v>43949.666666666599</v>
      </c>
      <c r="C857">
        <f ca="1">IFERROR(__xludf.DUMMYFUNCTION("""COMPUTED_VALUE"""),34.99)</f>
        <v>34.99</v>
      </c>
      <c r="D857">
        <v>27.4</v>
      </c>
      <c r="E857">
        <v>27.07</v>
      </c>
      <c r="F857">
        <v>28.01</v>
      </c>
      <c r="G857">
        <v>10.62</v>
      </c>
      <c r="H857">
        <v>153.94</v>
      </c>
      <c r="I857">
        <v>23.63</v>
      </c>
      <c r="J857">
        <v>59.21</v>
      </c>
      <c r="K857">
        <v>130.01</v>
      </c>
      <c r="M857" s="125">
        <f ca="1">IFERROR(__xludf.DUMMYFUNCTION("""COMPUTED_VALUE"""),44480.6666666666)</f>
        <v>44480.666666666599</v>
      </c>
      <c r="N857">
        <f ca="1">IFERROR(__xludf.DUMMYFUNCTION("""COMPUTED_VALUE"""),38.19)</f>
        <v>38.19</v>
      </c>
      <c r="O857" s="125">
        <f ca="1">IFERROR(__xludf.DUMMYFUNCTION("""COMPUTED_VALUE"""),43949.6666666666)</f>
        <v>43949.666666666599</v>
      </c>
      <c r="P857">
        <f ca="1">IFERROR(__xludf.DUMMYFUNCTION("""COMPUTED_VALUE"""),34.99)</f>
        <v>34.99</v>
      </c>
    </row>
    <row r="858" spans="2:16" ht="12.75">
      <c r="B858" s="125">
        <f ca="1">IFERROR(__xludf.DUMMYFUNCTION("""COMPUTED_VALUE"""),43950.6666666666)</f>
        <v>43950.666666666599</v>
      </c>
      <c r="C858">
        <f ca="1">IFERROR(__xludf.DUMMYFUNCTION("""COMPUTED_VALUE"""),35.84)</f>
        <v>35.840000000000003</v>
      </c>
      <c r="D858">
        <v>28.29</v>
      </c>
      <c r="E858">
        <v>26.96</v>
      </c>
      <c r="F858">
        <v>28.88</v>
      </c>
      <c r="G858">
        <v>11.06</v>
      </c>
      <c r="H858">
        <v>159.25</v>
      </c>
      <c r="I858">
        <v>24.51</v>
      </c>
      <c r="J858">
        <v>58.96</v>
      </c>
      <c r="K858">
        <v>129.28</v>
      </c>
      <c r="M858" s="125">
        <f ca="1">IFERROR(__xludf.DUMMYFUNCTION("""COMPUTED_VALUE"""),44481.6666666666)</f>
        <v>44481.666666666599</v>
      </c>
      <c r="N858">
        <f ca="1">IFERROR(__xludf.DUMMYFUNCTION("""COMPUTED_VALUE"""),38.53)</f>
        <v>38.53</v>
      </c>
      <c r="O858" s="125">
        <f ca="1">IFERROR(__xludf.DUMMYFUNCTION("""COMPUTED_VALUE"""),43950.6666666666)</f>
        <v>43950.666666666599</v>
      </c>
      <c r="P858">
        <f ca="1">IFERROR(__xludf.DUMMYFUNCTION("""COMPUTED_VALUE"""),35.84)</f>
        <v>35.840000000000003</v>
      </c>
    </row>
    <row r="859" spans="2:16" ht="12.75">
      <c r="B859" s="125">
        <f ca="1">IFERROR(__xludf.DUMMYFUNCTION("""COMPUTED_VALUE"""),43951.6666666666)</f>
        <v>43951.666666666599</v>
      </c>
      <c r="C859">
        <f ca="1">IFERROR(__xludf.DUMMYFUNCTION("""COMPUTED_VALUE"""),34.93)</f>
        <v>34.93</v>
      </c>
      <c r="D859">
        <v>28.07</v>
      </c>
      <c r="E859">
        <v>26.79</v>
      </c>
      <c r="F859">
        <v>28.46</v>
      </c>
      <c r="G859">
        <v>10.76</v>
      </c>
      <c r="H859">
        <v>155.76</v>
      </c>
      <c r="I859">
        <v>23.95</v>
      </c>
      <c r="J859">
        <v>58.26</v>
      </c>
      <c r="K859">
        <v>125.87</v>
      </c>
      <c r="M859" s="125">
        <f ca="1">IFERROR(__xludf.DUMMYFUNCTION("""COMPUTED_VALUE"""),44482.6666666666)</f>
        <v>44482.666666666599</v>
      </c>
      <c r="N859">
        <f ca="1">IFERROR(__xludf.DUMMYFUNCTION("""COMPUTED_VALUE"""),38.73)</f>
        <v>38.729999999999997</v>
      </c>
      <c r="O859" s="125">
        <f ca="1">IFERROR(__xludf.DUMMYFUNCTION("""COMPUTED_VALUE"""),43951.6666666666)</f>
        <v>43951.666666666599</v>
      </c>
      <c r="P859">
        <f ca="1">IFERROR(__xludf.DUMMYFUNCTION("""COMPUTED_VALUE"""),34.93)</f>
        <v>34.93</v>
      </c>
    </row>
    <row r="860" spans="2:16" ht="12.75">
      <c r="B860" s="125">
        <f ca="1">IFERROR(__xludf.DUMMYFUNCTION("""COMPUTED_VALUE"""),43952.6666666666)</f>
        <v>43952.666666666599</v>
      </c>
      <c r="C860">
        <f ca="1">IFERROR(__xludf.DUMMYFUNCTION("""COMPUTED_VALUE"""),33.82)</f>
        <v>33.82</v>
      </c>
      <c r="D860">
        <v>27.3</v>
      </c>
      <c r="E860">
        <v>26.82</v>
      </c>
      <c r="F860">
        <v>27.8</v>
      </c>
      <c r="G860">
        <v>10.39</v>
      </c>
      <c r="H860">
        <v>150.41</v>
      </c>
      <c r="I860">
        <v>23.4</v>
      </c>
      <c r="J860">
        <v>57.62</v>
      </c>
      <c r="K860">
        <v>122.93</v>
      </c>
      <c r="M860" s="125">
        <f ca="1">IFERROR(__xludf.DUMMYFUNCTION("""COMPUTED_VALUE"""),44483.6666666666)</f>
        <v>44483.666666666599</v>
      </c>
      <c r="N860">
        <f ca="1">IFERROR(__xludf.DUMMYFUNCTION("""COMPUTED_VALUE"""),39.12)</f>
        <v>39.119999999999997</v>
      </c>
      <c r="O860" s="125">
        <f ca="1">IFERROR(__xludf.DUMMYFUNCTION("""COMPUTED_VALUE"""),43952.6666666666)</f>
        <v>43952.666666666599</v>
      </c>
      <c r="P860">
        <f ca="1">IFERROR(__xludf.DUMMYFUNCTION("""COMPUTED_VALUE"""),33.82)</f>
        <v>33.82</v>
      </c>
    </row>
    <row r="861" spans="2:16" ht="12.75">
      <c r="B861" s="125">
        <f ca="1">IFERROR(__xludf.DUMMYFUNCTION("""COMPUTED_VALUE"""),43955.6666666666)</f>
        <v>43955.666666666599</v>
      </c>
      <c r="C861">
        <f ca="1">IFERROR(__xludf.DUMMYFUNCTION("""COMPUTED_VALUE"""),34.22)</f>
        <v>34.22</v>
      </c>
      <c r="D861">
        <v>27.87</v>
      </c>
      <c r="E861">
        <v>26.97</v>
      </c>
      <c r="F861">
        <v>27.82</v>
      </c>
      <c r="G861">
        <v>10.45</v>
      </c>
      <c r="H861">
        <v>147.44</v>
      </c>
      <c r="I861">
        <v>23.4</v>
      </c>
      <c r="J861">
        <v>57.59</v>
      </c>
      <c r="K861">
        <v>123.56</v>
      </c>
      <c r="M861" s="125">
        <f ca="1">IFERROR(__xludf.DUMMYFUNCTION("""COMPUTED_VALUE"""),44484.6666666666)</f>
        <v>44484.666666666599</v>
      </c>
      <c r="N861">
        <f ca="1">IFERROR(__xludf.DUMMYFUNCTION("""COMPUTED_VALUE"""),39.22)</f>
        <v>39.22</v>
      </c>
      <c r="O861" s="125">
        <f ca="1">IFERROR(__xludf.DUMMYFUNCTION("""COMPUTED_VALUE"""),43955.6666666666)</f>
        <v>43955.666666666599</v>
      </c>
      <c r="P861">
        <f ca="1">IFERROR(__xludf.DUMMYFUNCTION("""COMPUTED_VALUE"""),34.22)</f>
        <v>34.22</v>
      </c>
    </row>
    <row r="862" spans="2:16" ht="12.75">
      <c r="B862" s="125">
        <f ca="1">IFERROR(__xludf.DUMMYFUNCTION("""COMPUTED_VALUE"""),43956.6666666666)</f>
        <v>43956.666666666599</v>
      </c>
      <c r="C862">
        <f ca="1">IFERROR(__xludf.DUMMYFUNCTION("""COMPUTED_VALUE"""),34.9)</f>
        <v>34.9</v>
      </c>
      <c r="D862">
        <v>28.42</v>
      </c>
      <c r="E862">
        <v>26.99</v>
      </c>
      <c r="F862">
        <v>27.82</v>
      </c>
      <c r="G862">
        <v>10.55</v>
      </c>
      <c r="H862">
        <v>147.44999999999999</v>
      </c>
      <c r="I862">
        <v>23.56</v>
      </c>
      <c r="J862">
        <v>57.64</v>
      </c>
      <c r="K862">
        <v>124.82</v>
      </c>
      <c r="M862" s="125">
        <f ca="1">IFERROR(__xludf.DUMMYFUNCTION("""COMPUTED_VALUE"""),44487.6666666666)</f>
        <v>44487.666666666599</v>
      </c>
      <c r="N862">
        <f ca="1">IFERROR(__xludf.DUMMYFUNCTION("""COMPUTED_VALUE"""),38.96)</f>
        <v>38.96</v>
      </c>
      <c r="O862" s="125">
        <f ca="1">IFERROR(__xludf.DUMMYFUNCTION("""COMPUTED_VALUE"""),43956.6666666666)</f>
        <v>43956.666666666599</v>
      </c>
      <c r="P862">
        <f ca="1">IFERROR(__xludf.DUMMYFUNCTION("""COMPUTED_VALUE"""),34.9)</f>
        <v>34.9</v>
      </c>
    </row>
    <row r="863" spans="2:16" ht="12.75">
      <c r="B863" s="125">
        <f ca="1">IFERROR(__xludf.DUMMYFUNCTION("""COMPUTED_VALUE"""),43957.6666666666)</f>
        <v>43957.666666666599</v>
      </c>
      <c r="C863">
        <f ca="1">IFERROR(__xludf.DUMMYFUNCTION("""COMPUTED_VALUE"""),35.68)</f>
        <v>35.68</v>
      </c>
      <c r="D863">
        <v>28.69</v>
      </c>
      <c r="E863">
        <v>27.12</v>
      </c>
      <c r="F863">
        <v>27.73</v>
      </c>
      <c r="G863">
        <v>10.66</v>
      </c>
      <c r="H863">
        <v>144.43</v>
      </c>
      <c r="I863">
        <v>23.39</v>
      </c>
      <c r="J863">
        <v>57.01</v>
      </c>
      <c r="K863">
        <v>120.38</v>
      </c>
      <c r="M863" s="125">
        <f ca="1">IFERROR(__xludf.DUMMYFUNCTION("""COMPUTED_VALUE"""),44488.6666666666)</f>
        <v>44488.666666666599</v>
      </c>
      <c r="N863">
        <f ca="1">IFERROR(__xludf.DUMMYFUNCTION("""COMPUTED_VALUE"""),39.56)</f>
        <v>39.56</v>
      </c>
      <c r="O863" s="125">
        <f ca="1">IFERROR(__xludf.DUMMYFUNCTION("""COMPUTED_VALUE"""),43957.6666666666)</f>
        <v>43957.666666666599</v>
      </c>
      <c r="P863">
        <f ca="1">IFERROR(__xludf.DUMMYFUNCTION("""COMPUTED_VALUE"""),35.68)</f>
        <v>35.68</v>
      </c>
    </row>
    <row r="864" spans="2:16" ht="12.75">
      <c r="B864" s="125">
        <f ca="1">IFERROR(__xludf.DUMMYFUNCTION("""COMPUTED_VALUE"""),43958.6666666666)</f>
        <v>43958.666666666599</v>
      </c>
      <c r="C864">
        <f ca="1">IFERROR(__xludf.DUMMYFUNCTION("""COMPUTED_VALUE"""),36.34)</f>
        <v>36.340000000000003</v>
      </c>
      <c r="D864">
        <v>29.48</v>
      </c>
      <c r="E864">
        <v>27.04</v>
      </c>
      <c r="F864">
        <v>28.33</v>
      </c>
      <c r="G864">
        <v>10.78</v>
      </c>
      <c r="H864">
        <v>146.05000000000001</v>
      </c>
      <c r="I864">
        <v>23.78</v>
      </c>
      <c r="J864">
        <v>56.85</v>
      </c>
      <c r="K864">
        <v>121.13</v>
      </c>
      <c r="M864" s="125">
        <f ca="1">IFERROR(__xludf.DUMMYFUNCTION("""COMPUTED_VALUE"""),44489.6666666666)</f>
        <v>44489.666666666599</v>
      </c>
      <c r="N864">
        <f ca="1">IFERROR(__xludf.DUMMYFUNCTION("""COMPUTED_VALUE"""),40.17)</f>
        <v>40.17</v>
      </c>
      <c r="O864" s="125">
        <f ca="1">IFERROR(__xludf.DUMMYFUNCTION("""COMPUTED_VALUE"""),43958.6666666666)</f>
        <v>43958.666666666599</v>
      </c>
      <c r="P864">
        <f ca="1">IFERROR(__xludf.DUMMYFUNCTION("""COMPUTED_VALUE"""),36.34)</f>
        <v>36.340000000000003</v>
      </c>
    </row>
    <row r="865" spans="2:16" ht="12.75">
      <c r="B865" s="125">
        <f ca="1">IFERROR(__xludf.DUMMYFUNCTION("""COMPUTED_VALUE"""),43959.6666666666)</f>
        <v>43959.666666666599</v>
      </c>
      <c r="C865">
        <f ca="1">IFERROR(__xludf.DUMMYFUNCTION("""COMPUTED_VALUE"""),37.6)</f>
        <v>37.6</v>
      </c>
      <c r="D865">
        <v>29.79</v>
      </c>
      <c r="E865">
        <v>27.03</v>
      </c>
      <c r="F865">
        <v>28.87</v>
      </c>
      <c r="G865">
        <v>11.13</v>
      </c>
      <c r="H865">
        <v>151.76</v>
      </c>
      <c r="I865">
        <v>24.21</v>
      </c>
      <c r="J865">
        <v>58.12</v>
      </c>
      <c r="K865">
        <v>123.79</v>
      </c>
      <c r="M865" s="125">
        <f ca="1">IFERROR(__xludf.DUMMYFUNCTION("""COMPUTED_VALUE"""),44490.6666666666)</f>
        <v>44490.666666666599</v>
      </c>
      <c r="N865">
        <f ca="1">IFERROR(__xludf.DUMMYFUNCTION("""COMPUTED_VALUE"""),40.67)</f>
        <v>40.67</v>
      </c>
      <c r="O865" s="125">
        <f ca="1">IFERROR(__xludf.DUMMYFUNCTION("""COMPUTED_VALUE"""),43959.6666666666)</f>
        <v>43959.666666666599</v>
      </c>
      <c r="P865">
        <f ca="1">IFERROR(__xludf.DUMMYFUNCTION("""COMPUTED_VALUE"""),37.6)</f>
        <v>37.6</v>
      </c>
    </row>
    <row r="866" spans="2:16" ht="12.75">
      <c r="B866" s="125">
        <f ca="1">IFERROR(__xludf.DUMMYFUNCTION("""COMPUTED_VALUE"""),43962.6666666666)</f>
        <v>43962.666666666599</v>
      </c>
      <c r="C866">
        <f ca="1">IFERROR(__xludf.DUMMYFUNCTION("""COMPUTED_VALUE"""),37.62)</f>
        <v>37.619999999999997</v>
      </c>
      <c r="D866">
        <v>29.81</v>
      </c>
      <c r="E866">
        <v>27.13</v>
      </c>
      <c r="F866">
        <v>28.8</v>
      </c>
      <c r="G866">
        <v>11.18</v>
      </c>
      <c r="H866">
        <v>149.57</v>
      </c>
      <c r="I866">
        <v>24.1</v>
      </c>
      <c r="J866">
        <v>58.04</v>
      </c>
      <c r="K866">
        <v>123.03</v>
      </c>
      <c r="M866" s="125">
        <f ca="1">IFERROR(__xludf.DUMMYFUNCTION("""COMPUTED_VALUE"""),44491.6666666666)</f>
        <v>44491.666666666599</v>
      </c>
      <c r="N866">
        <f ca="1">IFERROR(__xludf.DUMMYFUNCTION("""COMPUTED_VALUE"""),40.78)</f>
        <v>40.78</v>
      </c>
      <c r="O866" s="125">
        <f ca="1">IFERROR(__xludf.DUMMYFUNCTION("""COMPUTED_VALUE"""),43962.6666666666)</f>
        <v>43962.666666666599</v>
      </c>
      <c r="P866">
        <f ca="1">IFERROR(__xludf.DUMMYFUNCTION("""COMPUTED_VALUE"""),37.62)</f>
        <v>37.619999999999997</v>
      </c>
    </row>
    <row r="867" spans="2:16" ht="12.75">
      <c r="B867" s="125">
        <f ca="1">IFERROR(__xludf.DUMMYFUNCTION("""COMPUTED_VALUE"""),43963.6666666666)</f>
        <v>43963.666666666599</v>
      </c>
      <c r="C867">
        <f ca="1">IFERROR(__xludf.DUMMYFUNCTION("""COMPUTED_VALUE"""),37.67)</f>
        <v>37.67</v>
      </c>
      <c r="D867">
        <v>29.03</v>
      </c>
      <c r="E867">
        <v>27.08</v>
      </c>
      <c r="F867">
        <v>28.37</v>
      </c>
      <c r="G867">
        <v>11.09</v>
      </c>
      <c r="H867">
        <v>146.06</v>
      </c>
      <c r="I867">
        <v>23.68</v>
      </c>
      <c r="J867">
        <v>57.55</v>
      </c>
      <c r="K867">
        <v>121.7</v>
      </c>
      <c r="M867" s="125">
        <f ca="1">IFERROR(__xludf.DUMMYFUNCTION("""COMPUTED_VALUE"""),44494.6666666666)</f>
        <v>44494.666666666599</v>
      </c>
      <c r="N867">
        <f ca="1">IFERROR(__xludf.DUMMYFUNCTION("""COMPUTED_VALUE"""),40.76)</f>
        <v>40.76</v>
      </c>
      <c r="O867" s="125">
        <f ca="1">IFERROR(__xludf.DUMMYFUNCTION("""COMPUTED_VALUE"""),43963.6666666666)</f>
        <v>43963.666666666599</v>
      </c>
      <c r="P867">
        <f ca="1">IFERROR(__xludf.DUMMYFUNCTION("""COMPUTED_VALUE"""),37.67)</f>
        <v>37.67</v>
      </c>
    </row>
    <row r="868" spans="2:16" ht="12.75">
      <c r="B868" s="125">
        <f ca="1">IFERROR(__xludf.DUMMYFUNCTION("""COMPUTED_VALUE"""),43964.6666666666)</f>
        <v>43964.666666666599</v>
      </c>
      <c r="C868">
        <f ca="1">IFERROR(__xludf.DUMMYFUNCTION("""COMPUTED_VALUE"""),38.05)</f>
        <v>38.049999999999997</v>
      </c>
      <c r="M868" s="125">
        <f ca="1">IFERROR(__xludf.DUMMYFUNCTION("""COMPUTED_VALUE"""),44495.6666666666)</f>
        <v>44495.666666666599</v>
      </c>
      <c r="N868">
        <f ca="1">IFERROR(__xludf.DUMMYFUNCTION("""COMPUTED_VALUE"""),40.88)</f>
        <v>40.880000000000003</v>
      </c>
      <c r="O868" s="125">
        <f ca="1">IFERROR(__xludf.DUMMYFUNCTION("""COMPUTED_VALUE"""),43964.6666666666)</f>
        <v>43964.666666666599</v>
      </c>
      <c r="P868">
        <f ca="1">IFERROR(__xludf.DUMMYFUNCTION("""COMPUTED_VALUE"""),38.05)</f>
        <v>38.049999999999997</v>
      </c>
    </row>
    <row r="869" spans="2:16" ht="12.75">
      <c r="B869" s="125">
        <f ca="1">IFERROR(__xludf.DUMMYFUNCTION("""COMPUTED_VALUE"""),43965.6666666666)</f>
        <v>43965.666666666599</v>
      </c>
      <c r="C869">
        <f ca="1">IFERROR(__xludf.DUMMYFUNCTION("""COMPUTED_VALUE"""),38.21)</f>
        <v>38.21</v>
      </c>
      <c r="M869" s="125">
        <f ca="1">IFERROR(__xludf.DUMMYFUNCTION("""COMPUTED_VALUE"""),44496.6666666666)</f>
        <v>44496.666666666599</v>
      </c>
      <c r="N869">
        <f ca="1">IFERROR(__xludf.DUMMYFUNCTION("""COMPUTED_VALUE"""),40.57)</f>
        <v>40.57</v>
      </c>
      <c r="O869" s="125">
        <f ca="1">IFERROR(__xludf.DUMMYFUNCTION("""COMPUTED_VALUE"""),43965.6666666666)</f>
        <v>43965.666666666599</v>
      </c>
      <c r="P869">
        <f ca="1">IFERROR(__xludf.DUMMYFUNCTION("""COMPUTED_VALUE"""),38.21)</f>
        <v>38.21</v>
      </c>
    </row>
    <row r="870" spans="2:16" ht="12.75">
      <c r="B870" s="125">
        <f ca="1">IFERROR(__xludf.DUMMYFUNCTION("""COMPUTED_VALUE"""),43966.6666666666)</f>
        <v>43966.666666666599</v>
      </c>
      <c r="C870">
        <f ca="1">IFERROR(__xludf.DUMMYFUNCTION("""COMPUTED_VALUE"""),37.98)</f>
        <v>37.979999999999997</v>
      </c>
      <c r="M870" s="125">
        <f ca="1">IFERROR(__xludf.DUMMYFUNCTION("""COMPUTED_VALUE"""),44497.6666666666)</f>
        <v>44497.666666666599</v>
      </c>
      <c r="N870">
        <f ca="1">IFERROR(__xludf.DUMMYFUNCTION("""COMPUTED_VALUE"""),41.08)</f>
        <v>41.08</v>
      </c>
      <c r="O870" s="125">
        <f ca="1">IFERROR(__xludf.DUMMYFUNCTION("""COMPUTED_VALUE"""),43966.6666666666)</f>
        <v>43966.666666666599</v>
      </c>
      <c r="P870">
        <f ca="1">IFERROR(__xludf.DUMMYFUNCTION("""COMPUTED_VALUE"""),37.98)</f>
        <v>37.979999999999997</v>
      </c>
    </row>
    <row r="871" spans="2:16" ht="12.75">
      <c r="B871" s="125">
        <f ca="1">IFERROR(__xludf.DUMMYFUNCTION("""COMPUTED_VALUE"""),43969.6666666666)</f>
        <v>43969.666666666599</v>
      </c>
      <c r="C871">
        <f ca="1">IFERROR(__xludf.DUMMYFUNCTION("""COMPUTED_VALUE"""),39.62)</f>
        <v>39.619999999999997</v>
      </c>
      <c r="M871" s="125">
        <f ca="1">IFERROR(__xludf.DUMMYFUNCTION("""COMPUTED_VALUE"""),44498.6666666666)</f>
        <v>44498.666666666599</v>
      </c>
      <c r="N871">
        <f ca="1">IFERROR(__xludf.DUMMYFUNCTION("""COMPUTED_VALUE"""),40.63)</f>
        <v>40.630000000000003</v>
      </c>
      <c r="O871" s="125">
        <f ca="1">IFERROR(__xludf.DUMMYFUNCTION("""COMPUTED_VALUE"""),43969.6666666666)</f>
        <v>43969.666666666599</v>
      </c>
      <c r="P871">
        <f ca="1">IFERROR(__xludf.DUMMYFUNCTION("""COMPUTED_VALUE"""),39.62)</f>
        <v>39.619999999999997</v>
      </c>
    </row>
    <row r="872" spans="2:16" ht="12.75">
      <c r="B872" s="125">
        <f ca="1">IFERROR(__xludf.DUMMYFUNCTION("""COMPUTED_VALUE"""),43970.6666666666)</f>
        <v>43970.666666666599</v>
      </c>
      <c r="C872">
        <f ca="1">IFERROR(__xludf.DUMMYFUNCTION("""COMPUTED_VALUE"""),39.49)</f>
        <v>39.49</v>
      </c>
      <c r="M872" s="125">
        <f ca="1">IFERROR(__xludf.DUMMYFUNCTION("""COMPUTED_VALUE"""),44501.6666666666)</f>
        <v>44501.666666666599</v>
      </c>
      <c r="N872">
        <f ca="1">IFERROR(__xludf.DUMMYFUNCTION("""COMPUTED_VALUE"""),40.97)</f>
        <v>40.97</v>
      </c>
      <c r="O872" s="125">
        <f ca="1">IFERROR(__xludf.DUMMYFUNCTION("""COMPUTED_VALUE"""),43970.6666666666)</f>
        <v>43970.666666666599</v>
      </c>
      <c r="P872">
        <f ca="1">IFERROR(__xludf.DUMMYFUNCTION("""COMPUTED_VALUE"""),39.49)</f>
        <v>39.49</v>
      </c>
    </row>
    <row r="873" spans="2:16" ht="12.75">
      <c r="B873" s="125">
        <f ca="1">IFERROR(__xludf.DUMMYFUNCTION("""COMPUTED_VALUE"""),43971.6666666666)</f>
        <v>43971.666666666599</v>
      </c>
      <c r="C873">
        <f ca="1">IFERROR(__xludf.DUMMYFUNCTION("""COMPUTED_VALUE"""),40.16)</f>
        <v>40.159999999999997</v>
      </c>
      <c r="M873" s="125">
        <f ca="1">IFERROR(__xludf.DUMMYFUNCTION("""COMPUTED_VALUE"""),44502.6666666666)</f>
        <v>44502.666666666599</v>
      </c>
      <c r="N873">
        <f ca="1">IFERROR(__xludf.DUMMYFUNCTION("""COMPUTED_VALUE"""),41.04)</f>
        <v>41.04</v>
      </c>
      <c r="O873" s="125">
        <f ca="1">IFERROR(__xludf.DUMMYFUNCTION("""COMPUTED_VALUE"""),43971.6666666666)</f>
        <v>43971.666666666599</v>
      </c>
      <c r="P873">
        <f ca="1">IFERROR(__xludf.DUMMYFUNCTION("""COMPUTED_VALUE"""),40.16)</f>
        <v>40.159999999999997</v>
      </c>
    </row>
    <row r="874" spans="2:16" ht="12.75">
      <c r="B874" s="125">
        <f ca="1">IFERROR(__xludf.DUMMYFUNCTION("""COMPUTED_VALUE"""),43972.6666666666)</f>
        <v>43972.666666666599</v>
      </c>
      <c r="C874">
        <f ca="1">IFERROR(__xludf.DUMMYFUNCTION("""COMPUTED_VALUE"""),39.65)</f>
        <v>39.65</v>
      </c>
      <c r="M874" s="125">
        <f ca="1">IFERROR(__xludf.DUMMYFUNCTION("""COMPUTED_VALUE"""),44503.6666666666)</f>
        <v>44503.666666666599</v>
      </c>
      <c r="N874">
        <f ca="1">IFERROR(__xludf.DUMMYFUNCTION("""COMPUTED_VALUE"""),41.22)</f>
        <v>41.22</v>
      </c>
      <c r="O874" s="125">
        <f ca="1">IFERROR(__xludf.DUMMYFUNCTION("""COMPUTED_VALUE"""),43972.6666666666)</f>
        <v>43972.666666666599</v>
      </c>
      <c r="P874">
        <f ca="1">IFERROR(__xludf.DUMMYFUNCTION("""COMPUTED_VALUE"""),39.65)</f>
        <v>39.65</v>
      </c>
    </row>
    <row r="875" spans="2:16" ht="12.75">
      <c r="B875" s="125">
        <f ca="1">IFERROR(__xludf.DUMMYFUNCTION("""COMPUTED_VALUE"""),43973.6666666666)</f>
        <v>43973.666666666599</v>
      </c>
      <c r="C875">
        <f ca="1">IFERROR(__xludf.DUMMYFUNCTION("""COMPUTED_VALUE"""),38.82)</f>
        <v>38.82</v>
      </c>
      <c r="M875" s="125">
        <f ca="1">IFERROR(__xludf.DUMMYFUNCTION("""COMPUTED_VALUE"""),44504.6666666666)</f>
        <v>44504.666666666599</v>
      </c>
      <c r="N875">
        <f ca="1">IFERROR(__xludf.DUMMYFUNCTION("""COMPUTED_VALUE"""),40.71)</f>
        <v>40.71</v>
      </c>
      <c r="O875" s="125">
        <f ca="1">IFERROR(__xludf.DUMMYFUNCTION("""COMPUTED_VALUE"""),43973.6666666666)</f>
        <v>43973.666666666599</v>
      </c>
      <c r="P875">
        <f ca="1">IFERROR(__xludf.DUMMYFUNCTION("""COMPUTED_VALUE"""),38.82)</f>
        <v>38.82</v>
      </c>
    </row>
    <row r="876" spans="2:16" ht="12.75">
      <c r="B876" s="125">
        <f ca="1">IFERROR(__xludf.DUMMYFUNCTION("""COMPUTED_VALUE"""),43977.6666666666)</f>
        <v>43977.666666666599</v>
      </c>
      <c r="C876">
        <f ca="1">IFERROR(__xludf.DUMMYFUNCTION("""COMPUTED_VALUE"""),40.06)</f>
        <v>40.06</v>
      </c>
      <c r="M876" s="125">
        <f ca="1">IFERROR(__xludf.DUMMYFUNCTION("""COMPUTED_VALUE"""),44505.6666666666)</f>
        <v>44505.666666666599</v>
      </c>
      <c r="N876">
        <f ca="1">IFERROR(__xludf.DUMMYFUNCTION("""COMPUTED_VALUE"""),40.54)</f>
        <v>40.54</v>
      </c>
      <c r="O876" s="125">
        <f ca="1">IFERROR(__xludf.DUMMYFUNCTION("""COMPUTED_VALUE"""),43977.6666666666)</f>
        <v>43977.666666666599</v>
      </c>
      <c r="P876">
        <f ca="1">IFERROR(__xludf.DUMMYFUNCTION("""COMPUTED_VALUE"""),40.06)</f>
        <v>40.06</v>
      </c>
    </row>
    <row r="877" spans="2:16" ht="12.75">
      <c r="B877" s="125">
        <f ca="1">IFERROR(__xludf.DUMMYFUNCTION("""COMPUTED_VALUE"""),43978.6666666666)</f>
        <v>43978.666666666599</v>
      </c>
      <c r="C877">
        <f ca="1">IFERROR(__xludf.DUMMYFUNCTION("""COMPUTED_VALUE"""),39.45)</f>
        <v>39.450000000000003</v>
      </c>
      <c r="M877" s="125">
        <f ca="1">IFERROR(__xludf.DUMMYFUNCTION("""COMPUTED_VALUE"""),44508.6666666666)</f>
        <v>44508.666666666599</v>
      </c>
      <c r="N877">
        <f ca="1">IFERROR(__xludf.DUMMYFUNCTION("""COMPUTED_VALUE"""),40.59)</f>
        <v>40.590000000000003</v>
      </c>
      <c r="O877" s="125">
        <f ca="1">IFERROR(__xludf.DUMMYFUNCTION("""COMPUTED_VALUE"""),43978.6666666666)</f>
        <v>43978.666666666599</v>
      </c>
      <c r="P877">
        <f ca="1">IFERROR(__xludf.DUMMYFUNCTION("""COMPUTED_VALUE"""),39.45)</f>
        <v>39.450000000000003</v>
      </c>
    </row>
    <row r="878" spans="2:16" ht="12.75">
      <c r="B878" s="125">
        <f ca="1">IFERROR(__xludf.DUMMYFUNCTION("""COMPUTED_VALUE"""),43979.6666666666)</f>
        <v>43979.666666666599</v>
      </c>
      <c r="C878">
        <f ca="1">IFERROR(__xludf.DUMMYFUNCTION("""COMPUTED_VALUE"""),39.04)</f>
        <v>39.04</v>
      </c>
      <c r="M878" s="125">
        <f ca="1">IFERROR(__xludf.DUMMYFUNCTION("""COMPUTED_VALUE"""),44509.6666666666)</f>
        <v>44509.666666666599</v>
      </c>
      <c r="N878">
        <f ca="1">IFERROR(__xludf.DUMMYFUNCTION("""COMPUTED_VALUE"""),40.88)</f>
        <v>40.880000000000003</v>
      </c>
      <c r="O878" s="125">
        <f ca="1">IFERROR(__xludf.DUMMYFUNCTION("""COMPUTED_VALUE"""),43979.6666666666)</f>
        <v>43979.666666666599</v>
      </c>
      <c r="P878">
        <f ca="1">IFERROR(__xludf.DUMMYFUNCTION("""COMPUTED_VALUE"""),39.04)</f>
        <v>39.04</v>
      </c>
    </row>
    <row r="879" spans="2:16" ht="12.75">
      <c r="B879" s="125">
        <f ca="1">IFERROR(__xludf.DUMMYFUNCTION("""COMPUTED_VALUE"""),43980.6666666666)</f>
        <v>43980.666666666599</v>
      </c>
      <c r="C879">
        <f ca="1">IFERROR(__xludf.DUMMYFUNCTION("""COMPUTED_VALUE"""),40.25)</f>
        <v>40.25</v>
      </c>
      <c r="M879" s="125">
        <f ca="1">IFERROR(__xludf.DUMMYFUNCTION("""COMPUTED_VALUE"""),44510.6666666666)</f>
        <v>44510.666666666599</v>
      </c>
      <c r="N879">
        <f ca="1">IFERROR(__xludf.DUMMYFUNCTION("""COMPUTED_VALUE"""),40.45)</f>
        <v>40.450000000000003</v>
      </c>
      <c r="O879" s="125">
        <f ca="1">IFERROR(__xludf.DUMMYFUNCTION("""COMPUTED_VALUE"""),43980.6666666666)</f>
        <v>43980.666666666599</v>
      </c>
      <c r="P879">
        <f ca="1">IFERROR(__xludf.DUMMYFUNCTION("""COMPUTED_VALUE"""),40.25)</f>
        <v>40.25</v>
      </c>
    </row>
    <row r="880" spans="2:16" ht="12.75">
      <c r="B880" s="125">
        <f ca="1">IFERROR(__xludf.DUMMYFUNCTION("""COMPUTED_VALUE"""),43983.6666666666)</f>
        <v>43983.666666666599</v>
      </c>
      <c r="C880">
        <f ca="1">IFERROR(__xludf.DUMMYFUNCTION("""COMPUTED_VALUE"""),40.94)</f>
        <v>40.94</v>
      </c>
      <c r="M880" s="125">
        <f ca="1">IFERROR(__xludf.DUMMYFUNCTION("""COMPUTED_VALUE"""),44511.6666666666)</f>
        <v>44511.666666666599</v>
      </c>
      <c r="N880">
        <f ca="1">IFERROR(__xludf.DUMMYFUNCTION("""COMPUTED_VALUE"""),40.49)</f>
        <v>40.49</v>
      </c>
      <c r="O880" s="125">
        <f ca="1">IFERROR(__xludf.DUMMYFUNCTION("""COMPUTED_VALUE"""),43983.6666666666)</f>
        <v>43983.666666666599</v>
      </c>
      <c r="P880">
        <f ca="1">IFERROR(__xludf.DUMMYFUNCTION("""COMPUTED_VALUE"""),40.94)</f>
        <v>40.94</v>
      </c>
    </row>
    <row r="881" spans="2:16" ht="12.75">
      <c r="B881" s="125">
        <f ca="1">IFERROR(__xludf.DUMMYFUNCTION("""COMPUTED_VALUE"""),43984.6666666666)</f>
        <v>43984.666666666599</v>
      </c>
      <c r="C881">
        <f ca="1">IFERROR(__xludf.DUMMYFUNCTION("""COMPUTED_VALUE"""),41.7)</f>
        <v>41.7</v>
      </c>
      <c r="M881" s="125">
        <f ca="1">IFERROR(__xludf.DUMMYFUNCTION("""COMPUTED_VALUE"""),44512.6666666666)</f>
        <v>44512.666666666599</v>
      </c>
      <c r="N881">
        <f ca="1">IFERROR(__xludf.DUMMYFUNCTION("""COMPUTED_VALUE"""),40.74)</f>
        <v>40.74</v>
      </c>
      <c r="O881" s="125">
        <f ca="1">IFERROR(__xludf.DUMMYFUNCTION("""COMPUTED_VALUE"""),43984.6666666666)</f>
        <v>43984.666666666599</v>
      </c>
      <c r="P881">
        <f ca="1">IFERROR(__xludf.DUMMYFUNCTION("""COMPUTED_VALUE"""),41.7)</f>
        <v>41.7</v>
      </c>
    </row>
    <row r="882" spans="2:16" ht="12.75">
      <c r="B882" s="125">
        <f ca="1">IFERROR(__xludf.DUMMYFUNCTION("""COMPUTED_VALUE"""),43985.6666666666)</f>
        <v>43985.666666666599</v>
      </c>
      <c r="C882">
        <f ca="1">IFERROR(__xludf.DUMMYFUNCTION("""COMPUTED_VALUE"""),42.35)</f>
        <v>42.35</v>
      </c>
      <c r="M882" s="125">
        <f ca="1">IFERROR(__xludf.DUMMYFUNCTION("""COMPUTED_VALUE"""),44515.6666666666)</f>
        <v>44515.666666666599</v>
      </c>
      <c r="N882">
        <f ca="1">IFERROR(__xludf.DUMMYFUNCTION("""COMPUTED_VALUE"""),41.11)</f>
        <v>41.11</v>
      </c>
      <c r="O882" s="125">
        <f ca="1">IFERROR(__xludf.DUMMYFUNCTION("""COMPUTED_VALUE"""),43985.6666666666)</f>
        <v>43985.666666666599</v>
      </c>
      <c r="P882">
        <f ca="1">IFERROR(__xludf.DUMMYFUNCTION("""COMPUTED_VALUE"""),42.35)</f>
        <v>42.35</v>
      </c>
    </row>
    <row r="883" spans="2:16" ht="12.75">
      <c r="B883" s="125">
        <f ca="1">IFERROR(__xludf.DUMMYFUNCTION("""COMPUTED_VALUE"""),43986.6666666666)</f>
        <v>43986.666666666599</v>
      </c>
      <c r="C883">
        <f ca="1">IFERROR(__xludf.DUMMYFUNCTION("""COMPUTED_VALUE"""),41.94)</f>
        <v>41.94</v>
      </c>
      <c r="M883" s="125">
        <f ca="1">IFERROR(__xludf.DUMMYFUNCTION("""COMPUTED_VALUE"""),44516.6666666666)</f>
        <v>44516.666666666599</v>
      </c>
      <c r="N883">
        <f ca="1">IFERROR(__xludf.DUMMYFUNCTION("""COMPUTED_VALUE"""),40.9)</f>
        <v>40.9</v>
      </c>
      <c r="O883" s="125">
        <f ca="1">IFERROR(__xludf.DUMMYFUNCTION("""COMPUTED_VALUE"""),43986.6666666666)</f>
        <v>43986.666666666599</v>
      </c>
      <c r="P883">
        <f ca="1">IFERROR(__xludf.DUMMYFUNCTION("""COMPUTED_VALUE"""),41.94)</f>
        <v>41.94</v>
      </c>
    </row>
    <row r="884" spans="2:16" ht="12.75">
      <c r="B884" s="125">
        <f ca="1">IFERROR(__xludf.DUMMYFUNCTION("""COMPUTED_VALUE"""),43987.6666666666)</f>
        <v>43987.666666666599</v>
      </c>
      <c r="C884">
        <f ca="1">IFERROR(__xludf.DUMMYFUNCTION("""COMPUTED_VALUE"""),42.95)</f>
        <v>42.95</v>
      </c>
      <c r="M884" s="125">
        <f ca="1">IFERROR(__xludf.DUMMYFUNCTION("""COMPUTED_VALUE"""),44517.6666666666)</f>
        <v>44517.666666666599</v>
      </c>
      <c r="N884">
        <f ca="1">IFERROR(__xludf.DUMMYFUNCTION("""COMPUTED_VALUE"""),40.94)</f>
        <v>40.94</v>
      </c>
      <c r="O884" s="125">
        <f ca="1">IFERROR(__xludf.DUMMYFUNCTION("""COMPUTED_VALUE"""),43987.6666666666)</f>
        <v>43987.666666666599</v>
      </c>
      <c r="P884">
        <f ca="1">IFERROR(__xludf.DUMMYFUNCTION("""COMPUTED_VALUE"""),42.95)</f>
        <v>42.95</v>
      </c>
    </row>
    <row r="885" spans="2:16" ht="12.75">
      <c r="B885" s="125">
        <f ca="1">IFERROR(__xludf.DUMMYFUNCTION("""COMPUTED_VALUE"""),43990.6666666666)</f>
        <v>43990.666666666599</v>
      </c>
      <c r="C885">
        <f ca="1">IFERROR(__xludf.DUMMYFUNCTION("""COMPUTED_VALUE"""),42.88)</f>
        <v>42.88</v>
      </c>
      <c r="M885" s="125">
        <f ca="1">IFERROR(__xludf.DUMMYFUNCTION("""COMPUTED_VALUE"""),44518.6666666666)</f>
        <v>44518.666666666599</v>
      </c>
      <c r="N885">
        <f ca="1">IFERROR(__xludf.DUMMYFUNCTION("""COMPUTED_VALUE"""),40.8)</f>
        <v>40.799999999999997</v>
      </c>
      <c r="O885" s="125">
        <f ca="1">IFERROR(__xludf.DUMMYFUNCTION("""COMPUTED_VALUE"""),43990.6666666666)</f>
        <v>43990.666666666599</v>
      </c>
      <c r="P885">
        <f ca="1">IFERROR(__xludf.DUMMYFUNCTION("""COMPUTED_VALUE"""),42.88)</f>
        <v>42.88</v>
      </c>
    </row>
    <row r="886" spans="2:16" ht="12.75">
      <c r="B886" s="125">
        <f ca="1">IFERROR(__xludf.DUMMYFUNCTION("""COMPUTED_VALUE"""),43991.6666666666)</f>
        <v>43991.666666666599</v>
      </c>
      <c r="C886">
        <f ca="1">IFERROR(__xludf.DUMMYFUNCTION("""COMPUTED_VALUE"""),42.66)</f>
        <v>42.66</v>
      </c>
      <c r="M886" s="125">
        <f ca="1">IFERROR(__xludf.DUMMYFUNCTION("""COMPUTED_VALUE"""),44519.6666666666)</f>
        <v>44519.666666666599</v>
      </c>
      <c r="N886">
        <f ca="1">IFERROR(__xludf.DUMMYFUNCTION("""COMPUTED_VALUE"""),40.6)</f>
        <v>40.6</v>
      </c>
      <c r="O886" s="125">
        <f ca="1">IFERROR(__xludf.DUMMYFUNCTION("""COMPUTED_VALUE"""),43991.6666666666)</f>
        <v>43991.666666666599</v>
      </c>
      <c r="P886">
        <f ca="1">IFERROR(__xludf.DUMMYFUNCTION("""COMPUTED_VALUE"""),42.66)</f>
        <v>42.66</v>
      </c>
    </row>
    <row r="887" spans="2:16" ht="12.75">
      <c r="B887" s="125">
        <f ca="1">IFERROR(__xludf.DUMMYFUNCTION("""COMPUTED_VALUE"""),43992.6666666666)</f>
        <v>43992.666666666599</v>
      </c>
      <c r="C887">
        <f ca="1">IFERROR(__xludf.DUMMYFUNCTION("""COMPUTED_VALUE"""),43.83)</f>
        <v>43.83</v>
      </c>
      <c r="M887" s="125">
        <f ca="1">IFERROR(__xludf.DUMMYFUNCTION("""COMPUTED_VALUE"""),44522.6666666666)</f>
        <v>44522.666666666599</v>
      </c>
      <c r="N887">
        <f ca="1">IFERROR(__xludf.DUMMYFUNCTION("""COMPUTED_VALUE"""),40.47)</f>
        <v>40.47</v>
      </c>
      <c r="O887" s="125">
        <f ca="1">IFERROR(__xludf.DUMMYFUNCTION("""COMPUTED_VALUE"""),43992.6666666666)</f>
        <v>43992.666666666599</v>
      </c>
      <c r="P887">
        <f ca="1">IFERROR(__xludf.DUMMYFUNCTION("""COMPUTED_VALUE"""),43.83)</f>
        <v>43.83</v>
      </c>
    </row>
    <row r="888" spans="2:16" ht="12.75">
      <c r="B888" s="125">
        <f ca="1">IFERROR(__xludf.DUMMYFUNCTION("""COMPUTED_VALUE"""),43993.6666666666)</f>
        <v>43993.666666666599</v>
      </c>
      <c r="C888">
        <f ca="1">IFERROR(__xludf.DUMMYFUNCTION("""COMPUTED_VALUE"""),42.07)</f>
        <v>42.07</v>
      </c>
      <c r="M888" s="125">
        <f ca="1">IFERROR(__xludf.DUMMYFUNCTION("""COMPUTED_VALUE"""),44523.6666666666)</f>
        <v>44523.666666666599</v>
      </c>
      <c r="N888">
        <f ca="1">IFERROR(__xludf.DUMMYFUNCTION("""COMPUTED_VALUE"""),40.66)</f>
        <v>40.659999999999997</v>
      </c>
      <c r="O888" s="125">
        <f ca="1">IFERROR(__xludf.DUMMYFUNCTION("""COMPUTED_VALUE"""),43993.6666666666)</f>
        <v>43993.666666666599</v>
      </c>
      <c r="P888">
        <f ca="1">IFERROR(__xludf.DUMMYFUNCTION("""COMPUTED_VALUE"""),42.07)</f>
        <v>42.07</v>
      </c>
    </row>
    <row r="889" spans="2:16" ht="12.75">
      <c r="B889" s="125">
        <f ca="1">IFERROR(__xludf.DUMMYFUNCTION("""COMPUTED_VALUE"""),43994.6666666666)</f>
        <v>43994.666666666599</v>
      </c>
      <c r="C889">
        <f ca="1">IFERROR(__xludf.DUMMYFUNCTION("""COMPUTED_VALUE"""),43.3)</f>
        <v>43.3</v>
      </c>
      <c r="M889" s="125">
        <f ca="1">IFERROR(__xludf.DUMMYFUNCTION("""COMPUTED_VALUE"""),44524.6666666666)</f>
        <v>44524.666666666599</v>
      </c>
      <c r="N889">
        <f ca="1">IFERROR(__xludf.DUMMYFUNCTION("""COMPUTED_VALUE"""),41.02)</f>
        <v>41.02</v>
      </c>
      <c r="O889" s="125">
        <f ca="1">IFERROR(__xludf.DUMMYFUNCTION("""COMPUTED_VALUE"""),43994.6666666666)</f>
        <v>43994.666666666599</v>
      </c>
      <c r="P889">
        <f ca="1">IFERROR(__xludf.DUMMYFUNCTION("""COMPUTED_VALUE"""),43.3)</f>
        <v>43.3</v>
      </c>
    </row>
    <row r="890" spans="2:16" ht="12.75">
      <c r="B890" s="125">
        <f ca="1">IFERROR(__xludf.DUMMYFUNCTION("""COMPUTED_VALUE"""),43997.6666666666)</f>
        <v>43997.666666666599</v>
      </c>
      <c r="C890">
        <f ca="1">IFERROR(__xludf.DUMMYFUNCTION("""COMPUTED_VALUE"""),43.64)</f>
        <v>43.64</v>
      </c>
      <c r="M890" s="125">
        <f ca="1">IFERROR(__xludf.DUMMYFUNCTION("""COMPUTED_VALUE"""),44526.5520833333)</f>
        <v>44526.552083333299</v>
      </c>
      <c r="N890">
        <f ca="1">IFERROR(__xludf.DUMMYFUNCTION("""COMPUTED_VALUE"""),40.55)</f>
        <v>40.549999999999997</v>
      </c>
      <c r="O890" s="125">
        <f ca="1">IFERROR(__xludf.DUMMYFUNCTION("""COMPUTED_VALUE"""),43997.6666666666)</f>
        <v>43997.666666666599</v>
      </c>
      <c r="P890">
        <f ca="1">IFERROR(__xludf.DUMMYFUNCTION("""COMPUTED_VALUE"""),43.64)</f>
        <v>43.64</v>
      </c>
    </row>
    <row r="891" spans="2:16" ht="12.75">
      <c r="B891" s="125">
        <f ca="1">IFERROR(__xludf.DUMMYFUNCTION("""COMPUTED_VALUE"""),43998.6666666666)</f>
        <v>43998.666666666599</v>
      </c>
      <c r="C891">
        <f ca="1">IFERROR(__xludf.DUMMYFUNCTION("""COMPUTED_VALUE"""),44.63)</f>
        <v>44.63</v>
      </c>
      <c r="M891" s="125">
        <f ca="1">IFERROR(__xludf.DUMMYFUNCTION("""COMPUTED_VALUE"""),44529.6666666666)</f>
        <v>44529.666666666599</v>
      </c>
      <c r="N891">
        <f ca="1">IFERROR(__xludf.DUMMYFUNCTION("""COMPUTED_VALUE"""),41.05)</f>
        <v>41.05</v>
      </c>
      <c r="O891" s="125">
        <f ca="1">IFERROR(__xludf.DUMMYFUNCTION("""COMPUTED_VALUE"""),43998.6666666666)</f>
        <v>43998.666666666599</v>
      </c>
      <c r="P891">
        <f ca="1">IFERROR(__xludf.DUMMYFUNCTION("""COMPUTED_VALUE"""),44.63)</f>
        <v>44.63</v>
      </c>
    </row>
    <row r="892" spans="2:16" ht="12.75">
      <c r="B892" s="125">
        <f ca="1">IFERROR(__xludf.DUMMYFUNCTION("""COMPUTED_VALUE"""),43999.6666666666)</f>
        <v>43999.666666666599</v>
      </c>
      <c r="C892">
        <f ca="1">IFERROR(__xludf.DUMMYFUNCTION("""COMPUTED_VALUE"""),45.41)</f>
        <v>45.41</v>
      </c>
      <c r="M892" s="125">
        <f ca="1">IFERROR(__xludf.DUMMYFUNCTION("""COMPUTED_VALUE"""),44530.6666666666)</f>
        <v>44530.666666666599</v>
      </c>
      <c r="N892">
        <f ca="1">IFERROR(__xludf.DUMMYFUNCTION("""COMPUTED_VALUE"""),40.43)</f>
        <v>40.43</v>
      </c>
      <c r="O892" s="125">
        <f ca="1">IFERROR(__xludf.DUMMYFUNCTION("""COMPUTED_VALUE"""),43999.6666666666)</f>
        <v>43999.666666666599</v>
      </c>
      <c r="P892">
        <f ca="1">IFERROR(__xludf.DUMMYFUNCTION("""COMPUTED_VALUE"""),45.41)</f>
        <v>45.41</v>
      </c>
    </row>
    <row r="893" spans="2:16" ht="12.75">
      <c r="B893" s="125">
        <f ca="1">IFERROR(__xludf.DUMMYFUNCTION("""COMPUTED_VALUE"""),44000.6666666666)</f>
        <v>44000.666666666599</v>
      </c>
      <c r="C893">
        <f ca="1">IFERROR(__xludf.DUMMYFUNCTION("""COMPUTED_VALUE"""),45.45)</f>
        <v>45.45</v>
      </c>
      <c r="M893" s="125">
        <f ca="1">IFERROR(__xludf.DUMMYFUNCTION("""COMPUTED_VALUE"""),44531.6666666666)</f>
        <v>44531.666666666599</v>
      </c>
      <c r="N893">
        <f ca="1">IFERROR(__xludf.DUMMYFUNCTION("""COMPUTED_VALUE"""),39.83)</f>
        <v>39.83</v>
      </c>
      <c r="O893" s="125">
        <f ca="1">IFERROR(__xludf.DUMMYFUNCTION("""COMPUTED_VALUE"""),44000.6666666666)</f>
        <v>44000.666666666599</v>
      </c>
      <c r="P893">
        <f ca="1">IFERROR(__xludf.DUMMYFUNCTION("""COMPUTED_VALUE"""),45.45)</f>
        <v>45.45</v>
      </c>
    </row>
    <row r="894" spans="2:16" ht="12.75">
      <c r="B894" s="125">
        <f ca="1">IFERROR(__xludf.DUMMYFUNCTION("""COMPUTED_VALUE"""),44001.6666666666)</f>
        <v>44001.666666666599</v>
      </c>
      <c r="C894">
        <f ca="1">IFERROR(__xludf.DUMMYFUNCTION("""COMPUTED_VALUE"""),45.61)</f>
        <v>45.61</v>
      </c>
      <c r="M894" s="125">
        <f ca="1">IFERROR(__xludf.DUMMYFUNCTION("""COMPUTED_VALUE"""),44532.6666666666)</f>
        <v>44532.666666666599</v>
      </c>
      <c r="N894">
        <f ca="1">IFERROR(__xludf.DUMMYFUNCTION("""COMPUTED_VALUE"""),40.5)</f>
        <v>40.5</v>
      </c>
      <c r="O894" s="125">
        <f ca="1">IFERROR(__xludf.DUMMYFUNCTION("""COMPUTED_VALUE"""),44001.6666666666)</f>
        <v>44001.666666666599</v>
      </c>
      <c r="P894">
        <f ca="1">IFERROR(__xludf.DUMMYFUNCTION("""COMPUTED_VALUE"""),45.61)</f>
        <v>45.61</v>
      </c>
    </row>
    <row r="895" spans="2:16" ht="12.75">
      <c r="B895" s="125">
        <f ca="1">IFERROR(__xludf.DUMMYFUNCTION("""COMPUTED_VALUE"""),44004.6666666666)</f>
        <v>44004.666666666599</v>
      </c>
      <c r="C895">
        <f ca="1">IFERROR(__xludf.DUMMYFUNCTION("""COMPUTED_VALUE"""),46.49)</f>
        <v>46.49</v>
      </c>
      <c r="M895" s="125">
        <f ca="1">IFERROR(__xludf.DUMMYFUNCTION("""COMPUTED_VALUE"""),44533.6666666666)</f>
        <v>44533.666666666599</v>
      </c>
      <c r="N895">
        <f ca="1">IFERROR(__xludf.DUMMYFUNCTION("""COMPUTED_VALUE"""),40.11)</f>
        <v>40.11</v>
      </c>
      <c r="O895" s="125">
        <f ca="1">IFERROR(__xludf.DUMMYFUNCTION("""COMPUTED_VALUE"""),44004.6666666666)</f>
        <v>44004.666666666599</v>
      </c>
      <c r="P895">
        <f ca="1">IFERROR(__xludf.DUMMYFUNCTION("""COMPUTED_VALUE"""),46.49)</f>
        <v>46.49</v>
      </c>
    </row>
    <row r="896" spans="2:16" ht="12.75">
      <c r="B896" s="125">
        <f ca="1">IFERROR(__xludf.DUMMYFUNCTION("""COMPUTED_VALUE"""),44005.6666666666)</f>
        <v>44005.666666666599</v>
      </c>
      <c r="C896">
        <f ca="1">IFERROR(__xludf.DUMMYFUNCTION("""COMPUTED_VALUE"""),47.6)</f>
        <v>47.6</v>
      </c>
      <c r="M896" s="125">
        <f ca="1">IFERROR(__xludf.DUMMYFUNCTION("""COMPUTED_VALUE"""),44536.6666666666)</f>
        <v>44536.666666666599</v>
      </c>
      <c r="N896">
        <f ca="1">IFERROR(__xludf.DUMMYFUNCTION("""COMPUTED_VALUE"""),40.45)</f>
        <v>40.450000000000003</v>
      </c>
      <c r="O896" s="125">
        <f ca="1">IFERROR(__xludf.DUMMYFUNCTION("""COMPUTED_VALUE"""),44005.6666666666)</f>
        <v>44005.666666666599</v>
      </c>
      <c r="P896">
        <f ca="1">IFERROR(__xludf.DUMMYFUNCTION("""COMPUTED_VALUE"""),47.6)</f>
        <v>47.6</v>
      </c>
    </row>
    <row r="897" spans="2:16" ht="12.75">
      <c r="B897" s="125">
        <f ca="1">IFERROR(__xludf.DUMMYFUNCTION("""COMPUTED_VALUE"""),44006.6666666666)</f>
        <v>44006.666666666599</v>
      </c>
      <c r="C897">
        <f ca="1">IFERROR(__xludf.DUMMYFUNCTION("""COMPUTED_VALUE"""),46.83)</f>
        <v>46.83</v>
      </c>
      <c r="M897" s="125">
        <f ca="1">IFERROR(__xludf.DUMMYFUNCTION("""COMPUTED_VALUE"""),44537.6666666666)</f>
        <v>44537.666666666599</v>
      </c>
      <c r="N897">
        <f ca="1">IFERROR(__xludf.DUMMYFUNCTION("""COMPUTED_VALUE"""),41.25)</f>
        <v>41.25</v>
      </c>
      <c r="O897" s="125">
        <f ca="1">IFERROR(__xludf.DUMMYFUNCTION("""COMPUTED_VALUE"""),44006.6666666666)</f>
        <v>44006.666666666599</v>
      </c>
      <c r="P897">
        <f ca="1">IFERROR(__xludf.DUMMYFUNCTION("""COMPUTED_VALUE"""),46.83)</f>
        <v>46.83</v>
      </c>
    </row>
    <row r="898" spans="2:16" ht="12.75">
      <c r="B898" s="125">
        <f ca="1">IFERROR(__xludf.DUMMYFUNCTION("""COMPUTED_VALUE"""),44007.6666666666)</f>
        <v>44007.666666666599</v>
      </c>
      <c r="C898">
        <f ca="1">IFERROR(__xludf.DUMMYFUNCTION("""COMPUTED_VALUE"""),47.01)</f>
        <v>47.01</v>
      </c>
      <c r="M898" s="125">
        <f ca="1">IFERROR(__xludf.DUMMYFUNCTION("""COMPUTED_VALUE"""),44538.6666666666)</f>
        <v>44538.666666666599</v>
      </c>
      <c r="N898">
        <f ca="1">IFERROR(__xludf.DUMMYFUNCTION("""COMPUTED_VALUE"""),41.36)</f>
        <v>41.36</v>
      </c>
      <c r="O898" s="125">
        <f ca="1">IFERROR(__xludf.DUMMYFUNCTION("""COMPUTED_VALUE"""),44007.6666666666)</f>
        <v>44007.666666666599</v>
      </c>
      <c r="P898">
        <f ca="1">IFERROR(__xludf.DUMMYFUNCTION("""COMPUTED_VALUE"""),47.01)</f>
        <v>47.01</v>
      </c>
    </row>
    <row r="899" spans="2:16" ht="12.75">
      <c r="B899" s="125">
        <f ca="1">IFERROR(__xludf.DUMMYFUNCTION("""COMPUTED_VALUE"""),44008.6666666666)</f>
        <v>44008.666666666599</v>
      </c>
      <c r="C899">
        <f ca="1">IFERROR(__xludf.DUMMYFUNCTION("""COMPUTED_VALUE"""),46.51)</f>
        <v>46.51</v>
      </c>
      <c r="M899" s="125">
        <f ca="1">IFERROR(__xludf.DUMMYFUNCTION("""COMPUTED_VALUE"""),44539.6666666666)</f>
        <v>44539.666666666599</v>
      </c>
      <c r="N899">
        <f ca="1">IFERROR(__xludf.DUMMYFUNCTION("""COMPUTED_VALUE"""),40.9)</f>
        <v>40.9</v>
      </c>
      <c r="O899" s="125">
        <f ca="1">IFERROR(__xludf.DUMMYFUNCTION("""COMPUTED_VALUE"""),44008.6666666666)</f>
        <v>44008.666666666599</v>
      </c>
      <c r="P899">
        <f ca="1">IFERROR(__xludf.DUMMYFUNCTION("""COMPUTED_VALUE"""),46.51)</f>
        <v>46.51</v>
      </c>
    </row>
    <row r="900" spans="2:16" ht="12.75">
      <c r="B900" s="125">
        <f ca="1">IFERROR(__xludf.DUMMYFUNCTION("""COMPUTED_VALUE"""),44011.6666666666)</f>
        <v>44011.666666666599</v>
      </c>
      <c r="C900">
        <f ca="1">IFERROR(__xludf.DUMMYFUNCTION("""COMPUTED_VALUE"""),46.58)</f>
        <v>46.58</v>
      </c>
      <c r="M900" s="125">
        <f ca="1">IFERROR(__xludf.DUMMYFUNCTION("""COMPUTED_VALUE"""),44540.6666666666)</f>
        <v>44540.666666666599</v>
      </c>
      <c r="N900">
        <f ca="1">IFERROR(__xludf.DUMMYFUNCTION("""COMPUTED_VALUE"""),41.04)</f>
        <v>41.04</v>
      </c>
      <c r="O900" s="125">
        <f ca="1">IFERROR(__xludf.DUMMYFUNCTION("""COMPUTED_VALUE"""),44011.6666666666)</f>
        <v>44011.666666666599</v>
      </c>
      <c r="P900">
        <f ca="1">IFERROR(__xludf.DUMMYFUNCTION("""COMPUTED_VALUE"""),46.58)</f>
        <v>46.58</v>
      </c>
    </row>
    <row r="901" spans="2:16" ht="12.75">
      <c r="B901" s="125">
        <f ca="1">IFERROR(__xludf.DUMMYFUNCTION("""COMPUTED_VALUE"""),44012.6666666666)</f>
        <v>44012.666666666599</v>
      </c>
      <c r="C901">
        <f ca="1">IFERROR(__xludf.DUMMYFUNCTION("""COMPUTED_VALUE"""),46.71)</f>
        <v>46.71</v>
      </c>
      <c r="M901" s="125">
        <f ca="1">IFERROR(__xludf.DUMMYFUNCTION("""COMPUTED_VALUE"""),44543.6666666666)</f>
        <v>44543.666666666599</v>
      </c>
      <c r="N901">
        <f ca="1">IFERROR(__xludf.DUMMYFUNCTION("""COMPUTED_VALUE"""),41.53)</f>
        <v>41.53</v>
      </c>
      <c r="O901" s="125">
        <f ca="1">IFERROR(__xludf.DUMMYFUNCTION("""COMPUTED_VALUE"""),44012.6666666666)</f>
        <v>44012.666666666599</v>
      </c>
      <c r="P901">
        <f ca="1">IFERROR(__xludf.DUMMYFUNCTION("""COMPUTED_VALUE"""),46.71)</f>
        <v>46.71</v>
      </c>
    </row>
    <row r="902" spans="2:16" ht="12.75">
      <c r="B902" s="125">
        <f ca="1">IFERROR(__xludf.DUMMYFUNCTION("""COMPUTED_VALUE"""),44013.6666666666)</f>
        <v>44013.666666666599</v>
      </c>
      <c r="C902">
        <f ca="1">IFERROR(__xludf.DUMMYFUNCTION("""COMPUTED_VALUE"""),47.15)</f>
        <v>47.15</v>
      </c>
      <c r="M902" s="125">
        <f ca="1">IFERROR(__xludf.DUMMYFUNCTION("""COMPUTED_VALUE"""),44544.6666666666)</f>
        <v>44544.666666666599</v>
      </c>
      <c r="N902">
        <f ca="1">IFERROR(__xludf.DUMMYFUNCTION("""COMPUTED_VALUE"""),41.07)</f>
        <v>41.07</v>
      </c>
      <c r="O902" s="125">
        <f ca="1">IFERROR(__xludf.DUMMYFUNCTION("""COMPUTED_VALUE"""),44013.6666666666)</f>
        <v>44013.666666666599</v>
      </c>
      <c r="P902">
        <f ca="1">IFERROR(__xludf.DUMMYFUNCTION("""COMPUTED_VALUE"""),47.15)</f>
        <v>47.15</v>
      </c>
    </row>
    <row r="903" spans="2:16" ht="12.75">
      <c r="B903" s="125">
        <f ca="1">IFERROR(__xludf.DUMMYFUNCTION("""COMPUTED_VALUE"""),44014.6666666666)</f>
        <v>44014.666666666599</v>
      </c>
      <c r="C903">
        <f ca="1">IFERROR(__xludf.DUMMYFUNCTION("""COMPUTED_VALUE"""),48.46)</f>
        <v>48.46</v>
      </c>
      <c r="M903" s="125">
        <f ca="1">IFERROR(__xludf.DUMMYFUNCTION("""COMPUTED_VALUE"""),44545.6666666666)</f>
        <v>44545.666666666599</v>
      </c>
      <c r="N903">
        <f ca="1">IFERROR(__xludf.DUMMYFUNCTION("""COMPUTED_VALUE"""),41.33)</f>
        <v>41.33</v>
      </c>
      <c r="O903" s="125">
        <f ca="1">IFERROR(__xludf.DUMMYFUNCTION("""COMPUTED_VALUE"""),44014.6666666666)</f>
        <v>44014.666666666599</v>
      </c>
      <c r="P903">
        <f ca="1">IFERROR(__xludf.DUMMYFUNCTION("""COMPUTED_VALUE"""),48.46)</f>
        <v>48.46</v>
      </c>
    </row>
    <row r="904" spans="2:16" ht="12.75">
      <c r="B904" s="125">
        <f ca="1">IFERROR(__xludf.DUMMYFUNCTION("""COMPUTED_VALUE"""),44018.6666666666)</f>
        <v>44018.666666666599</v>
      </c>
      <c r="C904">
        <f ca="1">IFERROR(__xludf.DUMMYFUNCTION("""COMPUTED_VALUE"""),50.04)</f>
        <v>50.04</v>
      </c>
      <c r="M904" s="125">
        <f ca="1">IFERROR(__xludf.DUMMYFUNCTION("""COMPUTED_VALUE"""),44546.6666666666)</f>
        <v>44546.666666666599</v>
      </c>
      <c r="N904">
        <f ca="1">IFERROR(__xludf.DUMMYFUNCTION("""COMPUTED_VALUE"""),41.63)</f>
        <v>41.63</v>
      </c>
      <c r="O904" s="125">
        <f ca="1">IFERROR(__xludf.DUMMYFUNCTION("""COMPUTED_VALUE"""),44018.6666666666)</f>
        <v>44018.666666666599</v>
      </c>
      <c r="P904">
        <f ca="1">IFERROR(__xludf.DUMMYFUNCTION("""COMPUTED_VALUE"""),50.04)</f>
        <v>50.04</v>
      </c>
    </row>
    <row r="905" spans="2:16" ht="12.75">
      <c r="B905" s="125">
        <f ca="1">IFERROR(__xludf.DUMMYFUNCTION("""COMPUTED_VALUE"""),44019.6666666666)</f>
        <v>44019.666666666599</v>
      </c>
      <c r="C905">
        <f ca="1">IFERROR(__xludf.DUMMYFUNCTION("""COMPUTED_VALUE"""),49.47)</f>
        <v>49.47</v>
      </c>
      <c r="M905" s="125">
        <f ca="1">IFERROR(__xludf.DUMMYFUNCTION("""COMPUTED_VALUE"""),44547.6666666666)</f>
        <v>44547.666666666599</v>
      </c>
      <c r="N905">
        <f ca="1">IFERROR(__xludf.DUMMYFUNCTION("""COMPUTED_VALUE"""),41.72)</f>
        <v>41.72</v>
      </c>
      <c r="O905" s="125">
        <f ca="1">IFERROR(__xludf.DUMMYFUNCTION("""COMPUTED_VALUE"""),44019.6666666666)</f>
        <v>44019.666666666599</v>
      </c>
      <c r="P905">
        <f ca="1">IFERROR(__xludf.DUMMYFUNCTION("""COMPUTED_VALUE"""),49.47)</f>
        <v>49.47</v>
      </c>
    </row>
    <row r="906" spans="2:16" ht="12.75">
      <c r="B906" s="125">
        <f ca="1">IFERROR(__xludf.DUMMYFUNCTION("""COMPUTED_VALUE"""),44020.6666666666)</f>
        <v>44020.666666666599</v>
      </c>
      <c r="C906">
        <f ca="1">IFERROR(__xludf.DUMMYFUNCTION("""COMPUTED_VALUE"""),51.57)</f>
        <v>51.57</v>
      </c>
      <c r="M906" s="125">
        <f ca="1">IFERROR(__xludf.DUMMYFUNCTION("""COMPUTED_VALUE"""),44550.6666666666)</f>
        <v>44550.666666666599</v>
      </c>
      <c r="N906">
        <f ca="1">IFERROR(__xludf.DUMMYFUNCTION("""COMPUTED_VALUE"""),41.48)</f>
        <v>41.48</v>
      </c>
      <c r="O906" s="125">
        <f ca="1">IFERROR(__xludf.DUMMYFUNCTION("""COMPUTED_VALUE"""),44020.6666666666)</f>
        <v>44020.666666666599</v>
      </c>
      <c r="P906">
        <f ca="1">IFERROR(__xludf.DUMMYFUNCTION("""COMPUTED_VALUE"""),51.57)</f>
        <v>51.57</v>
      </c>
    </row>
    <row r="907" spans="2:16" ht="12.75">
      <c r="B907" s="125">
        <f ca="1">IFERROR(__xludf.DUMMYFUNCTION("""COMPUTED_VALUE"""),44021.6666666666)</f>
        <v>44021.666666666599</v>
      </c>
      <c r="C907">
        <f ca="1">IFERROR(__xludf.DUMMYFUNCTION("""COMPUTED_VALUE"""),52.41)</f>
        <v>52.41</v>
      </c>
      <c r="M907" s="125">
        <f ca="1">IFERROR(__xludf.DUMMYFUNCTION("""COMPUTED_VALUE"""),44551.6666666666)</f>
        <v>44551.666666666599</v>
      </c>
      <c r="N907">
        <f ca="1">IFERROR(__xludf.DUMMYFUNCTION("""COMPUTED_VALUE"""),41.71)</f>
        <v>41.71</v>
      </c>
      <c r="O907" s="125">
        <f ca="1">IFERROR(__xludf.DUMMYFUNCTION("""COMPUTED_VALUE"""),44021.6666666666)</f>
        <v>44021.666666666599</v>
      </c>
      <c r="P907">
        <f ca="1">IFERROR(__xludf.DUMMYFUNCTION("""COMPUTED_VALUE"""),52.41)</f>
        <v>52.41</v>
      </c>
    </row>
    <row r="908" spans="2:16" ht="12.75">
      <c r="B908" s="125">
        <f ca="1">IFERROR(__xludf.DUMMYFUNCTION("""COMPUTED_VALUE"""),44022.6666666666)</f>
        <v>44022.666666666599</v>
      </c>
      <c r="C908">
        <f ca="1">IFERROR(__xludf.DUMMYFUNCTION("""COMPUTED_VALUE"""),51.69)</f>
        <v>51.69</v>
      </c>
      <c r="M908" s="125">
        <f ca="1">IFERROR(__xludf.DUMMYFUNCTION("""COMPUTED_VALUE"""),44552.6666666666)</f>
        <v>44552.666666666599</v>
      </c>
      <c r="N908">
        <f ca="1">IFERROR(__xludf.DUMMYFUNCTION("""COMPUTED_VALUE"""),42.09)</f>
        <v>42.09</v>
      </c>
      <c r="O908" s="125">
        <f ca="1">IFERROR(__xludf.DUMMYFUNCTION("""COMPUTED_VALUE"""),44022.6666666666)</f>
        <v>44022.666666666599</v>
      </c>
      <c r="P908">
        <f ca="1">IFERROR(__xludf.DUMMYFUNCTION("""COMPUTED_VALUE"""),51.69)</f>
        <v>51.69</v>
      </c>
    </row>
    <row r="909" spans="2:16" ht="12.75">
      <c r="B909" s="125">
        <f ca="1">IFERROR(__xludf.DUMMYFUNCTION("""COMPUTED_VALUE"""),44025.6666666666)</f>
        <v>44025.666666666599</v>
      </c>
      <c r="C909">
        <f ca="1">IFERROR(__xludf.DUMMYFUNCTION("""COMPUTED_VALUE"""),50.57)</f>
        <v>50.57</v>
      </c>
      <c r="M909" s="125">
        <f ca="1">IFERROR(__xludf.DUMMYFUNCTION("""COMPUTED_VALUE"""),44553.6666666666)</f>
        <v>44553.666666666599</v>
      </c>
      <c r="N909">
        <f ca="1">IFERROR(__xludf.DUMMYFUNCTION("""COMPUTED_VALUE"""),41.9)</f>
        <v>41.9</v>
      </c>
      <c r="O909" s="125">
        <f ca="1">IFERROR(__xludf.DUMMYFUNCTION("""COMPUTED_VALUE"""),44025.6666666666)</f>
        <v>44025.666666666599</v>
      </c>
      <c r="P909">
        <f ca="1">IFERROR(__xludf.DUMMYFUNCTION("""COMPUTED_VALUE"""),50.57)</f>
        <v>50.57</v>
      </c>
    </row>
    <row r="910" spans="2:16" ht="12.75">
      <c r="B910" s="125">
        <f ca="1">IFERROR(__xludf.DUMMYFUNCTION("""COMPUTED_VALUE"""),44026.6666666666)</f>
        <v>44026.666666666599</v>
      </c>
      <c r="C910">
        <f ca="1">IFERROR(__xludf.DUMMYFUNCTION("""COMPUTED_VALUE"""),50.01)</f>
        <v>50.01</v>
      </c>
      <c r="M910" s="125">
        <f ca="1">IFERROR(__xludf.DUMMYFUNCTION("""COMPUTED_VALUE"""),44557.6666666666)</f>
        <v>44557.666666666599</v>
      </c>
      <c r="N910">
        <f ca="1">IFERROR(__xludf.DUMMYFUNCTION("""COMPUTED_VALUE"""),42.56)</f>
        <v>42.56</v>
      </c>
      <c r="O910" s="125">
        <f ca="1">IFERROR(__xludf.DUMMYFUNCTION("""COMPUTED_VALUE"""),44026.6666666666)</f>
        <v>44026.666666666599</v>
      </c>
      <c r="P910">
        <f ca="1">IFERROR(__xludf.DUMMYFUNCTION("""COMPUTED_VALUE"""),50.01)</f>
        <v>50.01</v>
      </c>
    </row>
    <row r="911" spans="2:16" ht="12.75">
      <c r="B911" s="125">
        <f ca="1">IFERROR(__xludf.DUMMYFUNCTION("""COMPUTED_VALUE"""),44027.6666666666)</f>
        <v>44027.666666666599</v>
      </c>
      <c r="C911">
        <f ca="1">IFERROR(__xludf.DUMMYFUNCTION("""COMPUTED_VALUE"""),50.16)</f>
        <v>50.16</v>
      </c>
      <c r="M911" s="125">
        <f ca="1">IFERROR(__xludf.DUMMYFUNCTION("""COMPUTED_VALUE"""),44558.6666666666)</f>
        <v>44558.666666666599</v>
      </c>
      <c r="N911">
        <f ca="1">IFERROR(__xludf.DUMMYFUNCTION("""COMPUTED_VALUE"""),42.76)</f>
        <v>42.76</v>
      </c>
      <c r="O911" s="125">
        <f ca="1">IFERROR(__xludf.DUMMYFUNCTION("""COMPUTED_VALUE"""),44027.6666666666)</f>
        <v>44027.666666666599</v>
      </c>
      <c r="P911">
        <f ca="1">IFERROR(__xludf.DUMMYFUNCTION("""COMPUTED_VALUE"""),50.16)</f>
        <v>50.16</v>
      </c>
    </row>
    <row r="912" spans="2:16" ht="12.75">
      <c r="B912" s="125">
        <f ca="1">IFERROR(__xludf.DUMMYFUNCTION("""COMPUTED_VALUE"""),44028.6666666666)</f>
        <v>44028.666666666599</v>
      </c>
      <c r="C912">
        <f ca="1">IFERROR(__xludf.DUMMYFUNCTION("""COMPUTED_VALUE"""),48.63)</f>
        <v>48.63</v>
      </c>
      <c r="M912" s="125">
        <f ca="1">IFERROR(__xludf.DUMMYFUNCTION("""COMPUTED_VALUE"""),44559.6666666666)</f>
        <v>44559.666666666599</v>
      </c>
      <c r="N912">
        <f ca="1">IFERROR(__xludf.DUMMYFUNCTION("""COMPUTED_VALUE"""),42.81)</f>
        <v>42.81</v>
      </c>
      <c r="O912" s="125">
        <f ca="1">IFERROR(__xludf.DUMMYFUNCTION("""COMPUTED_VALUE"""),44028.6666666666)</f>
        <v>44028.666666666599</v>
      </c>
      <c r="P912">
        <f ca="1">IFERROR(__xludf.DUMMYFUNCTION("""COMPUTED_VALUE"""),48.63)</f>
        <v>48.63</v>
      </c>
    </row>
    <row r="913" spans="2:16" ht="12.75">
      <c r="B913" s="125">
        <f ca="1">IFERROR(__xludf.DUMMYFUNCTION("""COMPUTED_VALUE"""),44029.6666666666)</f>
        <v>44029.666666666599</v>
      </c>
      <c r="C913">
        <f ca="1">IFERROR(__xludf.DUMMYFUNCTION("""COMPUTED_VALUE"""),49.14)</f>
        <v>49.14</v>
      </c>
      <c r="M913" s="125">
        <f ca="1">IFERROR(__xludf.DUMMYFUNCTION("""COMPUTED_VALUE"""),44560.6666666666)</f>
        <v>44560.666666666599</v>
      </c>
      <c r="N913">
        <f ca="1">IFERROR(__xludf.DUMMYFUNCTION("""COMPUTED_VALUE"""),43.2)</f>
        <v>43.2</v>
      </c>
      <c r="O913" s="125">
        <f ca="1">IFERROR(__xludf.DUMMYFUNCTION("""COMPUTED_VALUE"""),44029.6666666666)</f>
        <v>44029.666666666599</v>
      </c>
      <c r="P913">
        <f ca="1">IFERROR(__xludf.DUMMYFUNCTION("""COMPUTED_VALUE"""),49.14)</f>
        <v>49.14</v>
      </c>
    </row>
    <row r="914" spans="2:16" ht="12.75">
      <c r="B914" s="125">
        <f ca="1">IFERROR(__xludf.DUMMYFUNCTION("""COMPUTED_VALUE"""),44032.6666666666)</f>
        <v>44032.666666666599</v>
      </c>
      <c r="C914">
        <f ca="1">IFERROR(__xludf.DUMMYFUNCTION("""COMPUTED_VALUE"""),49.97)</f>
        <v>49.97</v>
      </c>
      <c r="M914" s="125">
        <f ca="1">IFERROR(__xludf.DUMMYFUNCTION("""COMPUTED_VALUE"""),44561.6666666666)</f>
        <v>44561.666666666599</v>
      </c>
      <c r="N914">
        <f ca="1">IFERROR(__xludf.DUMMYFUNCTION("""COMPUTED_VALUE"""),43.28)</f>
        <v>43.28</v>
      </c>
      <c r="O914" s="125">
        <f ca="1">IFERROR(__xludf.DUMMYFUNCTION("""COMPUTED_VALUE"""),44032.6666666666)</f>
        <v>44032.666666666599</v>
      </c>
      <c r="P914">
        <f ca="1">IFERROR(__xludf.DUMMYFUNCTION("""COMPUTED_VALUE"""),49.97)</f>
        <v>49.97</v>
      </c>
    </row>
    <row r="915" spans="2:16" ht="12.75">
      <c r="B915" s="125">
        <f ca="1">IFERROR(__xludf.DUMMYFUNCTION("""COMPUTED_VALUE"""),44033.6666666666)</f>
        <v>44033.666666666599</v>
      </c>
      <c r="C915">
        <f ca="1">IFERROR(__xludf.DUMMYFUNCTION("""COMPUTED_VALUE"""),50.84)</f>
        <v>50.84</v>
      </c>
      <c r="M915" s="125">
        <f ca="1">IFERROR(__xludf.DUMMYFUNCTION("""COMPUTED_VALUE"""),44564.6666666666)</f>
        <v>44564.666666666599</v>
      </c>
      <c r="N915">
        <f ca="1">IFERROR(__xludf.DUMMYFUNCTION("""COMPUTED_VALUE"""),42.85)</f>
        <v>42.85</v>
      </c>
      <c r="O915" s="125">
        <f ca="1">IFERROR(__xludf.DUMMYFUNCTION("""COMPUTED_VALUE"""),44033.6666666666)</f>
        <v>44033.666666666599</v>
      </c>
      <c r="P915">
        <f ca="1">IFERROR(__xludf.DUMMYFUNCTION("""COMPUTED_VALUE"""),50.84)</f>
        <v>50.84</v>
      </c>
    </row>
    <row r="916" spans="2:16" ht="12.75">
      <c r="B916" s="125">
        <f ca="1">IFERROR(__xludf.DUMMYFUNCTION("""COMPUTED_VALUE"""),44034.6666666666)</f>
        <v>44034.666666666599</v>
      </c>
      <c r="C916">
        <f ca="1">IFERROR(__xludf.DUMMYFUNCTION("""COMPUTED_VALUE"""),49.99)</f>
        <v>49.99</v>
      </c>
      <c r="M916" s="125">
        <f ca="1">IFERROR(__xludf.DUMMYFUNCTION("""COMPUTED_VALUE"""),44565.6666666666)</f>
        <v>44565.666666666599</v>
      </c>
      <c r="N916">
        <f ca="1">IFERROR(__xludf.DUMMYFUNCTION("""COMPUTED_VALUE"""),41.9)</f>
        <v>41.9</v>
      </c>
      <c r="O916" s="125">
        <f ca="1">IFERROR(__xludf.DUMMYFUNCTION("""COMPUTED_VALUE"""),44034.6666666666)</f>
        <v>44034.666666666599</v>
      </c>
      <c r="P916">
        <f ca="1">IFERROR(__xludf.DUMMYFUNCTION("""COMPUTED_VALUE"""),49.99)</f>
        <v>49.99</v>
      </c>
    </row>
    <row r="917" spans="2:16" ht="12.75">
      <c r="B917" s="125">
        <f ca="1">IFERROR(__xludf.DUMMYFUNCTION("""COMPUTED_VALUE"""),44035.6666666666)</f>
        <v>44035.666666666599</v>
      </c>
      <c r="C917">
        <f ca="1">IFERROR(__xludf.DUMMYFUNCTION("""COMPUTED_VALUE"""),49.47)</f>
        <v>49.47</v>
      </c>
      <c r="M917" s="125">
        <f ca="1">IFERROR(__xludf.DUMMYFUNCTION("""COMPUTED_VALUE"""),44566.6666666666)</f>
        <v>44566.666666666599</v>
      </c>
      <c r="N917">
        <f ca="1">IFERROR(__xludf.DUMMYFUNCTION("""COMPUTED_VALUE"""),40.03)</f>
        <v>40.03</v>
      </c>
      <c r="O917" s="125">
        <f ca="1">IFERROR(__xludf.DUMMYFUNCTION("""COMPUTED_VALUE"""),44035.6666666666)</f>
        <v>44035.666666666599</v>
      </c>
      <c r="P917">
        <f ca="1">IFERROR(__xludf.DUMMYFUNCTION("""COMPUTED_VALUE"""),49.47)</f>
        <v>49.47</v>
      </c>
    </row>
    <row r="918" spans="2:16" ht="12.75">
      <c r="B918" s="125">
        <f ca="1">IFERROR(__xludf.DUMMYFUNCTION("""COMPUTED_VALUE"""),44036.6666666666)</f>
        <v>44036.666666666599</v>
      </c>
      <c r="C918">
        <f ca="1">IFERROR(__xludf.DUMMYFUNCTION("""COMPUTED_VALUE"""),48.75)</f>
        <v>48.75</v>
      </c>
      <c r="M918" s="125">
        <f ca="1">IFERROR(__xludf.DUMMYFUNCTION("""COMPUTED_VALUE"""),44567.6666666666)</f>
        <v>44567.666666666599</v>
      </c>
      <c r="N918">
        <f ca="1">IFERROR(__xludf.DUMMYFUNCTION("""COMPUTED_VALUE"""),39.81)</f>
        <v>39.81</v>
      </c>
      <c r="O918" s="125">
        <f ca="1">IFERROR(__xludf.DUMMYFUNCTION("""COMPUTED_VALUE"""),44036.6666666666)</f>
        <v>44036.666666666599</v>
      </c>
      <c r="P918">
        <f ca="1">IFERROR(__xludf.DUMMYFUNCTION("""COMPUTED_VALUE"""),48.75)</f>
        <v>48.75</v>
      </c>
    </row>
    <row r="919" spans="2:16" ht="12.75">
      <c r="B919" s="125">
        <f ca="1">IFERROR(__xludf.DUMMYFUNCTION("""COMPUTED_VALUE"""),44039.6666666666)</f>
        <v>44039.666666666599</v>
      </c>
      <c r="C919">
        <f ca="1">IFERROR(__xludf.DUMMYFUNCTION("""COMPUTED_VALUE"""),49.57)</f>
        <v>49.57</v>
      </c>
      <c r="M919" s="125">
        <f ca="1">IFERROR(__xludf.DUMMYFUNCTION("""COMPUTED_VALUE"""),44568.6666666666)</f>
        <v>44568.666666666599</v>
      </c>
      <c r="N919">
        <f ca="1">IFERROR(__xludf.DUMMYFUNCTION("""COMPUTED_VALUE"""),39.95)</f>
        <v>39.950000000000003</v>
      </c>
      <c r="O919" s="125">
        <f ca="1">IFERROR(__xludf.DUMMYFUNCTION("""COMPUTED_VALUE"""),44039.6666666666)</f>
        <v>44039.666666666599</v>
      </c>
      <c r="P919">
        <f ca="1">IFERROR(__xludf.DUMMYFUNCTION("""COMPUTED_VALUE"""),49.57)</f>
        <v>49.57</v>
      </c>
    </row>
    <row r="920" spans="2:16" ht="12.75">
      <c r="B920" s="125">
        <f ca="1">IFERROR(__xludf.DUMMYFUNCTION("""COMPUTED_VALUE"""),44040.6666666666)</f>
        <v>44040.666666666599</v>
      </c>
      <c r="C920">
        <f ca="1">IFERROR(__xludf.DUMMYFUNCTION("""COMPUTED_VALUE"""),49.5)</f>
        <v>49.5</v>
      </c>
      <c r="M920" s="125">
        <f ca="1">IFERROR(__xludf.DUMMYFUNCTION("""COMPUTED_VALUE"""),44571.6666666666)</f>
        <v>44571.666666666599</v>
      </c>
      <c r="N920">
        <f ca="1">IFERROR(__xludf.DUMMYFUNCTION("""COMPUTED_VALUE"""),39.44)</f>
        <v>39.44</v>
      </c>
      <c r="O920" s="125">
        <f ca="1">IFERROR(__xludf.DUMMYFUNCTION("""COMPUTED_VALUE"""),44040.6666666666)</f>
        <v>44040.666666666599</v>
      </c>
      <c r="P920">
        <f ca="1">IFERROR(__xludf.DUMMYFUNCTION("""COMPUTED_VALUE"""),49.5)</f>
        <v>49.5</v>
      </c>
    </row>
    <row r="921" spans="2:16" ht="12.75">
      <c r="B921" s="125">
        <f ca="1">IFERROR(__xludf.DUMMYFUNCTION("""COMPUTED_VALUE"""),44041.6666666666)</f>
        <v>44041.666666666599</v>
      </c>
      <c r="C921">
        <f ca="1">IFERROR(__xludf.DUMMYFUNCTION("""COMPUTED_VALUE"""),50.58)</f>
        <v>50.58</v>
      </c>
      <c r="O921" s="125">
        <f ca="1">IFERROR(__xludf.DUMMYFUNCTION("""COMPUTED_VALUE"""),44041.6666666666)</f>
        <v>44041.666666666599</v>
      </c>
      <c r="P921">
        <f ca="1">IFERROR(__xludf.DUMMYFUNCTION("""COMPUTED_VALUE"""),50.58)</f>
        <v>50.58</v>
      </c>
    </row>
    <row r="922" spans="2:16" ht="12.75">
      <c r="B922" s="125">
        <f ca="1">IFERROR(__xludf.DUMMYFUNCTION("""COMPUTED_VALUE"""),44042.6666666666)</f>
        <v>44042.666666666599</v>
      </c>
      <c r="C922">
        <f ca="1">IFERROR(__xludf.DUMMYFUNCTION("""COMPUTED_VALUE"""),50.53)</f>
        <v>50.53</v>
      </c>
      <c r="O922" s="125">
        <f ca="1">IFERROR(__xludf.DUMMYFUNCTION("""COMPUTED_VALUE"""),44042.6666666666)</f>
        <v>44042.666666666599</v>
      </c>
      <c r="P922">
        <f ca="1">IFERROR(__xludf.DUMMYFUNCTION("""COMPUTED_VALUE"""),50.53)</f>
        <v>50.53</v>
      </c>
    </row>
    <row r="923" spans="2:16" ht="12.75">
      <c r="B923" s="125">
        <f ca="1">IFERROR(__xludf.DUMMYFUNCTION("""COMPUTED_VALUE"""),44043.6666666666)</f>
        <v>44043.666666666599</v>
      </c>
      <c r="C923">
        <f ca="1">IFERROR(__xludf.DUMMYFUNCTION("""COMPUTED_VALUE"""),50.9)</f>
        <v>50.9</v>
      </c>
      <c r="O923" s="125">
        <f ca="1">IFERROR(__xludf.DUMMYFUNCTION("""COMPUTED_VALUE"""),44043.6666666666)</f>
        <v>44043.666666666599</v>
      </c>
      <c r="P923">
        <f ca="1">IFERROR(__xludf.DUMMYFUNCTION("""COMPUTED_VALUE"""),50.9)</f>
        <v>50.9</v>
      </c>
    </row>
    <row r="924" spans="2:16" ht="12.75">
      <c r="B924" s="125">
        <f ca="1">IFERROR(__xludf.DUMMYFUNCTION("""COMPUTED_VALUE"""),44046.6666666666)</f>
        <v>44046.666666666599</v>
      </c>
      <c r="C924">
        <f ca="1">IFERROR(__xludf.DUMMYFUNCTION("""COMPUTED_VALUE"""),52.5)</f>
        <v>52.5</v>
      </c>
      <c r="O924" s="125">
        <f ca="1">IFERROR(__xludf.DUMMYFUNCTION("""COMPUTED_VALUE"""),44046.6666666666)</f>
        <v>44046.666666666599</v>
      </c>
      <c r="P924">
        <f ca="1">IFERROR(__xludf.DUMMYFUNCTION("""COMPUTED_VALUE"""),52.5)</f>
        <v>52.5</v>
      </c>
    </row>
    <row r="925" spans="2:16" ht="12.75">
      <c r="B925" s="125">
        <f ca="1">IFERROR(__xludf.DUMMYFUNCTION("""COMPUTED_VALUE"""),44047.6666666666)</f>
        <v>44047.666666666599</v>
      </c>
      <c r="C925">
        <f ca="1">IFERROR(__xludf.DUMMYFUNCTION("""COMPUTED_VALUE"""),53.08)</f>
        <v>53.08</v>
      </c>
      <c r="O925" s="125">
        <f ca="1">IFERROR(__xludf.DUMMYFUNCTION("""COMPUTED_VALUE"""),44047.6666666666)</f>
        <v>44047.666666666599</v>
      </c>
      <c r="P925">
        <f ca="1">IFERROR(__xludf.DUMMYFUNCTION("""COMPUTED_VALUE"""),53.08)</f>
        <v>53.08</v>
      </c>
    </row>
    <row r="926" spans="2:16" ht="12.75">
      <c r="B926" s="125">
        <f ca="1">IFERROR(__xludf.DUMMYFUNCTION("""COMPUTED_VALUE"""),44048.6666666666)</f>
        <v>44048.666666666599</v>
      </c>
      <c r="C926">
        <f ca="1">IFERROR(__xludf.DUMMYFUNCTION("""COMPUTED_VALUE"""),54.06)</f>
        <v>54.06</v>
      </c>
      <c r="O926" s="125">
        <f ca="1">IFERROR(__xludf.DUMMYFUNCTION("""COMPUTED_VALUE"""),44048.6666666666)</f>
        <v>44048.666666666599</v>
      </c>
      <c r="P926">
        <f ca="1">IFERROR(__xludf.DUMMYFUNCTION("""COMPUTED_VALUE"""),54.06)</f>
        <v>54.06</v>
      </c>
    </row>
    <row r="927" spans="2:16" ht="12.75">
      <c r="B927" s="125">
        <f ca="1">IFERROR(__xludf.DUMMYFUNCTION("""COMPUTED_VALUE"""),44049.6666666666)</f>
        <v>44049.666666666599</v>
      </c>
      <c r="C927">
        <f ca="1">IFERROR(__xludf.DUMMYFUNCTION("""COMPUTED_VALUE"""),53.93)</f>
        <v>53.93</v>
      </c>
      <c r="O927" s="125">
        <f ca="1">IFERROR(__xludf.DUMMYFUNCTION("""COMPUTED_VALUE"""),44049.6666666666)</f>
        <v>44049.666666666599</v>
      </c>
      <c r="P927">
        <f ca="1">IFERROR(__xludf.DUMMYFUNCTION("""COMPUTED_VALUE"""),53.93)</f>
        <v>53.93</v>
      </c>
    </row>
    <row r="928" spans="2:16" ht="12.75">
      <c r="B928" s="125">
        <f ca="1">IFERROR(__xludf.DUMMYFUNCTION("""COMPUTED_VALUE"""),44050.6666666666)</f>
        <v>44050.666666666599</v>
      </c>
      <c r="C928">
        <f ca="1">IFERROR(__xludf.DUMMYFUNCTION("""COMPUTED_VALUE"""),51.87)</f>
        <v>51.87</v>
      </c>
      <c r="O928" s="125">
        <f ca="1">IFERROR(__xludf.DUMMYFUNCTION("""COMPUTED_VALUE"""),44050.6666666666)</f>
        <v>44050.666666666599</v>
      </c>
      <c r="P928">
        <f ca="1">IFERROR(__xludf.DUMMYFUNCTION("""COMPUTED_VALUE"""),51.87)</f>
        <v>51.87</v>
      </c>
    </row>
    <row r="929" spans="2:16" ht="12.75">
      <c r="B929" s="125">
        <f ca="1">IFERROR(__xludf.DUMMYFUNCTION("""COMPUTED_VALUE"""),44053.6666666666)</f>
        <v>44053.666666666599</v>
      </c>
      <c r="C929">
        <f ca="1">IFERROR(__xludf.DUMMYFUNCTION("""COMPUTED_VALUE"""),50.96)</f>
        <v>50.96</v>
      </c>
      <c r="O929" s="125">
        <f ca="1">IFERROR(__xludf.DUMMYFUNCTION("""COMPUTED_VALUE"""),44053.6666666666)</f>
        <v>44053.666666666599</v>
      </c>
      <c r="P929">
        <f ca="1">IFERROR(__xludf.DUMMYFUNCTION("""COMPUTED_VALUE"""),50.96)</f>
        <v>50.96</v>
      </c>
    </row>
    <row r="930" spans="2:16" ht="12.75">
      <c r="B930" s="125">
        <f ca="1">IFERROR(__xludf.DUMMYFUNCTION("""COMPUTED_VALUE"""),44054.6666666666)</f>
        <v>44054.666666666599</v>
      </c>
      <c r="C930">
        <f ca="1">IFERROR(__xludf.DUMMYFUNCTION("""COMPUTED_VALUE"""),50.71)</f>
        <v>50.71</v>
      </c>
      <c r="O930" s="125">
        <f ca="1">IFERROR(__xludf.DUMMYFUNCTION("""COMPUTED_VALUE"""),44054.6666666666)</f>
        <v>44054.666666666599</v>
      </c>
      <c r="P930">
        <f ca="1">IFERROR(__xludf.DUMMYFUNCTION("""COMPUTED_VALUE"""),50.71)</f>
        <v>50.71</v>
      </c>
    </row>
    <row r="931" spans="2:16" ht="12.75">
      <c r="B931" s="125">
        <f ca="1">IFERROR(__xludf.DUMMYFUNCTION("""COMPUTED_VALUE"""),44055.6666666666)</f>
        <v>44055.666666666599</v>
      </c>
      <c r="C931">
        <f ca="1">IFERROR(__xludf.DUMMYFUNCTION("""COMPUTED_VALUE"""),51.53)</f>
        <v>51.53</v>
      </c>
      <c r="O931" s="125">
        <f ca="1">IFERROR(__xludf.DUMMYFUNCTION("""COMPUTED_VALUE"""),44055.6666666666)</f>
        <v>44055.666666666599</v>
      </c>
      <c r="P931">
        <f ca="1">IFERROR(__xludf.DUMMYFUNCTION("""COMPUTED_VALUE"""),51.53)</f>
        <v>51.53</v>
      </c>
    </row>
    <row r="932" spans="2:16" ht="12.75">
      <c r="B932" s="125">
        <f ca="1">IFERROR(__xludf.DUMMYFUNCTION("""COMPUTED_VALUE"""),44056.6666666666)</f>
        <v>44056.666666666599</v>
      </c>
      <c r="C932">
        <f ca="1">IFERROR(__xludf.DUMMYFUNCTION("""COMPUTED_VALUE"""),51.33)</f>
        <v>51.33</v>
      </c>
      <c r="O932" s="125">
        <f ca="1">IFERROR(__xludf.DUMMYFUNCTION("""COMPUTED_VALUE"""),44056.6666666666)</f>
        <v>44056.666666666599</v>
      </c>
      <c r="P932">
        <f ca="1">IFERROR(__xludf.DUMMYFUNCTION("""COMPUTED_VALUE"""),51.33)</f>
        <v>51.33</v>
      </c>
    </row>
    <row r="933" spans="2:16" ht="12.75">
      <c r="B933" s="125">
        <f ca="1">IFERROR(__xludf.DUMMYFUNCTION("""COMPUTED_VALUE"""),44057.6666666666)</f>
        <v>44057.666666666599</v>
      </c>
      <c r="C933">
        <f ca="1">IFERROR(__xludf.DUMMYFUNCTION("""COMPUTED_VALUE"""),50.65)</f>
        <v>50.65</v>
      </c>
      <c r="O933" s="125">
        <f ca="1">IFERROR(__xludf.DUMMYFUNCTION("""COMPUTED_VALUE"""),44057.6666666666)</f>
        <v>44057.666666666599</v>
      </c>
      <c r="P933">
        <f ca="1">IFERROR(__xludf.DUMMYFUNCTION("""COMPUTED_VALUE"""),50.65)</f>
        <v>50.65</v>
      </c>
    </row>
    <row r="934" spans="2:16" ht="12.75">
      <c r="B934" s="125">
        <f ca="1">IFERROR(__xludf.DUMMYFUNCTION("""COMPUTED_VALUE"""),44060.6666666666)</f>
        <v>44060.666666666599</v>
      </c>
      <c r="C934">
        <f ca="1">IFERROR(__xludf.DUMMYFUNCTION("""COMPUTED_VALUE"""),51.8)</f>
        <v>51.8</v>
      </c>
      <c r="O934" s="125">
        <f ca="1">IFERROR(__xludf.DUMMYFUNCTION("""COMPUTED_VALUE"""),44060.6666666666)</f>
        <v>44060.666666666599</v>
      </c>
      <c r="P934">
        <f ca="1">IFERROR(__xludf.DUMMYFUNCTION("""COMPUTED_VALUE"""),51.8)</f>
        <v>51.8</v>
      </c>
    </row>
    <row r="935" spans="2:16" ht="12.75">
      <c r="B935" s="125">
        <f ca="1">IFERROR(__xludf.DUMMYFUNCTION("""COMPUTED_VALUE"""),44061.6666666666)</f>
        <v>44061.666666666599</v>
      </c>
      <c r="C935">
        <f ca="1">IFERROR(__xludf.DUMMYFUNCTION("""COMPUTED_VALUE"""),52.6)</f>
        <v>52.6</v>
      </c>
      <c r="O935" s="125">
        <f ca="1">IFERROR(__xludf.DUMMYFUNCTION("""COMPUTED_VALUE"""),44061.6666666666)</f>
        <v>44061.666666666599</v>
      </c>
      <c r="P935">
        <f ca="1">IFERROR(__xludf.DUMMYFUNCTION("""COMPUTED_VALUE"""),52.6)</f>
        <v>52.6</v>
      </c>
    </row>
    <row r="936" spans="2:16" ht="12.75">
      <c r="B936" s="125">
        <f ca="1">IFERROR(__xludf.DUMMYFUNCTION("""COMPUTED_VALUE"""),44062.6666666666)</f>
        <v>44062.666666666599</v>
      </c>
      <c r="C936">
        <f ca="1">IFERROR(__xludf.DUMMYFUNCTION("""COMPUTED_VALUE"""),52.33)</f>
        <v>52.33</v>
      </c>
      <c r="O936" s="125">
        <f ca="1">IFERROR(__xludf.DUMMYFUNCTION("""COMPUTED_VALUE"""),44062.6666666666)</f>
        <v>44062.666666666599</v>
      </c>
      <c r="P936">
        <f ca="1">IFERROR(__xludf.DUMMYFUNCTION("""COMPUTED_VALUE"""),52.33)</f>
        <v>52.33</v>
      </c>
    </row>
    <row r="937" spans="2:16" ht="12.75">
      <c r="B937" s="125">
        <f ca="1">IFERROR(__xludf.DUMMYFUNCTION("""COMPUTED_VALUE"""),44063.6666666666)</f>
        <v>44063.666666666599</v>
      </c>
      <c r="C937">
        <f ca="1">IFERROR(__xludf.DUMMYFUNCTION("""COMPUTED_VALUE"""),52.62)</f>
        <v>52.62</v>
      </c>
      <c r="O937" s="125">
        <f ca="1">IFERROR(__xludf.DUMMYFUNCTION("""COMPUTED_VALUE"""),44063.6666666666)</f>
        <v>44063.666666666599</v>
      </c>
      <c r="P937">
        <f ca="1">IFERROR(__xludf.DUMMYFUNCTION("""COMPUTED_VALUE"""),52.62)</f>
        <v>52.62</v>
      </c>
    </row>
    <row r="938" spans="2:16" ht="12.75">
      <c r="B938" s="125">
        <f ca="1">IFERROR(__xludf.DUMMYFUNCTION("""COMPUTED_VALUE"""),44064.6666666666)</f>
        <v>44064.666666666599</v>
      </c>
      <c r="C938">
        <f ca="1">IFERROR(__xludf.DUMMYFUNCTION("""COMPUTED_VALUE"""),53.01)</f>
        <v>53.01</v>
      </c>
      <c r="O938" s="125">
        <f ca="1">IFERROR(__xludf.DUMMYFUNCTION("""COMPUTED_VALUE"""),44064.6666666666)</f>
        <v>44064.666666666599</v>
      </c>
      <c r="P938">
        <f ca="1">IFERROR(__xludf.DUMMYFUNCTION("""COMPUTED_VALUE"""),53.01)</f>
        <v>53.01</v>
      </c>
    </row>
    <row r="939" spans="2:16" ht="12.75">
      <c r="B939" s="125">
        <f ca="1">IFERROR(__xludf.DUMMYFUNCTION("""COMPUTED_VALUE"""),44067.6666666666)</f>
        <v>44067.666666666599</v>
      </c>
      <c r="C939">
        <f ca="1">IFERROR(__xludf.DUMMYFUNCTION("""COMPUTED_VALUE"""),53.77)</f>
        <v>53.77</v>
      </c>
      <c r="O939" s="125">
        <f ca="1">IFERROR(__xludf.DUMMYFUNCTION("""COMPUTED_VALUE"""),44067.6666666666)</f>
        <v>44067.666666666599</v>
      </c>
      <c r="P939">
        <f ca="1">IFERROR(__xludf.DUMMYFUNCTION("""COMPUTED_VALUE"""),53.77)</f>
        <v>53.77</v>
      </c>
    </row>
    <row r="940" spans="2:16" ht="12.75">
      <c r="B940" s="125">
        <f ca="1">IFERROR(__xludf.DUMMYFUNCTION("""COMPUTED_VALUE"""),44068.6666666666)</f>
        <v>44068.666666666599</v>
      </c>
      <c r="C940">
        <f ca="1">IFERROR(__xludf.DUMMYFUNCTION("""COMPUTED_VALUE"""),54.71)</f>
        <v>54.71</v>
      </c>
      <c r="O940" s="125">
        <f ca="1">IFERROR(__xludf.DUMMYFUNCTION("""COMPUTED_VALUE"""),44068.6666666666)</f>
        <v>44068.666666666599</v>
      </c>
      <c r="P940">
        <f ca="1">IFERROR(__xludf.DUMMYFUNCTION("""COMPUTED_VALUE"""),54.71)</f>
        <v>54.71</v>
      </c>
    </row>
    <row r="941" spans="2:16" ht="12.75">
      <c r="B941" s="125">
        <f ca="1">IFERROR(__xludf.DUMMYFUNCTION("""COMPUTED_VALUE"""),44069.6666666666)</f>
        <v>44069.666666666599</v>
      </c>
      <c r="C941">
        <f ca="1">IFERROR(__xludf.DUMMYFUNCTION("""COMPUTED_VALUE"""),55.14)</f>
        <v>55.14</v>
      </c>
      <c r="O941" s="125">
        <f ca="1">IFERROR(__xludf.DUMMYFUNCTION("""COMPUTED_VALUE"""),44069.6666666666)</f>
        <v>44069.666666666599</v>
      </c>
      <c r="P941">
        <f ca="1">IFERROR(__xludf.DUMMYFUNCTION("""COMPUTED_VALUE"""),55.14)</f>
        <v>55.14</v>
      </c>
    </row>
    <row r="942" spans="2:16" ht="12.75">
      <c r="B942" s="125">
        <f ca="1">IFERROR(__xludf.DUMMYFUNCTION("""COMPUTED_VALUE"""),44070.6666666666)</f>
        <v>44070.666666666599</v>
      </c>
      <c r="C942">
        <f ca="1">IFERROR(__xludf.DUMMYFUNCTION("""COMPUTED_VALUE"""),55.09)</f>
        <v>55.09</v>
      </c>
      <c r="O942" s="125">
        <f ca="1">IFERROR(__xludf.DUMMYFUNCTION("""COMPUTED_VALUE"""),44070.6666666666)</f>
        <v>44070.666666666599</v>
      </c>
      <c r="P942">
        <f ca="1">IFERROR(__xludf.DUMMYFUNCTION("""COMPUTED_VALUE"""),55.09)</f>
        <v>55.09</v>
      </c>
    </row>
    <row r="943" spans="2:16" ht="12.75">
      <c r="B943" s="125">
        <f ca="1">IFERROR(__xludf.DUMMYFUNCTION("""COMPUTED_VALUE"""),44071.6666666666)</f>
        <v>44071.666666666599</v>
      </c>
      <c r="C943">
        <f ca="1">IFERROR(__xludf.DUMMYFUNCTION("""COMPUTED_VALUE"""),55.33)</f>
        <v>55.33</v>
      </c>
      <c r="O943" s="125">
        <f ca="1">IFERROR(__xludf.DUMMYFUNCTION("""COMPUTED_VALUE"""),44071.6666666666)</f>
        <v>44071.666666666599</v>
      </c>
      <c r="P943">
        <f ca="1">IFERROR(__xludf.DUMMYFUNCTION("""COMPUTED_VALUE"""),55.33)</f>
        <v>55.33</v>
      </c>
    </row>
    <row r="944" spans="2:16" ht="12.75">
      <c r="B944" s="125">
        <f ca="1">IFERROR(__xludf.DUMMYFUNCTION("""COMPUTED_VALUE"""),44074.6666666666)</f>
        <v>44074.666666666599</v>
      </c>
      <c r="C944">
        <f ca="1">IFERROR(__xludf.DUMMYFUNCTION("""COMPUTED_VALUE"""),54.2)</f>
        <v>54.2</v>
      </c>
      <c r="O944" s="125">
        <f ca="1">IFERROR(__xludf.DUMMYFUNCTION("""COMPUTED_VALUE"""),44074.6666666666)</f>
        <v>44074.666666666599</v>
      </c>
      <c r="P944">
        <f ca="1">IFERROR(__xludf.DUMMYFUNCTION("""COMPUTED_VALUE"""),54.2)</f>
        <v>54.2</v>
      </c>
    </row>
    <row r="945" spans="2:16" ht="12.75">
      <c r="B945" s="125">
        <f ca="1">IFERROR(__xludf.DUMMYFUNCTION("""COMPUTED_VALUE"""),44075.6666666666)</f>
        <v>44075.666666666599</v>
      </c>
      <c r="C945">
        <f ca="1">IFERROR(__xludf.DUMMYFUNCTION("""COMPUTED_VALUE"""),55.85)</f>
        <v>55.85</v>
      </c>
      <c r="O945" s="125">
        <f ca="1">IFERROR(__xludf.DUMMYFUNCTION("""COMPUTED_VALUE"""),44075.6666666666)</f>
        <v>44075.666666666599</v>
      </c>
      <c r="P945">
        <f ca="1">IFERROR(__xludf.DUMMYFUNCTION("""COMPUTED_VALUE"""),55.85)</f>
        <v>55.85</v>
      </c>
    </row>
    <row r="946" spans="2:16" ht="12.75">
      <c r="B946" s="125">
        <f ca="1">IFERROR(__xludf.DUMMYFUNCTION("""COMPUTED_VALUE"""),44076.6666666666)</f>
        <v>44076.666666666599</v>
      </c>
      <c r="C946">
        <f ca="1">IFERROR(__xludf.DUMMYFUNCTION("""COMPUTED_VALUE"""),55.65)</f>
        <v>55.65</v>
      </c>
      <c r="O946" s="125">
        <f ca="1">IFERROR(__xludf.DUMMYFUNCTION("""COMPUTED_VALUE"""),44076.6666666666)</f>
        <v>44076.666666666599</v>
      </c>
      <c r="P946">
        <f ca="1">IFERROR(__xludf.DUMMYFUNCTION("""COMPUTED_VALUE"""),55.65)</f>
        <v>55.65</v>
      </c>
    </row>
    <row r="947" spans="2:16" ht="12.75">
      <c r="B947" s="125">
        <f ca="1">IFERROR(__xludf.DUMMYFUNCTION("""COMPUTED_VALUE"""),44077.6666666666)</f>
        <v>44077.666666666599</v>
      </c>
      <c r="C947">
        <f ca="1">IFERROR(__xludf.DUMMYFUNCTION("""COMPUTED_VALUE"""),53.34)</f>
        <v>53.34</v>
      </c>
      <c r="O947" s="125">
        <f ca="1">IFERROR(__xludf.DUMMYFUNCTION("""COMPUTED_VALUE"""),44077.6666666666)</f>
        <v>44077.666666666599</v>
      </c>
      <c r="P947">
        <f ca="1">IFERROR(__xludf.DUMMYFUNCTION("""COMPUTED_VALUE"""),53.34)</f>
        <v>53.34</v>
      </c>
    </row>
    <row r="948" spans="2:16" ht="12.75">
      <c r="B948" s="125">
        <f ca="1">IFERROR(__xludf.DUMMYFUNCTION("""COMPUTED_VALUE"""),44078.6666666666)</f>
        <v>44078.666666666599</v>
      </c>
      <c r="C948">
        <f ca="1">IFERROR(__xludf.DUMMYFUNCTION("""COMPUTED_VALUE"""),53.25)</f>
        <v>53.25</v>
      </c>
      <c r="O948" s="125">
        <f ca="1">IFERROR(__xludf.DUMMYFUNCTION("""COMPUTED_VALUE"""),44078.6666666666)</f>
        <v>44078.666666666599</v>
      </c>
      <c r="P948">
        <f ca="1">IFERROR(__xludf.DUMMYFUNCTION("""COMPUTED_VALUE"""),53.25)</f>
        <v>53.25</v>
      </c>
    </row>
    <row r="949" spans="2:16" ht="12.75">
      <c r="B949" s="125">
        <f ca="1">IFERROR(__xludf.DUMMYFUNCTION("""COMPUTED_VALUE"""),44082.6666666666)</f>
        <v>44082.666666666599</v>
      </c>
      <c r="C949">
        <f ca="1">IFERROR(__xludf.DUMMYFUNCTION("""COMPUTED_VALUE"""),50.77)</f>
        <v>50.77</v>
      </c>
      <c r="O949" s="125">
        <f ca="1">IFERROR(__xludf.DUMMYFUNCTION("""COMPUTED_VALUE"""),44082.6666666666)</f>
        <v>44082.666666666599</v>
      </c>
      <c r="P949">
        <f ca="1">IFERROR(__xludf.DUMMYFUNCTION("""COMPUTED_VALUE"""),50.77)</f>
        <v>50.77</v>
      </c>
    </row>
    <row r="950" spans="2:16" ht="12.75">
      <c r="B950" s="125">
        <f ca="1">IFERROR(__xludf.DUMMYFUNCTION("""COMPUTED_VALUE"""),44083.6666666666)</f>
        <v>44083.666666666599</v>
      </c>
      <c r="C950">
        <f ca="1">IFERROR(__xludf.DUMMYFUNCTION("""COMPUTED_VALUE"""),51.57)</f>
        <v>51.57</v>
      </c>
      <c r="O950" s="125">
        <f ca="1">IFERROR(__xludf.DUMMYFUNCTION("""COMPUTED_VALUE"""),44083.6666666666)</f>
        <v>44083.666666666599</v>
      </c>
      <c r="P950">
        <f ca="1">IFERROR(__xludf.DUMMYFUNCTION("""COMPUTED_VALUE"""),51.57)</f>
        <v>51.57</v>
      </c>
    </row>
    <row r="951" spans="2:16" ht="12.75">
      <c r="B951" s="125">
        <f ca="1">IFERROR(__xludf.DUMMYFUNCTION("""COMPUTED_VALUE"""),44084.6666666666)</f>
        <v>44084.666666666599</v>
      </c>
      <c r="C951">
        <f ca="1">IFERROR(__xludf.DUMMYFUNCTION("""COMPUTED_VALUE"""),50.7)</f>
        <v>50.7</v>
      </c>
      <c r="O951" s="125">
        <f ca="1">IFERROR(__xludf.DUMMYFUNCTION("""COMPUTED_VALUE"""),44084.6666666666)</f>
        <v>44084.666666666599</v>
      </c>
      <c r="P951">
        <f ca="1">IFERROR(__xludf.DUMMYFUNCTION("""COMPUTED_VALUE"""),50.7)</f>
        <v>50.7</v>
      </c>
    </row>
    <row r="952" spans="2:16" ht="12.75">
      <c r="B952" s="125">
        <f ca="1">IFERROR(__xludf.DUMMYFUNCTION("""COMPUTED_VALUE"""),44085.6666666666)</f>
        <v>44085.666666666599</v>
      </c>
      <c r="C952">
        <f ca="1">IFERROR(__xludf.DUMMYFUNCTION("""COMPUTED_VALUE"""),51.21)</f>
        <v>51.21</v>
      </c>
      <c r="O952" s="125">
        <f ca="1">IFERROR(__xludf.DUMMYFUNCTION("""COMPUTED_VALUE"""),44085.6666666666)</f>
        <v>44085.666666666599</v>
      </c>
      <c r="P952">
        <f ca="1">IFERROR(__xludf.DUMMYFUNCTION("""COMPUTED_VALUE"""),51.21)</f>
        <v>51.21</v>
      </c>
    </row>
    <row r="953" spans="2:16" ht="12.75">
      <c r="B953" s="125">
        <f ca="1">IFERROR(__xludf.DUMMYFUNCTION("""COMPUTED_VALUE"""),44088.6666666666)</f>
        <v>44088.666666666599</v>
      </c>
      <c r="C953">
        <f ca="1">IFERROR(__xludf.DUMMYFUNCTION("""COMPUTED_VALUE"""),52.27)</f>
        <v>52.27</v>
      </c>
      <c r="O953" s="125">
        <f ca="1">IFERROR(__xludf.DUMMYFUNCTION("""COMPUTED_VALUE"""),44088.6666666666)</f>
        <v>44088.666666666599</v>
      </c>
      <c r="P953">
        <f ca="1">IFERROR(__xludf.DUMMYFUNCTION("""COMPUTED_VALUE"""),52.27)</f>
        <v>52.27</v>
      </c>
    </row>
    <row r="954" spans="2:16" ht="12.75">
      <c r="B954" s="125">
        <f ca="1">IFERROR(__xludf.DUMMYFUNCTION("""COMPUTED_VALUE"""),44089.6666666666)</f>
        <v>44089.666666666599</v>
      </c>
      <c r="C954">
        <f ca="1">IFERROR(__xludf.DUMMYFUNCTION("""COMPUTED_VALUE"""),52.83)</f>
        <v>52.83</v>
      </c>
      <c r="O954" s="125">
        <f ca="1">IFERROR(__xludf.DUMMYFUNCTION("""COMPUTED_VALUE"""),44089.6666666666)</f>
        <v>44089.666666666599</v>
      </c>
      <c r="P954">
        <f ca="1">IFERROR(__xludf.DUMMYFUNCTION("""COMPUTED_VALUE"""),52.83)</f>
        <v>52.83</v>
      </c>
    </row>
    <row r="955" spans="2:16" ht="12.75">
      <c r="B955" s="125">
        <f ca="1">IFERROR(__xludf.DUMMYFUNCTION("""COMPUTED_VALUE"""),44090.6666666666)</f>
        <v>44090.666666666599</v>
      </c>
      <c r="C955">
        <f ca="1">IFERROR(__xludf.DUMMYFUNCTION("""COMPUTED_VALUE"""),52.59)</f>
        <v>52.59</v>
      </c>
      <c r="O955" s="125">
        <f ca="1">IFERROR(__xludf.DUMMYFUNCTION("""COMPUTED_VALUE"""),44090.6666666666)</f>
        <v>44090.666666666599</v>
      </c>
      <c r="P955">
        <f ca="1">IFERROR(__xludf.DUMMYFUNCTION("""COMPUTED_VALUE"""),52.59)</f>
        <v>52.59</v>
      </c>
    </row>
    <row r="956" spans="2:16" ht="12.75">
      <c r="B956" s="125">
        <f ca="1">IFERROR(__xludf.DUMMYFUNCTION("""COMPUTED_VALUE"""),44091.6666666666)</f>
        <v>44091.666666666599</v>
      </c>
      <c r="C956">
        <f ca="1">IFERROR(__xludf.DUMMYFUNCTION("""COMPUTED_VALUE"""),52.03)</f>
        <v>52.03</v>
      </c>
      <c r="O956" s="125">
        <f ca="1">IFERROR(__xludf.DUMMYFUNCTION("""COMPUTED_VALUE"""),44091.6666666666)</f>
        <v>44091.666666666599</v>
      </c>
      <c r="P956">
        <f ca="1">IFERROR(__xludf.DUMMYFUNCTION("""COMPUTED_VALUE"""),52.03)</f>
        <v>52.03</v>
      </c>
    </row>
    <row r="957" spans="2:16" ht="12.75">
      <c r="B957" s="125">
        <f ca="1">IFERROR(__xludf.DUMMYFUNCTION("""COMPUTED_VALUE"""),44092.6666666666)</f>
        <v>44092.666666666599</v>
      </c>
      <c r="C957">
        <f ca="1">IFERROR(__xludf.DUMMYFUNCTION("""COMPUTED_VALUE"""),51.89)</f>
        <v>51.89</v>
      </c>
      <c r="O957" s="125">
        <f ca="1">IFERROR(__xludf.DUMMYFUNCTION("""COMPUTED_VALUE"""),44092.6666666666)</f>
        <v>44092.666666666599</v>
      </c>
      <c r="P957">
        <f ca="1">IFERROR(__xludf.DUMMYFUNCTION("""COMPUTED_VALUE"""),51.89)</f>
        <v>51.89</v>
      </c>
    </row>
    <row r="958" spans="2:16" ht="12.75">
      <c r="B958" s="125">
        <f ca="1">IFERROR(__xludf.DUMMYFUNCTION("""COMPUTED_VALUE"""),44095.6666666666)</f>
        <v>44095.666666666599</v>
      </c>
      <c r="C958">
        <f ca="1">IFERROR(__xludf.DUMMYFUNCTION("""COMPUTED_VALUE"""),51.58)</f>
        <v>51.58</v>
      </c>
      <c r="O958" s="125">
        <f ca="1">IFERROR(__xludf.DUMMYFUNCTION("""COMPUTED_VALUE"""),44095.6666666666)</f>
        <v>44095.666666666599</v>
      </c>
      <c r="P958">
        <f ca="1">IFERROR(__xludf.DUMMYFUNCTION("""COMPUTED_VALUE"""),51.58)</f>
        <v>51.58</v>
      </c>
    </row>
    <row r="959" spans="2:16" ht="12.75">
      <c r="B959" s="125">
        <f ca="1">IFERROR(__xludf.DUMMYFUNCTION("""COMPUTED_VALUE"""),44096.6666666666)</f>
        <v>44096.666666666599</v>
      </c>
      <c r="C959">
        <f ca="1">IFERROR(__xludf.DUMMYFUNCTION("""COMPUTED_VALUE"""),51.88)</f>
        <v>51.88</v>
      </c>
      <c r="O959" s="125">
        <f ca="1">IFERROR(__xludf.DUMMYFUNCTION("""COMPUTED_VALUE"""),44096.6666666666)</f>
        <v>44096.666666666599</v>
      </c>
      <c r="P959">
        <f ca="1">IFERROR(__xludf.DUMMYFUNCTION("""COMPUTED_VALUE"""),51.88)</f>
        <v>51.88</v>
      </c>
    </row>
    <row r="960" spans="2:16" ht="12.75">
      <c r="B960" s="125">
        <f ca="1">IFERROR(__xludf.DUMMYFUNCTION("""COMPUTED_VALUE"""),44097.6666666666)</f>
        <v>44097.666666666599</v>
      </c>
      <c r="C960">
        <f ca="1">IFERROR(__xludf.DUMMYFUNCTION("""COMPUTED_VALUE"""),51.45)</f>
        <v>51.45</v>
      </c>
      <c r="O960" s="125">
        <f ca="1">IFERROR(__xludf.DUMMYFUNCTION("""COMPUTED_VALUE"""),44097.6666666666)</f>
        <v>44097.666666666599</v>
      </c>
      <c r="P960">
        <f ca="1">IFERROR(__xludf.DUMMYFUNCTION("""COMPUTED_VALUE"""),51.45)</f>
        <v>51.45</v>
      </c>
    </row>
    <row r="961" spans="2:16" ht="12.75">
      <c r="B961" s="125">
        <f ca="1">IFERROR(__xludf.DUMMYFUNCTION("""COMPUTED_VALUE"""),44098.6666666666)</f>
        <v>44098.666666666599</v>
      </c>
      <c r="C961">
        <f ca="1">IFERROR(__xludf.DUMMYFUNCTION("""COMPUTED_VALUE"""),50.97)</f>
        <v>50.97</v>
      </c>
      <c r="O961" s="125">
        <f ca="1">IFERROR(__xludf.DUMMYFUNCTION("""COMPUTED_VALUE"""),44098.6666666666)</f>
        <v>44098.666666666599</v>
      </c>
      <c r="P961">
        <f ca="1">IFERROR(__xludf.DUMMYFUNCTION("""COMPUTED_VALUE"""),50.97)</f>
        <v>50.97</v>
      </c>
    </row>
    <row r="962" spans="2:16" ht="12.75">
      <c r="B962" s="125">
        <f ca="1">IFERROR(__xludf.DUMMYFUNCTION("""COMPUTED_VALUE"""),44099.6666666666)</f>
        <v>44099.666666666599</v>
      </c>
      <c r="C962">
        <f ca="1">IFERROR(__xludf.DUMMYFUNCTION("""COMPUTED_VALUE"""),51.07)</f>
        <v>51.07</v>
      </c>
      <c r="O962" s="125">
        <f ca="1">IFERROR(__xludf.DUMMYFUNCTION("""COMPUTED_VALUE"""),44099.6666666666)</f>
        <v>44099.666666666599</v>
      </c>
      <c r="P962">
        <f ca="1">IFERROR(__xludf.DUMMYFUNCTION("""COMPUTED_VALUE"""),51.07)</f>
        <v>51.07</v>
      </c>
    </row>
    <row r="963" spans="2:16" ht="12.75">
      <c r="B963" s="125">
        <f ca="1">IFERROR(__xludf.DUMMYFUNCTION("""COMPUTED_VALUE"""),44102.6666666666)</f>
        <v>44102.666666666599</v>
      </c>
      <c r="C963">
        <f ca="1">IFERROR(__xludf.DUMMYFUNCTION("""COMPUTED_VALUE"""),51.71)</f>
        <v>51.71</v>
      </c>
      <c r="O963" s="125">
        <f ca="1">IFERROR(__xludf.DUMMYFUNCTION("""COMPUTED_VALUE"""),44102.6666666666)</f>
        <v>44102.666666666599</v>
      </c>
      <c r="P963">
        <f ca="1">IFERROR(__xludf.DUMMYFUNCTION("""COMPUTED_VALUE"""),51.71)</f>
        <v>51.71</v>
      </c>
    </row>
    <row r="964" spans="2:16" ht="12.75">
      <c r="B964" s="125">
        <f ca="1">IFERROR(__xludf.DUMMYFUNCTION("""COMPUTED_VALUE"""),44103.6666666666)</f>
        <v>44103.666666666599</v>
      </c>
      <c r="C964">
        <f ca="1">IFERROR(__xludf.DUMMYFUNCTION("""COMPUTED_VALUE"""),51.29)</f>
        <v>51.29</v>
      </c>
      <c r="O964" s="125">
        <f ca="1">IFERROR(__xludf.DUMMYFUNCTION("""COMPUTED_VALUE"""),44103.6666666666)</f>
        <v>44103.666666666599</v>
      </c>
      <c r="P964">
        <f ca="1">IFERROR(__xludf.DUMMYFUNCTION("""COMPUTED_VALUE"""),51.29)</f>
        <v>51.29</v>
      </c>
    </row>
    <row r="965" spans="2:16" ht="12.75">
      <c r="B965" s="125">
        <f ca="1">IFERROR(__xludf.DUMMYFUNCTION("""COMPUTED_VALUE"""),44104.6666666666)</f>
        <v>44104.666666666599</v>
      </c>
      <c r="C965">
        <f ca="1">IFERROR(__xludf.DUMMYFUNCTION("""COMPUTED_VALUE"""),52.23)</f>
        <v>52.23</v>
      </c>
      <c r="O965" s="125">
        <f ca="1">IFERROR(__xludf.DUMMYFUNCTION("""COMPUTED_VALUE"""),44104.6666666666)</f>
        <v>44104.666666666599</v>
      </c>
      <c r="P965">
        <f ca="1">IFERROR(__xludf.DUMMYFUNCTION("""COMPUTED_VALUE"""),52.23)</f>
        <v>52.23</v>
      </c>
    </row>
    <row r="966" spans="2:16" ht="12.75">
      <c r="B966" s="125">
        <f ca="1">IFERROR(__xludf.DUMMYFUNCTION("""COMPUTED_VALUE"""),44105.6666666666)</f>
        <v>44105.666666666599</v>
      </c>
      <c r="C966">
        <f ca="1">IFERROR(__xludf.DUMMYFUNCTION("""COMPUTED_VALUE"""),52.91)</f>
        <v>52.91</v>
      </c>
      <c r="O966" s="125">
        <f ca="1">IFERROR(__xludf.DUMMYFUNCTION("""COMPUTED_VALUE"""),44105.6666666666)</f>
        <v>44105.666666666599</v>
      </c>
      <c r="P966">
        <f ca="1">IFERROR(__xludf.DUMMYFUNCTION("""COMPUTED_VALUE"""),52.91)</f>
        <v>52.91</v>
      </c>
    </row>
    <row r="967" spans="2:16" ht="12.75">
      <c r="B967" s="125">
        <f ca="1">IFERROR(__xludf.DUMMYFUNCTION("""COMPUTED_VALUE"""),44106.6666666666)</f>
        <v>44106.666666666599</v>
      </c>
      <c r="C967">
        <f ca="1">IFERROR(__xludf.DUMMYFUNCTION("""COMPUTED_VALUE"""),51.91)</f>
        <v>51.91</v>
      </c>
      <c r="O967" s="125">
        <f ca="1">IFERROR(__xludf.DUMMYFUNCTION("""COMPUTED_VALUE"""),44106.6666666666)</f>
        <v>44106.666666666599</v>
      </c>
      <c r="P967">
        <f ca="1">IFERROR(__xludf.DUMMYFUNCTION("""COMPUTED_VALUE"""),51.91)</f>
        <v>51.91</v>
      </c>
    </row>
    <row r="968" spans="2:16" ht="12.75">
      <c r="B968" s="125">
        <f ca="1">IFERROR(__xludf.DUMMYFUNCTION("""COMPUTED_VALUE"""),44109.6666666666)</f>
        <v>44109.666666666599</v>
      </c>
      <c r="C968">
        <f ca="1">IFERROR(__xludf.DUMMYFUNCTION("""COMPUTED_VALUE"""),52.51)</f>
        <v>52.51</v>
      </c>
      <c r="O968" s="125">
        <f ca="1">IFERROR(__xludf.DUMMYFUNCTION("""COMPUTED_VALUE"""),44109.6666666666)</f>
        <v>44109.666666666599</v>
      </c>
      <c r="P968">
        <f ca="1">IFERROR(__xludf.DUMMYFUNCTION("""COMPUTED_VALUE"""),52.51)</f>
        <v>52.51</v>
      </c>
    </row>
    <row r="969" spans="2:16" ht="12.75">
      <c r="B969" s="125">
        <f ca="1">IFERROR(__xludf.DUMMYFUNCTION("""COMPUTED_VALUE"""),44110.6666666666)</f>
        <v>44110.666666666599</v>
      </c>
      <c r="C969">
        <f ca="1">IFERROR(__xludf.DUMMYFUNCTION("""COMPUTED_VALUE"""),52.91)</f>
        <v>52.91</v>
      </c>
      <c r="O969" s="125">
        <f ca="1">IFERROR(__xludf.DUMMYFUNCTION("""COMPUTED_VALUE"""),44110.6666666666)</f>
        <v>44110.666666666599</v>
      </c>
      <c r="P969">
        <f ca="1">IFERROR(__xludf.DUMMYFUNCTION("""COMPUTED_VALUE"""),52.91)</f>
        <v>52.91</v>
      </c>
    </row>
    <row r="970" spans="2:16" ht="12.75">
      <c r="B970" s="125">
        <f ca="1">IFERROR(__xludf.DUMMYFUNCTION("""COMPUTED_VALUE"""),44111.6666666666)</f>
        <v>44111.666666666599</v>
      </c>
      <c r="C970">
        <f ca="1">IFERROR(__xludf.DUMMYFUNCTION("""COMPUTED_VALUE"""),53.66)</f>
        <v>53.66</v>
      </c>
      <c r="O970" s="125">
        <f ca="1">IFERROR(__xludf.DUMMYFUNCTION("""COMPUTED_VALUE"""),44111.6666666666)</f>
        <v>44111.666666666599</v>
      </c>
      <c r="P970">
        <f ca="1">IFERROR(__xludf.DUMMYFUNCTION("""COMPUTED_VALUE"""),53.66)</f>
        <v>53.66</v>
      </c>
    </row>
    <row r="971" spans="2:16" ht="12.75">
      <c r="B971" s="125">
        <f ca="1">IFERROR(__xludf.DUMMYFUNCTION("""COMPUTED_VALUE"""),44112.6666666666)</f>
        <v>44112.666666666599</v>
      </c>
      <c r="C971">
        <f ca="1">IFERROR(__xludf.DUMMYFUNCTION("""COMPUTED_VALUE"""),53.75)</f>
        <v>53.75</v>
      </c>
      <c r="O971" s="125">
        <f ca="1">IFERROR(__xludf.DUMMYFUNCTION("""COMPUTED_VALUE"""),44112.6666666666)</f>
        <v>44112.666666666599</v>
      </c>
      <c r="P971">
        <f ca="1">IFERROR(__xludf.DUMMYFUNCTION("""COMPUTED_VALUE"""),53.75)</f>
        <v>53.75</v>
      </c>
    </row>
    <row r="972" spans="2:16" ht="12.75">
      <c r="B972" s="125">
        <f ca="1">IFERROR(__xludf.DUMMYFUNCTION("""COMPUTED_VALUE"""),44113.6666666666)</f>
        <v>44113.666666666599</v>
      </c>
      <c r="C972">
        <f ca="1">IFERROR(__xludf.DUMMYFUNCTION("""COMPUTED_VALUE"""),54.94)</f>
        <v>54.94</v>
      </c>
      <c r="O972" s="125">
        <f ca="1">IFERROR(__xludf.DUMMYFUNCTION("""COMPUTED_VALUE"""),44113.6666666666)</f>
        <v>44113.666666666599</v>
      </c>
      <c r="P972">
        <f ca="1">IFERROR(__xludf.DUMMYFUNCTION("""COMPUTED_VALUE"""),54.94)</f>
        <v>54.94</v>
      </c>
    </row>
    <row r="973" spans="2:16" ht="12.75">
      <c r="B973" s="125">
        <f ca="1">IFERROR(__xludf.DUMMYFUNCTION("""COMPUTED_VALUE"""),44116.6666666666)</f>
        <v>44116.666666666599</v>
      </c>
      <c r="C973">
        <f ca="1">IFERROR(__xludf.DUMMYFUNCTION("""COMPUTED_VALUE"""),55.67)</f>
        <v>55.67</v>
      </c>
      <c r="O973" s="125">
        <f ca="1">IFERROR(__xludf.DUMMYFUNCTION("""COMPUTED_VALUE"""),44116.6666666666)</f>
        <v>44116.666666666599</v>
      </c>
      <c r="P973">
        <f ca="1">IFERROR(__xludf.DUMMYFUNCTION("""COMPUTED_VALUE"""),55.67)</f>
        <v>55.67</v>
      </c>
    </row>
    <row r="974" spans="2:16" ht="12.75">
      <c r="B974" s="125">
        <f ca="1">IFERROR(__xludf.DUMMYFUNCTION("""COMPUTED_VALUE"""),44117.6666666666)</f>
        <v>44117.666666666599</v>
      </c>
      <c r="C974">
        <f ca="1">IFERROR(__xludf.DUMMYFUNCTION("""COMPUTED_VALUE"""),55.89)</f>
        <v>55.89</v>
      </c>
      <c r="O974" s="125">
        <f ca="1">IFERROR(__xludf.DUMMYFUNCTION("""COMPUTED_VALUE"""),44117.6666666666)</f>
        <v>44117.666666666599</v>
      </c>
      <c r="P974">
        <f ca="1">IFERROR(__xludf.DUMMYFUNCTION("""COMPUTED_VALUE"""),55.89)</f>
        <v>55.89</v>
      </c>
    </row>
    <row r="975" spans="2:16" ht="12.75">
      <c r="B975" s="125">
        <f ca="1">IFERROR(__xludf.DUMMYFUNCTION("""COMPUTED_VALUE"""),44118.6666666666)</f>
        <v>44118.666666666599</v>
      </c>
      <c r="C975">
        <f ca="1">IFERROR(__xludf.DUMMYFUNCTION("""COMPUTED_VALUE"""),55.29)</f>
        <v>55.29</v>
      </c>
      <c r="O975" s="125">
        <f ca="1">IFERROR(__xludf.DUMMYFUNCTION("""COMPUTED_VALUE"""),44118.6666666666)</f>
        <v>44118.666666666599</v>
      </c>
      <c r="P975">
        <f ca="1">IFERROR(__xludf.DUMMYFUNCTION("""COMPUTED_VALUE"""),55.29)</f>
        <v>55.29</v>
      </c>
    </row>
    <row r="976" spans="2:16" ht="12.75">
      <c r="B976" s="125">
        <f ca="1">IFERROR(__xludf.DUMMYFUNCTION("""COMPUTED_VALUE"""),44119.6666666666)</f>
        <v>44119.666666666599</v>
      </c>
      <c r="C976">
        <f ca="1">IFERROR(__xludf.DUMMYFUNCTION("""COMPUTED_VALUE"""),54.61)</f>
        <v>54.61</v>
      </c>
      <c r="O976" s="125">
        <f ca="1">IFERROR(__xludf.DUMMYFUNCTION("""COMPUTED_VALUE"""),44119.6666666666)</f>
        <v>44119.666666666599</v>
      </c>
      <c r="P976">
        <f ca="1">IFERROR(__xludf.DUMMYFUNCTION("""COMPUTED_VALUE"""),54.61)</f>
        <v>54.61</v>
      </c>
    </row>
    <row r="977" spans="2:16" ht="12.75">
      <c r="B977" s="125">
        <f ca="1">IFERROR(__xludf.DUMMYFUNCTION("""COMPUTED_VALUE"""),44120.6666666666)</f>
        <v>44120.666666666599</v>
      </c>
      <c r="C977">
        <f ca="1">IFERROR(__xludf.DUMMYFUNCTION("""COMPUTED_VALUE"""),55.1)</f>
        <v>55.1</v>
      </c>
      <c r="O977" s="125">
        <f ca="1">IFERROR(__xludf.DUMMYFUNCTION("""COMPUTED_VALUE"""),44120.6666666666)</f>
        <v>44120.666666666599</v>
      </c>
      <c r="P977">
        <f ca="1">IFERROR(__xludf.DUMMYFUNCTION("""COMPUTED_VALUE"""),55.1)</f>
        <v>55.1</v>
      </c>
    </row>
    <row r="978" spans="2:16" ht="12.75">
      <c r="B978" s="125">
        <f ca="1">IFERROR(__xludf.DUMMYFUNCTION("""COMPUTED_VALUE"""),44123.6666666666)</f>
        <v>44123.666666666599</v>
      </c>
      <c r="C978">
        <f ca="1">IFERROR(__xludf.DUMMYFUNCTION("""COMPUTED_VALUE"""),54.44)</f>
        <v>54.44</v>
      </c>
      <c r="O978" s="125">
        <f ca="1">IFERROR(__xludf.DUMMYFUNCTION("""COMPUTED_VALUE"""),44123.6666666666)</f>
        <v>44123.666666666599</v>
      </c>
      <c r="P978">
        <f ca="1">IFERROR(__xludf.DUMMYFUNCTION("""COMPUTED_VALUE"""),54.44)</f>
        <v>54.44</v>
      </c>
    </row>
    <row r="979" spans="2:16" ht="12.75">
      <c r="B979" s="125">
        <f ca="1">IFERROR(__xludf.DUMMYFUNCTION("""COMPUTED_VALUE"""),44124.6666666666)</f>
        <v>44124.666666666599</v>
      </c>
      <c r="C979">
        <f ca="1">IFERROR(__xludf.DUMMYFUNCTION("""COMPUTED_VALUE"""),55.3)</f>
        <v>55.3</v>
      </c>
      <c r="O979" s="125">
        <f ca="1">IFERROR(__xludf.DUMMYFUNCTION("""COMPUTED_VALUE"""),44124.6666666666)</f>
        <v>44124.666666666599</v>
      </c>
      <c r="P979">
        <f ca="1">IFERROR(__xludf.DUMMYFUNCTION("""COMPUTED_VALUE"""),55.3)</f>
        <v>55.3</v>
      </c>
    </row>
    <row r="980" spans="2:16" ht="12.75">
      <c r="B980" s="125">
        <f ca="1">IFERROR(__xludf.DUMMYFUNCTION("""COMPUTED_VALUE"""),44125.6666666666)</f>
        <v>44125.666666666599</v>
      </c>
      <c r="C980">
        <f ca="1">IFERROR(__xludf.DUMMYFUNCTION("""COMPUTED_VALUE"""),55.22)</f>
        <v>55.22</v>
      </c>
      <c r="O980" s="125">
        <f ca="1">IFERROR(__xludf.DUMMYFUNCTION("""COMPUTED_VALUE"""),44125.6666666666)</f>
        <v>44125.666666666599</v>
      </c>
      <c r="P980">
        <f ca="1">IFERROR(__xludf.DUMMYFUNCTION("""COMPUTED_VALUE"""),55.22)</f>
        <v>55.22</v>
      </c>
    </row>
    <row r="981" spans="2:16" ht="12.75">
      <c r="B981" s="125">
        <f ca="1">IFERROR(__xludf.DUMMYFUNCTION("""COMPUTED_VALUE"""),44126.6666666666)</f>
        <v>44126.666666666599</v>
      </c>
      <c r="C981">
        <f ca="1">IFERROR(__xludf.DUMMYFUNCTION("""COMPUTED_VALUE"""),54.69)</f>
        <v>54.69</v>
      </c>
      <c r="O981" s="125">
        <f ca="1">IFERROR(__xludf.DUMMYFUNCTION("""COMPUTED_VALUE"""),44126.6666666666)</f>
        <v>44126.666666666599</v>
      </c>
      <c r="P981">
        <f ca="1">IFERROR(__xludf.DUMMYFUNCTION("""COMPUTED_VALUE"""),54.69)</f>
        <v>54.69</v>
      </c>
    </row>
    <row r="982" spans="2:16" ht="12.75">
      <c r="B982" s="125">
        <f ca="1">IFERROR(__xludf.DUMMYFUNCTION("""COMPUTED_VALUE"""),44127.6666666666)</f>
        <v>44127.666666666599</v>
      </c>
      <c r="C982">
        <f ca="1">IFERROR(__xludf.DUMMYFUNCTION("""COMPUTED_VALUE"""),54.81)</f>
        <v>54.81</v>
      </c>
      <c r="O982" s="125">
        <f ca="1">IFERROR(__xludf.DUMMYFUNCTION("""COMPUTED_VALUE"""),44127.6666666666)</f>
        <v>44127.666666666599</v>
      </c>
      <c r="P982">
        <f ca="1">IFERROR(__xludf.DUMMYFUNCTION("""COMPUTED_VALUE"""),54.81)</f>
        <v>54.81</v>
      </c>
    </row>
    <row r="983" spans="2:16" ht="12.75">
      <c r="B983" s="125">
        <f ca="1">IFERROR(__xludf.DUMMYFUNCTION("""COMPUTED_VALUE"""),44130.6666666666)</f>
        <v>44130.666666666599</v>
      </c>
      <c r="C983">
        <f ca="1">IFERROR(__xludf.DUMMYFUNCTION("""COMPUTED_VALUE"""),54.36)</f>
        <v>54.36</v>
      </c>
      <c r="O983" s="125">
        <f ca="1">IFERROR(__xludf.DUMMYFUNCTION("""COMPUTED_VALUE"""),44130.6666666666)</f>
        <v>44130.666666666599</v>
      </c>
      <c r="P983">
        <f ca="1">IFERROR(__xludf.DUMMYFUNCTION("""COMPUTED_VALUE"""),54.36)</f>
        <v>54.36</v>
      </c>
    </row>
    <row r="984" spans="2:16" ht="12.75">
      <c r="B984" s="125">
        <f ca="1">IFERROR(__xludf.DUMMYFUNCTION("""COMPUTED_VALUE"""),44131.6666666666)</f>
        <v>44131.666666666599</v>
      </c>
      <c r="C984">
        <f ca="1">IFERROR(__xludf.DUMMYFUNCTION("""COMPUTED_VALUE"""),55.55)</f>
        <v>55.55</v>
      </c>
      <c r="O984" s="125">
        <f ca="1">IFERROR(__xludf.DUMMYFUNCTION("""COMPUTED_VALUE"""),44131.6666666666)</f>
        <v>44131.666666666599</v>
      </c>
      <c r="P984">
        <f ca="1">IFERROR(__xludf.DUMMYFUNCTION("""COMPUTED_VALUE"""),55.55)</f>
        <v>55.55</v>
      </c>
    </row>
    <row r="985" spans="2:16" ht="12.75">
      <c r="B985" s="125">
        <f ca="1">IFERROR(__xludf.DUMMYFUNCTION("""COMPUTED_VALUE"""),44132.6666666666)</f>
        <v>44132.666666666599</v>
      </c>
      <c r="C985">
        <f ca="1">IFERROR(__xludf.DUMMYFUNCTION("""COMPUTED_VALUE"""),54.72)</f>
        <v>54.72</v>
      </c>
      <c r="O985" s="125">
        <f ca="1">IFERROR(__xludf.DUMMYFUNCTION("""COMPUTED_VALUE"""),44132.6666666666)</f>
        <v>44132.666666666599</v>
      </c>
      <c r="P985">
        <f ca="1">IFERROR(__xludf.DUMMYFUNCTION("""COMPUTED_VALUE"""),54.72)</f>
        <v>54.72</v>
      </c>
    </row>
    <row r="986" spans="2:16" ht="12.75">
      <c r="B986" s="125">
        <f ca="1">IFERROR(__xludf.DUMMYFUNCTION("""COMPUTED_VALUE"""),44133.6666666666)</f>
        <v>44133.666666666599</v>
      </c>
      <c r="C986">
        <f ca="1">IFERROR(__xludf.DUMMYFUNCTION("""COMPUTED_VALUE"""),56.09)</f>
        <v>56.09</v>
      </c>
      <c r="O986" s="125">
        <f ca="1">IFERROR(__xludf.DUMMYFUNCTION("""COMPUTED_VALUE"""),44133.6666666666)</f>
        <v>44133.666666666599</v>
      </c>
      <c r="P986">
        <f ca="1">IFERROR(__xludf.DUMMYFUNCTION("""COMPUTED_VALUE"""),56.09)</f>
        <v>56.09</v>
      </c>
    </row>
    <row r="987" spans="2:16" ht="12.75">
      <c r="B987" s="125">
        <f ca="1">IFERROR(__xludf.DUMMYFUNCTION("""COMPUTED_VALUE"""),44134.6666666666)</f>
        <v>44134.666666666599</v>
      </c>
      <c r="C987">
        <f ca="1">IFERROR(__xludf.DUMMYFUNCTION("""COMPUTED_VALUE"""),55.02)</f>
        <v>55.02</v>
      </c>
      <c r="O987" s="125">
        <f ca="1">IFERROR(__xludf.DUMMYFUNCTION("""COMPUTED_VALUE"""),44134.6666666666)</f>
        <v>44134.666666666599</v>
      </c>
      <c r="P987">
        <f ca="1">IFERROR(__xludf.DUMMYFUNCTION("""COMPUTED_VALUE"""),55.02)</f>
        <v>55.02</v>
      </c>
    </row>
    <row r="988" spans="2:16" ht="12.75">
      <c r="B988" s="125">
        <f ca="1">IFERROR(__xludf.DUMMYFUNCTION("""COMPUTED_VALUE"""),44137.6666666666)</f>
        <v>44137.666666666599</v>
      </c>
      <c r="C988">
        <f ca="1">IFERROR(__xludf.DUMMYFUNCTION("""COMPUTED_VALUE"""),55.47)</f>
        <v>55.47</v>
      </c>
      <c r="O988" s="125">
        <f ca="1">IFERROR(__xludf.DUMMYFUNCTION("""COMPUTED_VALUE"""),44137.6666666666)</f>
        <v>44137.666666666599</v>
      </c>
      <c r="P988">
        <f ca="1">IFERROR(__xludf.DUMMYFUNCTION("""COMPUTED_VALUE"""),55.47)</f>
        <v>55.47</v>
      </c>
    </row>
    <row r="989" spans="2:16" ht="12.75">
      <c r="B989" s="125">
        <f ca="1">IFERROR(__xludf.DUMMYFUNCTION("""COMPUTED_VALUE"""),44138.6666666666)</f>
        <v>44138.666666666599</v>
      </c>
      <c r="C989">
        <f ca="1">IFERROR(__xludf.DUMMYFUNCTION("""COMPUTED_VALUE"""),55.26)</f>
        <v>55.26</v>
      </c>
      <c r="O989" s="125">
        <f ca="1">IFERROR(__xludf.DUMMYFUNCTION("""COMPUTED_VALUE"""),44138.6666666666)</f>
        <v>44138.666666666599</v>
      </c>
      <c r="P989">
        <f ca="1">IFERROR(__xludf.DUMMYFUNCTION("""COMPUTED_VALUE"""),55.26)</f>
        <v>55.26</v>
      </c>
    </row>
    <row r="990" spans="2:16" ht="12.75">
      <c r="B990" s="125">
        <f ca="1">IFERROR(__xludf.DUMMYFUNCTION("""COMPUTED_VALUE"""),44139.6666666666)</f>
        <v>44139.666666666599</v>
      </c>
      <c r="C990">
        <f ca="1">IFERROR(__xludf.DUMMYFUNCTION("""COMPUTED_VALUE"""),59.1)</f>
        <v>59.1</v>
      </c>
      <c r="O990" s="125">
        <f ca="1">IFERROR(__xludf.DUMMYFUNCTION("""COMPUTED_VALUE"""),44139.6666666666)</f>
        <v>44139.666666666599</v>
      </c>
      <c r="P990">
        <f ca="1">IFERROR(__xludf.DUMMYFUNCTION("""COMPUTED_VALUE"""),59.1)</f>
        <v>59.1</v>
      </c>
    </row>
    <row r="991" spans="2:16" ht="12.75">
      <c r="B991" s="125">
        <f ca="1">IFERROR(__xludf.DUMMYFUNCTION("""COMPUTED_VALUE"""),44140.6666666666)</f>
        <v>44140.666666666599</v>
      </c>
      <c r="C991">
        <f ca="1">IFERROR(__xludf.DUMMYFUNCTION("""COMPUTED_VALUE"""),60.66)</f>
        <v>60.66</v>
      </c>
      <c r="O991" s="125">
        <f ca="1">IFERROR(__xludf.DUMMYFUNCTION("""COMPUTED_VALUE"""),44140.6666666666)</f>
        <v>44140.666666666599</v>
      </c>
      <c r="P991">
        <f ca="1">IFERROR(__xludf.DUMMYFUNCTION("""COMPUTED_VALUE"""),60.66)</f>
        <v>60.66</v>
      </c>
    </row>
    <row r="992" spans="2:16" ht="12.75">
      <c r="B992" s="125">
        <f ca="1">IFERROR(__xludf.DUMMYFUNCTION("""COMPUTED_VALUE"""),44141.6666666666)</f>
        <v>44141.666666666599</v>
      </c>
      <c r="C992">
        <f ca="1">IFERROR(__xludf.DUMMYFUNCTION("""COMPUTED_VALUE"""),61.24)</f>
        <v>61.24</v>
      </c>
      <c r="O992" s="125">
        <f ca="1">IFERROR(__xludf.DUMMYFUNCTION("""COMPUTED_VALUE"""),44141.6666666666)</f>
        <v>44141.666666666599</v>
      </c>
      <c r="P992">
        <f ca="1">IFERROR(__xludf.DUMMYFUNCTION("""COMPUTED_VALUE"""),61.24)</f>
        <v>61.24</v>
      </c>
    </row>
    <row r="993" spans="2:16" ht="12.75">
      <c r="B993" s="125">
        <f ca="1">IFERROR(__xludf.DUMMYFUNCTION("""COMPUTED_VALUE"""),44144.6666666666)</f>
        <v>44144.666666666599</v>
      </c>
      <c r="C993">
        <f ca="1">IFERROR(__xludf.DUMMYFUNCTION("""COMPUTED_VALUE"""),59.4)</f>
        <v>59.4</v>
      </c>
      <c r="O993" s="125">
        <f ca="1">IFERROR(__xludf.DUMMYFUNCTION("""COMPUTED_VALUE"""),44144.6666666666)</f>
        <v>44144.666666666599</v>
      </c>
      <c r="P993">
        <f ca="1">IFERROR(__xludf.DUMMYFUNCTION("""COMPUTED_VALUE"""),59.4)</f>
        <v>59.4</v>
      </c>
    </row>
    <row r="994" spans="2:16" ht="12.75">
      <c r="B994" s="125">
        <f ca="1">IFERROR(__xludf.DUMMYFUNCTION("""COMPUTED_VALUE"""),44145.6666666666)</f>
        <v>44145.666666666599</v>
      </c>
      <c r="C994">
        <f ca="1">IFERROR(__xludf.DUMMYFUNCTION("""COMPUTED_VALUE"""),56.27)</f>
        <v>56.27</v>
      </c>
      <c r="O994" s="125">
        <f ca="1">IFERROR(__xludf.DUMMYFUNCTION("""COMPUTED_VALUE"""),44145.6666666666)</f>
        <v>44145.666666666599</v>
      </c>
      <c r="P994">
        <f ca="1">IFERROR(__xludf.DUMMYFUNCTION("""COMPUTED_VALUE"""),56.27)</f>
        <v>56.27</v>
      </c>
    </row>
    <row r="995" spans="2:16" ht="12.75">
      <c r="B995" s="125">
        <f ca="1">IFERROR(__xludf.DUMMYFUNCTION("""COMPUTED_VALUE"""),44146.6666666666)</f>
        <v>44146.666666666599</v>
      </c>
      <c r="C995">
        <f ca="1">IFERROR(__xludf.DUMMYFUNCTION("""COMPUTED_VALUE"""),56.83)</f>
        <v>56.83</v>
      </c>
      <c r="O995" s="125">
        <f ca="1">IFERROR(__xludf.DUMMYFUNCTION("""COMPUTED_VALUE"""),44146.6666666666)</f>
        <v>44146.666666666599</v>
      </c>
      <c r="P995">
        <f ca="1">IFERROR(__xludf.DUMMYFUNCTION("""COMPUTED_VALUE"""),56.83)</f>
        <v>56.83</v>
      </c>
    </row>
    <row r="996" spans="2:16" ht="12.75">
      <c r="B996" s="125">
        <f ca="1">IFERROR(__xludf.DUMMYFUNCTION("""COMPUTED_VALUE"""),44147.6666666666)</f>
        <v>44147.666666666599</v>
      </c>
      <c r="C996">
        <f ca="1">IFERROR(__xludf.DUMMYFUNCTION("""COMPUTED_VALUE"""),57.81)</f>
        <v>57.81</v>
      </c>
      <c r="O996" s="125">
        <f ca="1">IFERROR(__xludf.DUMMYFUNCTION("""COMPUTED_VALUE"""),44147.6666666666)</f>
        <v>44147.666666666599</v>
      </c>
      <c r="P996">
        <f ca="1">IFERROR(__xludf.DUMMYFUNCTION("""COMPUTED_VALUE"""),57.81)</f>
        <v>57.81</v>
      </c>
    </row>
    <row r="997" spans="2:16" ht="12.75">
      <c r="B997" s="125">
        <f ca="1">IFERROR(__xludf.DUMMYFUNCTION("""COMPUTED_VALUE"""),44148.6666666666)</f>
        <v>44148.666666666599</v>
      </c>
      <c r="C997">
        <f ca="1">IFERROR(__xludf.DUMMYFUNCTION("""COMPUTED_VALUE"""),59.51)</f>
        <v>59.51</v>
      </c>
      <c r="O997" s="125">
        <f ca="1">IFERROR(__xludf.DUMMYFUNCTION("""COMPUTED_VALUE"""),44148.6666666666)</f>
        <v>44148.666666666599</v>
      </c>
      <c r="P997">
        <f ca="1">IFERROR(__xludf.DUMMYFUNCTION("""COMPUTED_VALUE"""),59.51)</f>
        <v>59.51</v>
      </c>
    </row>
    <row r="998" spans="2:16" ht="12.75">
      <c r="B998" s="125">
        <f ca="1">IFERROR(__xludf.DUMMYFUNCTION("""COMPUTED_VALUE"""),44151.6666666666)</f>
        <v>44151.666666666599</v>
      </c>
      <c r="C998">
        <f ca="1">IFERROR(__xludf.DUMMYFUNCTION("""COMPUTED_VALUE"""),59.12)</f>
        <v>59.12</v>
      </c>
      <c r="O998" s="125">
        <f ca="1">IFERROR(__xludf.DUMMYFUNCTION("""COMPUTED_VALUE"""),44151.6666666666)</f>
        <v>44151.666666666599</v>
      </c>
      <c r="P998">
        <f ca="1">IFERROR(__xludf.DUMMYFUNCTION("""COMPUTED_VALUE"""),59.12)</f>
        <v>59.12</v>
      </c>
    </row>
    <row r="999" spans="2:16" ht="12.75">
      <c r="B999" s="125">
        <f ca="1">IFERROR(__xludf.DUMMYFUNCTION("""COMPUTED_VALUE"""),44152.6666666666)</f>
        <v>44152.666666666599</v>
      </c>
      <c r="C999">
        <f ca="1">IFERROR(__xludf.DUMMYFUNCTION("""COMPUTED_VALUE"""),58.38)</f>
        <v>58.38</v>
      </c>
      <c r="O999" s="125">
        <f ca="1">IFERROR(__xludf.DUMMYFUNCTION("""COMPUTED_VALUE"""),44152.6666666666)</f>
        <v>44152.666666666599</v>
      </c>
      <c r="P999">
        <f ca="1">IFERROR(__xludf.DUMMYFUNCTION("""COMPUTED_VALUE"""),58.38)</f>
        <v>58.38</v>
      </c>
    </row>
    <row r="1000" spans="2:16" ht="12.75">
      <c r="B1000" s="125">
        <f ca="1">IFERROR(__xludf.DUMMYFUNCTION("""COMPUTED_VALUE"""),44153.6666666666)</f>
        <v>44153.666666666599</v>
      </c>
      <c r="C1000">
        <f ca="1">IFERROR(__xludf.DUMMYFUNCTION("""COMPUTED_VALUE"""),57.88)</f>
        <v>57.88</v>
      </c>
      <c r="O1000" s="125">
        <f ca="1">IFERROR(__xludf.DUMMYFUNCTION("""COMPUTED_VALUE"""),44153.6666666666)</f>
        <v>44153.666666666599</v>
      </c>
      <c r="P1000">
        <f ca="1">IFERROR(__xludf.DUMMYFUNCTION("""COMPUTED_VALUE"""),57.88)</f>
        <v>57.88</v>
      </c>
    </row>
    <row r="1001" spans="2:16" ht="12.75">
      <c r="B1001" s="125">
        <f ca="1">IFERROR(__xludf.DUMMYFUNCTION("""COMPUTED_VALUE"""),44154.6666666666)</f>
        <v>44154.666666666599</v>
      </c>
      <c r="C1001">
        <f ca="1">IFERROR(__xludf.DUMMYFUNCTION("""COMPUTED_VALUE"""),58.76)</f>
        <v>58.76</v>
      </c>
      <c r="O1001" s="125">
        <f ca="1">IFERROR(__xludf.DUMMYFUNCTION("""COMPUTED_VALUE"""),44154.6666666666)</f>
        <v>44154.666666666599</v>
      </c>
      <c r="P1001">
        <f ca="1">IFERROR(__xludf.DUMMYFUNCTION("""COMPUTED_VALUE"""),58.76)</f>
        <v>58.76</v>
      </c>
    </row>
    <row r="1002" spans="2:16" ht="12.75">
      <c r="B1002" s="125">
        <f ca="1">IFERROR(__xludf.DUMMYFUNCTION("""COMPUTED_VALUE"""),44155.6666666666)</f>
        <v>44155.666666666599</v>
      </c>
      <c r="C1002">
        <f ca="1">IFERROR(__xludf.DUMMYFUNCTION("""COMPUTED_VALUE"""),60.06)</f>
        <v>60.06</v>
      </c>
      <c r="O1002" s="125">
        <f ca="1">IFERROR(__xludf.DUMMYFUNCTION("""COMPUTED_VALUE"""),44155.6666666666)</f>
        <v>44155.666666666599</v>
      </c>
      <c r="P1002">
        <f ca="1">IFERROR(__xludf.DUMMYFUNCTION("""COMPUTED_VALUE"""),60.06)</f>
        <v>60.06</v>
      </c>
    </row>
    <row r="1003" spans="2:16" ht="12.75">
      <c r="B1003" s="125">
        <f ca="1">IFERROR(__xludf.DUMMYFUNCTION("""COMPUTED_VALUE"""),44158.6666666666)</f>
        <v>44158.666666666599</v>
      </c>
      <c r="C1003">
        <f ca="1">IFERROR(__xludf.DUMMYFUNCTION("""COMPUTED_VALUE"""),59.68)</f>
        <v>59.68</v>
      </c>
      <c r="O1003" s="125">
        <f ca="1">IFERROR(__xludf.DUMMYFUNCTION("""COMPUTED_VALUE"""),44158.6666666666)</f>
        <v>44158.666666666599</v>
      </c>
      <c r="P1003">
        <f ca="1">IFERROR(__xludf.DUMMYFUNCTION("""COMPUTED_VALUE"""),59.68)</f>
        <v>59.68</v>
      </c>
    </row>
    <row r="1004" spans="2:16" ht="12.75">
      <c r="B1004" s="125">
        <f ca="1">IFERROR(__xludf.DUMMYFUNCTION("""COMPUTED_VALUE"""),44159.6666666666)</f>
        <v>44159.666666666599</v>
      </c>
      <c r="C1004">
        <f ca="1">IFERROR(__xludf.DUMMYFUNCTION("""COMPUTED_VALUE"""),60.57)</f>
        <v>60.57</v>
      </c>
      <c r="O1004" s="125">
        <f ca="1">IFERROR(__xludf.DUMMYFUNCTION("""COMPUTED_VALUE"""),44159.6666666666)</f>
        <v>44159.666666666599</v>
      </c>
      <c r="P1004">
        <f ca="1">IFERROR(__xludf.DUMMYFUNCTION("""COMPUTED_VALUE"""),60.57)</f>
        <v>60.57</v>
      </c>
    </row>
    <row r="1005" spans="2:16" ht="12.75">
      <c r="B1005" s="125">
        <f ca="1">IFERROR(__xludf.DUMMYFUNCTION("""COMPUTED_VALUE"""),44160.6666666666)</f>
        <v>44160.666666666599</v>
      </c>
      <c r="C1005">
        <f ca="1">IFERROR(__xludf.DUMMYFUNCTION("""COMPUTED_VALUE"""),60.09)</f>
        <v>60.09</v>
      </c>
      <c r="O1005" s="125">
        <f ca="1">IFERROR(__xludf.DUMMYFUNCTION("""COMPUTED_VALUE"""),44160.6666666666)</f>
        <v>44160.666666666599</v>
      </c>
      <c r="P1005">
        <f ca="1">IFERROR(__xludf.DUMMYFUNCTION("""COMPUTED_VALUE"""),60.09)</f>
        <v>60.09</v>
      </c>
    </row>
    <row r="1006" spans="2:16" ht="12.75">
      <c r="B1006" s="125">
        <f ca="1">IFERROR(__xludf.DUMMYFUNCTION("""COMPUTED_VALUE"""),44162.5416666666)</f>
        <v>44162.541666666599</v>
      </c>
      <c r="C1006">
        <f ca="1">IFERROR(__xludf.DUMMYFUNCTION("""COMPUTED_VALUE"""),61.59)</f>
        <v>61.59</v>
      </c>
      <c r="O1006" s="125">
        <f ca="1">IFERROR(__xludf.DUMMYFUNCTION("""COMPUTED_VALUE"""),44162.5416666666)</f>
        <v>44162.541666666599</v>
      </c>
      <c r="P1006">
        <f ca="1">IFERROR(__xludf.DUMMYFUNCTION("""COMPUTED_VALUE"""),61.59)</f>
        <v>61.59</v>
      </c>
    </row>
    <row r="1007" spans="2:16" ht="12.75">
      <c r="B1007" s="125">
        <f ca="1">IFERROR(__xludf.DUMMYFUNCTION("""COMPUTED_VALUE"""),44165.6666666666)</f>
        <v>44165.666666666599</v>
      </c>
      <c r="C1007">
        <f ca="1">IFERROR(__xludf.DUMMYFUNCTION("""COMPUTED_VALUE"""),60.18)</f>
        <v>60.18</v>
      </c>
      <c r="O1007" s="125">
        <f ca="1">IFERROR(__xludf.DUMMYFUNCTION("""COMPUTED_VALUE"""),44165.6666666666)</f>
        <v>44165.666666666599</v>
      </c>
      <c r="P1007">
        <f ca="1">IFERROR(__xludf.DUMMYFUNCTION("""COMPUTED_VALUE"""),60.18)</f>
        <v>60.18</v>
      </c>
    </row>
    <row r="1008" spans="2:16" ht="12.75">
      <c r="B1008" s="125">
        <f ca="1">IFERROR(__xludf.DUMMYFUNCTION("""COMPUTED_VALUE"""),44166.6666666666)</f>
        <v>44166.666666666599</v>
      </c>
      <c r="C1008">
        <f ca="1">IFERROR(__xludf.DUMMYFUNCTION("""COMPUTED_VALUE"""),60.08)</f>
        <v>60.08</v>
      </c>
      <c r="O1008" s="125">
        <f ca="1">IFERROR(__xludf.DUMMYFUNCTION("""COMPUTED_VALUE"""),44166.6666666666)</f>
        <v>44166.666666666599</v>
      </c>
      <c r="P1008">
        <f ca="1">IFERROR(__xludf.DUMMYFUNCTION("""COMPUTED_VALUE"""),60.08)</f>
        <v>60.08</v>
      </c>
    </row>
    <row r="1009" spans="2:16" ht="12.75">
      <c r="B1009" s="125">
        <f ca="1">IFERROR(__xludf.DUMMYFUNCTION("""COMPUTED_VALUE"""),44167.6666666666)</f>
        <v>44167.666666666599</v>
      </c>
      <c r="C1009">
        <f ca="1">IFERROR(__xludf.DUMMYFUNCTION("""COMPUTED_VALUE"""),59.86)</f>
        <v>59.86</v>
      </c>
      <c r="O1009" s="125">
        <f ca="1">IFERROR(__xludf.DUMMYFUNCTION("""COMPUTED_VALUE"""),44167.6666666666)</f>
        <v>44167.666666666599</v>
      </c>
      <c r="P1009">
        <f ca="1">IFERROR(__xludf.DUMMYFUNCTION("""COMPUTED_VALUE"""),59.86)</f>
        <v>59.86</v>
      </c>
    </row>
    <row r="1010" spans="2:16" ht="12.75">
      <c r="B1010" s="125">
        <f ca="1">IFERROR(__xludf.DUMMYFUNCTION("""COMPUTED_VALUE"""),44168.6666666666)</f>
        <v>44168.666666666599</v>
      </c>
      <c r="C1010">
        <f ca="1">IFERROR(__xludf.DUMMYFUNCTION("""COMPUTED_VALUE"""),60.69)</f>
        <v>60.69</v>
      </c>
      <c r="O1010" s="125">
        <f ca="1">IFERROR(__xludf.DUMMYFUNCTION("""COMPUTED_VALUE"""),44168.6666666666)</f>
        <v>44168.666666666599</v>
      </c>
      <c r="P1010">
        <f ca="1">IFERROR(__xludf.DUMMYFUNCTION("""COMPUTED_VALUE"""),60.69)</f>
        <v>60.69</v>
      </c>
    </row>
    <row r="1011" spans="2:16" ht="12.75">
      <c r="B1011" s="125">
        <f ca="1">IFERROR(__xludf.DUMMYFUNCTION("""COMPUTED_VALUE"""),44169.6666666666)</f>
        <v>44169.666666666599</v>
      </c>
      <c r="C1011">
        <f ca="1">IFERROR(__xludf.DUMMYFUNCTION("""COMPUTED_VALUE"""),61.12)</f>
        <v>61.12</v>
      </c>
      <c r="O1011" s="125">
        <f ca="1">IFERROR(__xludf.DUMMYFUNCTION("""COMPUTED_VALUE"""),44169.6666666666)</f>
        <v>44169.666666666599</v>
      </c>
      <c r="P1011">
        <f ca="1">IFERROR(__xludf.DUMMYFUNCTION("""COMPUTED_VALUE"""),61.12)</f>
        <v>61.12</v>
      </c>
    </row>
    <row r="1012" spans="2:16" ht="12.75">
      <c r="B1012" s="125">
        <f ca="1">IFERROR(__xludf.DUMMYFUNCTION("""COMPUTED_VALUE"""),44172.6666666666)</f>
        <v>44172.666666666599</v>
      </c>
      <c r="C1012">
        <f ca="1">IFERROR(__xludf.DUMMYFUNCTION("""COMPUTED_VALUE"""),61.17)</f>
        <v>61.17</v>
      </c>
      <c r="O1012" s="125">
        <f ca="1">IFERROR(__xludf.DUMMYFUNCTION("""COMPUTED_VALUE"""),44172.6666666666)</f>
        <v>44172.666666666599</v>
      </c>
      <c r="P1012">
        <f ca="1">IFERROR(__xludf.DUMMYFUNCTION("""COMPUTED_VALUE"""),61.17)</f>
        <v>61.17</v>
      </c>
    </row>
    <row r="1013" spans="2:16" ht="12.75">
      <c r="B1013" s="125">
        <f ca="1">IFERROR(__xludf.DUMMYFUNCTION("""COMPUTED_VALUE"""),44173.6666666666)</f>
        <v>44173.666666666599</v>
      </c>
      <c r="C1013">
        <f ca="1">IFERROR(__xludf.DUMMYFUNCTION("""COMPUTED_VALUE"""),62.06)</f>
        <v>62.06</v>
      </c>
      <c r="O1013" s="125">
        <f ca="1">IFERROR(__xludf.DUMMYFUNCTION("""COMPUTED_VALUE"""),44173.6666666666)</f>
        <v>44173.666666666599</v>
      </c>
      <c r="P1013">
        <f ca="1">IFERROR(__xludf.DUMMYFUNCTION("""COMPUTED_VALUE"""),62.06)</f>
        <v>62.06</v>
      </c>
    </row>
    <row r="1014" spans="2:16" ht="12.75">
      <c r="B1014" s="125">
        <f ca="1">IFERROR(__xludf.DUMMYFUNCTION("""COMPUTED_VALUE"""),44174.6666666666)</f>
        <v>44174.666666666599</v>
      </c>
      <c r="C1014">
        <f ca="1">IFERROR(__xludf.DUMMYFUNCTION("""COMPUTED_VALUE"""),61.02)</f>
        <v>61.02</v>
      </c>
      <c r="O1014" s="125">
        <f ca="1">IFERROR(__xludf.DUMMYFUNCTION("""COMPUTED_VALUE"""),44174.6666666666)</f>
        <v>44174.666666666599</v>
      </c>
      <c r="P1014">
        <f ca="1">IFERROR(__xludf.DUMMYFUNCTION("""COMPUTED_VALUE"""),61.02)</f>
        <v>61.02</v>
      </c>
    </row>
    <row r="1015" spans="2:16" ht="12.75">
      <c r="B1015" s="125">
        <f ca="1">IFERROR(__xludf.DUMMYFUNCTION("""COMPUTED_VALUE"""),44175.6666666666)</f>
        <v>44175.666666666599</v>
      </c>
      <c r="C1015">
        <f ca="1">IFERROR(__xludf.DUMMYFUNCTION("""COMPUTED_VALUE"""),62.31)</f>
        <v>62.31</v>
      </c>
      <c r="O1015" s="125">
        <f ca="1">IFERROR(__xludf.DUMMYFUNCTION("""COMPUTED_VALUE"""),44175.6666666666)</f>
        <v>44175.666666666599</v>
      </c>
      <c r="P1015">
        <f ca="1">IFERROR(__xludf.DUMMYFUNCTION("""COMPUTED_VALUE"""),62.31)</f>
        <v>62.31</v>
      </c>
    </row>
    <row r="1016" spans="2:16" ht="12.75">
      <c r="B1016" s="125">
        <f ca="1">IFERROR(__xludf.DUMMYFUNCTION("""COMPUTED_VALUE"""),44176.6666666666)</f>
        <v>44176.666666666599</v>
      </c>
      <c r="C1016">
        <f ca="1">IFERROR(__xludf.DUMMYFUNCTION("""COMPUTED_VALUE"""),61.92)</f>
        <v>61.92</v>
      </c>
      <c r="O1016" s="125">
        <f ca="1">IFERROR(__xludf.DUMMYFUNCTION("""COMPUTED_VALUE"""),44176.6666666666)</f>
        <v>44176.666666666599</v>
      </c>
      <c r="P1016">
        <f ca="1">IFERROR(__xludf.DUMMYFUNCTION("""COMPUTED_VALUE"""),61.92)</f>
        <v>61.92</v>
      </c>
    </row>
    <row r="1017" spans="2:16" ht="12.75">
      <c r="B1017" s="125">
        <f ca="1">IFERROR(__xludf.DUMMYFUNCTION("""COMPUTED_VALUE"""),44179.6666666666)</f>
        <v>44179.666666666599</v>
      </c>
      <c r="C1017">
        <f ca="1">IFERROR(__xludf.DUMMYFUNCTION("""COMPUTED_VALUE"""),61.3)</f>
        <v>61.3</v>
      </c>
      <c r="O1017" s="125">
        <f ca="1">IFERROR(__xludf.DUMMYFUNCTION("""COMPUTED_VALUE"""),44179.6666666666)</f>
        <v>44179.666666666599</v>
      </c>
      <c r="P1017">
        <f ca="1">IFERROR(__xludf.DUMMYFUNCTION("""COMPUTED_VALUE"""),61.3)</f>
        <v>61.3</v>
      </c>
    </row>
    <row r="1018" spans="2:16" ht="12.75">
      <c r="B1018" s="125">
        <f ca="1">IFERROR(__xludf.DUMMYFUNCTION("""COMPUTED_VALUE"""),44180.6666666666)</f>
        <v>44180.666666666599</v>
      </c>
      <c r="C1018">
        <f ca="1">IFERROR(__xludf.DUMMYFUNCTION("""COMPUTED_VALUE"""),61.66)</f>
        <v>61.66</v>
      </c>
      <c r="O1018" s="125">
        <f ca="1">IFERROR(__xludf.DUMMYFUNCTION("""COMPUTED_VALUE"""),44180.6666666666)</f>
        <v>44180.666666666599</v>
      </c>
      <c r="P1018">
        <f ca="1">IFERROR(__xludf.DUMMYFUNCTION("""COMPUTED_VALUE"""),61.66)</f>
        <v>61.66</v>
      </c>
    </row>
    <row r="1019" spans="2:16" ht="12.75">
      <c r="B1019" s="125">
        <f ca="1">IFERROR(__xludf.DUMMYFUNCTION("""COMPUTED_VALUE"""),44181.6666666666)</f>
        <v>44181.666666666599</v>
      </c>
      <c r="C1019">
        <f ca="1">IFERROR(__xludf.DUMMYFUNCTION("""COMPUTED_VALUE"""),62.59)</f>
        <v>62.59</v>
      </c>
      <c r="O1019" s="125">
        <f ca="1">IFERROR(__xludf.DUMMYFUNCTION("""COMPUTED_VALUE"""),44181.6666666666)</f>
        <v>44181.666666666599</v>
      </c>
      <c r="P1019">
        <f ca="1">IFERROR(__xludf.DUMMYFUNCTION("""COMPUTED_VALUE"""),62.59)</f>
        <v>62.59</v>
      </c>
    </row>
    <row r="1020" spans="2:16" ht="12.75">
      <c r="B1020" s="125">
        <f ca="1">IFERROR(__xludf.DUMMYFUNCTION("""COMPUTED_VALUE"""),44182.6666666666)</f>
        <v>44182.666666666599</v>
      </c>
      <c r="C1020">
        <f ca="1">IFERROR(__xludf.DUMMYFUNCTION("""COMPUTED_VALUE"""),63.45)</f>
        <v>63.45</v>
      </c>
      <c r="O1020" s="125">
        <f ca="1">IFERROR(__xludf.DUMMYFUNCTION("""COMPUTED_VALUE"""),44182.6666666666)</f>
        <v>44182.666666666599</v>
      </c>
      <c r="P1020">
        <f ca="1">IFERROR(__xludf.DUMMYFUNCTION("""COMPUTED_VALUE"""),63.45)</f>
        <v>63.45</v>
      </c>
    </row>
    <row r="1021" spans="2:16" ht="12.75">
      <c r="B1021" s="125">
        <f ca="1">IFERROR(__xludf.DUMMYFUNCTION("""COMPUTED_VALUE"""),44183.6666666666)</f>
        <v>44183.666666666599</v>
      </c>
      <c r="C1021">
        <f ca="1">IFERROR(__xludf.DUMMYFUNCTION("""COMPUTED_VALUE"""),63.29)</f>
        <v>63.29</v>
      </c>
      <c r="O1021" s="125">
        <f ca="1">IFERROR(__xludf.DUMMYFUNCTION("""COMPUTED_VALUE"""),44183.6666666666)</f>
        <v>44183.666666666599</v>
      </c>
      <c r="P1021">
        <f ca="1">IFERROR(__xludf.DUMMYFUNCTION("""COMPUTED_VALUE"""),63.29)</f>
        <v>63.29</v>
      </c>
    </row>
    <row r="1022" spans="2:16" ht="12.75">
      <c r="B1022" s="125">
        <f ca="1">IFERROR(__xludf.DUMMYFUNCTION("""COMPUTED_VALUE"""),44186.6666666666)</f>
        <v>44186.666666666599</v>
      </c>
      <c r="C1022">
        <f ca="1">IFERROR(__xludf.DUMMYFUNCTION("""COMPUTED_VALUE"""),62.83)</f>
        <v>62.83</v>
      </c>
      <c r="O1022" s="125">
        <f ca="1">IFERROR(__xludf.DUMMYFUNCTION("""COMPUTED_VALUE"""),44186.6666666666)</f>
        <v>44186.666666666599</v>
      </c>
      <c r="P1022">
        <f ca="1">IFERROR(__xludf.DUMMYFUNCTION("""COMPUTED_VALUE"""),62.83)</f>
        <v>62.83</v>
      </c>
    </row>
    <row r="1023" spans="2:16" ht="12.75">
      <c r="B1023" s="125">
        <f ca="1">IFERROR(__xludf.DUMMYFUNCTION("""COMPUTED_VALUE"""),44187.6666666666)</f>
        <v>44187.666666666599</v>
      </c>
      <c r="C1023">
        <f ca="1">IFERROR(__xludf.DUMMYFUNCTION("""COMPUTED_VALUE"""),62.2)</f>
        <v>62.2</v>
      </c>
      <c r="O1023" s="125">
        <f ca="1">IFERROR(__xludf.DUMMYFUNCTION("""COMPUTED_VALUE"""),44187.6666666666)</f>
        <v>44187.666666666599</v>
      </c>
      <c r="P1023">
        <f ca="1">IFERROR(__xludf.DUMMYFUNCTION("""COMPUTED_VALUE"""),62.2)</f>
        <v>62.2</v>
      </c>
    </row>
    <row r="1024" spans="2:16" ht="12.75">
      <c r="B1024" s="125">
        <f ca="1">IFERROR(__xludf.DUMMYFUNCTION("""COMPUTED_VALUE"""),44188.6666666666)</f>
        <v>44188.666666666599</v>
      </c>
      <c r="C1024">
        <f ca="1">IFERROR(__xludf.DUMMYFUNCTION("""COMPUTED_VALUE"""),62.61)</f>
        <v>62.61</v>
      </c>
      <c r="O1024" s="125">
        <f ca="1">IFERROR(__xludf.DUMMYFUNCTION("""COMPUTED_VALUE"""),44188.6666666666)</f>
        <v>44188.666666666599</v>
      </c>
      <c r="P1024">
        <f ca="1">IFERROR(__xludf.DUMMYFUNCTION("""COMPUTED_VALUE"""),62.61)</f>
        <v>62.61</v>
      </c>
    </row>
    <row r="1025" spans="2:16" ht="12.75">
      <c r="B1025" s="125">
        <f ca="1">IFERROR(__xludf.DUMMYFUNCTION("""COMPUTED_VALUE"""),44189.5416666666)</f>
        <v>44189.541666666599</v>
      </c>
      <c r="C1025">
        <f ca="1">IFERROR(__xludf.DUMMYFUNCTION("""COMPUTED_VALUE"""),61.4)</f>
        <v>61.4</v>
      </c>
      <c r="O1025" s="125">
        <f ca="1">IFERROR(__xludf.DUMMYFUNCTION("""COMPUTED_VALUE"""),44189.5416666666)</f>
        <v>44189.541666666599</v>
      </c>
      <c r="P1025">
        <f ca="1">IFERROR(__xludf.DUMMYFUNCTION("""COMPUTED_VALUE"""),61.4)</f>
        <v>61.4</v>
      </c>
    </row>
    <row r="1026" spans="2:16" ht="12.75">
      <c r="B1026" s="125">
        <f ca="1">IFERROR(__xludf.DUMMYFUNCTION("""COMPUTED_VALUE"""),44193.6666666666)</f>
        <v>44193.666666666599</v>
      </c>
      <c r="C1026">
        <f ca="1">IFERROR(__xludf.DUMMYFUNCTION("""COMPUTED_VALUE"""),60.01)</f>
        <v>60.01</v>
      </c>
      <c r="O1026" s="125">
        <f ca="1">IFERROR(__xludf.DUMMYFUNCTION("""COMPUTED_VALUE"""),44193.6666666666)</f>
        <v>44193.666666666599</v>
      </c>
      <c r="P1026">
        <f ca="1">IFERROR(__xludf.DUMMYFUNCTION("""COMPUTED_VALUE"""),60.01)</f>
        <v>60.01</v>
      </c>
    </row>
    <row r="1027" spans="2:16" ht="12.75">
      <c r="B1027" s="125">
        <f ca="1">IFERROR(__xludf.DUMMYFUNCTION("""COMPUTED_VALUE"""),44194.6666666666)</f>
        <v>44194.666666666599</v>
      </c>
      <c r="C1027">
        <f ca="1">IFERROR(__xludf.DUMMYFUNCTION("""COMPUTED_VALUE"""),61.9)</f>
        <v>61.9</v>
      </c>
      <c r="O1027" s="125">
        <f ca="1">IFERROR(__xludf.DUMMYFUNCTION("""COMPUTED_VALUE"""),44194.6666666666)</f>
        <v>44194.666666666599</v>
      </c>
      <c r="P1027">
        <f ca="1">IFERROR(__xludf.DUMMYFUNCTION("""COMPUTED_VALUE"""),61.9)</f>
        <v>61.9</v>
      </c>
    </row>
    <row r="1028" spans="2:16" ht="12.75">
      <c r="B1028" s="125">
        <f ca="1">IFERROR(__xludf.DUMMYFUNCTION("""COMPUTED_VALUE"""),44195.6666666666)</f>
        <v>44195.666666666599</v>
      </c>
      <c r="C1028">
        <f ca="1">IFERROR(__xludf.DUMMYFUNCTION("""COMPUTED_VALUE"""),64.16)</f>
        <v>64.16</v>
      </c>
      <c r="O1028" s="125">
        <f ca="1">IFERROR(__xludf.DUMMYFUNCTION("""COMPUTED_VALUE"""),44195.6666666666)</f>
        <v>44195.666666666599</v>
      </c>
      <c r="P1028">
        <f ca="1">IFERROR(__xludf.DUMMYFUNCTION("""COMPUTED_VALUE"""),64.16)</f>
        <v>64.16</v>
      </c>
    </row>
    <row r="1029" spans="2:16" ht="12.75">
      <c r="B1029" s="125">
        <f ca="1">IFERROR(__xludf.DUMMYFUNCTION("""COMPUTED_VALUE"""),44196.6666666666)</f>
        <v>44196.666666666599</v>
      </c>
      <c r="C1029">
        <f ca="1">IFERROR(__xludf.DUMMYFUNCTION("""COMPUTED_VALUE"""),63.58)</f>
        <v>63.58</v>
      </c>
      <c r="O1029" s="125">
        <f ca="1">IFERROR(__xludf.DUMMYFUNCTION("""COMPUTED_VALUE"""),44196.6666666666)</f>
        <v>44196.666666666599</v>
      </c>
      <c r="P1029">
        <f ca="1">IFERROR(__xludf.DUMMYFUNCTION("""COMPUTED_VALUE"""),63.58)</f>
        <v>63.58</v>
      </c>
    </row>
    <row r="1030" spans="2:16" ht="12.75">
      <c r="B1030" s="125">
        <f ca="1">IFERROR(__xludf.DUMMYFUNCTION("""COMPUTED_VALUE"""),44200.6666666666)</f>
        <v>44200.666666666599</v>
      </c>
      <c r="C1030">
        <f ca="1">IFERROR(__xludf.DUMMYFUNCTION("""COMPUTED_VALUE"""),63.27)</f>
        <v>63.27</v>
      </c>
      <c r="O1030" s="125">
        <f ca="1">IFERROR(__xludf.DUMMYFUNCTION("""COMPUTED_VALUE"""),44200.6666666666)</f>
        <v>44200.666666666599</v>
      </c>
      <c r="P1030">
        <f ca="1">IFERROR(__xludf.DUMMYFUNCTION("""COMPUTED_VALUE"""),63.27)</f>
        <v>63.27</v>
      </c>
    </row>
    <row r="1031" spans="2:16" ht="12.75">
      <c r="B1031" s="125">
        <f ca="1">IFERROR(__xludf.DUMMYFUNCTION("""COMPUTED_VALUE"""),44201.6666666666)</f>
        <v>44201.666666666599</v>
      </c>
      <c r="C1031">
        <f ca="1">IFERROR(__xludf.DUMMYFUNCTION("""COMPUTED_VALUE"""),66)</f>
        <v>66</v>
      </c>
      <c r="O1031" s="125">
        <f ca="1">IFERROR(__xludf.DUMMYFUNCTION("""COMPUTED_VALUE"""),44201.6666666666)</f>
        <v>44201.666666666599</v>
      </c>
      <c r="P1031">
        <f ca="1">IFERROR(__xludf.DUMMYFUNCTION("""COMPUTED_VALUE"""),66)</f>
        <v>66</v>
      </c>
    </row>
    <row r="1032" spans="2:16" ht="12.75">
      <c r="B1032" s="125">
        <f ca="1">IFERROR(__xludf.DUMMYFUNCTION("""COMPUTED_VALUE"""),44202.6666666666)</f>
        <v>44202.666666666599</v>
      </c>
      <c r="C1032">
        <f ca="1">IFERROR(__xludf.DUMMYFUNCTION("""COMPUTED_VALUE"""),63.76)</f>
        <v>63.76</v>
      </c>
      <c r="O1032" s="125">
        <f ca="1">IFERROR(__xludf.DUMMYFUNCTION("""COMPUTED_VALUE"""),44202.6666666666)</f>
        <v>44202.666666666599</v>
      </c>
      <c r="P1032">
        <f ca="1">IFERROR(__xludf.DUMMYFUNCTION("""COMPUTED_VALUE"""),63.76)</f>
        <v>63.76</v>
      </c>
    </row>
    <row r="1033" spans="2:16" ht="12.75">
      <c r="B1033" s="125">
        <f ca="1">IFERROR(__xludf.DUMMYFUNCTION("""COMPUTED_VALUE"""),44203.6666666666)</f>
        <v>44203.666666666599</v>
      </c>
      <c r="C1033">
        <f ca="1">IFERROR(__xludf.DUMMYFUNCTION("""COMPUTED_VALUE"""),64.24)</f>
        <v>64.239999999999995</v>
      </c>
      <c r="O1033" s="125">
        <f ca="1">IFERROR(__xludf.DUMMYFUNCTION("""COMPUTED_VALUE"""),44203.6666666666)</f>
        <v>44203.666666666599</v>
      </c>
      <c r="P1033">
        <f ca="1">IFERROR(__xludf.DUMMYFUNCTION("""COMPUTED_VALUE"""),64.24)</f>
        <v>64.239999999999995</v>
      </c>
    </row>
    <row r="1034" spans="2:16" ht="12.75">
      <c r="B1034" s="125">
        <f ca="1">IFERROR(__xludf.DUMMYFUNCTION("""COMPUTED_VALUE"""),44204.6666666666)</f>
        <v>44204.666666666599</v>
      </c>
      <c r="C1034">
        <f ca="1">IFERROR(__xludf.DUMMYFUNCTION("""COMPUTED_VALUE"""),67.27)</f>
        <v>67.27</v>
      </c>
      <c r="O1034" s="125">
        <f ca="1">IFERROR(__xludf.DUMMYFUNCTION("""COMPUTED_VALUE"""),44204.6666666666)</f>
        <v>44204.666666666599</v>
      </c>
      <c r="P1034">
        <f ca="1">IFERROR(__xludf.DUMMYFUNCTION("""COMPUTED_VALUE"""),67.27)</f>
        <v>67.27</v>
      </c>
    </row>
    <row r="1035" spans="2:16" ht="12.75">
      <c r="B1035" s="125">
        <f ca="1">IFERROR(__xludf.DUMMYFUNCTION("""COMPUTED_VALUE"""),44207.6666666666)</f>
        <v>44207.666666666599</v>
      </c>
      <c r="C1035">
        <f ca="1">IFERROR(__xludf.DUMMYFUNCTION("""COMPUTED_VALUE"""),65.7)</f>
        <v>65.7</v>
      </c>
      <c r="O1035" s="125">
        <f ca="1">IFERROR(__xludf.DUMMYFUNCTION("""COMPUTED_VALUE"""),44207.6666666666)</f>
        <v>44207.666666666599</v>
      </c>
      <c r="P1035">
        <f ca="1">IFERROR(__xludf.DUMMYFUNCTION("""COMPUTED_VALUE"""),65.7)</f>
        <v>65.7</v>
      </c>
    </row>
    <row r="1036" spans="2:16" ht="12.75">
      <c r="B1036" s="125">
        <f ca="1">IFERROR(__xludf.DUMMYFUNCTION("""COMPUTED_VALUE"""),44208.6666666666)</f>
        <v>44208.666666666599</v>
      </c>
      <c r="C1036">
        <f ca="1">IFERROR(__xludf.DUMMYFUNCTION("""COMPUTED_VALUE"""),66.26)</f>
        <v>66.260000000000005</v>
      </c>
      <c r="O1036" s="125">
        <f ca="1">IFERROR(__xludf.DUMMYFUNCTION("""COMPUTED_VALUE"""),44208.6666666666)</f>
        <v>44208.666666666599</v>
      </c>
      <c r="P1036">
        <f ca="1">IFERROR(__xludf.DUMMYFUNCTION("""COMPUTED_VALUE"""),66.26)</f>
        <v>66.260000000000005</v>
      </c>
    </row>
    <row r="1037" spans="2:16" ht="12.75">
      <c r="B1037" s="125">
        <f ca="1">IFERROR(__xludf.DUMMYFUNCTION("""COMPUTED_VALUE"""),44209.6666666666)</f>
        <v>44209.666666666599</v>
      </c>
      <c r="C1037">
        <f ca="1">IFERROR(__xludf.DUMMYFUNCTION("""COMPUTED_VALUE"""),66.29)</f>
        <v>66.290000000000006</v>
      </c>
      <c r="O1037" s="125">
        <f ca="1">IFERROR(__xludf.DUMMYFUNCTION("""COMPUTED_VALUE"""),44209.6666666666)</f>
        <v>44209.666666666599</v>
      </c>
      <c r="P1037">
        <f ca="1">IFERROR(__xludf.DUMMYFUNCTION("""COMPUTED_VALUE"""),66.29)</f>
        <v>66.290000000000006</v>
      </c>
    </row>
    <row r="1038" spans="2:16" ht="12.75">
      <c r="B1038" s="125">
        <f ca="1">IFERROR(__xludf.DUMMYFUNCTION("""COMPUTED_VALUE"""),44210.6666666666)</f>
        <v>44210.666666666599</v>
      </c>
      <c r="C1038">
        <f ca="1">IFERROR(__xludf.DUMMYFUNCTION("""COMPUTED_VALUE"""),67.48)</f>
        <v>67.48</v>
      </c>
      <c r="O1038" s="125">
        <f ca="1">IFERROR(__xludf.DUMMYFUNCTION("""COMPUTED_VALUE"""),44210.6666666666)</f>
        <v>44210.666666666599</v>
      </c>
      <c r="P1038">
        <f ca="1">IFERROR(__xludf.DUMMYFUNCTION("""COMPUTED_VALUE"""),67.48)</f>
        <v>67.48</v>
      </c>
    </row>
    <row r="1039" spans="2:16" ht="12.75">
      <c r="B1039" s="125">
        <f ca="1">IFERROR(__xludf.DUMMYFUNCTION("""COMPUTED_VALUE"""),44211.6666666666)</f>
        <v>44211.666666666599</v>
      </c>
      <c r="C1039">
        <f ca="1">IFERROR(__xludf.DUMMYFUNCTION("""COMPUTED_VALUE"""),66.66)</f>
        <v>66.66</v>
      </c>
      <c r="O1039" s="125">
        <f ca="1">IFERROR(__xludf.DUMMYFUNCTION("""COMPUTED_VALUE"""),44211.6666666666)</f>
        <v>44211.666666666599</v>
      </c>
      <c r="P1039">
        <f ca="1">IFERROR(__xludf.DUMMYFUNCTION("""COMPUTED_VALUE"""),66.66)</f>
        <v>66.66</v>
      </c>
    </row>
    <row r="1040" spans="2:16" ht="12.75">
      <c r="B1040" s="125">
        <f ca="1">IFERROR(__xludf.DUMMYFUNCTION("""COMPUTED_VALUE"""),44215.6666666666)</f>
        <v>44215.666666666599</v>
      </c>
      <c r="C1040">
        <f ca="1">IFERROR(__xludf.DUMMYFUNCTION("""COMPUTED_VALUE"""),69.19)</f>
        <v>69.19</v>
      </c>
      <c r="O1040" s="125">
        <f ca="1">IFERROR(__xludf.DUMMYFUNCTION("""COMPUTED_VALUE"""),44215.6666666666)</f>
        <v>44215.666666666599</v>
      </c>
      <c r="P1040">
        <f ca="1">IFERROR(__xludf.DUMMYFUNCTION("""COMPUTED_VALUE"""),69.19)</f>
        <v>69.19</v>
      </c>
    </row>
    <row r="1041" spans="2:16" ht="12.75">
      <c r="B1041" s="125">
        <f ca="1">IFERROR(__xludf.DUMMYFUNCTION("""COMPUTED_VALUE"""),44216.6666666666)</f>
        <v>44216.666666666599</v>
      </c>
      <c r="C1041">
        <f ca="1">IFERROR(__xludf.DUMMYFUNCTION("""COMPUTED_VALUE"""),71.66)</f>
        <v>71.66</v>
      </c>
      <c r="O1041" s="125">
        <f ca="1">IFERROR(__xludf.DUMMYFUNCTION("""COMPUTED_VALUE"""),44216.6666666666)</f>
        <v>44216.666666666599</v>
      </c>
      <c r="P1041">
        <f ca="1">IFERROR(__xludf.DUMMYFUNCTION("""COMPUTED_VALUE"""),71.66)</f>
        <v>71.66</v>
      </c>
    </row>
    <row r="1042" spans="2:16" ht="12.75">
      <c r="B1042" s="125">
        <f ca="1">IFERROR(__xludf.DUMMYFUNCTION("""COMPUTED_VALUE"""),44217.6666666666)</f>
        <v>44217.666666666599</v>
      </c>
      <c r="C1042">
        <f ca="1">IFERROR(__xludf.DUMMYFUNCTION("""COMPUTED_VALUE"""),72.08)</f>
        <v>72.08</v>
      </c>
      <c r="O1042" s="125">
        <f ca="1">IFERROR(__xludf.DUMMYFUNCTION("""COMPUTED_VALUE"""),44217.6666666666)</f>
        <v>44217.666666666599</v>
      </c>
      <c r="P1042">
        <f ca="1">IFERROR(__xludf.DUMMYFUNCTION("""COMPUTED_VALUE"""),72.08)</f>
        <v>72.08</v>
      </c>
    </row>
    <row r="1043" spans="2:16" ht="12.75">
      <c r="B1043" s="125">
        <f ca="1">IFERROR(__xludf.DUMMYFUNCTION("""COMPUTED_VALUE"""),44218.6666666666)</f>
        <v>44218.666666666599</v>
      </c>
      <c r="C1043">
        <f ca="1">IFERROR(__xludf.DUMMYFUNCTION("""COMPUTED_VALUE"""),72.78)</f>
        <v>72.78</v>
      </c>
      <c r="O1043" s="125">
        <f ca="1">IFERROR(__xludf.DUMMYFUNCTION("""COMPUTED_VALUE"""),44218.6666666666)</f>
        <v>44218.666666666599</v>
      </c>
      <c r="P1043">
        <f ca="1">IFERROR(__xludf.DUMMYFUNCTION("""COMPUTED_VALUE"""),72.78)</f>
        <v>72.78</v>
      </c>
    </row>
    <row r="1044" spans="2:16" ht="12.75">
      <c r="B1044" s="125">
        <f ca="1">IFERROR(__xludf.DUMMYFUNCTION("""COMPUTED_VALUE"""),44221.6666666666)</f>
        <v>44221.666666666599</v>
      </c>
      <c r="C1044">
        <f ca="1">IFERROR(__xludf.DUMMYFUNCTION("""COMPUTED_VALUE"""),74.36)</f>
        <v>74.36</v>
      </c>
      <c r="O1044" s="125">
        <f ca="1">IFERROR(__xludf.DUMMYFUNCTION("""COMPUTED_VALUE"""),44221.6666666666)</f>
        <v>44221.666666666599</v>
      </c>
      <c r="P1044">
        <f ca="1">IFERROR(__xludf.DUMMYFUNCTION("""COMPUTED_VALUE"""),74.36)</f>
        <v>74.36</v>
      </c>
    </row>
    <row r="1045" spans="2:16" ht="12.75">
      <c r="B1045" s="125">
        <f ca="1">IFERROR(__xludf.DUMMYFUNCTION("""COMPUTED_VALUE"""),44222.6666666666)</f>
        <v>44222.666666666599</v>
      </c>
      <c r="C1045">
        <f ca="1">IFERROR(__xludf.DUMMYFUNCTION("""COMPUTED_VALUE"""),72.51)</f>
        <v>72.510000000000005</v>
      </c>
      <c r="O1045" s="125">
        <f ca="1">IFERROR(__xludf.DUMMYFUNCTION("""COMPUTED_VALUE"""),44222.6666666666)</f>
        <v>44222.666666666599</v>
      </c>
      <c r="P1045">
        <f ca="1">IFERROR(__xludf.DUMMYFUNCTION("""COMPUTED_VALUE"""),72.51)</f>
        <v>72.510000000000005</v>
      </c>
    </row>
    <row r="1046" spans="2:16" ht="12.75">
      <c r="B1046" s="125">
        <f ca="1">IFERROR(__xludf.DUMMYFUNCTION("""COMPUTED_VALUE"""),44223.6666666666)</f>
        <v>44223.666666666599</v>
      </c>
      <c r="C1046">
        <f ca="1">IFERROR(__xludf.DUMMYFUNCTION("""COMPUTED_VALUE"""),69.65)</f>
        <v>69.650000000000006</v>
      </c>
      <c r="O1046" s="125">
        <f ca="1">IFERROR(__xludf.DUMMYFUNCTION("""COMPUTED_VALUE"""),44223.6666666666)</f>
        <v>44223.666666666599</v>
      </c>
      <c r="P1046">
        <f ca="1">IFERROR(__xludf.DUMMYFUNCTION("""COMPUTED_VALUE"""),69.65)</f>
        <v>69.650000000000006</v>
      </c>
    </row>
    <row r="1047" spans="2:16" ht="12.75">
      <c r="B1047" s="125">
        <f ca="1">IFERROR(__xludf.DUMMYFUNCTION("""COMPUTED_VALUE"""),44224.6666666666)</f>
        <v>44224.666666666599</v>
      </c>
      <c r="C1047">
        <f ca="1">IFERROR(__xludf.DUMMYFUNCTION("""COMPUTED_VALUE"""),70.45)</f>
        <v>70.45</v>
      </c>
      <c r="O1047" s="125">
        <f ca="1">IFERROR(__xludf.DUMMYFUNCTION("""COMPUTED_VALUE"""),44224.6666666666)</f>
        <v>44224.666666666599</v>
      </c>
      <c r="P1047">
        <f ca="1">IFERROR(__xludf.DUMMYFUNCTION("""COMPUTED_VALUE"""),70.45)</f>
        <v>70.45</v>
      </c>
    </row>
    <row r="1048" spans="2:16" ht="12.75">
      <c r="B1048" s="125">
        <f ca="1">IFERROR(__xludf.DUMMYFUNCTION("""COMPUTED_VALUE"""),44225.6666666666)</f>
        <v>44225.666666666599</v>
      </c>
      <c r="C1048">
        <f ca="1">IFERROR(__xludf.DUMMYFUNCTION("""COMPUTED_VALUE"""),69.12)</f>
        <v>69.12</v>
      </c>
      <c r="O1048" s="125">
        <f ca="1">IFERROR(__xludf.DUMMYFUNCTION("""COMPUTED_VALUE"""),44225.6666666666)</f>
        <v>44225.666666666599</v>
      </c>
      <c r="P1048">
        <f ca="1">IFERROR(__xludf.DUMMYFUNCTION("""COMPUTED_VALUE"""),69.12)</f>
        <v>69.12</v>
      </c>
    </row>
    <row r="1049" spans="2:16" ht="12.75">
      <c r="B1049" s="125">
        <f ca="1">IFERROR(__xludf.DUMMYFUNCTION("""COMPUTED_VALUE"""),44228.6666666666)</f>
        <v>44228.666666666599</v>
      </c>
      <c r="C1049">
        <f ca="1">IFERROR(__xludf.DUMMYFUNCTION("""COMPUTED_VALUE"""),72.1)</f>
        <v>72.099999999999994</v>
      </c>
      <c r="O1049" s="125">
        <f ca="1">IFERROR(__xludf.DUMMYFUNCTION("""COMPUTED_VALUE"""),44228.6666666666)</f>
        <v>44228.666666666599</v>
      </c>
      <c r="P1049">
        <f ca="1">IFERROR(__xludf.DUMMYFUNCTION("""COMPUTED_VALUE"""),72.1)</f>
        <v>72.099999999999994</v>
      </c>
    </row>
    <row r="1050" spans="2:16" ht="12.75">
      <c r="B1050" s="125">
        <f ca="1">IFERROR(__xludf.DUMMYFUNCTION("""COMPUTED_VALUE"""),44229.6666666666)</f>
        <v>44229.666666666599</v>
      </c>
      <c r="C1050">
        <f ca="1">IFERROR(__xludf.DUMMYFUNCTION("""COMPUTED_VALUE"""),73.31)</f>
        <v>73.31</v>
      </c>
      <c r="O1050" s="125">
        <f ca="1">IFERROR(__xludf.DUMMYFUNCTION("""COMPUTED_VALUE"""),44229.6666666666)</f>
        <v>44229.666666666599</v>
      </c>
      <c r="P1050">
        <f ca="1">IFERROR(__xludf.DUMMYFUNCTION("""COMPUTED_VALUE"""),73.31)</f>
        <v>73.31</v>
      </c>
    </row>
    <row r="1051" spans="2:16" ht="12.75">
      <c r="B1051" s="125">
        <f ca="1">IFERROR(__xludf.DUMMYFUNCTION("""COMPUTED_VALUE"""),44230.6666666666)</f>
        <v>44230.666666666599</v>
      </c>
      <c r="C1051">
        <f ca="1">IFERROR(__xludf.DUMMYFUNCTION("""COMPUTED_VALUE"""),74.48)</f>
        <v>74.48</v>
      </c>
      <c r="O1051" s="125">
        <f ca="1">IFERROR(__xludf.DUMMYFUNCTION("""COMPUTED_VALUE"""),44230.6666666666)</f>
        <v>44230.666666666599</v>
      </c>
      <c r="P1051">
        <f ca="1">IFERROR(__xludf.DUMMYFUNCTION("""COMPUTED_VALUE"""),74.48)</f>
        <v>74.48</v>
      </c>
    </row>
    <row r="1052" spans="2:16" ht="12.75">
      <c r="B1052" s="125">
        <f ca="1">IFERROR(__xludf.DUMMYFUNCTION("""COMPUTED_VALUE"""),44231.6666666666)</f>
        <v>44231.666666666599</v>
      </c>
      <c r="C1052">
        <f ca="1">IFERROR(__xludf.DUMMYFUNCTION("""COMPUTED_VALUE"""),74.93)</f>
        <v>74.930000000000007</v>
      </c>
      <c r="O1052" s="125">
        <f ca="1">IFERROR(__xludf.DUMMYFUNCTION("""COMPUTED_VALUE"""),44231.6666666666)</f>
        <v>44231.666666666599</v>
      </c>
      <c r="P1052">
        <f ca="1">IFERROR(__xludf.DUMMYFUNCTION("""COMPUTED_VALUE"""),74.93)</f>
        <v>74.930000000000007</v>
      </c>
    </row>
    <row r="1053" spans="2:16" ht="12.75">
      <c r="B1053" s="125">
        <f ca="1">IFERROR(__xludf.DUMMYFUNCTION("""COMPUTED_VALUE"""),44232.6666666666)</f>
        <v>44232.666666666599</v>
      </c>
      <c r="C1053">
        <f ca="1">IFERROR(__xludf.DUMMYFUNCTION("""COMPUTED_VALUE"""),75.87)</f>
        <v>75.87</v>
      </c>
      <c r="O1053" s="125">
        <f ca="1">IFERROR(__xludf.DUMMYFUNCTION("""COMPUTED_VALUE"""),44232.6666666666)</f>
        <v>44232.666666666599</v>
      </c>
      <c r="P1053">
        <f ca="1">IFERROR(__xludf.DUMMYFUNCTION("""COMPUTED_VALUE"""),75.87)</f>
        <v>75.87</v>
      </c>
    </row>
    <row r="1054" spans="2:16" ht="12.75">
      <c r="B1054" s="125">
        <f ca="1">IFERROR(__xludf.DUMMYFUNCTION("""COMPUTED_VALUE"""),44235.6666666666)</f>
        <v>44235.666666666599</v>
      </c>
      <c r="C1054">
        <f ca="1">IFERROR(__xludf.DUMMYFUNCTION("""COMPUTED_VALUE"""),75.94)</f>
        <v>75.94</v>
      </c>
      <c r="O1054" s="125">
        <f ca="1">IFERROR(__xludf.DUMMYFUNCTION("""COMPUTED_VALUE"""),44235.6666666666)</f>
        <v>44235.666666666599</v>
      </c>
      <c r="P1054">
        <f ca="1">IFERROR(__xludf.DUMMYFUNCTION("""COMPUTED_VALUE"""),75.94)</f>
        <v>75.94</v>
      </c>
    </row>
    <row r="1055" spans="2:16" ht="12.75">
      <c r="B1055" s="125">
        <f ca="1">IFERROR(__xludf.DUMMYFUNCTION("""COMPUTED_VALUE"""),44236.6666666666)</f>
        <v>44236.666666666599</v>
      </c>
      <c r="C1055">
        <f ca="1">IFERROR(__xludf.DUMMYFUNCTION("""COMPUTED_VALUE"""),77.53)</f>
        <v>77.53</v>
      </c>
      <c r="O1055" s="125">
        <f ca="1">IFERROR(__xludf.DUMMYFUNCTION("""COMPUTED_VALUE"""),44236.6666666666)</f>
        <v>44236.666666666599</v>
      </c>
      <c r="P1055">
        <f ca="1">IFERROR(__xludf.DUMMYFUNCTION("""COMPUTED_VALUE"""),77.53)</f>
        <v>77.53</v>
      </c>
    </row>
    <row r="1056" spans="2:16" ht="12.75">
      <c r="B1056" s="125">
        <f ca="1">IFERROR(__xludf.DUMMYFUNCTION("""COMPUTED_VALUE"""),44237.6666666666)</f>
        <v>44237.666666666599</v>
      </c>
      <c r="C1056">
        <f ca="1">IFERROR(__xludf.DUMMYFUNCTION("""COMPUTED_VALUE"""),78.97)</f>
        <v>78.97</v>
      </c>
      <c r="O1056" s="125">
        <f ca="1">IFERROR(__xludf.DUMMYFUNCTION("""COMPUTED_VALUE"""),44237.6666666666)</f>
        <v>44237.666666666599</v>
      </c>
      <c r="P1056">
        <f ca="1">IFERROR(__xludf.DUMMYFUNCTION("""COMPUTED_VALUE"""),78.97)</f>
        <v>78.97</v>
      </c>
    </row>
    <row r="1057" spans="2:16" ht="12.75">
      <c r="B1057" s="125">
        <f ca="1">IFERROR(__xludf.DUMMYFUNCTION("""COMPUTED_VALUE"""),44238.6666666666)</f>
        <v>44238.666666666599</v>
      </c>
      <c r="C1057">
        <f ca="1">IFERROR(__xludf.DUMMYFUNCTION("""COMPUTED_VALUE"""),80.29)</f>
        <v>80.290000000000006</v>
      </c>
      <c r="O1057" s="125">
        <f ca="1">IFERROR(__xludf.DUMMYFUNCTION("""COMPUTED_VALUE"""),44238.6666666666)</f>
        <v>44238.666666666599</v>
      </c>
      <c r="P1057">
        <f ca="1">IFERROR(__xludf.DUMMYFUNCTION("""COMPUTED_VALUE"""),80.29)</f>
        <v>80.290000000000006</v>
      </c>
    </row>
    <row r="1058" spans="2:16" ht="12.75">
      <c r="B1058" s="125">
        <f ca="1">IFERROR(__xludf.DUMMYFUNCTION("""COMPUTED_VALUE"""),44239.6666666666)</f>
        <v>44239.666666666599</v>
      </c>
      <c r="C1058">
        <f ca="1">IFERROR(__xludf.DUMMYFUNCTION("""COMPUTED_VALUE"""),80.17)</f>
        <v>80.17</v>
      </c>
      <c r="O1058" s="125">
        <f ca="1">IFERROR(__xludf.DUMMYFUNCTION("""COMPUTED_VALUE"""),44239.6666666666)</f>
        <v>44239.666666666599</v>
      </c>
      <c r="P1058">
        <f ca="1">IFERROR(__xludf.DUMMYFUNCTION("""COMPUTED_VALUE"""),80.17)</f>
        <v>80.17</v>
      </c>
    </row>
    <row r="1059" spans="2:16" ht="12.75">
      <c r="B1059" s="125">
        <f ca="1">IFERROR(__xludf.DUMMYFUNCTION("""COMPUTED_VALUE"""),44243.6666666666)</f>
        <v>44243.666666666599</v>
      </c>
      <c r="C1059">
        <f ca="1">IFERROR(__xludf.DUMMYFUNCTION("""COMPUTED_VALUE"""),80.89)</f>
        <v>80.89</v>
      </c>
      <c r="O1059" s="125">
        <f ca="1">IFERROR(__xludf.DUMMYFUNCTION("""COMPUTED_VALUE"""),44243.6666666666)</f>
        <v>44243.666666666599</v>
      </c>
      <c r="P1059">
        <f ca="1">IFERROR(__xludf.DUMMYFUNCTION("""COMPUTED_VALUE"""),80.89)</f>
        <v>80.89</v>
      </c>
    </row>
    <row r="1060" spans="2:16" ht="12.75">
      <c r="B1060" s="125">
        <f ca="1">IFERROR(__xludf.DUMMYFUNCTION("""COMPUTED_VALUE"""),44244.6666666666)</f>
        <v>44244.666666666599</v>
      </c>
      <c r="C1060">
        <f ca="1">IFERROR(__xludf.DUMMYFUNCTION("""COMPUTED_VALUE"""),80.95)</f>
        <v>80.95</v>
      </c>
      <c r="O1060" s="125">
        <f ca="1">IFERROR(__xludf.DUMMYFUNCTION("""COMPUTED_VALUE"""),44244.6666666666)</f>
        <v>44244.666666666599</v>
      </c>
      <c r="P1060">
        <f ca="1">IFERROR(__xludf.DUMMYFUNCTION("""COMPUTED_VALUE"""),80.95)</f>
        <v>80.95</v>
      </c>
    </row>
    <row r="1061" spans="2:16" ht="12.75">
      <c r="B1061" s="125">
        <f ca="1">IFERROR(__xludf.DUMMYFUNCTION("""COMPUTED_VALUE"""),44245.6666666666)</f>
        <v>44245.666666666599</v>
      </c>
      <c r="C1061">
        <f ca="1">IFERROR(__xludf.DUMMYFUNCTION("""COMPUTED_VALUE"""),78.82)</f>
        <v>78.819999999999993</v>
      </c>
      <c r="O1061" s="125">
        <f ca="1">IFERROR(__xludf.DUMMYFUNCTION("""COMPUTED_VALUE"""),44245.6666666666)</f>
        <v>44245.666666666599</v>
      </c>
      <c r="P1061">
        <f ca="1">IFERROR(__xludf.DUMMYFUNCTION("""COMPUTED_VALUE"""),78.82)</f>
        <v>78.819999999999993</v>
      </c>
    </row>
    <row r="1062" spans="2:16" ht="12.75">
      <c r="B1062" s="125">
        <f ca="1">IFERROR(__xludf.DUMMYFUNCTION("""COMPUTED_VALUE"""),44246.6666666666)</f>
        <v>44246.666666666599</v>
      </c>
      <c r="C1062">
        <f ca="1">IFERROR(__xludf.DUMMYFUNCTION("""COMPUTED_VALUE"""),79.94)</f>
        <v>79.94</v>
      </c>
      <c r="O1062" s="125">
        <f ca="1">IFERROR(__xludf.DUMMYFUNCTION("""COMPUTED_VALUE"""),44246.6666666666)</f>
        <v>44246.666666666599</v>
      </c>
      <c r="P1062">
        <f ca="1">IFERROR(__xludf.DUMMYFUNCTION("""COMPUTED_VALUE"""),79.94)</f>
        <v>79.94</v>
      </c>
    </row>
    <row r="1063" spans="2:16" ht="12.75">
      <c r="B1063" s="125">
        <f ca="1">IFERROR(__xludf.DUMMYFUNCTION("""COMPUTED_VALUE"""),44249.6666666666)</f>
        <v>44249.666666666599</v>
      </c>
      <c r="C1063">
        <f ca="1">IFERROR(__xludf.DUMMYFUNCTION("""COMPUTED_VALUE"""),76.04)</f>
        <v>76.040000000000006</v>
      </c>
      <c r="O1063" s="125">
        <f ca="1">IFERROR(__xludf.DUMMYFUNCTION("""COMPUTED_VALUE"""),44249.6666666666)</f>
        <v>44249.666666666599</v>
      </c>
      <c r="P1063">
        <f ca="1">IFERROR(__xludf.DUMMYFUNCTION("""COMPUTED_VALUE"""),76.04)</f>
        <v>76.040000000000006</v>
      </c>
    </row>
    <row r="1064" spans="2:16" ht="12.75">
      <c r="B1064" s="125">
        <f ca="1">IFERROR(__xludf.DUMMYFUNCTION("""COMPUTED_VALUE"""),44250.6666666666)</f>
        <v>44250.666666666599</v>
      </c>
      <c r="C1064">
        <f ca="1">IFERROR(__xludf.DUMMYFUNCTION("""COMPUTED_VALUE"""),75.61)</f>
        <v>75.61</v>
      </c>
      <c r="O1064" s="125">
        <f ca="1">IFERROR(__xludf.DUMMYFUNCTION("""COMPUTED_VALUE"""),44250.6666666666)</f>
        <v>44250.666666666599</v>
      </c>
      <c r="P1064">
        <f ca="1">IFERROR(__xludf.DUMMYFUNCTION("""COMPUTED_VALUE"""),75.61)</f>
        <v>75.61</v>
      </c>
    </row>
    <row r="1065" spans="2:16" ht="12.75">
      <c r="B1065" s="125">
        <f ca="1">IFERROR(__xludf.DUMMYFUNCTION("""COMPUTED_VALUE"""),44251.6666666666)</f>
        <v>44251.666666666599</v>
      </c>
      <c r="C1065">
        <f ca="1">IFERROR(__xludf.DUMMYFUNCTION("""COMPUTED_VALUE"""),73.7)</f>
        <v>73.7</v>
      </c>
      <c r="O1065" s="125">
        <f ca="1">IFERROR(__xludf.DUMMYFUNCTION("""COMPUTED_VALUE"""),44251.6666666666)</f>
        <v>44251.666666666599</v>
      </c>
      <c r="P1065">
        <f ca="1">IFERROR(__xludf.DUMMYFUNCTION("""COMPUTED_VALUE"""),73.7)</f>
        <v>73.7</v>
      </c>
    </row>
    <row r="1066" spans="2:16" ht="12.75">
      <c r="B1066" s="125">
        <f ca="1">IFERROR(__xludf.DUMMYFUNCTION("""COMPUTED_VALUE"""),44252.6666666666)</f>
        <v>44252.666666666599</v>
      </c>
      <c r="C1066">
        <f ca="1">IFERROR(__xludf.DUMMYFUNCTION("""COMPUTED_VALUE"""),71.21)</f>
        <v>71.209999999999994</v>
      </c>
      <c r="O1066" s="125">
        <f ca="1">IFERROR(__xludf.DUMMYFUNCTION("""COMPUTED_VALUE"""),44252.6666666666)</f>
        <v>44252.666666666599</v>
      </c>
      <c r="P1066">
        <f ca="1">IFERROR(__xludf.DUMMYFUNCTION("""COMPUTED_VALUE"""),71.21)</f>
        <v>71.209999999999994</v>
      </c>
    </row>
    <row r="1067" spans="2:16" ht="12.75">
      <c r="B1067" s="125">
        <f ca="1">IFERROR(__xludf.DUMMYFUNCTION("""COMPUTED_VALUE"""),44253.6666666666)</f>
        <v>44253.666666666599</v>
      </c>
      <c r="C1067">
        <f ca="1">IFERROR(__xludf.DUMMYFUNCTION("""COMPUTED_VALUE"""),70.8)</f>
        <v>70.8</v>
      </c>
      <c r="O1067" s="125">
        <f ca="1">IFERROR(__xludf.DUMMYFUNCTION("""COMPUTED_VALUE"""),44253.6666666666)</f>
        <v>44253.666666666599</v>
      </c>
      <c r="P1067">
        <f ca="1">IFERROR(__xludf.DUMMYFUNCTION("""COMPUTED_VALUE"""),70.8)</f>
        <v>70.8</v>
      </c>
    </row>
    <row r="1068" spans="2:16" ht="12.75">
      <c r="B1068" s="125">
        <f ca="1">IFERROR(__xludf.DUMMYFUNCTION("""COMPUTED_VALUE"""),44256.6666666666)</f>
        <v>44256.666666666599</v>
      </c>
      <c r="C1068">
        <f ca="1">IFERROR(__xludf.DUMMYFUNCTION("""COMPUTED_VALUE"""),73.61)</f>
        <v>73.61</v>
      </c>
      <c r="O1068" s="125">
        <f ca="1">IFERROR(__xludf.DUMMYFUNCTION("""COMPUTED_VALUE"""),44256.6666666666)</f>
        <v>44256.666666666599</v>
      </c>
      <c r="P1068">
        <f ca="1">IFERROR(__xludf.DUMMYFUNCTION("""COMPUTED_VALUE"""),73.61)</f>
        <v>73.61</v>
      </c>
    </row>
    <row r="1069" spans="2:16" ht="12.75">
      <c r="B1069" s="125">
        <f ca="1">IFERROR(__xludf.DUMMYFUNCTION("""COMPUTED_VALUE"""),44257.6666666666)</f>
        <v>44257.666666666599</v>
      </c>
      <c r="C1069">
        <f ca="1">IFERROR(__xludf.DUMMYFUNCTION("""COMPUTED_VALUE"""),72.29)</f>
        <v>72.290000000000006</v>
      </c>
      <c r="O1069" s="125">
        <f ca="1">IFERROR(__xludf.DUMMYFUNCTION("""COMPUTED_VALUE"""),44257.6666666666)</f>
        <v>44257.666666666599</v>
      </c>
      <c r="P1069">
        <f ca="1">IFERROR(__xludf.DUMMYFUNCTION("""COMPUTED_VALUE"""),72.29)</f>
        <v>72.290000000000006</v>
      </c>
    </row>
    <row r="1070" spans="2:16" ht="12.75">
      <c r="B1070" s="125">
        <f ca="1">IFERROR(__xludf.DUMMYFUNCTION("""COMPUTED_VALUE"""),44258.6666666666)</f>
        <v>44258.666666666599</v>
      </c>
      <c r="C1070">
        <f ca="1">IFERROR(__xludf.DUMMYFUNCTION("""COMPUTED_VALUE"""),70.71)</f>
        <v>70.709999999999994</v>
      </c>
      <c r="O1070" s="125">
        <f ca="1">IFERROR(__xludf.DUMMYFUNCTION("""COMPUTED_VALUE"""),44258.6666666666)</f>
        <v>44258.666666666599</v>
      </c>
      <c r="P1070">
        <f ca="1">IFERROR(__xludf.DUMMYFUNCTION("""COMPUTED_VALUE"""),70.71)</f>
        <v>70.709999999999994</v>
      </c>
    </row>
    <row r="1071" spans="2:16" ht="12.75">
      <c r="B1071" s="125">
        <f ca="1">IFERROR(__xludf.DUMMYFUNCTION("""COMPUTED_VALUE"""),44259.6666666666)</f>
        <v>44259.666666666599</v>
      </c>
      <c r="C1071">
        <f ca="1">IFERROR(__xludf.DUMMYFUNCTION("""COMPUTED_VALUE"""),67.56)</f>
        <v>67.56</v>
      </c>
      <c r="O1071" s="125">
        <f ca="1">IFERROR(__xludf.DUMMYFUNCTION("""COMPUTED_VALUE"""),44259.6666666666)</f>
        <v>44259.666666666599</v>
      </c>
      <c r="P1071">
        <f ca="1">IFERROR(__xludf.DUMMYFUNCTION("""COMPUTED_VALUE"""),67.56)</f>
        <v>67.56</v>
      </c>
    </row>
    <row r="1072" spans="2:16" ht="12.75">
      <c r="B1072" s="125">
        <f ca="1">IFERROR(__xludf.DUMMYFUNCTION("""COMPUTED_VALUE"""),44260.6666666666)</f>
        <v>44260.666666666599</v>
      </c>
      <c r="C1072">
        <f ca="1">IFERROR(__xludf.DUMMYFUNCTION("""COMPUTED_VALUE"""),67.32)</f>
        <v>67.319999999999993</v>
      </c>
      <c r="O1072" s="125">
        <f ca="1">IFERROR(__xludf.DUMMYFUNCTION("""COMPUTED_VALUE"""),44260.6666666666)</f>
        <v>44260.666666666599</v>
      </c>
      <c r="P1072">
        <f ca="1">IFERROR(__xludf.DUMMYFUNCTION("""COMPUTED_VALUE"""),67.32)</f>
        <v>67.319999999999993</v>
      </c>
    </row>
    <row r="1073" spans="2:16" ht="12.75">
      <c r="B1073" s="125">
        <f ca="1">IFERROR(__xludf.DUMMYFUNCTION("""COMPUTED_VALUE"""),44263.6666666666)</f>
        <v>44263.666666666599</v>
      </c>
      <c r="C1073">
        <f ca="1">IFERROR(__xludf.DUMMYFUNCTION("""COMPUTED_VALUE"""),62.04)</f>
        <v>62.04</v>
      </c>
      <c r="O1073" s="125">
        <f ca="1">IFERROR(__xludf.DUMMYFUNCTION("""COMPUTED_VALUE"""),44263.6666666666)</f>
        <v>44263.666666666599</v>
      </c>
      <c r="P1073">
        <f ca="1">IFERROR(__xludf.DUMMYFUNCTION("""COMPUTED_VALUE"""),62.04)</f>
        <v>62.04</v>
      </c>
    </row>
    <row r="1074" spans="2:16" ht="12.75">
      <c r="B1074" s="125">
        <f ca="1">IFERROR(__xludf.DUMMYFUNCTION("""COMPUTED_VALUE"""),44264.6666666666)</f>
        <v>44264.666666666599</v>
      </c>
      <c r="C1074">
        <f ca="1">IFERROR(__xludf.DUMMYFUNCTION("""COMPUTED_VALUE"""),67.16)</f>
        <v>67.16</v>
      </c>
      <c r="O1074" s="125">
        <f ca="1">IFERROR(__xludf.DUMMYFUNCTION("""COMPUTED_VALUE"""),44264.6666666666)</f>
        <v>44264.666666666599</v>
      </c>
      <c r="P1074">
        <f ca="1">IFERROR(__xludf.DUMMYFUNCTION("""COMPUTED_VALUE"""),67.16)</f>
        <v>67.16</v>
      </c>
    </row>
    <row r="1075" spans="2:16" ht="12.75">
      <c r="B1075" s="125">
        <f ca="1">IFERROR(__xludf.DUMMYFUNCTION("""COMPUTED_VALUE"""),44265.6666666666)</f>
        <v>44265.666666666599</v>
      </c>
      <c r="C1075">
        <f ca="1">IFERROR(__xludf.DUMMYFUNCTION("""COMPUTED_VALUE"""),65.93)</f>
        <v>65.930000000000007</v>
      </c>
      <c r="O1075" s="125">
        <f ca="1">IFERROR(__xludf.DUMMYFUNCTION("""COMPUTED_VALUE"""),44265.6666666666)</f>
        <v>44265.666666666599</v>
      </c>
      <c r="P1075">
        <f ca="1">IFERROR(__xludf.DUMMYFUNCTION("""COMPUTED_VALUE"""),65.93)</f>
        <v>65.930000000000007</v>
      </c>
    </row>
    <row r="1076" spans="2:16" ht="12.75">
      <c r="B1076" s="125">
        <f ca="1">IFERROR(__xludf.DUMMYFUNCTION("""COMPUTED_VALUE"""),44266.6666666666)</f>
        <v>44266.666666666599</v>
      </c>
      <c r="C1076">
        <f ca="1">IFERROR(__xludf.DUMMYFUNCTION("""COMPUTED_VALUE"""),69.9)</f>
        <v>69.900000000000006</v>
      </c>
      <c r="O1076" s="125">
        <f ca="1">IFERROR(__xludf.DUMMYFUNCTION("""COMPUTED_VALUE"""),44266.6666666666)</f>
        <v>44266.666666666599</v>
      </c>
      <c r="P1076">
        <f ca="1">IFERROR(__xludf.DUMMYFUNCTION("""COMPUTED_VALUE"""),69.9)</f>
        <v>69.900000000000006</v>
      </c>
    </row>
    <row r="1077" spans="2:16" ht="12.75">
      <c r="B1077" s="125">
        <f ca="1">IFERROR(__xludf.DUMMYFUNCTION("""COMPUTED_VALUE"""),44267.6666666666)</f>
        <v>44267.666666666599</v>
      </c>
      <c r="C1077">
        <f ca="1">IFERROR(__xludf.DUMMYFUNCTION("""COMPUTED_VALUE"""),67.77)</f>
        <v>67.77</v>
      </c>
      <c r="O1077" s="125">
        <f ca="1">IFERROR(__xludf.DUMMYFUNCTION("""COMPUTED_VALUE"""),44267.6666666666)</f>
        <v>44267.666666666599</v>
      </c>
      <c r="P1077">
        <f ca="1">IFERROR(__xludf.DUMMYFUNCTION("""COMPUTED_VALUE"""),67.77)</f>
        <v>67.77</v>
      </c>
    </row>
    <row r="1078" spans="2:16" ht="12.75">
      <c r="B1078" s="125">
        <f ca="1">IFERROR(__xludf.DUMMYFUNCTION("""COMPUTED_VALUE"""),44270.6666666666)</f>
        <v>44270.666666666599</v>
      </c>
      <c r="C1078">
        <f ca="1">IFERROR(__xludf.DUMMYFUNCTION("""COMPUTED_VALUE"""),67.59)</f>
        <v>67.59</v>
      </c>
      <c r="O1078" s="125">
        <f ca="1">IFERROR(__xludf.DUMMYFUNCTION("""COMPUTED_VALUE"""),44270.6666666666)</f>
        <v>44270.666666666599</v>
      </c>
      <c r="P1078">
        <f ca="1">IFERROR(__xludf.DUMMYFUNCTION("""COMPUTED_VALUE"""),67.59)</f>
        <v>67.59</v>
      </c>
    </row>
    <row r="1079" spans="2:16" ht="12.75">
      <c r="B1079" s="125">
        <f ca="1">IFERROR(__xludf.DUMMYFUNCTION("""COMPUTED_VALUE"""),44271.6666666666)</f>
        <v>44271.666666666599</v>
      </c>
      <c r="C1079">
        <f ca="1">IFERROR(__xludf.DUMMYFUNCTION("""COMPUTED_VALUE"""),68.42)</f>
        <v>68.42</v>
      </c>
      <c r="O1079" s="125">
        <f ca="1">IFERROR(__xludf.DUMMYFUNCTION("""COMPUTED_VALUE"""),44271.6666666666)</f>
        <v>44271.666666666599</v>
      </c>
      <c r="P1079">
        <f ca="1">IFERROR(__xludf.DUMMYFUNCTION("""COMPUTED_VALUE"""),68.42)</f>
        <v>68.42</v>
      </c>
    </row>
    <row r="1080" spans="2:16" ht="12.75">
      <c r="B1080" s="125">
        <f ca="1">IFERROR(__xludf.DUMMYFUNCTION("""COMPUTED_VALUE"""),44272.6666666666)</f>
        <v>44272.666666666599</v>
      </c>
      <c r="C1080">
        <f ca="1">IFERROR(__xludf.DUMMYFUNCTION("""COMPUTED_VALUE"""),68.06)</f>
        <v>68.06</v>
      </c>
      <c r="O1080" s="125">
        <f ca="1">IFERROR(__xludf.DUMMYFUNCTION("""COMPUTED_VALUE"""),44272.6666666666)</f>
        <v>44272.666666666599</v>
      </c>
      <c r="P1080">
        <f ca="1">IFERROR(__xludf.DUMMYFUNCTION("""COMPUTED_VALUE"""),68.06)</f>
        <v>68.06</v>
      </c>
    </row>
    <row r="1081" spans="2:16" ht="12.75">
      <c r="B1081" s="125">
        <f ca="1">IFERROR(__xludf.DUMMYFUNCTION("""COMPUTED_VALUE"""),44273.6666666666)</f>
        <v>44273.666666666599</v>
      </c>
      <c r="C1081">
        <f ca="1">IFERROR(__xludf.DUMMYFUNCTION("""COMPUTED_VALUE"""),66.36)</f>
        <v>66.36</v>
      </c>
      <c r="O1081" s="125">
        <f ca="1">IFERROR(__xludf.DUMMYFUNCTION("""COMPUTED_VALUE"""),44273.6666666666)</f>
        <v>44273.666666666599</v>
      </c>
      <c r="P1081">
        <f ca="1">IFERROR(__xludf.DUMMYFUNCTION("""COMPUTED_VALUE"""),66.36)</f>
        <v>66.36</v>
      </c>
    </row>
    <row r="1082" spans="2:16" ht="12.75">
      <c r="B1082" s="125">
        <f ca="1">IFERROR(__xludf.DUMMYFUNCTION("""COMPUTED_VALUE"""),44274.6666666666)</f>
        <v>44274.666666666599</v>
      </c>
      <c r="C1082">
        <f ca="1">IFERROR(__xludf.DUMMYFUNCTION("""COMPUTED_VALUE"""),67.28)</f>
        <v>67.28</v>
      </c>
      <c r="O1082" s="125">
        <f ca="1">IFERROR(__xludf.DUMMYFUNCTION("""COMPUTED_VALUE"""),44274.6666666666)</f>
        <v>44274.666666666599</v>
      </c>
      <c r="P1082">
        <f ca="1">IFERROR(__xludf.DUMMYFUNCTION("""COMPUTED_VALUE"""),67.28)</f>
        <v>67.28</v>
      </c>
    </row>
    <row r="1083" spans="2:16" ht="12.75">
      <c r="B1083" s="125">
        <f ca="1">IFERROR(__xludf.DUMMYFUNCTION("""COMPUTED_VALUE"""),44277.6666666666)</f>
        <v>44277.666666666599</v>
      </c>
      <c r="C1083">
        <f ca="1">IFERROR(__xludf.DUMMYFUNCTION("""COMPUTED_VALUE"""),66.96)</f>
        <v>66.959999999999994</v>
      </c>
      <c r="O1083" s="125">
        <f ca="1">IFERROR(__xludf.DUMMYFUNCTION("""COMPUTED_VALUE"""),44277.6666666666)</f>
        <v>44277.666666666599</v>
      </c>
      <c r="P1083">
        <f ca="1">IFERROR(__xludf.DUMMYFUNCTION("""COMPUTED_VALUE"""),66.96)</f>
        <v>66.959999999999994</v>
      </c>
    </row>
    <row r="1084" spans="2:16" ht="12.75">
      <c r="B1084" s="125">
        <f ca="1">IFERROR(__xludf.DUMMYFUNCTION("""COMPUTED_VALUE"""),44278.6666666666)</f>
        <v>44278.666666666599</v>
      </c>
      <c r="C1084">
        <f ca="1">IFERROR(__xludf.DUMMYFUNCTION("""COMPUTED_VALUE"""),65.61)</f>
        <v>65.61</v>
      </c>
      <c r="O1084" s="125">
        <f ca="1">IFERROR(__xludf.DUMMYFUNCTION("""COMPUTED_VALUE"""),44278.6666666666)</f>
        <v>44278.666666666599</v>
      </c>
      <c r="P1084">
        <f ca="1">IFERROR(__xludf.DUMMYFUNCTION("""COMPUTED_VALUE"""),65.61)</f>
        <v>65.61</v>
      </c>
    </row>
    <row r="1085" spans="2:16" ht="12.75">
      <c r="B1085" s="125">
        <f ca="1">IFERROR(__xludf.DUMMYFUNCTION("""COMPUTED_VALUE"""),44279.6666666666)</f>
        <v>44279.666666666599</v>
      </c>
      <c r="C1085">
        <f ca="1">IFERROR(__xludf.DUMMYFUNCTION("""COMPUTED_VALUE"""),61.8)</f>
        <v>61.8</v>
      </c>
      <c r="O1085" s="125">
        <f ca="1">IFERROR(__xludf.DUMMYFUNCTION("""COMPUTED_VALUE"""),44279.6666666666)</f>
        <v>44279.666666666599</v>
      </c>
      <c r="P1085">
        <f ca="1">IFERROR(__xludf.DUMMYFUNCTION("""COMPUTED_VALUE"""),61.8)</f>
        <v>61.8</v>
      </c>
    </row>
    <row r="1086" spans="2:16" ht="12.75">
      <c r="B1086" s="125">
        <f ca="1">IFERROR(__xludf.DUMMYFUNCTION("""COMPUTED_VALUE"""),44280.6666666666)</f>
        <v>44280.666666666599</v>
      </c>
      <c r="C1086">
        <f ca="1">IFERROR(__xludf.DUMMYFUNCTION("""COMPUTED_VALUE"""),61.75)</f>
        <v>61.75</v>
      </c>
      <c r="O1086" s="125">
        <f ca="1">IFERROR(__xludf.DUMMYFUNCTION("""COMPUTED_VALUE"""),44280.6666666666)</f>
        <v>44280.666666666599</v>
      </c>
      <c r="P1086">
        <f ca="1">IFERROR(__xludf.DUMMYFUNCTION("""COMPUTED_VALUE"""),61.75)</f>
        <v>61.75</v>
      </c>
    </row>
    <row r="1087" spans="2:16" ht="12.75">
      <c r="B1087" s="125">
        <f ca="1">IFERROR(__xludf.DUMMYFUNCTION("""COMPUTED_VALUE"""),44281.6666666666)</f>
        <v>44281.666666666599</v>
      </c>
      <c r="C1087">
        <f ca="1">IFERROR(__xludf.DUMMYFUNCTION("""COMPUTED_VALUE"""),63.34)</f>
        <v>63.34</v>
      </c>
      <c r="O1087" s="125">
        <f ca="1">IFERROR(__xludf.DUMMYFUNCTION("""COMPUTED_VALUE"""),44281.6666666666)</f>
        <v>44281.666666666599</v>
      </c>
      <c r="P1087">
        <f ca="1">IFERROR(__xludf.DUMMYFUNCTION("""COMPUTED_VALUE"""),63.34)</f>
        <v>63.34</v>
      </c>
    </row>
    <row r="1088" spans="2:16" ht="12.75">
      <c r="B1088" s="125">
        <f ca="1">IFERROR(__xludf.DUMMYFUNCTION("""COMPUTED_VALUE"""),44284.6666666666)</f>
        <v>44284.666666666599</v>
      </c>
      <c r="C1088">
        <f ca="1">IFERROR(__xludf.DUMMYFUNCTION("""COMPUTED_VALUE"""),61.99)</f>
        <v>61.99</v>
      </c>
      <c r="O1088" s="125">
        <f ca="1">IFERROR(__xludf.DUMMYFUNCTION("""COMPUTED_VALUE"""),44284.6666666666)</f>
        <v>44284.666666666599</v>
      </c>
      <c r="P1088">
        <f ca="1">IFERROR(__xludf.DUMMYFUNCTION("""COMPUTED_VALUE"""),61.99)</f>
        <v>61.99</v>
      </c>
    </row>
    <row r="1089" spans="2:16" ht="12.75">
      <c r="B1089" s="125">
        <f ca="1">IFERROR(__xludf.DUMMYFUNCTION("""COMPUTED_VALUE"""),44285.6666666666)</f>
        <v>44285.666666666599</v>
      </c>
      <c r="C1089">
        <f ca="1">IFERROR(__xludf.DUMMYFUNCTION("""COMPUTED_VALUE"""),63.13)</f>
        <v>63.13</v>
      </c>
      <c r="O1089" s="125">
        <f ca="1">IFERROR(__xludf.DUMMYFUNCTION("""COMPUTED_VALUE"""),44285.6666666666)</f>
        <v>44285.666666666599</v>
      </c>
      <c r="P1089">
        <f ca="1">IFERROR(__xludf.DUMMYFUNCTION("""COMPUTED_VALUE"""),63.13)</f>
        <v>63.13</v>
      </c>
    </row>
    <row r="1090" spans="2:16" ht="12.75">
      <c r="B1090" s="125">
        <f ca="1">IFERROR(__xludf.DUMMYFUNCTION("""COMPUTED_VALUE"""),44286.6666666666)</f>
        <v>44286.666666666599</v>
      </c>
      <c r="C1090">
        <f ca="1">IFERROR(__xludf.DUMMYFUNCTION("""COMPUTED_VALUE"""),63.91)</f>
        <v>63.91</v>
      </c>
      <c r="O1090" s="125">
        <f ca="1">IFERROR(__xludf.DUMMYFUNCTION("""COMPUTED_VALUE"""),44286.6666666666)</f>
        <v>44286.666666666599</v>
      </c>
      <c r="P1090">
        <f ca="1">IFERROR(__xludf.DUMMYFUNCTION("""COMPUTED_VALUE"""),63.91)</f>
        <v>63.91</v>
      </c>
    </row>
    <row r="1091" spans="2:16" ht="12.75">
      <c r="B1091" s="125">
        <f ca="1">IFERROR(__xludf.DUMMYFUNCTION("""COMPUTED_VALUE"""),44287.6666666666)</f>
        <v>44287.666666666599</v>
      </c>
      <c r="C1091">
        <f ca="1">IFERROR(__xludf.DUMMYFUNCTION("""COMPUTED_VALUE"""),66.03)</f>
        <v>66.03</v>
      </c>
      <c r="O1091" s="125">
        <f ca="1">IFERROR(__xludf.DUMMYFUNCTION("""COMPUTED_VALUE"""),44287.6666666666)</f>
        <v>44287.666666666599</v>
      </c>
      <c r="P1091">
        <f ca="1">IFERROR(__xludf.DUMMYFUNCTION("""COMPUTED_VALUE"""),66.03)</f>
        <v>66.03</v>
      </c>
    </row>
    <row r="1092" spans="2:16" ht="12.75">
      <c r="B1092" s="125">
        <f ca="1">IFERROR(__xludf.DUMMYFUNCTION("""COMPUTED_VALUE"""),44291.6666666666)</f>
        <v>44291.666666666599</v>
      </c>
      <c r="C1092">
        <f ca="1">IFERROR(__xludf.DUMMYFUNCTION("""COMPUTED_VALUE"""),65.69)</f>
        <v>65.69</v>
      </c>
      <c r="O1092" s="125">
        <f ca="1">IFERROR(__xludf.DUMMYFUNCTION("""COMPUTED_VALUE"""),44291.6666666666)</f>
        <v>44291.666666666599</v>
      </c>
      <c r="P1092">
        <f ca="1">IFERROR(__xludf.DUMMYFUNCTION("""COMPUTED_VALUE"""),65.69)</f>
        <v>65.69</v>
      </c>
    </row>
    <row r="1093" spans="2:16" ht="12.75">
      <c r="B1093" s="125">
        <f ca="1">IFERROR(__xludf.DUMMYFUNCTION("""COMPUTED_VALUE"""),44292.6666666666)</f>
        <v>44292.666666666599</v>
      </c>
      <c r="C1093">
        <f ca="1">IFERROR(__xludf.DUMMYFUNCTION("""COMPUTED_VALUE"""),66.9)</f>
        <v>66.900000000000006</v>
      </c>
      <c r="O1093" s="125">
        <f ca="1">IFERROR(__xludf.DUMMYFUNCTION("""COMPUTED_VALUE"""),44292.6666666666)</f>
        <v>44292.666666666599</v>
      </c>
      <c r="P1093">
        <f ca="1">IFERROR(__xludf.DUMMYFUNCTION("""COMPUTED_VALUE"""),66.9)</f>
        <v>66.900000000000006</v>
      </c>
    </row>
    <row r="1094" spans="2:16" ht="12.75">
      <c r="B1094" s="125">
        <f ca="1">IFERROR(__xludf.DUMMYFUNCTION("""COMPUTED_VALUE"""),44293.6666666666)</f>
        <v>44293.666666666599</v>
      </c>
      <c r="C1094">
        <f ca="1">IFERROR(__xludf.DUMMYFUNCTION("""COMPUTED_VALUE"""),64.58)</f>
        <v>64.58</v>
      </c>
      <c r="O1094" s="125">
        <f ca="1">IFERROR(__xludf.DUMMYFUNCTION("""COMPUTED_VALUE"""),44293.6666666666)</f>
        <v>44293.666666666599</v>
      </c>
      <c r="P1094">
        <f ca="1">IFERROR(__xludf.DUMMYFUNCTION("""COMPUTED_VALUE"""),64.58)</f>
        <v>64.58</v>
      </c>
    </row>
    <row r="1095" spans="2:16" ht="12.75">
      <c r="B1095" s="125">
        <f ca="1">IFERROR(__xludf.DUMMYFUNCTION("""COMPUTED_VALUE"""),44294.6666666666)</f>
        <v>44294.666666666599</v>
      </c>
      <c r="C1095">
        <f ca="1">IFERROR(__xludf.DUMMYFUNCTION("""COMPUTED_VALUE"""),65.69)</f>
        <v>65.69</v>
      </c>
      <c r="O1095" s="125">
        <f ca="1">IFERROR(__xludf.DUMMYFUNCTION("""COMPUTED_VALUE"""),44294.6666666666)</f>
        <v>44294.666666666599</v>
      </c>
      <c r="P1095">
        <f ca="1">IFERROR(__xludf.DUMMYFUNCTION("""COMPUTED_VALUE"""),65.69)</f>
        <v>65.69</v>
      </c>
    </row>
    <row r="1096" spans="2:16" ht="12.75">
      <c r="B1096" s="125">
        <f ca="1">IFERROR(__xludf.DUMMYFUNCTION("""COMPUTED_VALUE"""),44295.6666666666)</f>
        <v>44295.666666666599</v>
      </c>
      <c r="C1096">
        <f ca="1">IFERROR(__xludf.DUMMYFUNCTION("""COMPUTED_VALUE"""),64.87)</f>
        <v>64.87</v>
      </c>
      <c r="O1096" s="125">
        <f ca="1">IFERROR(__xludf.DUMMYFUNCTION("""COMPUTED_VALUE"""),44295.6666666666)</f>
        <v>44295.666666666599</v>
      </c>
      <c r="P1096">
        <f ca="1">IFERROR(__xludf.DUMMYFUNCTION("""COMPUTED_VALUE"""),64.87)</f>
        <v>64.87</v>
      </c>
    </row>
    <row r="1097" spans="2:16" ht="12.75">
      <c r="B1097" s="125">
        <f ca="1">IFERROR(__xludf.DUMMYFUNCTION("""COMPUTED_VALUE"""),44298.6666666666)</f>
        <v>44298.666666666599</v>
      </c>
      <c r="C1097">
        <f ca="1">IFERROR(__xludf.DUMMYFUNCTION("""COMPUTED_VALUE"""),64.23)</f>
        <v>64.23</v>
      </c>
      <c r="O1097" s="125">
        <f ca="1">IFERROR(__xludf.DUMMYFUNCTION("""COMPUTED_VALUE"""),44298.6666666666)</f>
        <v>44298.666666666599</v>
      </c>
      <c r="P1097">
        <f ca="1">IFERROR(__xludf.DUMMYFUNCTION("""COMPUTED_VALUE"""),64.23)</f>
        <v>64.23</v>
      </c>
    </row>
    <row r="1098" spans="2:16" ht="12.75">
      <c r="B1098" s="125">
        <f ca="1">IFERROR(__xludf.DUMMYFUNCTION("""COMPUTED_VALUE"""),44299.6666666666)</f>
        <v>44299.666666666599</v>
      </c>
      <c r="C1098">
        <f ca="1">IFERROR(__xludf.DUMMYFUNCTION("""COMPUTED_VALUE"""),64.37)</f>
        <v>64.37</v>
      </c>
      <c r="O1098" s="125">
        <f ca="1">IFERROR(__xludf.DUMMYFUNCTION("""COMPUTED_VALUE"""),44299.6666666666)</f>
        <v>44299.666666666599</v>
      </c>
      <c r="P1098">
        <f ca="1">IFERROR(__xludf.DUMMYFUNCTION("""COMPUTED_VALUE"""),64.37)</f>
        <v>64.37</v>
      </c>
    </row>
    <row r="1099" spans="2:16" ht="12.75">
      <c r="B1099" s="125">
        <f ca="1">IFERROR(__xludf.DUMMYFUNCTION("""COMPUTED_VALUE"""),44300.6666666666)</f>
        <v>44300.666666666599</v>
      </c>
      <c r="C1099">
        <f ca="1">IFERROR(__xludf.DUMMYFUNCTION("""COMPUTED_VALUE"""),63.95)</f>
        <v>63.95</v>
      </c>
      <c r="O1099" s="125">
        <f ca="1">IFERROR(__xludf.DUMMYFUNCTION("""COMPUTED_VALUE"""),44300.6666666666)</f>
        <v>44300.666666666599</v>
      </c>
      <c r="P1099">
        <f ca="1">IFERROR(__xludf.DUMMYFUNCTION("""COMPUTED_VALUE"""),63.95)</f>
        <v>63.95</v>
      </c>
    </row>
    <row r="1100" spans="2:16" ht="12.75">
      <c r="B1100" s="125">
        <f ca="1">IFERROR(__xludf.DUMMYFUNCTION("""COMPUTED_VALUE"""),44301.6666666666)</f>
        <v>44301.666666666599</v>
      </c>
      <c r="C1100">
        <f ca="1">IFERROR(__xludf.DUMMYFUNCTION("""COMPUTED_VALUE"""),64.5)</f>
        <v>64.5</v>
      </c>
      <c r="O1100" s="125">
        <f ca="1">IFERROR(__xludf.DUMMYFUNCTION("""COMPUTED_VALUE"""),44301.6666666666)</f>
        <v>44301.666666666599</v>
      </c>
      <c r="P1100">
        <f ca="1">IFERROR(__xludf.DUMMYFUNCTION("""COMPUTED_VALUE"""),64.5)</f>
        <v>64.5</v>
      </c>
    </row>
    <row r="1101" spans="2:16" ht="12.75">
      <c r="B1101" s="125">
        <f ca="1">IFERROR(__xludf.DUMMYFUNCTION("""COMPUTED_VALUE"""),44302.6666666666)</f>
        <v>44302.666666666599</v>
      </c>
      <c r="C1101">
        <f ca="1">IFERROR(__xludf.DUMMYFUNCTION("""COMPUTED_VALUE"""),64.84)</f>
        <v>64.84</v>
      </c>
      <c r="O1101" s="125">
        <f ca="1">IFERROR(__xludf.DUMMYFUNCTION("""COMPUTED_VALUE"""),44302.6666666666)</f>
        <v>44302.666666666599</v>
      </c>
      <c r="P1101">
        <f ca="1">IFERROR(__xludf.DUMMYFUNCTION("""COMPUTED_VALUE"""),64.84)</f>
        <v>64.84</v>
      </c>
    </row>
    <row r="1102" spans="2:16" ht="12.75">
      <c r="B1102" s="125">
        <f ca="1">IFERROR(__xludf.DUMMYFUNCTION("""COMPUTED_VALUE"""),44305.6666666666)</f>
        <v>44305.666666666599</v>
      </c>
      <c r="C1102">
        <f ca="1">IFERROR(__xludf.DUMMYFUNCTION("""COMPUTED_VALUE"""),63.8)</f>
        <v>63.8</v>
      </c>
      <c r="O1102" s="125">
        <f ca="1">IFERROR(__xludf.DUMMYFUNCTION("""COMPUTED_VALUE"""),44305.6666666666)</f>
        <v>44305.666666666599</v>
      </c>
      <c r="P1102">
        <f ca="1">IFERROR(__xludf.DUMMYFUNCTION("""COMPUTED_VALUE"""),63.8)</f>
        <v>63.8</v>
      </c>
    </row>
    <row r="1103" spans="2:16" ht="12.75">
      <c r="B1103" s="125">
        <f ca="1">IFERROR(__xludf.DUMMYFUNCTION("""COMPUTED_VALUE"""),44306.6666666666)</f>
        <v>44306.666666666599</v>
      </c>
      <c r="C1103">
        <f ca="1">IFERROR(__xludf.DUMMYFUNCTION("""COMPUTED_VALUE"""),62.88)</f>
        <v>62.88</v>
      </c>
      <c r="O1103" s="125">
        <f ca="1">IFERROR(__xludf.DUMMYFUNCTION("""COMPUTED_VALUE"""),44306.6666666666)</f>
        <v>44306.666666666599</v>
      </c>
      <c r="P1103">
        <f ca="1">IFERROR(__xludf.DUMMYFUNCTION("""COMPUTED_VALUE"""),62.88)</f>
        <v>62.88</v>
      </c>
    </row>
    <row r="1104" spans="2:16" ht="12.75">
      <c r="B1104" s="125">
        <f ca="1">IFERROR(__xludf.DUMMYFUNCTION("""COMPUTED_VALUE"""),44307.6666666666)</f>
        <v>44307.666666666599</v>
      </c>
      <c r="C1104">
        <f ca="1">IFERROR(__xludf.DUMMYFUNCTION("""COMPUTED_VALUE"""),63.58)</f>
        <v>63.58</v>
      </c>
      <c r="O1104" s="125">
        <f ca="1">IFERROR(__xludf.DUMMYFUNCTION("""COMPUTED_VALUE"""),44307.6666666666)</f>
        <v>44307.666666666599</v>
      </c>
      <c r="P1104">
        <f ca="1">IFERROR(__xludf.DUMMYFUNCTION("""COMPUTED_VALUE"""),63.58)</f>
        <v>63.58</v>
      </c>
    </row>
    <row r="1105" spans="2:16" ht="12.75">
      <c r="B1105" s="125">
        <f ca="1">IFERROR(__xludf.DUMMYFUNCTION("""COMPUTED_VALUE"""),44308.6666666666)</f>
        <v>44308.666666666599</v>
      </c>
      <c r="C1105">
        <f ca="1">IFERROR(__xludf.DUMMYFUNCTION("""COMPUTED_VALUE"""),64)</f>
        <v>64</v>
      </c>
      <c r="O1105" s="125">
        <f ca="1">IFERROR(__xludf.DUMMYFUNCTION("""COMPUTED_VALUE"""),44308.6666666666)</f>
        <v>44308.666666666599</v>
      </c>
      <c r="P1105">
        <f ca="1">IFERROR(__xludf.DUMMYFUNCTION("""COMPUTED_VALUE"""),64)</f>
        <v>64</v>
      </c>
    </row>
    <row r="1106" spans="2:16" ht="12.75">
      <c r="B1106" s="125">
        <f ca="1">IFERROR(__xludf.DUMMYFUNCTION("""COMPUTED_VALUE"""),44309.6666666666)</f>
        <v>44309.666666666599</v>
      </c>
      <c r="C1106">
        <f ca="1">IFERROR(__xludf.DUMMYFUNCTION("""COMPUTED_VALUE"""),65.79)</f>
        <v>65.790000000000006</v>
      </c>
      <c r="O1106" s="125">
        <f ca="1">IFERROR(__xludf.DUMMYFUNCTION("""COMPUTED_VALUE"""),44309.6666666666)</f>
        <v>44309.666666666599</v>
      </c>
      <c r="P1106">
        <f ca="1">IFERROR(__xludf.DUMMYFUNCTION("""COMPUTED_VALUE"""),65.79)</f>
        <v>65.790000000000006</v>
      </c>
    </row>
    <row r="1107" spans="2:16" ht="12.75">
      <c r="B1107" s="125">
        <f ca="1">IFERROR(__xludf.DUMMYFUNCTION("""COMPUTED_VALUE"""),44312.6666666666)</f>
        <v>44312.666666666599</v>
      </c>
      <c r="C1107">
        <f ca="1">IFERROR(__xludf.DUMMYFUNCTION("""COMPUTED_VALUE"""),65.69)</f>
        <v>65.69</v>
      </c>
      <c r="O1107" s="125">
        <f ca="1">IFERROR(__xludf.DUMMYFUNCTION("""COMPUTED_VALUE"""),44312.6666666666)</f>
        <v>44312.666666666599</v>
      </c>
      <c r="P1107">
        <f ca="1">IFERROR(__xludf.DUMMYFUNCTION("""COMPUTED_VALUE"""),65.69)</f>
        <v>65.69</v>
      </c>
    </row>
    <row r="1108" spans="2:16" ht="12.75">
      <c r="B1108" s="125">
        <f ca="1">IFERROR(__xludf.DUMMYFUNCTION("""COMPUTED_VALUE"""),44313.6666666666)</f>
        <v>44313.666666666599</v>
      </c>
      <c r="C1108">
        <f ca="1">IFERROR(__xludf.DUMMYFUNCTION("""COMPUTED_VALUE"""),66)</f>
        <v>66</v>
      </c>
      <c r="O1108" s="125">
        <f ca="1">IFERROR(__xludf.DUMMYFUNCTION("""COMPUTED_VALUE"""),44313.6666666666)</f>
        <v>44313.666666666599</v>
      </c>
      <c r="P1108">
        <f ca="1">IFERROR(__xludf.DUMMYFUNCTION("""COMPUTED_VALUE"""),66)</f>
        <v>66</v>
      </c>
    </row>
    <row r="1109" spans="2:16" ht="12.75">
      <c r="B1109" s="125">
        <f ca="1">IFERROR(__xludf.DUMMYFUNCTION("""COMPUTED_VALUE"""),44314.6666666666)</f>
        <v>44314.666666666599</v>
      </c>
      <c r="C1109">
        <f ca="1">IFERROR(__xludf.DUMMYFUNCTION("""COMPUTED_VALUE"""),66.36)</f>
        <v>66.36</v>
      </c>
      <c r="O1109" s="125">
        <f ca="1">IFERROR(__xludf.DUMMYFUNCTION("""COMPUTED_VALUE"""),44314.6666666666)</f>
        <v>44314.666666666599</v>
      </c>
      <c r="P1109">
        <f ca="1">IFERROR(__xludf.DUMMYFUNCTION("""COMPUTED_VALUE"""),66.36)</f>
        <v>66.36</v>
      </c>
    </row>
    <row r="1110" spans="2:16" ht="12.75">
      <c r="B1110" s="125">
        <f ca="1">IFERROR(__xludf.DUMMYFUNCTION("""COMPUTED_VALUE"""),44315.6666666666)</f>
        <v>44315.666666666599</v>
      </c>
      <c r="C1110">
        <f ca="1">IFERROR(__xludf.DUMMYFUNCTION("""COMPUTED_VALUE"""),65.14)</f>
        <v>65.14</v>
      </c>
      <c r="O1110" s="125">
        <f ca="1">IFERROR(__xludf.DUMMYFUNCTION("""COMPUTED_VALUE"""),44315.6666666666)</f>
        <v>44315.666666666599</v>
      </c>
      <c r="P1110">
        <f ca="1">IFERROR(__xludf.DUMMYFUNCTION("""COMPUTED_VALUE"""),65.14)</f>
        <v>65.14</v>
      </c>
    </row>
    <row r="1111" spans="2:16" ht="12.75">
      <c r="B1111" s="125">
        <f ca="1">IFERROR(__xludf.DUMMYFUNCTION("""COMPUTED_VALUE"""),44316.6666666666)</f>
        <v>44316.666666666599</v>
      </c>
      <c r="C1111">
        <f ca="1">IFERROR(__xludf.DUMMYFUNCTION("""COMPUTED_VALUE"""),63.77)</f>
        <v>63.77</v>
      </c>
      <c r="O1111" s="125">
        <f ca="1">IFERROR(__xludf.DUMMYFUNCTION("""COMPUTED_VALUE"""),44316.6666666666)</f>
        <v>44316.666666666599</v>
      </c>
      <c r="P1111">
        <f ca="1">IFERROR(__xludf.DUMMYFUNCTION("""COMPUTED_VALUE"""),63.77)</f>
        <v>63.77</v>
      </c>
    </row>
    <row r="1112" spans="2:16" ht="12.75">
      <c r="B1112" s="125">
        <f ca="1">IFERROR(__xludf.DUMMYFUNCTION("""COMPUTED_VALUE"""),44319.6666666666)</f>
        <v>44319.666666666599</v>
      </c>
      <c r="C1112">
        <f ca="1">IFERROR(__xludf.DUMMYFUNCTION("""COMPUTED_VALUE"""),63.5)</f>
        <v>63.5</v>
      </c>
      <c r="O1112" s="125">
        <f ca="1">IFERROR(__xludf.DUMMYFUNCTION("""COMPUTED_VALUE"""),44319.6666666666)</f>
        <v>44319.666666666599</v>
      </c>
      <c r="P1112">
        <f ca="1">IFERROR(__xludf.DUMMYFUNCTION("""COMPUTED_VALUE"""),63.5)</f>
        <v>63.5</v>
      </c>
    </row>
    <row r="1113" spans="2:16" ht="12.75">
      <c r="B1113" s="125">
        <f ca="1">IFERROR(__xludf.DUMMYFUNCTION("""COMPUTED_VALUE"""),44320.6666666666)</f>
        <v>44320.666666666599</v>
      </c>
      <c r="C1113">
        <f ca="1">IFERROR(__xludf.DUMMYFUNCTION("""COMPUTED_VALUE"""),61.98)</f>
        <v>61.98</v>
      </c>
      <c r="O1113" s="125">
        <f ca="1">IFERROR(__xludf.DUMMYFUNCTION("""COMPUTED_VALUE"""),44320.6666666666)</f>
        <v>44320.666666666599</v>
      </c>
      <c r="P1113">
        <f ca="1">IFERROR(__xludf.DUMMYFUNCTION("""COMPUTED_VALUE"""),61.98)</f>
        <v>61.98</v>
      </c>
    </row>
    <row r="1114" spans="2:16" ht="12.75">
      <c r="B1114" s="125">
        <f ca="1">IFERROR(__xludf.DUMMYFUNCTION("""COMPUTED_VALUE"""),44321.6666666666)</f>
        <v>44321.666666666599</v>
      </c>
      <c r="C1114">
        <f ca="1">IFERROR(__xludf.DUMMYFUNCTION("""COMPUTED_VALUE"""),61.85)</f>
        <v>61.85</v>
      </c>
      <c r="O1114" s="125">
        <f ca="1">IFERROR(__xludf.DUMMYFUNCTION("""COMPUTED_VALUE"""),44321.6666666666)</f>
        <v>44321.666666666599</v>
      </c>
      <c r="P1114">
        <f ca="1">IFERROR(__xludf.DUMMYFUNCTION("""COMPUTED_VALUE"""),61.85)</f>
        <v>61.85</v>
      </c>
    </row>
    <row r="1115" spans="2:16" ht="12.75">
      <c r="B1115" s="125">
        <f ca="1">IFERROR(__xludf.DUMMYFUNCTION("""COMPUTED_VALUE"""),44322.6666666666)</f>
        <v>44322.666666666599</v>
      </c>
      <c r="C1115">
        <f ca="1">IFERROR(__xludf.DUMMYFUNCTION("""COMPUTED_VALUE"""),61.77)</f>
        <v>61.77</v>
      </c>
      <c r="O1115" s="125">
        <f ca="1">IFERROR(__xludf.DUMMYFUNCTION("""COMPUTED_VALUE"""),44322.6666666666)</f>
        <v>44322.666666666599</v>
      </c>
      <c r="P1115">
        <f ca="1">IFERROR(__xludf.DUMMYFUNCTION("""COMPUTED_VALUE"""),61.77)</f>
        <v>61.77</v>
      </c>
    </row>
    <row r="1116" spans="2:16" ht="12.75">
      <c r="B1116" s="125">
        <f ca="1">IFERROR(__xludf.DUMMYFUNCTION("""COMPUTED_VALUE"""),44323.6666666666)</f>
        <v>44323.666666666599</v>
      </c>
      <c r="C1116">
        <f ca="1">IFERROR(__xludf.DUMMYFUNCTION("""COMPUTED_VALUE"""),61.85)</f>
        <v>61.85</v>
      </c>
      <c r="O1116" s="125">
        <f ca="1">IFERROR(__xludf.DUMMYFUNCTION("""COMPUTED_VALUE"""),44323.6666666666)</f>
        <v>44323.666666666599</v>
      </c>
      <c r="P1116">
        <f ca="1">IFERROR(__xludf.DUMMYFUNCTION("""COMPUTED_VALUE"""),61.85)</f>
        <v>61.85</v>
      </c>
    </row>
    <row r="1117" spans="2:16" ht="12.75">
      <c r="B1117" s="125">
        <f ca="1">IFERROR(__xludf.DUMMYFUNCTION("""COMPUTED_VALUE"""),44326.6666666666)</f>
        <v>44326.666666666599</v>
      </c>
      <c r="C1117">
        <f ca="1">IFERROR(__xludf.DUMMYFUNCTION("""COMPUTED_VALUE"""),58.78)</f>
        <v>58.78</v>
      </c>
      <c r="O1117" s="125">
        <f ca="1">IFERROR(__xludf.DUMMYFUNCTION("""COMPUTED_VALUE"""),44326.6666666666)</f>
        <v>44326.666666666599</v>
      </c>
      <c r="P1117">
        <f ca="1">IFERROR(__xludf.DUMMYFUNCTION("""COMPUTED_VALUE"""),58.78)</f>
        <v>58.78</v>
      </c>
    </row>
    <row r="1118" spans="2:16" ht="12.75">
      <c r="B1118" s="125">
        <f ca="1">IFERROR(__xludf.DUMMYFUNCTION("""COMPUTED_VALUE"""),44327.6666666666)</f>
        <v>44327.666666666599</v>
      </c>
      <c r="C1118">
        <f ca="1">IFERROR(__xludf.DUMMYFUNCTION("""COMPUTED_VALUE"""),59.16)</f>
        <v>59.16</v>
      </c>
      <c r="O1118" s="125">
        <f ca="1">IFERROR(__xludf.DUMMYFUNCTION("""COMPUTED_VALUE"""),44327.6666666666)</f>
        <v>44327.666666666599</v>
      </c>
      <c r="P1118">
        <f ca="1">IFERROR(__xludf.DUMMYFUNCTION("""COMPUTED_VALUE"""),59.16)</f>
        <v>59.16</v>
      </c>
    </row>
    <row r="1119" spans="2:16" ht="12.75">
      <c r="B1119" s="125">
        <f ca="1">IFERROR(__xludf.DUMMYFUNCTION("""COMPUTED_VALUE"""),44328.6666666666)</f>
        <v>44328.666666666599</v>
      </c>
      <c r="C1119">
        <f ca="1">IFERROR(__xludf.DUMMYFUNCTION("""COMPUTED_VALUE"""),57.92)</f>
        <v>57.92</v>
      </c>
      <c r="O1119" s="125">
        <f ca="1">IFERROR(__xludf.DUMMYFUNCTION("""COMPUTED_VALUE"""),44328.6666666666)</f>
        <v>44328.666666666599</v>
      </c>
      <c r="P1119">
        <f ca="1">IFERROR(__xludf.DUMMYFUNCTION("""COMPUTED_VALUE"""),57.92)</f>
        <v>57.92</v>
      </c>
    </row>
    <row r="1120" spans="2:16" ht="12.75">
      <c r="B1120" s="125">
        <f ca="1">IFERROR(__xludf.DUMMYFUNCTION("""COMPUTED_VALUE"""),44329.6666666666)</f>
        <v>44329.666666666599</v>
      </c>
      <c r="C1120">
        <f ca="1">IFERROR(__xludf.DUMMYFUNCTION("""COMPUTED_VALUE"""),56.23)</f>
        <v>56.23</v>
      </c>
      <c r="O1120" s="125">
        <f ca="1">IFERROR(__xludf.DUMMYFUNCTION("""COMPUTED_VALUE"""),44329.6666666666)</f>
        <v>44329.666666666599</v>
      </c>
      <c r="P1120">
        <f ca="1">IFERROR(__xludf.DUMMYFUNCTION("""COMPUTED_VALUE"""),56.23)</f>
        <v>56.23</v>
      </c>
    </row>
    <row r="1121" spans="2:16" ht="12.75">
      <c r="B1121" s="125">
        <f ca="1">IFERROR(__xludf.DUMMYFUNCTION("""COMPUTED_VALUE"""),44330.6666666666)</f>
        <v>44330.666666666599</v>
      </c>
      <c r="C1121">
        <f ca="1">IFERROR(__xludf.DUMMYFUNCTION("""COMPUTED_VALUE"""),57.8)</f>
        <v>57.8</v>
      </c>
      <c r="O1121" s="125">
        <f ca="1">IFERROR(__xludf.DUMMYFUNCTION("""COMPUTED_VALUE"""),44330.6666666666)</f>
        <v>44330.666666666599</v>
      </c>
      <c r="P1121">
        <f ca="1">IFERROR(__xludf.DUMMYFUNCTION("""COMPUTED_VALUE"""),57.8)</f>
        <v>57.8</v>
      </c>
    </row>
    <row r="1122" spans="2:16" ht="12.75">
      <c r="B1122" s="125">
        <f ca="1">IFERROR(__xludf.DUMMYFUNCTION("""COMPUTED_VALUE"""),44333.6666666666)</f>
        <v>44333.666666666599</v>
      </c>
      <c r="C1122">
        <f ca="1">IFERROR(__xludf.DUMMYFUNCTION("""COMPUTED_VALUE"""),58.22)</f>
        <v>58.22</v>
      </c>
      <c r="O1122" s="125">
        <f ca="1">IFERROR(__xludf.DUMMYFUNCTION("""COMPUTED_VALUE"""),44333.6666666666)</f>
        <v>44333.666666666599</v>
      </c>
      <c r="P1122">
        <f ca="1">IFERROR(__xludf.DUMMYFUNCTION("""COMPUTED_VALUE"""),58.22)</f>
        <v>58.22</v>
      </c>
    </row>
    <row r="1123" spans="2:16" ht="12.75">
      <c r="B1123" s="125">
        <f ca="1">IFERROR(__xludf.DUMMYFUNCTION("""COMPUTED_VALUE"""),44334.6666666666)</f>
        <v>44334.666666666599</v>
      </c>
      <c r="C1123">
        <f ca="1">IFERROR(__xludf.DUMMYFUNCTION("""COMPUTED_VALUE"""),59.17)</f>
        <v>59.17</v>
      </c>
      <c r="O1123" s="125">
        <f ca="1">IFERROR(__xludf.DUMMYFUNCTION("""COMPUTED_VALUE"""),44334.6666666666)</f>
        <v>44334.666666666599</v>
      </c>
      <c r="P1123">
        <f ca="1">IFERROR(__xludf.DUMMYFUNCTION("""COMPUTED_VALUE"""),59.17)</f>
        <v>59.17</v>
      </c>
    </row>
    <row r="1124" spans="2:16" ht="12.75">
      <c r="B1124" s="125">
        <f ca="1">IFERROR(__xludf.DUMMYFUNCTION("""COMPUTED_VALUE"""),44335.6666666666)</f>
        <v>44335.666666666599</v>
      </c>
      <c r="C1124">
        <f ca="1">IFERROR(__xludf.DUMMYFUNCTION("""COMPUTED_VALUE"""),59.31)</f>
        <v>59.31</v>
      </c>
      <c r="O1124" s="125">
        <f ca="1">IFERROR(__xludf.DUMMYFUNCTION("""COMPUTED_VALUE"""),44335.6666666666)</f>
        <v>44335.666666666599</v>
      </c>
      <c r="P1124">
        <f ca="1">IFERROR(__xludf.DUMMYFUNCTION("""COMPUTED_VALUE"""),59.31)</f>
        <v>59.31</v>
      </c>
    </row>
    <row r="1125" spans="2:16" ht="12.75">
      <c r="B1125" s="125">
        <f ca="1">IFERROR(__xludf.DUMMYFUNCTION("""COMPUTED_VALUE"""),44336.6666666666)</f>
        <v>44336.666666666599</v>
      </c>
      <c r="C1125">
        <f ca="1">IFERROR(__xludf.DUMMYFUNCTION("""COMPUTED_VALUE"""),60.71)</f>
        <v>60.71</v>
      </c>
      <c r="O1125" s="125">
        <f ca="1">IFERROR(__xludf.DUMMYFUNCTION("""COMPUTED_VALUE"""),44336.6666666666)</f>
        <v>44336.666666666599</v>
      </c>
      <c r="P1125">
        <f ca="1">IFERROR(__xludf.DUMMYFUNCTION("""COMPUTED_VALUE"""),60.71)</f>
        <v>60.71</v>
      </c>
    </row>
    <row r="1126" spans="2:16" ht="12.75">
      <c r="B1126" s="125">
        <f ca="1">IFERROR(__xludf.DUMMYFUNCTION("""COMPUTED_VALUE"""),44337.6666666666)</f>
        <v>44337.666666666599</v>
      </c>
      <c r="C1126">
        <f ca="1">IFERROR(__xludf.DUMMYFUNCTION("""COMPUTED_VALUE"""),59.99)</f>
        <v>59.99</v>
      </c>
      <c r="O1126" s="125">
        <f ca="1">IFERROR(__xludf.DUMMYFUNCTION("""COMPUTED_VALUE"""),44337.6666666666)</f>
        <v>44337.666666666599</v>
      </c>
      <c r="P1126">
        <f ca="1">IFERROR(__xludf.DUMMYFUNCTION("""COMPUTED_VALUE"""),59.99)</f>
        <v>59.99</v>
      </c>
    </row>
    <row r="1127" spans="2:16" ht="12.75">
      <c r="B1127" s="125">
        <f ca="1">IFERROR(__xludf.DUMMYFUNCTION("""COMPUTED_VALUE"""),44340.6666666666)</f>
        <v>44340.666666666599</v>
      </c>
      <c r="C1127">
        <f ca="1">IFERROR(__xludf.DUMMYFUNCTION("""COMPUTED_VALUE"""),60.39)</f>
        <v>60.39</v>
      </c>
      <c r="O1127" s="125">
        <f ca="1">IFERROR(__xludf.DUMMYFUNCTION("""COMPUTED_VALUE"""),44340.6666666666)</f>
        <v>44340.666666666599</v>
      </c>
      <c r="P1127">
        <f ca="1">IFERROR(__xludf.DUMMYFUNCTION("""COMPUTED_VALUE"""),60.39)</f>
        <v>60.39</v>
      </c>
    </row>
    <row r="1128" spans="2:16" ht="12.75">
      <c r="B1128" s="125">
        <f ca="1">IFERROR(__xludf.DUMMYFUNCTION("""COMPUTED_VALUE"""),44341.6666666666)</f>
        <v>44341.666666666599</v>
      </c>
      <c r="C1128">
        <f ca="1">IFERROR(__xludf.DUMMYFUNCTION("""COMPUTED_VALUE"""),61.1)</f>
        <v>61.1</v>
      </c>
      <c r="O1128" s="125">
        <f ca="1">IFERROR(__xludf.DUMMYFUNCTION("""COMPUTED_VALUE"""),44341.6666666666)</f>
        <v>44341.666666666599</v>
      </c>
      <c r="P1128">
        <f ca="1">IFERROR(__xludf.DUMMYFUNCTION("""COMPUTED_VALUE"""),61.1)</f>
        <v>61.1</v>
      </c>
    </row>
    <row r="1129" spans="2:16" ht="12.75">
      <c r="B1129" s="125">
        <f ca="1">IFERROR(__xludf.DUMMYFUNCTION("""COMPUTED_VALUE"""),44342.6666666666)</f>
        <v>44342.666666666599</v>
      </c>
      <c r="C1129">
        <f ca="1">IFERROR(__xludf.DUMMYFUNCTION("""COMPUTED_VALUE"""),61.37)</f>
        <v>61.37</v>
      </c>
      <c r="O1129" s="125">
        <f ca="1">IFERROR(__xludf.DUMMYFUNCTION("""COMPUTED_VALUE"""),44342.6666666666)</f>
        <v>44342.666666666599</v>
      </c>
      <c r="P1129">
        <f ca="1">IFERROR(__xludf.DUMMYFUNCTION("""COMPUTED_VALUE"""),61.37)</f>
        <v>61.37</v>
      </c>
    </row>
    <row r="1130" spans="2:16" ht="12.75">
      <c r="B1130" s="125">
        <f ca="1">IFERROR(__xludf.DUMMYFUNCTION("""COMPUTED_VALUE"""),44343.6666666666)</f>
        <v>44343.666666666599</v>
      </c>
      <c r="C1130">
        <f ca="1">IFERROR(__xludf.DUMMYFUNCTION("""COMPUTED_VALUE"""),60.86)</f>
        <v>60.86</v>
      </c>
      <c r="O1130" s="125">
        <f ca="1">IFERROR(__xludf.DUMMYFUNCTION("""COMPUTED_VALUE"""),44343.6666666666)</f>
        <v>44343.666666666599</v>
      </c>
      <c r="P1130">
        <f ca="1">IFERROR(__xludf.DUMMYFUNCTION("""COMPUTED_VALUE"""),60.86)</f>
        <v>60.86</v>
      </c>
    </row>
    <row r="1131" spans="2:16" ht="12.75">
      <c r="B1131" s="125">
        <f ca="1">IFERROR(__xludf.DUMMYFUNCTION("""COMPUTED_VALUE"""),44344.6666666666)</f>
        <v>44344.666666666599</v>
      </c>
      <c r="C1131">
        <f ca="1">IFERROR(__xludf.DUMMYFUNCTION("""COMPUTED_VALUE"""),61.21)</f>
        <v>61.21</v>
      </c>
      <c r="O1131" s="125">
        <f ca="1">IFERROR(__xludf.DUMMYFUNCTION("""COMPUTED_VALUE"""),44344.6666666666)</f>
        <v>44344.666666666599</v>
      </c>
      <c r="P1131">
        <f ca="1">IFERROR(__xludf.DUMMYFUNCTION("""COMPUTED_VALUE"""),61.21)</f>
        <v>61.21</v>
      </c>
    </row>
    <row r="1132" spans="2:16" ht="12.75">
      <c r="B1132" s="125">
        <f ca="1">IFERROR(__xludf.DUMMYFUNCTION("""COMPUTED_VALUE"""),44348.6666666666)</f>
        <v>44348.666666666599</v>
      </c>
      <c r="C1132">
        <f ca="1">IFERROR(__xludf.DUMMYFUNCTION("""COMPUTED_VALUE"""),63.73)</f>
        <v>63.73</v>
      </c>
      <c r="O1132" s="125">
        <f ca="1">IFERROR(__xludf.DUMMYFUNCTION("""COMPUTED_VALUE"""),44348.6666666666)</f>
        <v>44348.666666666599</v>
      </c>
      <c r="P1132">
        <f ca="1">IFERROR(__xludf.DUMMYFUNCTION("""COMPUTED_VALUE"""),63.73)</f>
        <v>63.73</v>
      </c>
    </row>
    <row r="1133" spans="2:16" ht="12.75">
      <c r="B1133" s="125">
        <f ca="1">IFERROR(__xludf.DUMMYFUNCTION("""COMPUTED_VALUE"""),44349.6666666666)</f>
        <v>44349.666666666599</v>
      </c>
      <c r="C1133">
        <f ca="1">IFERROR(__xludf.DUMMYFUNCTION("""COMPUTED_VALUE"""),63.36)</f>
        <v>63.36</v>
      </c>
      <c r="O1133" s="125">
        <f ca="1">IFERROR(__xludf.DUMMYFUNCTION("""COMPUTED_VALUE"""),44349.6666666666)</f>
        <v>44349.666666666599</v>
      </c>
      <c r="P1133">
        <f ca="1">IFERROR(__xludf.DUMMYFUNCTION("""COMPUTED_VALUE"""),63.36)</f>
        <v>63.36</v>
      </c>
    </row>
    <row r="1134" spans="2:16" ht="12.75">
      <c r="B1134" s="125">
        <f ca="1">IFERROR(__xludf.DUMMYFUNCTION("""COMPUTED_VALUE"""),44350.6666666666)</f>
        <v>44350.666666666599</v>
      </c>
      <c r="C1134">
        <f ca="1">IFERROR(__xludf.DUMMYFUNCTION("""COMPUTED_VALUE"""),61.56)</f>
        <v>61.56</v>
      </c>
      <c r="O1134" s="125">
        <f ca="1">IFERROR(__xludf.DUMMYFUNCTION("""COMPUTED_VALUE"""),44350.6666666666)</f>
        <v>44350.666666666599</v>
      </c>
      <c r="P1134">
        <f ca="1">IFERROR(__xludf.DUMMYFUNCTION("""COMPUTED_VALUE"""),61.56)</f>
        <v>61.56</v>
      </c>
    </row>
    <row r="1135" spans="2:16" ht="12.75">
      <c r="B1135" s="125">
        <f ca="1">IFERROR(__xludf.DUMMYFUNCTION("""COMPUTED_VALUE"""),44351.6666666666)</f>
        <v>44351.666666666599</v>
      </c>
      <c r="C1135">
        <f ca="1">IFERROR(__xludf.DUMMYFUNCTION("""COMPUTED_VALUE"""),62.25)</f>
        <v>62.25</v>
      </c>
      <c r="O1135" s="125">
        <f ca="1">IFERROR(__xludf.DUMMYFUNCTION("""COMPUTED_VALUE"""),44351.6666666666)</f>
        <v>44351.666666666599</v>
      </c>
      <c r="P1135">
        <f ca="1">IFERROR(__xludf.DUMMYFUNCTION("""COMPUTED_VALUE"""),62.25)</f>
        <v>62.25</v>
      </c>
    </row>
    <row r="1136" spans="2:16" ht="12.75">
      <c r="B1136" s="125">
        <f ca="1">IFERROR(__xludf.DUMMYFUNCTION("""COMPUTED_VALUE"""),44354.6666666666)</f>
        <v>44354.666666666599</v>
      </c>
      <c r="C1136">
        <f ca="1">IFERROR(__xludf.DUMMYFUNCTION("""COMPUTED_VALUE"""),61.49)</f>
        <v>61.49</v>
      </c>
      <c r="O1136" s="125">
        <f ca="1">IFERROR(__xludf.DUMMYFUNCTION("""COMPUTED_VALUE"""),44354.6666666666)</f>
        <v>44354.666666666599</v>
      </c>
      <c r="P1136">
        <f ca="1">IFERROR(__xludf.DUMMYFUNCTION("""COMPUTED_VALUE"""),61.49)</f>
        <v>61.49</v>
      </c>
    </row>
    <row r="1137" spans="2:16" ht="12.75">
      <c r="B1137" s="125">
        <f ca="1">IFERROR(__xludf.DUMMYFUNCTION("""COMPUTED_VALUE"""),44355.6666666666)</f>
        <v>44355.666666666599</v>
      </c>
      <c r="C1137">
        <f ca="1">IFERROR(__xludf.DUMMYFUNCTION("""COMPUTED_VALUE"""),61.36)</f>
        <v>61.36</v>
      </c>
      <c r="O1137" s="125">
        <f ca="1">IFERROR(__xludf.DUMMYFUNCTION("""COMPUTED_VALUE"""),44355.6666666666)</f>
        <v>44355.666666666599</v>
      </c>
      <c r="P1137">
        <f ca="1">IFERROR(__xludf.DUMMYFUNCTION("""COMPUTED_VALUE"""),61.36)</f>
        <v>61.36</v>
      </c>
    </row>
    <row r="1138" spans="2:16" ht="12.75">
      <c r="B1138" s="125">
        <f ca="1">IFERROR(__xludf.DUMMYFUNCTION("""COMPUTED_VALUE"""),44356.6666666666)</f>
        <v>44356.666666666599</v>
      </c>
      <c r="C1138">
        <f ca="1">IFERROR(__xludf.DUMMYFUNCTION("""COMPUTED_VALUE"""),60.99)</f>
        <v>60.99</v>
      </c>
      <c r="O1138" s="125">
        <f ca="1">IFERROR(__xludf.DUMMYFUNCTION("""COMPUTED_VALUE"""),44356.6666666666)</f>
        <v>44356.666666666599</v>
      </c>
      <c r="P1138">
        <f ca="1">IFERROR(__xludf.DUMMYFUNCTION("""COMPUTED_VALUE"""),60.99)</f>
        <v>60.99</v>
      </c>
    </row>
    <row r="1139" spans="2:16" ht="12.75">
      <c r="B1139" s="125">
        <f ca="1">IFERROR(__xludf.DUMMYFUNCTION("""COMPUTED_VALUE"""),44357.6666666666)</f>
        <v>44357.666666666599</v>
      </c>
      <c r="C1139">
        <f ca="1">IFERROR(__xludf.DUMMYFUNCTION("""COMPUTED_VALUE"""),61.52)</f>
        <v>61.52</v>
      </c>
      <c r="O1139" s="125">
        <f ca="1">IFERROR(__xludf.DUMMYFUNCTION("""COMPUTED_VALUE"""),44357.6666666666)</f>
        <v>44357.666666666599</v>
      </c>
      <c r="P1139">
        <f ca="1">IFERROR(__xludf.DUMMYFUNCTION("""COMPUTED_VALUE"""),61.52)</f>
        <v>61.52</v>
      </c>
    </row>
    <row r="1140" spans="2:16" ht="12.75">
      <c r="B1140" s="125">
        <f ca="1">IFERROR(__xludf.DUMMYFUNCTION("""COMPUTED_VALUE"""),44358.6666666666)</f>
        <v>44358.666666666599</v>
      </c>
      <c r="C1140">
        <f ca="1">IFERROR(__xludf.DUMMYFUNCTION("""COMPUTED_VALUE"""),61.46)</f>
        <v>61.46</v>
      </c>
      <c r="O1140" s="125">
        <f ca="1">IFERROR(__xludf.DUMMYFUNCTION("""COMPUTED_VALUE"""),44358.6666666666)</f>
        <v>44358.666666666599</v>
      </c>
      <c r="P1140">
        <f ca="1">IFERROR(__xludf.DUMMYFUNCTION("""COMPUTED_VALUE"""),61.46)</f>
        <v>61.46</v>
      </c>
    </row>
    <row r="1141" spans="2:16" ht="12.75">
      <c r="B1141" s="125">
        <f ca="1">IFERROR(__xludf.DUMMYFUNCTION("""COMPUTED_VALUE"""),44361.6666666666)</f>
        <v>44361.666666666599</v>
      </c>
      <c r="C1141">
        <f ca="1">IFERROR(__xludf.DUMMYFUNCTION("""COMPUTED_VALUE"""),62.12)</f>
        <v>62.12</v>
      </c>
      <c r="O1141" s="125">
        <f ca="1">IFERROR(__xludf.DUMMYFUNCTION("""COMPUTED_VALUE"""),44361.6666666666)</f>
        <v>44361.666666666599</v>
      </c>
      <c r="P1141">
        <f ca="1">IFERROR(__xludf.DUMMYFUNCTION("""COMPUTED_VALUE"""),62.12)</f>
        <v>62.12</v>
      </c>
    </row>
    <row r="1142" spans="2:16" ht="12.75">
      <c r="B1142" s="125">
        <f ca="1">IFERROR(__xludf.DUMMYFUNCTION("""COMPUTED_VALUE"""),44362.6666666666)</f>
        <v>44362.666666666599</v>
      </c>
      <c r="C1142">
        <f ca="1">IFERROR(__xludf.DUMMYFUNCTION("""COMPUTED_VALUE"""),61.09)</f>
        <v>61.09</v>
      </c>
      <c r="O1142" s="125">
        <f ca="1">IFERROR(__xludf.DUMMYFUNCTION("""COMPUTED_VALUE"""),44362.6666666666)</f>
        <v>44362.666666666599</v>
      </c>
      <c r="P1142">
        <f ca="1">IFERROR(__xludf.DUMMYFUNCTION("""COMPUTED_VALUE"""),61.09)</f>
        <v>61.09</v>
      </c>
    </row>
    <row r="1143" spans="2:16" ht="12.75">
      <c r="B1143" s="125">
        <f ca="1">IFERROR(__xludf.DUMMYFUNCTION("""COMPUTED_VALUE"""),44363.6666666666)</f>
        <v>44363.666666666599</v>
      </c>
      <c r="C1143">
        <f ca="1">IFERROR(__xludf.DUMMYFUNCTION("""COMPUTED_VALUE"""),60.83)</f>
        <v>60.83</v>
      </c>
      <c r="O1143" s="125">
        <f ca="1">IFERROR(__xludf.DUMMYFUNCTION("""COMPUTED_VALUE"""),44363.6666666666)</f>
        <v>44363.666666666599</v>
      </c>
      <c r="P1143">
        <f ca="1">IFERROR(__xludf.DUMMYFUNCTION("""COMPUTED_VALUE"""),60.83)</f>
        <v>60.83</v>
      </c>
    </row>
    <row r="1144" spans="2:16" ht="12.75">
      <c r="B1144" s="125">
        <f ca="1">IFERROR(__xludf.DUMMYFUNCTION("""COMPUTED_VALUE"""),44364.6666666666)</f>
        <v>44364.666666666599</v>
      </c>
      <c r="C1144">
        <f ca="1">IFERROR(__xludf.DUMMYFUNCTION("""COMPUTED_VALUE"""),62.06)</f>
        <v>62.06</v>
      </c>
      <c r="O1144" s="125">
        <f ca="1">IFERROR(__xludf.DUMMYFUNCTION("""COMPUTED_VALUE"""),44364.6666666666)</f>
        <v>44364.666666666599</v>
      </c>
      <c r="P1144">
        <f ca="1">IFERROR(__xludf.DUMMYFUNCTION("""COMPUTED_VALUE"""),62.06)</f>
        <v>62.06</v>
      </c>
    </row>
    <row r="1145" spans="2:16" ht="12.75">
      <c r="B1145" s="125">
        <f ca="1">IFERROR(__xludf.DUMMYFUNCTION("""COMPUTED_VALUE"""),44365.6666666666)</f>
        <v>44365.666666666599</v>
      </c>
      <c r="C1145">
        <f ca="1">IFERROR(__xludf.DUMMYFUNCTION("""COMPUTED_VALUE"""),61.69)</f>
        <v>61.69</v>
      </c>
      <c r="O1145" s="125">
        <f ca="1">IFERROR(__xludf.DUMMYFUNCTION("""COMPUTED_VALUE"""),44365.6666666666)</f>
        <v>44365.666666666599</v>
      </c>
      <c r="P1145">
        <f ca="1">IFERROR(__xludf.DUMMYFUNCTION("""COMPUTED_VALUE"""),61.69)</f>
        <v>61.69</v>
      </c>
    </row>
    <row r="1146" spans="2:16" ht="12.75">
      <c r="B1146" s="125">
        <f ca="1">IFERROR(__xludf.DUMMYFUNCTION("""COMPUTED_VALUE"""),44368.6666666666)</f>
        <v>44368.666666666599</v>
      </c>
      <c r="C1146">
        <f ca="1">IFERROR(__xludf.DUMMYFUNCTION("""COMPUTED_VALUE"""),61.29)</f>
        <v>61.29</v>
      </c>
      <c r="O1146" s="125">
        <f ca="1">IFERROR(__xludf.DUMMYFUNCTION("""COMPUTED_VALUE"""),44368.6666666666)</f>
        <v>44368.666666666599</v>
      </c>
      <c r="P1146">
        <f ca="1">IFERROR(__xludf.DUMMYFUNCTION("""COMPUTED_VALUE"""),61.29)</f>
        <v>61.29</v>
      </c>
    </row>
    <row r="1147" spans="2:16" ht="12.75">
      <c r="B1147" s="125">
        <f ca="1">IFERROR(__xludf.DUMMYFUNCTION("""COMPUTED_VALUE"""),44369.6666666666)</f>
        <v>44369.666666666599</v>
      </c>
      <c r="C1147">
        <f ca="1">IFERROR(__xludf.DUMMYFUNCTION("""COMPUTED_VALUE"""),60.84)</f>
        <v>60.84</v>
      </c>
      <c r="O1147" s="125">
        <f ca="1">IFERROR(__xludf.DUMMYFUNCTION("""COMPUTED_VALUE"""),44369.6666666666)</f>
        <v>44369.666666666599</v>
      </c>
      <c r="P1147">
        <f ca="1">IFERROR(__xludf.DUMMYFUNCTION("""COMPUTED_VALUE"""),60.84)</f>
        <v>60.84</v>
      </c>
    </row>
    <row r="1148" spans="2:16" ht="12.75">
      <c r="B1148" s="125">
        <f ca="1">IFERROR(__xludf.DUMMYFUNCTION("""COMPUTED_VALUE"""),44370.6666666666)</f>
        <v>44370.666666666599</v>
      </c>
      <c r="C1148">
        <f ca="1">IFERROR(__xludf.DUMMYFUNCTION("""COMPUTED_VALUE"""),61.94)</f>
        <v>61.94</v>
      </c>
      <c r="O1148" s="125">
        <f ca="1">IFERROR(__xludf.DUMMYFUNCTION("""COMPUTED_VALUE"""),44370.6666666666)</f>
        <v>44370.666666666599</v>
      </c>
      <c r="P1148">
        <f ca="1">IFERROR(__xludf.DUMMYFUNCTION("""COMPUTED_VALUE"""),61.94)</f>
        <v>61.94</v>
      </c>
    </row>
    <row r="1149" spans="2:16" ht="12.75">
      <c r="B1149" s="125">
        <f ca="1">IFERROR(__xludf.DUMMYFUNCTION("""COMPUTED_VALUE"""),44371.6666666666)</f>
        <v>44371.666666666599</v>
      </c>
      <c r="C1149">
        <f ca="1">IFERROR(__xludf.DUMMYFUNCTION("""COMPUTED_VALUE"""),62.85)</f>
        <v>62.85</v>
      </c>
      <c r="O1149" s="125">
        <f ca="1">IFERROR(__xludf.DUMMYFUNCTION("""COMPUTED_VALUE"""),44371.6666666666)</f>
        <v>44371.666666666599</v>
      </c>
      <c r="P1149">
        <f ca="1">IFERROR(__xludf.DUMMYFUNCTION("""COMPUTED_VALUE"""),62.85)</f>
        <v>62.85</v>
      </c>
    </row>
    <row r="1150" spans="2:16" ht="12.75">
      <c r="B1150" s="125">
        <f ca="1">IFERROR(__xludf.DUMMYFUNCTION("""COMPUTED_VALUE"""),44372.6666666666)</f>
        <v>44372.666666666599</v>
      </c>
      <c r="C1150">
        <f ca="1">IFERROR(__xludf.DUMMYFUNCTION("""COMPUTED_VALUE"""),63.5)</f>
        <v>63.5</v>
      </c>
      <c r="O1150" s="125">
        <f ca="1">IFERROR(__xludf.DUMMYFUNCTION("""COMPUTED_VALUE"""),44372.6666666666)</f>
        <v>44372.666666666599</v>
      </c>
      <c r="P1150">
        <f ca="1">IFERROR(__xludf.DUMMYFUNCTION("""COMPUTED_VALUE"""),63.5)</f>
        <v>63.5</v>
      </c>
    </row>
    <row r="1151" spans="2:16" ht="12.75">
      <c r="B1151" s="125">
        <f ca="1">IFERROR(__xludf.DUMMYFUNCTION("""COMPUTED_VALUE"""),44375.6666666666)</f>
        <v>44375.666666666599</v>
      </c>
      <c r="C1151">
        <f ca="1">IFERROR(__xludf.DUMMYFUNCTION("""COMPUTED_VALUE"""),63.62)</f>
        <v>63.62</v>
      </c>
      <c r="O1151" s="125">
        <f ca="1">IFERROR(__xludf.DUMMYFUNCTION("""COMPUTED_VALUE"""),44375.6666666666)</f>
        <v>44375.666666666599</v>
      </c>
      <c r="P1151">
        <f ca="1">IFERROR(__xludf.DUMMYFUNCTION("""COMPUTED_VALUE"""),63.62)</f>
        <v>63.62</v>
      </c>
    </row>
    <row r="1152" spans="2:16" ht="12.75">
      <c r="B1152" s="125">
        <f ca="1">IFERROR(__xludf.DUMMYFUNCTION("""COMPUTED_VALUE"""),44376.6666666666)</f>
        <v>44376.666666666599</v>
      </c>
      <c r="C1152">
        <f ca="1">IFERROR(__xludf.DUMMYFUNCTION("""COMPUTED_VALUE"""),64.29)</f>
        <v>64.290000000000006</v>
      </c>
      <c r="O1152" s="125">
        <f ca="1">IFERROR(__xludf.DUMMYFUNCTION("""COMPUTED_VALUE"""),44376.6666666666)</f>
        <v>44376.666666666599</v>
      </c>
      <c r="P1152">
        <f ca="1">IFERROR(__xludf.DUMMYFUNCTION("""COMPUTED_VALUE"""),64.29)</f>
        <v>64.290000000000006</v>
      </c>
    </row>
    <row r="1153" spans="2:16" ht="12.75">
      <c r="B1153" s="125">
        <f ca="1">IFERROR(__xludf.DUMMYFUNCTION("""COMPUTED_VALUE"""),44377.6666666666)</f>
        <v>44377.666666666599</v>
      </c>
      <c r="C1153">
        <f ca="1">IFERROR(__xludf.DUMMYFUNCTION("""COMPUTED_VALUE"""),63.35)</f>
        <v>63.35</v>
      </c>
      <c r="O1153" s="125">
        <f ca="1">IFERROR(__xludf.DUMMYFUNCTION("""COMPUTED_VALUE"""),44377.6666666666)</f>
        <v>44377.666666666599</v>
      </c>
      <c r="P1153">
        <f ca="1">IFERROR(__xludf.DUMMYFUNCTION("""COMPUTED_VALUE"""),63.35)</f>
        <v>63.35</v>
      </c>
    </row>
    <row r="1154" spans="2:16" ht="12.75">
      <c r="B1154" s="125">
        <f ca="1">IFERROR(__xludf.DUMMYFUNCTION("""COMPUTED_VALUE"""),44378.6666666666)</f>
        <v>44378.666666666599</v>
      </c>
      <c r="C1154">
        <f ca="1">IFERROR(__xludf.DUMMYFUNCTION("""COMPUTED_VALUE"""),62.35)</f>
        <v>62.35</v>
      </c>
      <c r="O1154" s="125">
        <f ca="1">IFERROR(__xludf.DUMMYFUNCTION("""COMPUTED_VALUE"""),44378.6666666666)</f>
        <v>44378.666666666599</v>
      </c>
      <c r="P1154">
        <f ca="1">IFERROR(__xludf.DUMMYFUNCTION("""COMPUTED_VALUE"""),62.35)</f>
        <v>62.35</v>
      </c>
    </row>
    <row r="1155" spans="2:16" ht="12.75">
      <c r="B1155" s="125">
        <f ca="1">IFERROR(__xludf.DUMMYFUNCTION("""COMPUTED_VALUE"""),44379.6666666666)</f>
        <v>44379.666666666599</v>
      </c>
      <c r="C1155">
        <f ca="1">IFERROR(__xludf.DUMMYFUNCTION("""COMPUTED_VALUE"""),61.96)</f>
        <v>61.96</v>
      </c>
      <c r="O1155" s="125">
        <f ca="1">IFERROR(__xludf.DUMMYFUNCTION("""COMPUTED_VALUE"""),44379.6666666666)</f>
        <v>44379.666666666599</v>
      </c>
      <c r="P1155">
        <f ca="1">IFERROR(__xludf.DUMMYFUNCTION("""COMPUTED_VALUE"""),61.96)</f>
        <v>61.96</v>
      </c>
    </row>
    <row r="1156" spans="2:16" ht="12.75">
      <c r="B1156" s="125">
        <f ca="1">IFERROR(__xludf.DUMMYFUNCTION("""COMPUTED_VALUE"""),44383.6666666666)</f>
        <v>44383.666666666599</v>
      </c>
      <c r="C1156">
        <f ca="1">IFERROR(__xludf.DUMMYFUNCTION("""COMPUTED_VALUE"""),59.59)</f>
        <v>59.59</v>
      </c>
      <c r="O1156" s="125">
        <f ca="1">IFERROR(__xludf.DUMMYFUNCTION("""COMPUTED_VALUE"""),44383.6666666666)</f>
        <v>44383.666666666599</v>
      </c>
      <c r="P1156">
        <f ca="1">IFERROR(__xludf.DUMMYFUNCTION("""COMPUTED_VALUE"""),59.59)</f>
        <v>59.59</v>
      </c>
    </row>
    <row r="1157" spans="2:16" ht="12.75">
      <c r="B1157" s="125">
        <f ca="1">IFERROR(__xludf.DUMMYFUNCTION("""COMPUTED_VALUE"""),44384.6666666666)</f>
        <v>44384.666666666599</v>
      </c>
      <c r="C1157">
        <f ca="1">IFERROR(__xludf.DUMMYFUNCTION("""COMPUTED_VALUE"""),58.73)</f>
        <v>58.73</v>
      </c>
      <c r="O1157" s="125">
        <f ca="1">IFERROR(__xludf.DUMMYFUNCTION("""COMPUTED_VALUE"""),44384.6666666666)</f>
        <v>44384.666666666599</v>
      </c>
      <c r="P1157">
        <f ca="1">IFERROR(__xludf.DUMMYFUNCTION("""COMPUTED_VALUE"""),58.73)</f>
        <v>58.73</v>
      </c>
    </row>
    <row r="1158" spans="2:16" ht="12.75">
      <c r="B1158" s="125">
        <f ca="1">IFERROR(__xludf.DUMMYFUNCTION("""COMPUTED_VALUE"""),44385.6666666666)</f>
        <v>44385.666666666599</v>
      </c>
      <c r="C1158">
        <f ca="1">IFERROR(__xludf.DUMMYFUNCTION("""COMPUTED_VALUE"""),57.19)</f>
        <v>57.19</v>
      </c>
      <c r="O1158" s="125">
        <f ca="1">IFERROR(__xludf.DUMMYFUNCTION("""COMPUTED_VALUE"""),44385.6666666666)</f>
        <v>44385.666666666599</v>
      </c>
      <c r="P1158">
        <f ca="1">IFERROR(__xludf.DUMMYFUNCTION("""COMPUTED_VALUE"""),57.19)</f>
        <v>57.19</v>
      </c>
    </row>
    <row r="1159" spans="2:16" ht="12.75">
      <c r="B1159" s="125">
        <f ca="1">IFERROR(__xludf.DUMMYFUNCTION("""COMPUTED_VALUE"""),44386.6666666666)</f>
        <v>44386.666666666599</v>
      </c>
      <c r="C1159">
        <f ca="1">IFERROR(__xludf.DUMMYFUNCTION("""COMPUTED_VALUE"""),58.72)</f>
        <v>58.72</v>
      </c>
      <c r="O1159" s="125">
        <f ca="1">IFERROR(__xludf.DUMMYFUNCTION("""COMPUTED_VALUE"""),44386.6666666666)</f>
        <v>44386.666666666599</v>
      </c>
      <c r="P1159">
        <f ca="1">IFERROR(__xludf.DUMMYFUNCTION("""COMPUTED_VALUE"""),58.72)</f>
        <v>58.72</v>
      </c>
    </row>
    <row r="1160" spans="2:16" ht="12.75">
      <c r="B1160" s="125">
        <f ca="1">IFERROR(__xludf.DUMMYFUNCTION("""COMPUTED_VALUE"""),44389.6666666666)</f>
        <v>44389.666666666599</v>
      </c>
      <c r="C1160">
        <f ca="1">IFERROR(__xludf.DUMMYFUNCTION("""COMPUTED_VALUE"""),58.15)</f>
        <v>58.15</v>
      </c>
      <c r="O1160" s="125">
        <f ca="1">IFERROR(__xludf.DUMMYFUNCTION("""COMPUTED_VALUE"""),44389.6666666666)</f>
        <v>44389.666666666599</v>
      </c>
      <c r="P1160">
        <f ca="1">IFERROR(__xludf.DUMMYFUNCTION("""COMPUTED_VALUE"""),58.15)</f>
        <v>58.15</v>
      </c>
    </row>
    <row r="1161" spans="2:16" ht="12.75">
      <c r="B1161" s="125">
        <f ca="1">IFERROR(__xludf.DUMMYFUNCTION("""COMPUTED_VALUE"""),44390.6666666666)</f>
        <v>44390.666666666599</v>
      </c>
      <c r="C1161">
        <f ca="1">IFERROR(__xludf.DUMMYFUNCTION("""COMPUTED_VALUE"""),59.52)</f>
        <v>59.52</v>
      </c>
      <c r="O1161" s="125">
        <f ca="1">IFERROR(__xludf.DUMMYFUNCTION("""COMPUTED_VALUE"""),44390.6666666666)</f>
        <v>44390.666666666599</v>
      </c>
      <c r="P1161">
        <f ca="1">IFERROR(__xludf.DUMMYFUNCTION("""COMPUTED_VALUE"""),59.52)</f>
        <v>59.52</v>
      </c>
    </row>
    <row r="1162" spans="2:16" ht="12.75">
      <c r="B1162" s="125">
        <f ca="1">IFERROR(__xludf.DUMMYFUNCTION("""COMPUTED_VALUE"""),44391.6666666666)</f>
        <v>44391.666666666599</v>
      </c>
      <c r="C1162">
        <f ca="1">IFERROR(__xludf.DUMMYFUNCTION("""COMPUTED_VALUE"""),59.23)</f>
        <v>59.23</v>
      </c>
      <c r="O1162" s="125">
        <f ca="1">IFERROR(__xludf.DUMMYFUNCTION("""COMPUTED_VALUE"""),44391.6666666666)</f>
        <v>44391.666666666599</v>
      </c>
      <c r="P1162">
        <f ca="1">IFERROR(__xludf.DUMMYFUNCTION("""COMPUTED_VALUE"""),59.23)</f>
        <v>59.23</v>
      </c>
    </row>
    <row r="1163" spans="2:16" ht="12.75">
      <c r="B1163" s="125">
        <f ca="1">IFERROR(__xludf.DUMMYFUNCTION("""COMPUTED_VALUE"""),44392.6666666666)</f>
        <v>44392.666666666599</v>
      </c>
      <c r="C1163">
        <f ca="1">IFERROR(__xludf.DUMMYFUNCTION("""COMPUTED_VALUE"""),59.49)</f>
        <v>59.49</v>
      </c>
      <c r="O1163" s="125">
        <f ca="1">IFERROR(__xludf.DUMMYFUNCTION("""COMPUTED_VALUE"""),44392.6666666666)</f>
        <v>44392.666666666599</v>
      </c>
      <c r="P1163">
        <f ca="1">IFERROR(__xludf.DUMMYFUNCTION("""COMPUTED_VALUE"""),59.49)</f>
        <v>59.49</v>
      </c>
    </row>
    <row r="1164" spans="2:16" ht="12.75">
      <c r="B1164" s="125">
        <f ca="1">IFERROR(__xludf.DUMMYFUNCTION("""COMPUTED_VALUE"""),44393.6666666666)</f>
        <v>44393.666666666599</v>
      </c>
      <c r="C1164">
        <f ca="1">IFERROR(__xludf.DUMMYFUNCTION("""COMPUTED_VALUE"""),58.63)</f>
        <v>58.63</v>
      </c>
      <c r="O1164" s="125">
        <f ca="1">IFERROR(__xludf.DUMMYFUNCTION("""COMPUTED_VALUE"""),44393.6666666666)</f>
        <v>44393.666666666599</v>
      </c>
      <c r="P1164">
        <f ca="1">IFERROR(__xludf.DUMMYFUNCTION("""COMPUTED_VALUE"""),58.63)</f>
        <v>58.63</v>
      </c>
    </row>
    <row r="1165" spans="2:16" ht="12.75">
      <c r="B1165" s="125">
        <f ca="1">IFERROR(__xludf.DUMMYFUNCTION("""COMPUTED_VALUE"""),44396.6666666666)</f>
        <v>44396.666666666599</v>
      </c>
      <c r="C1165">
        <f ca="1">IFERROR(__xludf.DUMMYFUNCTION("""COMPUTED_VALUE"""),57.57)</f>
        <v>57.57</v>
      </c>
      <c r="O1165" s="125">
        <f ca="1">IFERROR(__xludf.DUMMYFUNCTION("""COMPUTED_VALUE"""),44396.6666666666)</f>
        <v>44396.666666666599</v>
      </c>
      <c r="P1165">
        <f ca="1">IFERROR(__xludf.DUMMYFUNCTION("""COMPUTED_VALUE"""),57.57)</f>
        <v>57.57</v>
      </c>
    </row>
    <row r="1166" spans="2:16" ht="12.75">
      <c r="B1166" s="125">
        <f ca="1">IFERROR(__xludf.DUMMYFUNCTION("""COMPUTED_VALUE"""),44397.6666666666)</f>
        <v>44397.666666666599</v>
      </c>
      <c r="C1166">
        <f ca="1">IFERROR(__xludf.DUMMYFUNCTION("""COMPUTED_VALUE"""),57.71)</f>
        <v>57.71</v>
      </c>
      <c r="O1166" s="125">
        <f ca="1">IFERROR(__xludf.DUMMYFUNCTION("""COMPUTED_VALUE"""),44397.6666666666)</f>
        <v>44397.666666666599</v>
      </c>
      <c r="P1166">
        <f ca="1">IFERROR(__xludf.DUMMYFUNCTION("""COMPUTED_VALUE"""),57.71)</f>
        <v>57.71</v>
      </c>
    </row>
    <row r="1167" spans="2:16" ht="12.75">
      <c r="B1167" s="125">
        <f ca="1">IFERROR(__xludf.DUMMYFUNCTION("""COMPUTED_VALUE"""),44398.6666666666)</f>
        <v>44398.666666666599</v>
      </c>
      <c r="C1167">
        <f ca="1">IFERROR(__xludf.DUMMYFUNCTION("""COMPUTED_VALUE"""),58.12)</f>
        <v>58.12</v>
      </c>
      <c r="O1167" s="125">
        <f ca="1">IFERROR(__xludf.DUMMYFUNCTION("""COMPUTED_VALUE"""),44398.6666666666)</f>
        <v>44398.666666666599</v>
      </c>
      <c r="P1167">
        <f ca="1">IFERROR(__xludf.DUMMYFUNCTION("""COMPUTED_VALUE"""),58.12)</f>
        <v>58.12</v>
      </c>
    </row>
    <row r="1168" spans="2:16" ht="12.75">
      <c r="B1168" s="125">
        <f ca="1">IFERROR(__xludf.DUMMYFUNCTION("""COMPUTED_VALUE"""),44399.6666666666)</f>
        <v>44399.666666666599</v>
      </c>
      <c r="C1168">
        <f ca="1">IFERROR(__xludf.DUMMYFUNCTION("""COMPUTED_VALUE"""),58.23)</f>
        <v>58.23</v>
      </c>
      <c r="O1168" s="125">
        <f ca="1">IFERROR(__xludf.DUMMYFUNCTION("""COMPUTED_VALUE"""),44399.6666666666)</f>
        <v>44399.666666666599</v>
      </c>
      <c r="P1168">
        <f ca="1">IFERROR(__xludf.DUMMYFUNCTION("""COMPUTED_VALUE"""),58.23)</f>
        <v>58.23</v>
      </c>
    </row>
    <row r="1169" spans="2:16" ht="12.75">
      <c r="B1169" s="125">
        <f ca="1">IFERROR(__xludf.DUMMYFUNCTION("""COMPUTED_VALUE"""),44400.6666666666)</f>
        <v>44400.666666666599</v>
      </c>
      <c r="C1169">
        <f ca="1">IFERROR(__xludf.DUMMYFUNCTION("""COMPUTED_VALUE"""),55.83)</f>
        <v>55.83</v>
      </c>
      <c r="O1169" s="125">
        <f ca="1">IFERROR(__xludf.DUMMYFUNCTION("""COMPUTED_VALUE"""),44400.6666666666)</f>
        <v>44400.666666666599</v>
      </c>
      <c r="P1169">
        <f ca="1">IFERROR(__xludf.DUMMYFUNCTION("""COMPUTED_VALUE"""),55.83)</f>
        <v>55.83</v>
      </c>
    </row>
    <row r="1170" spans="2:16" ht="12.75">
      <c r="B1170" s="125">
        <f ca="1">IFERROR(__xludf.DUMMYFUNCTION("""COMPUTED_VALUE"""),44403.6666666666)</f>
        <v>44403.666666666599</v>
      </c>
      <c r="C1170">
        <f ca="1">IFERROR(__xludf.DUMMYFUNCTION("""COMPUTED_VALUE"""),52.13)</f>
        <v>52.13</v>
      </c>
      <c r="O1170" s="125">
        <f ca="1">IFERROR(__xludf.DUMMYFUNCTION("""COMPUTED_VALUE"""),44403.6666666666)</f>
        <v>44403.666666666599</v>
      </c>
      <c r="P1170">
        <f ca="1">IFERROR(__xludf.DUMMYFUNCTION("""COMPUTED_VALUE"""),52.13)</f>
        <v>52.13</v>
      </c>
    </row>
    <row r="1171" spans="2:16" ht="12.75">
      <c r="B1171" s="125">
        <f ca="1">IFERROR(__xludf.DUMMYFUNCTION("""COMPUTED_VALUE"""),44404.6666666666)</f>
        <v>44404.666666666599</v>
      </c>
      <c r="C1171">
        <f ca="1">IFERROR(__xludf.DUMMYFUNCTION("""COMPUTED_VALUE"""),50.35)</f>
        <v>50.35</v>
      </c>
      <c r="O1171" s="125">
        <f ca="1">IFERROR(__xludf.DUMMYFUNCTION("""COMPUTED_VALUE"""),44404.6666666666)</f>
        <v>44404.666666666599</v>
      </c>
      <c r="P1171">
        <f ca="1">IFERROR(__xludf.DUMMYFUNCTION("""COMPUTED_VALUE"""),50.35)</f>
        <v>50.35</v>
      </c>
    </row>
    <row r="1172" spans="2:16" ht="12.75">
      <c r="B1172" s="125">
        <f ca="1">IFERROR(__xludf.DUMMYFUNCTION("""COMPUTED_VALUE"""),44405.6666666666)</f>
        <v>44405.666666666599</v>
      </c>
      <c r="C1172">
        <f ca="1">IFERROR(__xludf.DUMMYFUNCTION("""COMPUTED_VALUE"""),53.59)</f>
        <v>53.59</v>
      </c>
      <c r="O1172" s="125">
        <f ca="1">IFERROR(__xludf.DUMMYFUNCTION("""COMPUTED_VALUE"""),44405.6666666666)</f>
        <v>44405.666666666599</v>
      </c>
      <c r="P1172">
        <f ca="1">IFERROR(__xludf.DUMMYFUNCTION("""COMPUTED_VALUE"""),53.59)</f>
        <v>53.59</v>
      </c>
    </row>
    <row r="1173" spans="2:16" ht="12.75">
      <c r="B1173" s="125">
        <f ca="1">IFERROR(__xludf.DUMMYFUNCTION("""COMPUTED_VALUE"""),44406.6666666666)</f>
        <v>44406.666666666599</v>
      </c>
      <c r="C1173">
        <f ca="1">IFERROR(__xludf.DUMMYFUNCTION("""COMPUTED_VALUE"""),53.74)</f>
        <v>53.74</v>
      </c>
      <c r="O1173" s="125">
        <f ca="1">IFERROR(__xludf.DUMMYFUNCTION("""COMPUTED_VALUE"""),44406.6666666666)</f>
        <v>44406.666666666599</v>
      </c>
      <c r="P1173">
        <f ca="1">IFERROR(__xludf.DUMMYFUNCTION("""COMPUTED_VALUE"""),53.74)</f>
        <v>53.74</v>
      </c>
    </row>
    <row r="1174" spans="2:16" ht="12.75">
      <c r="B1174" s="125">
        <f ca="1">IFERROR(__xludf.DUMMYFUNCTION("""COMPUTED_VALUE"""),44407.6666666666)</f>
        <v>44407.666666666599</v>
      </c>
      <c r="C1174">
        <f ca="1">IFERROR(__xludf.DUMMYFUNCTION("""COMPUTED_VALUE"""),52.95)</f>
        <v>52.95</v>
      </c>
      <c r="O1174" s="125">
        <f ca="1">IFERROR(__xludf.DUMMYFUNCTION("""COMPUTED_VALUE"""),44407.6666666666)</f>
        <v>44407.666666666599</v>
      </c>
      <c r="P1174">
        <f ca="1">IFERROR(__xludf.DUMMYFUNCTION("""COMPUTED_VALUE"""),52.95)</f>
        <v>52.95</v>
      </c>
    </row>
    <row r="1175" spans="2:16" ht="12.75">
      <c r="B1175" s="125">
        <f ca="1">IFERROR(__xludf.DUMMYFUNCTION("""COMPUTED_VALUE"""),44410.6666666666)</f>
        <v>44410.666666666599</v>
      </c>
      <c r="C1175">
        <f ca="1">IFERROR(__xludf.DUMMYFUNCTION("""COMPUTED_VALUE"""),53.57)</f>
        <v>53.57</v>
      </c>
      <c r="O1175" s="125">
        <f ca="1">IFERROR(__xludf.DUMMYFUNCTION("""COMPUTED_VALUE"""),44410.6666666666)</f>
        <v>44410.666666666599</v>
      </c>
      <c r="P1175">
        <f ca="1">IFERROR(__xludf.DUMMYFUNCTION("""COMPUTED_VALUE"""),53.57)</f>
        <v>53.57</v>
      </c>
    </row>
    <row r="1176" spans="2:16" ht="12.75">
      <c r="B1176" s="125">
        <f ca="1">IFERROR(__xludf.DUMMYFUNCTION("""COMPUTED_VALUE"""),44411.6666666666)</f>
        <v>44411.666666666599</v>
      </c>
      <c r="C1176">
        <f ca="1">IFERROR(__xludf.DUMMYFUNCTION("""COMPUTED_VALUE"""),51.99)</f>
        <v>51.99</v>
      </c>
      <c r="O1176" s="125">
        <f ca="1">IFERROR(__xludf.DUMMYFUNCTION("""COMPUTED_VALUE"""),44411.6666666666)</f>
        <v>44411.666666666599</v>
      </c>
      <c r="P1176">
        <f ca="1">IFERROR(__xludf.DUMMYFUNCTION("""COMPUTED_VALUE"""),51.99)</f>
        <v>51.99</v>
      </c>
    </row>
    <row r="1177" spans="2:16" ht="12.75">
      <c r="B1177" s="125">
        <f ca="1">IFERROR(__xludf.DUMMYFUNCTION("""COMPUTED_VALUE"""),44412.6666666666)</f>
        <v>44412.666666666599</v>
      </c>
      <c r="C1177">
        <f ca="1">IFERROR(__xludf.DUMMYFUNCTION("""COMPUTED_VALUE"""),52.58)</f>
        <v>52.58</v>
      </c>
      <c r="O1177" s="125">
        <f ca="1">IFERROR(__xludf.DUMMYFUNCTION("""COMPUTED_VALUE"""),44412.6666666666)</f>
        <v>44412.666666666599</v>
      </c>
      <c r="P1177">
        <f ca="1">IFERROR(__xludf.DUMMYFUNCTION("""COMPUTED_VALUE"""),52.58)</f>
        <v>52.58</v>
      </c>
    </row>
    <row r="1178" spans="2:16" ht="12.75">
      <c r="B1178" s="125">
        <f ca="1">IFERROR(__xludf.DUMMYFUNCTION("""COMPUTED_VALUE"""),44413.6666666666)</f>
        <v>44413.666666666599</v>
      </c>
      <c r="C1178">
        <f ca="1">IFERROR(__xludf.DUMMYFUNCTION("""COMPUTED_VALUE"""),52.5)</f>
        <v>52.5</v>
      </c>
      <c r="O1178" s="125">
        <f ca="1">IFERROR(__xludf.DUMMYFUNCTION("""COMPUTED_VALUE"""),44413.6666666666)</f>
        <v>44413.666666666599</v>
      </c>
      <c r="P1178">
        <f ca="1">IFERROR(__xludf.DUMMYFUNCTION("""COMPUTED_VALUE"""),52.5)</f>
        <v>52.5</v>
      </c>
    </row>
    <row r="1179" spans="2:16" ht="12.75">
      <c r="B1179" s="125">
        <f ca="1">IFERROR(__xludf.DUMMYFUNCTION("""COMPUTED_VALUE"""),44414.6666666666)</f>
        <v>44414.666666666599</v>
      </c>
      <c r="C1179">
        <f ca="1">IFERROR(__xludf.DUMMYFUNCTION("""COMPUTED_VALUE"""),51.94)</f>
        <v>51.94</v>
      </c>
      <c r="O1179" s="125">
        <f ca="1">IFERROR(__xludf.DUMMYFUNCTION("""COMPUTED_VALUE"""),44414.6666666666)</f>
        <v>44414.666666666599</v>
      </c>
      <c r="P1179">
        <f ca="1">IFERROR(__xludf.DUMMYFUNCTION("""COMPUTED_VALUE"""),51.94)</f>
        <v>51.94</v>
      </c>
    </row>
    <row r="1180" spans="2:16" ht="12.75">
      <c r="B1180" s="125">
        <f ca="1">IFERROR(__xludf.DUMMYFUNCTION("""COMPUTED_VALUE"""),44417.6666666666)</f>
        <v>44417.666666666599</v>
      </c>
      <c r="C1180">
        <f ca="1">IFERROR(__xludf.DUMMYFUNCTION("""COMPUTED_VALUE"""),53.3)</f>
        <v>53.3</v>
      </c>
      <c r="O1180" s="125">
        <f ca="1">IFERROR(__xludf.DUMMYFUNCTION("""COMPUTED_VALUE"""),44417.6666666666)</f>
        <v>44417.666666666599</v>
      </c>
      <c r="P1180">
        <f ca="1">IFERROR(__xludf.DUMMYFUNCTION("""COMPUTED_VALUE"""),53.3)</f>
        <v>53.3</v>
      </c>
    </row>
    <row r="1181" spans="2:16" ht="12.75">
      <c r="B1181" s="125">
        <f ca="1">IFERROR(__xludf.DUMMYFUNCTION("""COMPUTED_VALUE"""),44418.6666666666)</f>
        <v>44418.666666666599</v>
      </c>
      <c r="C1181">
        <f ca="1">IFERROR(__xludf.DUMMYFUNCTION("""COMPUTED_VALUE"""),53.67)</f>
        <v>53.67</v>
      </c>
      <c r="O1181" s="125">
        <f ca="1">IFERROR(__xludf.DUMMYFUNCTION("""COMPUTED_VALUE"""),44418.6666666666)</f>
        <v>44418.666666666599</v>
      </c>
      <c r="P1181">
        <f ca="1">IFERROR(__xludf.DUMMYFUNCTION("""COMPUTED_VALUE"""),53.67)</f>
        <v>53.67</v>
      </c>
    </row>
    <row r="1182" spans="2:16" ht="12.75">
      <c r="B1182" s="125">
        <f ca="1">IFERROR(__xludf.DUMMYFUNCTION("""COMPUTED_VALUE"""),44419.6666666666)</f>
        <v>44419.666666666599</v>
      </c>
      <c r="C1182">
        <f ca="1">IFERROR(__xludf.DUMMYFUNCTION("""COMPUTED_VALUE"""),53.55)</f>
        <v>53.55</v>
      </c>
      <c r="O1182" s="125">
        <f ca="1">IFERROR(__xludf.DUMMYFUNCTION("""COMPUTED_VALUE"""),44419.6666666666)</f>
        <v>44419.666666666599</v>
      </c>
      <c r="P1182">
        <f ca="1">IFERROR(__xludf.DUMMYFUNCTION("""COMPUTED_VALUE"""),53.55)</f>
        <v>53.55</v>
      </c>
    </row>
    <row r="1183" spans="2:16" ht="12.75">
      <c r="B1183" s="125">
        <f ca="1">IFERROR(__xludf.DUMMYFUNCTION("""COMPUTED_VALUE"""),44420.6666666666)</f>
        <v>44420.666666666599</v>
      </c>
      <c r="C1183">
        <f ca="1">IFERROR(__xludf.DUMMYFUNCTION("""COMPUTED_VALUE"""),52.74)</f>
        <v>52.74</v>
      </c>
      <c r="O1183" s="125">
        <f ca="1">IFERROR(__xludf.DUMMYFUNCTION("""COMPUTED_VALUE"""),44420.6666666666)</f>
        <v>44420.666666666599</v>
      </c>
      <c r="P1183">
        <f ca="1">IFERROR(__xludf.DUMMYFUNCTION("""COMPUTED_VALUE"""),52.74)</f>
        <v>52.74</v>
      </c>
    </row>
    <row r="1184" spans="2:16" ht="12.75">
      <c r="B1184" s="125">
        <f ca="1">IFERROR(__xludf.DUMMYFUNCTION("""COMPUTED_VALUE"""),44421.6666666666)</f>
        <v>44421.666666666599</v>
      </c>
      <c r="C1184">
        <f ca="1">IFERROR(__xludf.DUMMYFUNCTION("""COMPUTED_VALUE"""),52.06)</f>
        <v>52.06</v>
      </c>
      <c r="O1184" s="125">
        <f ca="1">IFERROR(__xludf.DUMMYFUNCTION("""COMPUTED_VALUE"""),44421.6666666666)</f>
        <v>44421.666666666599</v>
      </c>
      <c r="P1184">
        <f ca="1">IFERROR(__xludf.DUMMYFUNCTION("""COMPUTED_VALUE"""),52.06)</f>
        <v>52.06</v>
      </c>
    </row>
    <row r="1185" spans="2:16" ht="12.75">
      <c r="B1185" s="125">
        <f ca="1">IFERROR(__xludf.DUMMYFUNCTION("""COMPUTED_VALUE"""),44424.6666666666)</f>
        <v>44424.666666666599</v>
      </c>
      <c r="C1185">
        <f ca="1">IFERROR(__xludf.DUMMYFUNCTION("""COMPUTED_VALUE"""),50.4)</f>
        <v>50.4</v>
      </c>
      <c r="O1185" s="125">
        <f ca="1">IFERROR(__xludf.DUMMYFUNCTION("""COMPUTED_VALUE"""),44424.6666666666)</f>
        <v>44424.666666666599</v>
      </c>
      <c r="P1185">
        <f ca="1">IFERROR(__xludf.DUMMYFUNCTION("""COMPUTED_VALUE"""),50.4)</f>
        <v>50.4</v>
      </c>
    </row>
    <row r="1186" spans="2:16" ht="12.75">
      <c r="B1186" s="125">
        <f ca="1">IFERROR(__xludf.DUMMYFUNCTION("""COMPUTED_VALUE"""),44425.6666666666)</f>
        <v>44425.666666666599</v>
      </c>
      <c r="C1186">
        <f ca="1">IFERROR(__xludf.DUMMYFUNCTION("""COMPUTED_VALUE"""),49.16)</f>
        <v>49.16</v>
      </c>
      <c r="O1186" s="125">
        <f ca="1">IFERROR(__xludf.DUMMYFUNCTION("""COMPUTED_VALUE"""),44425.6666666666)</f>
        <v>44425.666666666599</v>
      </c>
      <c r="P1186">
        <f ca="1">IFERROR(__xludf.DUMMYFUNCTION("""COMPUTED_VALUE"""),49.16)</f>
        <v>49.16</v>
      </c>
    </row>
    <row r="1187" spans="2:16" ht="12.75">
      <c r="B1187" s="125">
        <f ca="1">IFERROR(__xludf.DUMMYFUNCTION("""COMPUTED_VALUE"""),44426.6666666666)</f>
        <v>44426.666666666599</v>
      </c>
      <c r="C1187">
        <f ca="1">IFERROR(__xludf.DUMMYFUNCTION("""COMPUTED_VALUE"""),49.6)</f>
        <v>49.6</v>
      </c>
      <c r="O1187" s="125">
        <f ca="1">IFERROR(__xludf.DUMMYFUNCTION("""COMPUTED_VALUE"""),44426.6666666666)</f>
        <v>44426.666666666599</v>
      </c>
      <c r="P1187">
        <f ca="1">IFERROR(__xludf.DUMMYFUNCTION("""COMPUTED_VALUE"""),49.6)</f>
        <v>49.6</v>
      </c>
    </row>
    <row r="1188" spans="2:16" ht="12.75">
      <c r="B1188" s="125">
        <f ca="1">IFERROR(__xludf.DUMMYFUNCTION("""COMPUTED_VALUE"""),44427.6666666666)</f>
        <v>44427.666666666599</v>
      </c>
      <c r="C1188">
        <f ca="1">IFERROR(__xludf.DUMMYFUNCTION("""COMPUTED_VALUE"""),47.75)</f>
        <v>47.75</v>
      </c>
      <c r="O1188" s="125">
        <f ca="1">IFERROR(__xludf.DUMMYFUNCTION("""COMPUTED_VALUE"""),44427.6666666666)</f>
        <v>44427.666666666599</v>
      </c>
      <c r="P1188">
        <f ca="1">IFERROR(__xludf.DUMMYFUNCTION("""COMPUTED_VALUE"""),47.75)</f>
        <v>47.75</v>
      </c>
    </row>
    <row r="1189" spans="2:16" ht="12.75">
      <c r="B1189" s="125">
        <f ca="1">IFERROR(__xludf.DUMMYFUNCTION("""COMPUTED_VALUE"""),44428.6666666666)</f>
        <v>44428.666666666599</v>
      </c>
      <c r="C1189">
        <f ca="1">IFERROR(__xludf.DUMMYFUNCTION("""COMPUTED_VALUE"""),47.97)</f>
        <v>47.97</v>
      </c>
      <c r="O1189" s="125">
        <f ca="1">IFERROR(__xludf.DUMMYFUNCTION("""COMPUTED_VALUE"""),44428.6666666666)</f>
        <v>44428.666666666599</v>
      </c>
      <c r="P1189">
        <f ca="1">IFERROR(__xludf.DUMMYFUNCTION("""COMPUTED_VALUE"""),47.97)</f>
        <v>47.97</v>
      </c>
    </row>
    <row r="1190" spans="2:16" ht="12.75">
      <c r="B1190" s="125">
        <f ca="1">IFERROR(__xludf.DUMMYFUNCTION("""COMPUTED_VALUE"""),44431.6666666666)</f>
        <v>44431.666666666599</v>
      </c>
      <c r="C1190">
        <f ca="1">IFERROR(__xludf.DUMMYFUNCTION("""COMPUTED_VALUE"""),49.03)</f>
        <v>49.03</v>
      </c>
      <c r="O1190" s="125">
        <f ca="1">IFERROR(__xludf.DUMMYFUNCTION("""COMPUTED_VALUE"""),44431.6666666666)</f>
        <v>44431.666666666599</v>
      </c>
      <c r="P1190">
        <f ca="1">IFERROR(__xludf.DUMMYFUNCTION("""COMPUTED_VALUE"""),49.03)</f>
        <v>49.03</v>
      </c>
    </row>
    <row r="1191" spans="2:16" ht="12.75">
      <c r="B1191" s="125">
        <f ca="1">IFERROR(__xludf.DUMMYFUNCTION("""COMPUTED_VALUE"""),44432.6666666666)</f>
        <v>44432.666666666599</v>
      </c>
      <c r="C1191">
        <f ca="1">IFERROR(__xludf.DUMMYFUNCTION("""COMPUTED_VALUE"""),52.54)</f>
        <v>52.54</v>
      </c>
      <c r="O1191" s="125">
        <f ca="1">IFERROR(__xludf.DUMMYFUNCTION("""COMPUTED_VALUE"""),44432.6666666666)</f>
        <v>44432.666666666599</v>
      </c>
      <c r="P1191">
        <f ca="1">IFERROR(__xludf.DUMMYFUNCTION("""COMPUTED_VALUE"""),52.54)</f>
        <v>52.54</v>
      </c>
    </row>
    <row r="1192" spans="2:16" ht="12.75">
      <c r="B1192" s="125">
        <f ca="1">IFERROR(__xludf.DUMMYFUNCTION("""COMPUTED_VALUE"""),44433.6666666666)</f>
        <v>44433.666666666599</v>
      </c>
      <c r="C1192">
        <f ca="1">IFERROR(__xludf.DUMMYFUNCTION("""COMPUTED_VALUE"""),52.33)</f>
        <v>52.33</v>
      </c>
      <c r="O1192" s="125">
        <f ca="1">IFERROR(__xludf.DUMMYFUNCTION("""COMPUTED_VALUE"""),44433.6666666666)</f>
        <v>44433.666666666599</v>
      </c>
      <c r="P1192">
        <f ca="1">IFERROR(__xludf.DUMMYFUNCTION("""COMPUTED_VALUE"""),52.33)</f>
        <v>52.33</v>
      </c>
    </row>
    <row r="1193" spans="2:16" ht="12.75">
      <c r="B1193" s="125">
        <f ca="1">IFERROR(__xludf.DUMMYFUNCTION("""COMPUTED_VALUE"""),44434.6666666666)</f>
        <v>44434.666666666599</v>
      </c>
      <c r="C1193">
        <f ca="1">IFERROR(__xludf.DUMMYFUNCTION("""COMPUTED_VALUE"""),51.75)</f>
        <v>51.75</v>
      </c>
      <c r="O1193" s="125">
        <f ca="1">IFERROR(__xludf.DUMMYFUNCTION("""COMPUTED_VALUE"""),44434.6666666666)</f>
        <v>44434.666666666599</v>
      </c>
      <c r="P1193">
        <f ca="1">IFERROR(__xludf.DUMMYFUNCTION("""COMPUTED_VALUE"""),51.75)</f>
        <v>51.75</v>
      </c>
    </row>
    <row r="1194" spans="2:16" ht="12.75">
      <c r="B1194" s="125">
        <f ca="1">IFERROR(__xludf.DUMMYFUNCTION("""COMPUTED_VALUE"""),44435.6666666666)</f>
        <v>44435.666666666599</v>
      </c>
      <c r="C1194">
        <f ca="1">IFERROR(__xludf.DUMMYFUNCTION("""COMPUTED_VALUE"""),51.59)</f>
        <v>51.59</v>
      </c>
      <c r="O1194" s="125">
        <f ca="1">IFERROR(__xludf.DUMMYFUNCTION("""COMPUTED_VALUE"""),44435.6666666666)</f>
        <v>44435.666666666599</v>
      </c>
      <c r="P1194">
        <f ca="1">IFERROR(__xludf.DUMMYFUNCTION("""COMPUTED_VALUE"""),51.59)</f>
        <v>51.59</v>
      </c>
    </row>
    <row r="1195" spans="2:16" ht="12.75">
      <c r="B1195" s="125">
        <f ca="1">IFERROR(__xludf.DUMMYFUNCTION("""COMPUTED_VALUE"""),44438.6666666666)</f>
        <v>44438.666666666599</v>
      </c>
      <c r="C1195">
        <f ca="1">IFERROR(__xludf.DUMMYFUNCTION("""COMPUTED_VALUE"""),51.87)</f>
        <v>51.87</v>
      </c>
      <c r="O1195" s="125">
        <f ca="1">IFERROR(__xludf.DUMMYFUNCTION("""COMPUTED_VALUE"""),44438.6666666666)</f>
        <v>44438.666666666599</v>
      </c>
      <c r="P1195">
        <f ca="1">IFERROR(__xludf.DUMMYFUNCTION("""COMPUTED_VALUE"""),51.87)</f>
        <v>51.87</v>
      </c>
    </row>
    <row r="1196" spans="2:16" ht="12.75">
      <c r="B1196" s="125">
        <f ca="1">IFERROR(__xludf.DUMMYFUNCTION("""COMPUTED_VALUE"""),44439.6666666666)</f>
        <v>44439.666666666599</v>
      </c>
      <c r="C1196">
        <f ca="1">IFERROR(__xludf.DUMMYFUNCTION("""COMPUTED_VALUE"""),53.44)</f>
        <v>53.44</v>
      </c>
      <c r="O1196" s="125">
        <f ca="1">IFERROR(__xludf.DUMMYFUNCTION("""COMPUTED_VALUE"""),44439.6666666666)</f>
        <v>44439.666666666599</v>
      </c>
      <c r="P1196">
        <f ca="1">IFERROR(__xludf.DUMMYFUNCTION("""COMPUTED_VALUE"""),53.44)</f>
        <v>53.44</v>
      </c>
    </row>
    <row r="1197" spans="2:16" ht="12.75">
      <c r="B1197" s="125">
        <f ca="1">IFERROR(__xludf.DUMMYFUNCTION("""COMPUTED_VALUE"""),44440.6666666666)</f>
        <v>44440.666666666599</v>
      </c>
      <c r="C1197">
        <f ca="1">IFERROR(__xludf.DUMMYFUNCTION("""COMPUTED_VALUE"""),55.4)</f>
        <v>55.4</v>
      </c>
      <c r="O1197" s="125">
        <f ca="1">IFERROR(__xludf.DUMMYFUNCTION("""COMPUTED_VALUE"""),44440.6666666666)</f>
        <v>44440.666666666599</v>
      </c>
      <c r="P1197">
        <f ca="1">IFERROR(__xludf.DUMMYFUNCTION("""COMPUTED_VALUE"""),55.4)</f>
        <v>55.4</v>
      </c>
    </row>
    <row r="1198" spans="2:16" ht="12.75">
      <c r="B1198" s="125">
        <f ca="1">IFERROR(__xludf.DUMMYFUNCTION("""COMPUTED_VALUE"""),44441.6666666666)</f>
        <v>44441.666666666599</v>
      </c>
      <c r="C1198">
        <f ca="1">IFERROR(__xludf.DUMMYFUNCTION("""COMPUTED_VALUE"""),54.87)</f>
        <v>54.87</v>
      </c>
      <c r="O1198" s="125">
        <f ca="1">IFERROR(__xludf.DUMMYFUNCTION("""COMPUTED_VALUE"""),44441.6666666666)</f>
        <v>44441.666666666599</v>
      </c>
      <c r="P1198">
        <f ca="1">IFERROR(__xludf.DUMMYFUNCTION("""COMPUTED_VALUE"""),54.87)</f>
        <v>54.87</v>
      </c>
    </row>
    <row r="1199" spans="2:16" ht="12.75">
      <c r="B1199" s="125">
        <f ca="1">IFERROR(__xludf.DUMMYFUNCTION("""COMPUTED_VALUE"""),44442.6666666666)</f>
        <v>44442.666666666599</v>
      </c>
      <c r="C1199">
        <f ca="1">IFERROR(__xludf.DUMMYFUNCTION("""COMPUTED_VALUE"""),55.01)</f>
        <v>55.01</v>
      </c>
      <c r="O1199" s="125">
        <f ca="1">IFERROR(__xludf.DUMMYFUNCTION("""COMPUTED_VALUE"""),44442.6666666666)</f>
        <v>44442.666666666599</v>
      </c>
      <c r="P1199">
        <f ca="1">IFERROR(__xludf.DUMMYFUNCTION("""COMPUTED_VALUE"""),55.01)</f>
        <v>55.01</v>
      </c>
    </row>
    <row r="1200" spans="2:16" ht="12.75">
      <c r="B1200" s="125">
        <f ca="1">IFERROR(__xludf.DUMMYFUNCTION("""COMPUTED_VALUE"""),44446.6666666666)</f>
        <v>44446.666666666599</v>
      </c>
      <c r="C1200">
        <f ca="1">IFERROR(__xludf.DUMMYFUNCTION("""COMPUTED_VALUE"""),56.56)</f>
        <v>56.56</v>
      </c>
      <c r="O1200" s="125">
        <f ca="1">IFERROR(__xludf.DUMMYFUNCTION("""COMPUTED_VALUE"""),44446.6666666666)</f>
        <v>44446.666666666599</v>
      </c>
      <c r="P1200">
        <f ca="1">IFERROR(__xludf.DUMMYFUNCTION("""COMPUTED_VALUE"""),56.56)</f>
        <v>56.56</v>
      </c>
    </row>
    <row r="1201" spans="2:16" ht="12.75">
      <c r="B1201" s="125">
        <f ca="1">IFERROR(__xludf.DUMMYFUNCTION("""COMPUTED_VALUE"""),44447.6666666666)</f>
        <v>44447.666666666599</v>
      </c>
      <c r="C1201">
        <f ca="1">IFERROR(__xludf.DUMMYFUNCTION("""COMPUTED_VALUE"""),54.8)</f>
        <v>54.8</v>
      </c>
      <c r="O1201" s="125">
        <f ca="1">IFERROR(__xludf.DUMMYFUNCTION("""COMPUTED_VALUE"""),44447.6666666666)</f>
        <v>44447.666666666599</v>
      </c>
      <c r="P1201">
        <f ca="1">IFERROR(__xludf.DUMMYFUNCTION("""COMPUTED_VALUE"""),54.8)</f>
        <v>54.8</v>
      </c>
    </row>
    <row r="1202" spans="2:16" ht="12.75">
      <c r="B1202" s="125">
        <f ca="1">IFERROR(__xludf.DUMMYFUNCTION("""COMPUTED_VALUE"""),44448.6666666666)</f>
        <v>44448.666666666599</v>
      </c>
      <c r="C1202">
        <f ca="1">IFERROR(__xludf.DUMMYFUNCTION("""COMPUTED_VALUE"""),53.94)</f>
        <v>53.94</v>
      </c>
      <c r="O1202" s="125">
        <f ca="1">IFERROR(__xludf.DUMMYFUNCTION("""COMPUTED_VALUE"""),44448.6666666666)</f>
        <v>44448.666666666599</v>
      </c>
      <c r="P1202">
        <f ca="1">IFERROR(__xludf.DUMMYFUNCTION("""COMPUTED_VALUE"""),53.94)</f>
        <v>53.94</v>
      </c>
    </row>
    <row r="1203" spans="2:16" ht="12.75">
      <c r="B1203" s="125">
        <f ca="1">IFERROR(__xludf.DUMMYFUNCTION("""COMPUTED_VALUE"""),44449.6666666666)</f>
        <v>44449.666666666599</v>
      </c>
      <c r="C1203">
        <f ca="1">IFERROR(__xludf.DUMMYFUNCTION("""COMPUTED_VALUE"""),53.48)</f>
        <v>53.48</v>
      </c>
      <c r="O1203" s="125">
        <f ca="1">IFERROR(__xludf.DUMMYFUNCTION("""COMPUTED_VALUE"""),44449.6666666666)</f>
        <v>44449.666666666599</v>
      </c>
      <c r="P1203">
        <f ca="1">IFERROR(__xludf.DUMMYFUNCTION("""COMPUTED_VALUE"""),53.48)</f>
        <v>53.48</v>
      </c>
    </row>
    <row r="1204" spans="2:16" ht="12.75">
      <c r="B1204" s="125">
        <f ca="1">IFERROR(__xludf.DUMMYFUNCTION("""COMPUTED_VALUE"""),44452.6666666666)</f>
        <v>44452.666666666599</v>
      </c>
      <c r="C1204">
        <f ca="1">IFERROR(__xludf.DUMMYFUNCTION("""COMPUTED_VALUE"""),53)</f>
        <v>53</v>
      </c>
      <c r="O1204" s="125">
        <f ca="1">IFERROR(__xludf.DUMMYFUNCTION("""COMPUTED_VALUE"""),44452.6666666666)</f>
        <v>44452.666666666599</v>
      </c>
      <c r="P1204">
        <f ca="1">IFERROR(__xludf.DUMMYFUNCTION("""COMPUTED_VALUE"""),53)</f>
        <v>53</v>
      </c>
    </row>
    <row r="1205" spans="2:16" ht="12.75">
      <c r="B1205" s="125">
        <f ca="1">IFERROR(__xludf.DUMMYFUNCTION("""COMPUTED_VALUE"""),44453.6666666666)</f>
        <v>44453.666666666599</v>
      </c>
      <c r="C1205">
        <f ca="1">IFERROR(__xludf.DUMMYFUNCTION("""COMPUTED_VALUE"""),52)</f>
        <v>52</v>
      </c>
      <c r="O1205" s="125">
        <f ca="1">IFERROR(__xludf.DUMMYFUNCTION("""COMPUTED_VALUE"""),44453.6666666666)</f>
        <v>44453.666666666599</v>
      </c>
      <c r="P1205">
        <f ca="1">IFERROR(__xludf.DUMMYFUNCTION("""COMPUTED_VALUE"""),52)</f>
        <v>52</v>
      </c>
    </row>
    <row r="1206" spans="2:16" ht="12.75">
      <c r="B1206" s="125">
        <f ca="1">IFERROR(__xludf.DUMMYFUNCTION("""COMPUTED_VALUE"""),44454.6666666666)</f>
        <v>44454.666666666599</v>
      </c>
      <c r="C1206">
        <f ca="1">IFERROR(__xludf.DUMMYFUNCTION("""COMPUTED_VALUE"""),51.42)</f>
        <v>51.42</v>
      </c>
      <c r="O1206" s="125">
        <f ca="1">IFERROR(__xludf.DUMMYFUNCTION("""COMPUTED_VALUE"""),44454.6666666666)</f>
        <v>44454.666666666599</v>
      </c>
      <c r="P1206">
        <f ca="1">IFERROR(__xludf.DUMMYFUNCTION("""COMPUTED_VALUE"""),51.42)</f>
        <v>51.42</v>
      </c>
    </row>
    <row r="1207" spans="2:16" ht="12.75">
      <c r="B1207" s="125">
        <f ca="1">IFERROR(__xludf.DUMMYFUNCTION("""COMPUTED_VALUE"""),44455.6666666666)</f>
        <v>44455.666666666599</v>
      </c>
      <c r="C1207">
        <f ca="1">IFERROR(__xludf.DUMMYFUNCTION("""COMPUTED_VALUE"""),51.35)</f>
        <v>51.35</v>
      </c>
      <c r="O1207" s="125">
        <f ca="1">IFERROR(__xludf.DUMMYFUNCTION("""COMPUTED_VALUE"""),44455.6666666666)</f>
        <v>44455.666666666599</v>
      </c>
      <c r="P1207">
        <f ca="1">IFERROR(__xludf.DUMMYFUNCTION("""COMPUTED_VALUE"""),51.35)</f>
        <v>51.35</v>
      </c>
    </row>
    <row r="1208" spans="2:16" ht="12.75">
      <c r="B1208" s="125">
        <f ca="1">IFERROR(__xludf.DUMMYFUNCTION("""COMPUTED_VALUE"""),44456.6666666666)</f>
        <v>44456.666666666599</v>
      </c>
      <c r="C1208">
        <f ca="1">IFERROR(__xludf.DUMMYFUNCTION("""COMPUTED_VALUE"""),51.46)</f>
        <v>51.46</v>
      </c>
      <c r="O1208" s="125">
        <f ca="1">IFERROR(__xludf.DUMMYFUNCTION("""COMPUTED_VALUE"""),44456.6666666666)</f>
        <v>44456.666666666599</v>
      </c>
      <c r="P1208">
        <f ca="1">IFERROR(__xludf.DUMMYFUNCTION("""COMPUTED_VALUE"""),51.46)</f>
        <v>51.46</v>
      </c>
    </row>
    <row r="1209" spans="2:16" ht="12.75">
      <c r="B1209" s="125">
        <f ca="1">IFERROR(__xludf.DUMMYFUNCTION("""COMPUTED_VALUE"""),44459.6666666666)</f>
        <v>44459.666666666599</v>
      </c>
      <c r="C1209">
        <f ca="1">IFERROR(__xludf.DUMMYFUNCTION("""COMPUTED_VALUE"""),49.45)</f>
        <v>49.45</v>
      </c>
      <c r="O1209" s="125">
        <f ca="1">IFERROR(__xludf.DUMMYFUNCTION("""COMPUTED_VALUE"""),44459.6666666666)</f>
        <v>44459.666666666599</v>
      </c>
      <c r="P1209">
        <f ca="1">IFERROR(__xludf.DUMMYFUNCTION("""COMPUTED_VALUE"""),49.45)</f>
        <v>49.45</v>
      </c>
    </row>
    <row r="1210" spans="2:16" ht="12.75">
      <c r="B1210" s="125">
        <f ca="1">IFERROR(__xludf.DUMMYFUNCTION("""COMPUTED_VALUE"""),44460.6666666666)</f>
        <v>44460.666666666599</v>
      </c>
      <c r="C1210">
        <f ca="1">IFERROR(__xludf.DUMMYFUNCTION("""COMPUTED_VALUE"""),49.88)</f>
        <v>49.88</v>
      </c>
      <c r="O1210" s="125">
        <f ca="1">IFERROR(__xludf.DUMMYFUNCTION("""COMPUTED_VALUE"""),44460.6666666666)</f>
        <v>44460.666666666599</v>
      </c>
      <c r="P1210">
        <f ca="1">IFERROR(__xludf.DUMMYFUNCTION("""COMPUTED_VALUE"""),49.88)</f>
        <v>49.88</v>
      </c>
    </row>
    <row r="1211" spans="2:16" ht="12.75">
      <c r="B1211" s="125">
        <f ca="1">IFERROR(__xludf.DUMMYFUNCTION("""COMPUTED_VALUE"""),44461.6666666666)</f>
        <v>44461.666666666599</v>
      </c>
      <c r="C1211">
        <f ca="1">IFERROR(__xludf.DUMMYFUNCTION("""COMPUTED_VALUE"""),50.84)</f>
        <v>50.84</v>
      </c>
      <c r="O1211" s="125">
        <f ca="1">IFERROR(__xludf.DUMMYFUNCTION("""COMPUTED_VALUE"""),44461.6666666666)</f>
        <v>44461.666666666599</v>
      </c>
      <c r="P1211">
        <f ca="1">IFERROR(__xludf.DUMMYFUNCTION("""COMPUTED_VALUE"""),50.84)</f>
        <v>50.84</v>
      </c>
    </row>
    <row r="1212" spans="2:16" ht="12.75">
      <c r="B1212" s="125">
        <f ca="1">IFERROR(__xludf.DUMMYFUNCTION("""COMPUTED_VALUE"""),44462.6666666666)</f>
        <v>44462.666666666599</v>
      </c>
      <c r="C1212">
        <f ca="1">IFERROR(__xludf.DUMMYFUNCTION("""COMPUTED_VALUE"""),51.25)</f>
        <v>51.25</v>
      </c>
      <c r="O1212" s="125">
        <f ca="1">IFERROR(__xludf.DUMMYFUNCTION("""COMPUTED_VALUE"""),44462.6666666666)</f>
        <v>44462.666666666599</v>
      </c>
      <c r="P1212">
        <f ca="1">IFERROR(__xludf.DUMMYFUNCTION("""COMPUTED_VALUE"""),51.25)</f>
        <v>51.25</v>
      </c>
    </row>
    <row r="1213" spans="2:16" ht="12.75">
      <c r="B1213" s="125">
        <f ca="1">IFERROR(__xludf.DUMMYFUNCTION("""COMPUTED_VALUE"""),44463.6666666666)</f>
        <v>44463.666666666599</v>
      </c>
      <c r="C1213">
        <f ca="1">IFERROR(__xludf.DUMMYFUNCTION("""COMPUTED_VALUE"""),50.24)</f>
        <v>50.24</v>
      </c>
      <c r="O1213" s="125">
        <f ca="1">IFERROR(__xludf.DUMMYFUNCTION("""COMPUTED_VALUE"""),44463.6666666666)</f>
        <v>44463.666666666599</v>
      </c>
      <c r="P1213">
        <f ca="1">IFERROR(__xludf.DUMMYFUNCTION("""COMPUTED_VALUE"""),50.24)</f>
        <v>50.24</v>
      </c>
    </row>
    <row r="1214" spans="2:16" ht="12.75">
      <c r="B1214" s="125">
        <f ca="1">IFERROR(__xludf.DUMMYFUNCTION("""COMPUTED_VALUE"""),44466.6666666666)</f>
        <v>44466.666666666599</v>
      </c>
      <c r="C1214">
        <f ca="1">IFERROR(__xludf.DUMMYFUNCTION("""COMPUTED_VALUE"""),50.92)</f>
        <v>50.92</v>
      </c>
      <c r="O1214" s="125">
        <f ca="1">IFERROR(__xludf.DUMMYFUNCTION("""COMPUTED_VALUE"""),44466.6666666666)</f>
        <v>44466.666666666599</v>
      </c>
      <c r="P1214">
        <f ca="1">IFERROR(__xludf.DUMMYFUNCTION("""COMPUTED_VALUE"""),50.92)</f>
        <v>50.92</v>
      </c>
    </row>
    <row r="1215" spans="2:16" ht="12.75">
      <c r="B1215" s="125">
        <f ca="1">IFERROR(__xludf.DUMMYFUNCTION("""COMPUTED_VALUE"""),44467.6666666666)</f>
        <v>44467.666666666599</v>
      </c>
      <c r="C1215">
        <f ca="1">IFERROR(__xludf.DUMMYFUNCTION("""COMPUTED_VALUE"""),49.53)</f>
        <v>49.53</v>
      </c>
      <c r="O1215" s="125">
        <f ca="1">IFERROR(__xludf.DUMMYFUNCTION("""COMPUTED_VALUE"""),44467.6666666666)</f>
        <v>44467.666666666599</v>
      </c>
      <c r="P1215">
        <f ca="1">IFERROR(__xludf.DUMMYFUNCTION("""COMPUTED_VALUE"""),49.53)</f>
        <v>49.53</v>
      </c>
    </row>
    <row r="1216" spans="2:16" ht="12.75">
      <c r="B1216" s="125">
        <f ca="1">IFERROR(__xludf.DUMMYFUNCTION("""COMPUTED_VALUE"""),44468.6666666666)</f>
        <v>44468.666666666599</v>
      </c>
      <c r="C1216">
        <f ca="1">IFERROR(__xludf.DUMMYFUNCTION("""COMPUTED_VALUE"""),48.86)</f>
        <v>48.86</v>
      </c>
      <c r="O1216" s="125">
        <f ca="1">IFERROR(__xludf.DUMMYFUNCTION("""COMPUTED_VALUE"""),44468.6666666666)</f>
        <v>44468.666666666599</v>
      </c>
      <c r="P1216">
        <f ca="1">IFERROR(__xludf.DUMMYFUNCTION("""COMPUTED_VALUE"""),48.86)</f>
        <v>48.86</v>
      </c>
    </row>
    <row r="1217" spans="2:16" ht="12.75">
      <c r="B1217" s="125">
        <f ca="1">IFERROR(__xludf.DUMMYFUNCTION("""COMPUTED_VALUE"""),44469.6666666666)</f>
        <v>44469.666666666599</v>
      </c>
      <c r="C1217">
        <f ca="1">IFERROR(__xludf.DUMMYFUNCTION("""COMPUTED_VALUE"""),49.59)</f>
        <v>49.59</v>
      </c>
      <c r="O1217" s="125">
        <f ca="1">IFERROR(__xludf.DUMMYFUNCTION("""COMPUTED_VALUE"""),44469.6666666666)</f>
        <v>44469.666666666599</v>
      </c>
      <c r="P1217">
        <f ca="1">IFERROR(__xludf.DUMMYFUNCTION("""COMPUTED_VALUE"""),49.59)</f>
        <v>49.59</v>
      </c>
    </row>
    <row r="1218" spans="2:16" ht="12.75">
      <c r="B1218" s="125">
        <f ca="1">IFERROR(__xludf.DUMMYFUNCTION("""COMPUTED_VALUE"""),44470.6666666666)</f>
        <v>44470.666666666599</v>
      </c>
      <c r="C1218">
        <f ca="1">IFERROR(__xludf.DUMMYFUNCTION("""COMPUTED_VALUE"""),49.19)</f>
        <v>49.19</v>
      </c>
      <c r="O1218" s="125">
        <f ca="1">IFERROR(__xludf.DUMMYFUNCTION("""COMPUTED_VALUE"""),44470.6666666666)</f>
        <v>44470.666666666599</v>
      </c>
      <c r="P1218">
        <f ca="1">IFERROR(__xludf.DUMMYFUNCTION("""COMPUTED_VALUE"""),49.19)</f>
        <v>49.19</v>
      </c>
    </row>
    <row r="1219" spans="2:16" ht="12.75">
      <c r="B1219" s="125">
        <f ca="1">IFERROR(__xludf.DUMMYFUNCTION("""COMPUTED_VALUE"""),44473.6666666666)</f>
        <v>44473.666666666599</v>
      </c>
      <c r="C1219">
        <f ca="1">IFERROR(__xludf.DUMMYFUNCTION("""COMPUTED_VALUE"""),47.7)</f>
        <v>47.7</v>
      </c>
      <c r="O1219" s="125">
        <f ca="1">IFERROR(__xludf.DUMMYFUNCTION("""COMPUTED_VALUE"""),44473.6666666666)</f>
        <v>44473.666666666599</v>
      </c>
      <c r="P1219">
        <f ca="1">IFERROR(__xludf.DUMMYFUNCTION("""COMPUTED_VALUE"""),47.7)</f>
        <v>47.7</v>
      </c>
    </row>
    <row r="1220" spans="2:16" ht="12.75">
      <c r="B1220" s="125">
        <f ca="1">IFERROR(__xludf.DUMMYFUNCTION("""COMPUTED_VALUE"""),44474.6666666666)</f>
        <v>44474.666666666599</v>
      </c>
      <c r="C1220">
        <f ca="1">IFERROR(__xludf.DUMMYFUNCTION("""COMPUTED_VALUE"""),48.4)</f>
        <v>48.4</v>
      </c>
      <c r="O1220" s="125">
        <f ca="1">IFERROR(__xludf.DUMMYFUNCTION("""COMPUTED_VALUE"""),44474.6666666666)</f>
        <v>44474.666666666599</v>
      </c>
      <c r="P1220">
        <f ca="1">IFERROR(__xludf.DUMMYFUNCTION("""COMPUTED_VALUE"""),48.4)</f>
        <v>48.4</v>
      </c>
    </row>
    <row r="1221" spans="2:16" ht="12.75">
      <c r="B1221" s="125">
        <f ca="1">IFERROR(__xludf.DUMMYFUNCTION("""COMPUTED_VALUE"""),44475.6666666666)</f>
        <v>44475.666666666599</v>
      </c>
      <c r="C1221">
        <f ca="1">IFERROR(__xludf.DUMMYFUNCTION("""COMPUTED_VALUE"""),48.3)</f>
        <v>48.3</v>
      </c>
      <c r="O1221" s="125">
        <f ca="1">IFERROR(__xludf.DUMMYFUNCTION("""COMPUTED_VALUE"""),44475.6666666666)</f>
        <v>44475.666666666599</v>
      </c>
      <c r="P1221">
        <f ca="1">IFERROR(__xludf.DUMMYFUNCTION("""COMPUTED_VALUE"""),48.3)</f>
        <v>48.3</v>
      </c>
    </row>
    <row r="1222" spans="2:16" ht="12.75">
      <c r="B1222" s="125">
        <f ca="1">IFERROR(__xludf.DUMMYFUNCTION("""COMPUTED_VALUE"""),44476.6666666666)</f>
        <v>44476.666666666599</v>
      </c>
      <c r="C1222">
        <f ca="1">IFERROR(__xludf.DUMMYFUNCTION("""COMPUTED_VALUE"""),50.81)</f>
        <v>50.81</v>
      </c>
      <c r="O1222" s="125">
        <f ca="1">IFERROR(__xludf.DUMMYFUNCTION("""COMPUTED_VALUE"""),44476.6666666666)</f>
        <v>44476.666666666599</v>
      </c>
      <c r="P1222">
        <f ca="1">IFERROR(__xludf.DUMMYFUNCTION("""COMPUTED_VALUE"""),50.81)</f>
        <v>50.81</v>
      </c>
    </row>
    <row r="1223" spans="2:16" ht="12.75">
      <c r="B1223" s="125">
        <f ca="1">IFERROR(__xludf.DUMMYFUNCTION("""COMPUTED_VALUE"""),44477.6666666666)</f>
        <v>44477.666666666599</v>
      </c>
      <c r="C1223">
        <f ca="1">IFERROR(__xludf.DUMMYFUNCTION("""COMPUTED_VALUE"""),51.26)</f>
        <v>51.26</v>
      </c>
      <c r="O1223" s="125">
        <f ca="1">IFERROR(__xludf.DUMMYFUNCTION("""COMPUTED_VALUE"""),44477.6666666666)</f>
        <v>44477.666666666599</v>
      </c>
      <c r="P1223">
        <f ca="1">IFERROR(__xludf.DUMMYFUNCTION("""COMPUTED_VALUE"""),51.26)</f>
        <v>51.26</v>
      </c>
    </row>
    <row r="1224" spans="2:16" ht="12.75">
      <c r="B1224" s="125">
        <f ca="1">IFERROR(__xludf.DUMMYFUNCTION("""COMPUTED_VALUE"""),44480.6666666666)</f>
        <v>44480.666666666599</v>
      </c>
      <c r="C1224">
        <f ca="1">IFERROR(__xludf.DUMMYFUNCTION("""COMPUTED_VALUE"""),51)</f>
        <v>51</v>
      </c>
      <c r="O1224" s="125">
        <f ca="1">IFERROR(__xludf.DUMMYFUNCTION("""COMPUTED_VALUE"""),44480.6666666666)</f>
        <v>44480.666666666599</v>
      </c>
      <c r="P1224">
        <f ca="1">IFERROR(__xludf.DUMMYFUNCTION("""COMPUTED_VALUE"""),51)</f>
        <v>51</v>
      </c>
    </row>
    <row r="1225" spans="2:16" ht="12.75">
      <c r="B1225" s="125">
        <f ca="1">IFERROR(__xludf.DUMMYFUNCTION("""COMPUTED_VALUE"""),44481.6666666666)</f>
        <v>44481.666666666599</v>
      </c>
      <c r="C1225">
        <f ca="1">IFERROR(__xludf.DUMMYFUNCTION("""COMPUTED_VALUE"""),50.66)</f>
        <v>50.66</v>
      </c>
      <c r="O1225" s="125">
        <f ca="1">IFERROR(__xludf.DUMMYFUNCTION("""COMPUTED_VALUE"""),44481.6666666666)</f>
        <v>44481.666666666599</v>
      </c>
      <c r="P1225">
        <f ca="1">IFERROR(__xludf.DUMMYFUNCTION("""COMPUTED_VALUE"""),50.66)</f>
        <v>50.66</v>
      </c>
    </row>
    <row r="1226" spans="2:16" ht="12.75">
      <c r="B1226" s="125">
        <f ca="1">IFERROR(__xludf.DUMMYFUNCTION("""COMPUTED_VALUE"""),44482.6666666666)</f>
        <v>44482.666666666599</v>
      </c>
      <c r="C1226">
        <f ca="1">IFERROR(__xludf.DUMMYFUNCTION("""COMPUTED_VALUE"""),52.17)</f>
        <v>52.17</v>
      </c>
      <c r="O1226" s="125">
        <f ca="1">IFERROR(__xludf.DUMMYFUNCTION("""COMPUTED_VALUE"""),44482.6666666666)</f>
        <v>44482.666666666599</v>
      </c>
      <c r="P1226">
        <f ca="1">IFERROR(__xludf.DUMMYFUNCTION("""COMPUTED_VALUE"""),52.17)</f>
        <v>52.17</v>
      </c>
    </row>
    <row r="1227" spans="2:16" ht="12.75">
      <c r="B1227" s="125">
        <f ca="1">IFERROR(__xludf.DUMMYFUNCTION("""COMPUTED_VALUE"""),44483.6666666666)</f>
        <v>44483.666666666599</v>
      </c>
      <c r="C1227">
        <f ca="1">IFERROR(__xludf.DUMMYFUNCTION("""COMPUTED_VALUE"""),51.81)</f>
        <v>51.81</v>
      </c>
      <c r="O1227" s="125">
        <f ca="1">IFERROR(__xludf.DUMMYFUNCTION("""COMPUTED_VALUE"""),44483.6666666666)</f>
        <v>44483.666666666599</v>
      </c>
      <c r="P1227">
        <f ca="1">IFERROR(__xludf.DUMMYFUNCTION("""COMPUTED_VALUE"""),51.81)</f>
        <v>51.81</v>
      </c>
    </row>
    <row r="1228" spans="2:16" ht="12.75">
      <c r="B1228" s="125">
        <f ca="1">IFERROR(__xludf.DUMMYFUNCTION("""COMPUTED_VALUE"""),44484.6666666666)</f>
        <v>44484.666666666599</v>
      </c>
      <c r="C1228">
        <f ca="1">IFERROR(__xludf.DUMMYFUNCTION("""COMPUTED_VALUE"""),52.38)</f>
        <v>52.38</v>
      </c>
      <c r="O1228" s="125">
        <f ca="1">IFERROR(__xludf.DUMMYFUNCTION("""COMPUTED_VALUE"""),44484.6666666666)</f>
        <v>44484.666666666599</v>
      </c>
      <c r="P1228">
        <f ca="1">IFERROR(__xludf.DUMMYFUNCTION("""COMPUTED_VALUE"""),52.38)</f>
        <v>52.38</v>
      </c>
    </row>
    <row r="1229" spans="2:16" ht="12.75">
      <c r="B1229" s="125">
        <f ca="1">IFERROR(__xludf.DUMMYFUNCTION("""COMPUTED_VALUE"""),44487.6666666666)</f>
        <v>44487.666666666599</v>
      </c>
      <c r="C1229">
        <f ca="1">IFERROR(__xludf.DUMMYFUNCTION("""COMPUTED_VALUE"""),52.86)</f>
        <v>52.86</v>
      </c>
      <c r="O1229" s="125">
        <f ca="1">IFERROR(__xludf.DUMMYFUNCTION("""COMPUTED_VALUE"""),44487.6666666666)</f>
        <v>44487.666666666599</v>
      </c>
      <c r="P1229">
        <f ca="1">IFERROR(__xludf.DUMMYFUNCTION("""COMPUTED_VALUE"""),52.86)</f>
        <v>52.86</v>
      </c>
    </row>
    <row r="1230" spans="2:16" ht="12.75">
      <c r="B1230" s="125">
        <f ca="1">IFERROR(__xludf.DUMMYFUNCTION("""COMPUTED_VALUE"""),44488.6666666666)</f>
        <v>44488.666666666599</v>
      </c>
      <c r="C1230">
        <f ca="1">IFERROR(__xludf.DUMMYFUNCTION("""COMPUTED_VALUE"""),54.3)</f>
        <v>54.3</v>
      </c>
      <c r="O1230" s="125">
        <f ca="1">IFERROR(__xludf.DUMMYFUNCTION("""COMPUTED_VALUE"""),44488.6666666666)</f>
        <v>44488.666666666599</v>
      </c>
      <c r="P1230">
        <f ca="1">IFERROR(__xludf.DUMMYFUNCTION("""COMPUTED_VALUE"""),54.3)</f>
        <v>54.3</v>
      </c>
    </row>
    <row r="1231" spans="2:16" ht="12.75">
      <c r="B1231" s="125">
        <f ca="1">IFERROR(__xludf.DUMMYFUNCTION("""COMPUTED_VALUE"""),44489.6666666666)</f>
        <v>44489.666666666599</v>
      </c>
      <c r="C1231">
        <f ca="1">IFERROR(__xludf.DUMMYFUNCTION("""COMPUTED_VALUE"""),54.57)</f>
        <v>54.57</v>
      </c>
      <c r="O1231" s="125">
        <f ca="1">IFERROR(__xludf.DUMMYFUNCTION("""COMPUTED_VALUE"""),44489.6666666666)</f>
        <v>44489.666666666599</v>
      </c>
      <c r="P1231">
        <f ca="1">IFERROR(__xludf.DUMMYFUNCTION("""COMPUTED_VALUE"""),54.57)</f>
        <v>54.57</v>
      </c>
    </row>
    <row r="1232" spans="2:16" ht="12.75">
      <c r="B1232" s="125">
        <f ca="1">IFERROR(__xludf.DUMMYFUNCTION("""COMPUTED_VALUE"""),44490.6666666666)</f>
        <v>44490.666666666599</v>
      </c>
      <c r="C1232">
        <f ca="1">IFERROR(__xludf.DUMMYFUNCTION("""COMPUTED_VALUE"""),54.43)</f>
        <v>54.43</v>
      </c>
      <c r="O1232" s="125">
        <f ca="1">IFERROR(__xludf.DUMMYFUNCTION("""COMPUTED_VALUE"""),44490.6666666666)</f>
        <v>44490.666666666599</v>
      </c>
      <c r="P1232">
        <f ca="1">IFERROR(__xludf.DUMMYFUNCTION("""COMPUTED_VALUE"""),54.43)</f>
        <v>54.43</v>
      </c>
    </row>
    <row r="1233" spans="2:16" ht="12.75">
      <c r="B1233" s="125">
        <f ca="1">IFERROR(__xludf.DUMMYFUNCTION("""COMPUTED_VALUE"""),44491.6666666666)</f>
        <v>44491.666666666599</v>
      </c>
      <c r="C1233">
        <f ca="1">IFERROR(__xludf.DUMMYFUNCTION("""COMPUTED_VALUE"""),53.65)</f>
        <v>53.65</v>
      </c>
      <c r="O1233" s="125">
        <f ca="1">IFERROR(__xludf.DUMMYFUNCTION("""COMPUTED_VALUE"""),44491.6666666666)</f>
        <v>44491.666666666599</v>
      </c>
      <c r="P1233">
        <f ca="1">IFERROR(__xludf.DUMMYFUNCTION("""COMPUTED_VALUE"""),53.65)</f>
        <v>53.65</v>
      </c>
    </row>
    <row r="1234" spans="2:16" ht="12.75">
      <c r="B1234" s="125">
        <f ca="1">IFERROR(__xludf.DUMMYFUNCTION("""COMPUTED_VALUE"""),44494.6666666666)</f>
        <v>44494.666666666599</v>
      </c>
      <c r="C1234">
        <f ca="1">IFERROR(__xludf.DUMMYFUNCTION("""COMPUTED_VALUE"""),53.69)</f>
        <v>53.69</v>
      </c>
      <c r="O1234" s="125">
        <f ca="1">IFERROR(__xludf.DUMMYFUNCTION("""COMPUTED_VALUE"""),44494.6666666666)</f>
        <v>44494.666666666599</v>
      </c>
      <c r="P1234">
        <f ca="1">IFERROR(__xludf.DUMMYFUNCTION("""COMPUTED_VALUE"""),53.69)</f>
        <v>53.69</v>
      </c>
    </row>
    <row r="1235" spans="2:16" ht="12.75">
      <c r="B1235" s="125">
        <f ca="1">IFERROR(__xludf.DUMMYFUNCTION("""COMPUTED_VALUE"""),44495.6666666666)</f>
        <v>44495.666666666599</v>
      </c>
      <c r="C1235">
        <f ca="1">IFERROR(__xludf.DUMMYFUNCTION("""COMPUTED_VALUE"""),52.17)</f>
        <v>52.17</v>
      </c>
      <c r="O1235" s="125">
        <f ca="1">IFERROR(__xludf.DUMMYFUNCTION("""COMPUTED_VALUE"""),44495.6666666666)</f>
        <v>44495.666666666599</v>
      </c>
      <c r="P1235">
        <f ca="1">IFERROR(__xludf.DUMMYFUNCTION("""COMPUTED_VALUE"""),52.17)</f>
        <v>52.17</v>
      </c>
    </row>
    <row r="1236" spans="2:16" ht="12.75">
      <c r="B1236" s="125">
        <f ca="1">IFERROR(__xludf.DUMMYFUNCTION("""COMPUTED_VALUE"""),44496.6666666666)</f>
        <v>44496.666666666599</v>
      </c>
      <c r="C1236">
        <f ca="1">IFERROR(__xludf.DUMMYFUNCTION("""COMPUTED_VALUE"""),51.75)</f>
        <v>51.75</v>
      </c>
      <c r="O1236" s="125">
        <f ca="1">IFERROR(__xludf.DUMMYFUNCTION("""COMPUTED_VALUE"""),44496.6666666666)</f>
        <v>44496.666666666599</v>
      </c>
      <c r="P1236">
        <f ca="1">IFERROR(__xludf.DUMMYFUNCTION("""COMPUTED_VALUE"""),51.75)</f>
        <v>51.75</v>
      </c>
    </row>
    <row r="1237" spans="2:16" ht="12.75">
      <c r="B1237" s="125">
        <f ca="1">IFERROR(__xludf.DUMMYFUNCTION("""COMPUTED_VALUE"""),44497.6666666666)</f>
        <v>44497.666666666599</v>
      </c>
      <c r="C1237">
        <f ca="1">IFERROR(__xludf.DUMMYFUNCTION("""COMPUTED_VALUE"""),51.87)</f>
        <v>51.87</v>
      </c>
      <c r="O1237" s="125">
        <f ca="1">IFERROR(__xludf.DUMMYFUNCTION("""COMPUTED_VALUE"""),44497.6666666666)</f>
        <v>44497.666666666599</v>
      </c>
      <c r="P1237">
        <f ca="1">IFERROR(__xludf.DUMMYFUNCTION("""COMPUTED_VALUE"""),51.87)</f>
        <v>51.87</v>
      </c>
    </row>
    <row r="1238" spans="2:16" ht="12.75">
      <c r="B1238" s="125">
        <f ca="1">IFERROR(__xludf.DUMMYFUNCTION("""COMPUTED_VALUE"""),44498.6666666666)</f>
        <v>44498.666666666599</v>
      </c>
      <c r="C1238">
        <f ca="1">IFERROR(__xludf.DUMMYFUNCTION("""COMPUTED_VALUE"""),50.47)</f>
        <v>50.47</v>
      </c>
      <c r="O1238" s="125">
        <f ca="1">IFERROR(__xludf.DUMMYFUNCTION("""COMPUTED_VALUE"""),44498.6666666666)</f>
        <v>44498.666666666599</v>
      </c>
      <c r="P1238">
        <f ca="1">IFERROR(__xludf.DUMMYFUNCTION("""COMPUTED_VALUE"""),50.47)</f>
        <v>50.47</v>
      </c>
    </row>
    <row r="1239" spans="2:16" ht="12.75">
      <c r="B1239" s="125">
        <f ca="1">IFERROR(__xludf.DUMMYFUNCTION("""COMPUTED_VALUE"""),44501.6666666666)</f>
        <v>44501.666666666599</v>
      </c>
      <c r="C1239">
        <f ca="1">IFERROR(__xludf.DUMMYFUNCTION("""COMPUTED_VALUE"""),52.12)</f>
        <v>52.12</v>
      </c>
      <c r="O1239" s="125">
        <f ca="1">IFERROR(__xludf.DUMMYFUNCTION("""COMPUTED_VALUE"""),44501.6666666666)</f>
        <v>44501.666666666599</v>
      </c>
      <c r="P1239">
        <f ca="1">IFERROR(__xludf.DUMMYFUNCTION("""COMPUTED_VALUE"""),52.12)</f>
        <v>52.12</v>
      </c>
    </row>
    <row r="1240" spans="2:16" ht="12.75">
      <c r="B1240" s="125">
        <f ca="1">IFERROR(__xludf.DUMMYFUNCTION("""COMPUTED_VALUE"""),44502.6666666666)</f>
        <v>44502.666666666599</v>
      </c>
      <c r="C1240">
        <f ca="1">IFERROR(__xludf.DUMMYFUNCTION("""COMPUTED_VALUE"""),50.8)</f>
        <v>50.8</v>
      </c>
      <c r="O1240" s="125">
        <f ca="1">IFERROR(__xludf.DUMMYFUNCTION("""COMPUTED_VALUE"""),44502.6666666666)</f>
        <v>44502.666666666599</v>
      </c>
      <c r="P1240">
        <f ca="1">IFERROR(__xludf.DUMMYFUNCTION("""COMPUTED_VALUE"""),50.8)</f>
        <v>50.8</v>
      </c>
    </row>
    <row r="1241" spans="2:16" ht="12.75">
      <c r="B1241" s="125">
        <f ca="1">IFERROR(__xludf.DUMMYFUNCTION("""COMPUTED_VALUE"""),44503.6666666666)</f>
        <v>44503.666666666599</v>
      </c>
      <c r="C1241">
        <f ca="1">IFERROR(__xludf.DUMMYFUNCTION("""COMPUTED_VALUE"""),51.52)</f>
        <v>51.52</v>
      </c>
      <c r="O1241" s="125">
        <f ca="1">IFERROR(__xludf.DUMMYFUNCTION("""COMPUTED_VALUE"""),44503.6666666666)</f>
        <v>44503.666666666599</v>
      </c>
      <c r="P1241">
        <f ca="1">IFERROR(__xludf.DUMMYFUNCTION("""COMPUTED_VALUE"""),51.52)</f>
        <v>51.52</v>
      </c>
    </row>
    <row r="1242" spans="2:16" ht="12.75">
      <c r="B1242" s="125">
        <f ca="1">IFERROR(__xludf.DUMMYFUNCTION("""COMPUTED_VALUE"""),44504.6666666666)</f>
        <v>44504.666666666599</v>
      </c>
      <c r="C1242">
        <f ca="1">IFERROR(__xludf.DUMMYFUNCTION("""COMPUTED_VALUE"""),50.93)</f>
        <v>50.93</v>
      </c>
      <c r="O1242" s="125">
        <f ca="1">IFERROR(__xludf.DUMMYFUNCTION("""COMPUTED_VALUE"""),44504.6666666666)</f>
        <v>44504.666666666599</v>
      </c>
      <c r="P1242">
        <f ca="1">IFERROR(__xludf.DUMMYFUNCTION("""COMPUTED_VALUE"""),50.93)</f>
        <v>50.93</v>
      </c>
    </row>
    <row r="1243" spans="2:16" ht="12.75">
      <c r="B1243" s="125">
        <f ca="1">IFERROR(__xludf.DUMMYFUNCTION("""COMPUTED_VALUE"""),44505.6666666666)</f>
        <v>44505.666666666599</v>
      </c>
      <c r="C1243">
        <f ca="1">IFERROR(__xludf.DUMMYFUNCTION("""COMPUTED_VALUE"""),50.36)</f>
        <v>50.36</v>
      </c>
      <c r="O1243" s="125">
        <f ca="1">IFERROR(__xludf.DUMMYFUNCTION("""COMPUTED_VALUE"""),44505.6666666666)</f>
        <v>44505.666666666599</v>
      </c>
      <c r="P1243">
        <f ca="1">IFERROR(__xludf.DUMMYFUNCTION("""COMPUTED_VALUE"""),50.36)</f>
        <v>50.36</v>
      </c>
    </row>
    <row r="1244" spans="2:16" ht="12.75">
      <c r="B1244" s="125">
        <f ca="1">IFERROR(__xludf.DUMMYFUNCTION("""COMPUTED_VALUE"""),44508.6666666666)</f>
        <v>44508.666666666599</v>
      </c>
      <c r="C1244">
        <f ca="1">IFERROR(__xludf.DUMMYFUNCTION("""COMPUTED_VALUE"""),50.82)</f>
        <v>50.82</v>
      </c>
      <c r="O1244" s="125">
        <f ca="1">IFERROR(__xludf.DUMMYFUNCTION("""COMPUTED_VALUE"""),44508.6666666666)</f>
        <v>44508.666666666599</v>
      </c>
      <c r="P1244">
        <f ca="1">IFERROR(__xludf.DUMMYFUNCTION("""COMPUTED_VALUE"""),50.82)</f>
        <v>50.82</v>
      </c>
    </row>
    <row r="1245" spans="2:16" ht="12.75">
      <c r="B1245" s="125">
        <f ca="1">IFERROR(__xludf.DUMMYFUNCTION("""COMPUTED_VALUE"""),44509.6666666666)</f>
        <v>44509.666666666599</v>
      </c>
      <c r="C1245">
        <f ca="1">IFERROR(__xludf.DUMMYFUNCTION("""COMPUTED_VALUE"""),50.67)</f>
        <v>50.67</v>
      </c>
      <c r="O1245" s="125">
        <f ca="1">IFERROR(__xludf.DUMMYFUNCTION("""COMPUTED_VALUE"""),44509.6666666666)</f>
        <v>44509.666666666599</v>
      </c>
      <c r="P1245">
        <f ca="1">IFERROR(__xludf.DUMMYFUNCTION("""COMPUTED_VALUE"""),50.67)</f>
        <v>50.67</v>
      </c>
    </row>
    <row r="1246" spans="2:16" ht="12.75">
      <c r="B1246" s="125">
        <f ca="1">IFERROR(__xludf.DUMMYFUNCTION("""COMPUTED_VALUE"""),44510.6666666666)</f>
        <v>44510.666666666599</v>
      </c>
      <c r="C1246">
        <f ca="1">IFERROR(__xludf.DUMMYFUNCTION("""COMPUTED_VALUE"""),51.07)</f>
        <v>51.07</v>
      </c>
      <c r="O1246" s="125">
        <f ca="1">IFERROR(__xludf.DUMMYFUNCTION("""COMPUTED_VALUE"""),44510.6666666666)</f>
        <v>44510.666666666599</v>
      </c>
      <c r="P1246">
        <f ca="1">IFERROR(__xludf.DUMMYFUNCTION("""COMPUTED_VALUE"""),51.07)</f>
        <v>51.07</v>
      </c>
    </row>
    <row r="1247" spans="2:16" ht="12.75">
      <c r="B1247" s="125">
        <f ca="1">IFERROR(__xludf.DUMMYFUNCTION("""COMPUTED_VALUE"""),44511.6666666666)</f>
        <v>44511.666666666599</v>
      </c>
      <c r="C1247">
        <f ca="1">IFERROR(__xludf.DUMMYFUNCTION("""COMPUTED_VALUE"""),52.68)</f>
        <v>52.68</v>
      </c>
      <c r="O1247" s="125">
        <f ca="1">IFERROR(__xludf.DUMMYFUNCTION("""COMPUTED_VALUE"""),44511.6666666666)</f>
        <v>44511.666666666599</v>
      </c>
      <c r="P1247">
        <f ca="1">IFERROR(__xludf.DUMMYFUNCTION("""COMPUTED_VALUE"""),52.68)</f>
        <v>52.68</v>
      </c>
    </row>
    <row r="1248" spans="2:16" ht="12.75">
      <c r="B1248" s="125">
        <f ca="1">IFERROR(__xludf.DUMMYFUNCTION("""COMPUTED_VALUE"""),44512.6666666666)</f>
        <v>44512.666666666599</v>
      </c>
      <c r="C1248">
        <f ca="1">IFERROR(__xludf.DUMMYFUNCTION("""COMPUTED_VALUE"""),53.25)</f>
        <v>53.25</v>
      </c>
      <c r="O1248" s="125">
        <f ca="1">IFERROR(__xludf.DUMMYFUNCTION("""COMPUTED_VALUE"""),44512.6666666666)</f>
        <v>44512.666666666599</v>
      </c>
      <c r="P1248">
        <f ca="1">IFERROR(__xludf.DUMMYFUNCTION("""COMPUTED_VALUE"""),53.25)</f>
        <v>53.25</v>
      </c>
    </row>
    <row r="1249" spans="2:16" ht="12.75">
      <c r="B1249" s="125">
        <f ca="1">IFERROR(__xludf.DUMMYFUNCTION("""COMPUTED_VALUE"""),44515.6666666666)</f>
        <v>44515.666666666599</v>
      </c>
      <c r="C1249">
        <f ca="1">IFERROR(__xludf.DUMMYFUNCTION("""COMPUTED_VALUE"""),52.93)</f>
        <v>52.93</v>
      </c>
      <c r="O1249" s="125">
        <f ca="1">IFERROR(__xludf.DUMMYFUNCTION("""COMPUTED_VALUE"""),44515.6666666666)</f>
        <v>44515.666666666599</v>
      </c>
      <c r="P1249">
        <f ca="1">IFERROR(__xludf.DUMMYFUNCTION("""COMPUTED_VALUE"""),52.93)</f>
        <v>52.93</v>
      </c>
    </row>
    <row r="1250" spans="2:16" ht="12.75">
      <c r="B1250" s="125">
        <f ca="1">IFERROR(__xludf.DUMMYFUNCTION("""COMPUTED_VALUE"""),44516.6666666666)</f>
        <v>44516.666666666599</v>
      </c>
      <c r="C1250">
        <f ca="1">IFERROR(__xludf.DUMMYFUNCTION("""COMPUTED_VALUE"""),53.16)</f>
        <v>53.16</v>
      </c>
      <c r="O1250" s="125">
        <f ca="1">IFERROR(__xludf.DUMMYFUNCTION("""COMPUTED_VALUE"""),44516.6666666666)</f>
        <v>44516.666666666599</v>
      </c>
      <c r="P1250">
        <f ca="1">IFERROR(__xludf.DUMMYFUNCTION("""COMPUTED_VALUE"""),53.16)</f>
        <v>53.16</v>
      </c>
    </row>
    <row r="1251" spans="2:16" ht="12.75">
      <c r="B1251" s="125">
        <f ca="1">IFERROR(__xludf.DUMMYFUNCTION("""COMPUTED_VALUE"""),44517.6666666666)</f>
        <v>44517.666666666599</v>
      </c>
      <c r="C1251">
        <f ca="1">IFERROR(__xludf.DUMMYFUNCTION("""COMPUTED_VALUE"""),51.69)</f>
        <v>51.69</v>
      </c>
      <c r="O1251" s="125">
        <f ca="1">IFERROR(__xludf.DUMMYFUNCTION("""COMPUTED_VALUE"""),44517.6666666666)</f>
        <v>44517.666666666599</v>
      </c>
      <c r="P1251">
        <f ca="1">IFERROR(__xludf.DUMMYFUNCTION("""COMPUTED_VALUE"""),51.69)</f>
        <v>51.69</v>
      </c>
    </row>
    <row r="1252" spans="2:16" ht="12.75">
      <c r="B1252" s="125">
        <f ca="1">IFERROR(__xludf.DUMMYFUNCTION("""COMPUTED_VALUE"""),44518.6666666666)</f>
        <v>44518.666666666599</v>
      </c>
      <c r="C1252">
        <f ca="1">IFERROR(__xludf.DUMMYFUNCTION("""COMPUTED_VALUE"""),50.69)</f>
        <v>50.69</v>
      </c>
      <c r="O1252" s="125">
        <f ca="1">IFERROR(__xludf.DUMMYFUNCTION("""COMPUTED_VALUE"""),44518.6666666666)</f>
        <v>44518.666666666599</v>
      </c>
      <c r="P1252">
        <f ca="1">IFERROR(__xludf.DUMMYFUNCTION("""COMPUTED_VALUE"""),50.69)</f>
        <v>50.69</v>
      </c>
    </row>
    <row r="1253" spans="2:16" ht="12.75">
      <c r="B1253" s="125">
        <f ca="1">IFERROR(__xludf.DUMMYFUNCTION("""COMPUTED_VALUE"""),44519.6666666666)</f>
        <v>44519.666666666599</v>
      </c>
      <c r="C1253">
        <f ca="1">IFERROR(__xludf.DUMMYFUNCTION("""COMPUTED_VALUE"""),50.4)</f>
        <v>50.4</v>
      </c>
      <c r="O1253" s="125">
        <f ca="1">IFERROR(__xludf.DUMMYFUNCTION("""COMPUTED_VALUE"""),44519.6666666666)</f>
        <v>44519.666666666599</v>
      </c>
      <c r="P1253">
        <f ca="1">IFERROR(__xludf.DUMMYFUNCTION("""COMPUTED_VALUE"""),50.4)</f>
        <v>50.4</v>
      </c>
    </row>
    <row r="1254" spans="2:16" ht="12.75">
      <c r="B1254" s="125">
        <f ca="1">IFERROR(__xludf.DUMMYFUNCTION("""COMPUTED_VALUE"""),44522.6666666666)</f>
        <v>44522.666666666599</v>
      </c>
      <c r="C1254">
        <f ca="1">IFERROR(__xludf.DUMMYFUNCTION("""COMPUTED_VALUE"""),48.85)</f>
        <v>48.85</v>
      </c>
      <c r="O1254" s="125">
        <f ca="1">IFERROR(__xludf.DUMMYFUNCTION("""COMPUTED_VALUE"""),44522.6666666666)</f>
        <v>44522.666666666599</v>
      </c>
      <c r="P1254">
        <f ca="1">IFERROR(__xludf.DUMMYFUNCTION("""COMPUTED_VALUE"""),48.85)</f>
        <v>48.85</v>
      </c>
    </row>
    <row r="1255" spans="2:16" ht="12.75">
      <c r="B1255" s="125">
        <f ca="1">IFERROR(__xludf.DUMMYFUNCTION("""COMPUTED_VALUE"""),44523.6666666666)</f>
        <v>44523.666666666599</v>
      </c>
      <c r="C1255">
        <f ca="1">IFERROR(__xludf.DUMMYFUNCTION("""COMPUTED_VALUE"""),48.44)</f>
        <v>48.44</v>
      </c>
      <c r="O1255" s="125">
        <f ca="1">IFERROR(__xludf.DUMMYFUNCTION("""COMPUTED_VALUE"""),44523.6666666666)</f>
        <v>44523.666666666599</v>
      </c>
      <c r="P1255">
        <f ca="1">IFERROR(__xludf.DUMMYFUNCTION("""COMPUTED_VALUE"""),48.44)</f>
        <v>48.44</v>
      </c>
    </row>
    <row r="1256" spans="2:16" ht="12.75">
      <c r="B1256" s="125">
        <f ca="1">IFERROR(__xludf.DUMMYFUNCTION("""COMPUTED_VALUE"""),44524.6666666666)</f>
        <v>44524.666666666599</v>
      </c>
      <c r="C1256">
        <f ca="1">IFERROR(__xludf.DUMMYFUNCTION("""COMPUTED_VALUE"""),48.79)</f>
        <v>48.79</v>
      </c>
      <c r="O1256" s="125">
        <f ca="1">IFERROR(__xludf.DUMMYFUNCTION("""COMPUTED_VALUE"""),44524.6666666666)</f>
        <v>44524.666666666599</v>
      </c>
      <c r="P1256">
        <f ca="1">IFERROR(__xludf.DUMMYFUNCTION("""COMPUTED_VALUE"""),48.79)</f>
        <v>48.79</v>
      </c>
    </row>
    <row r="1257" spans="2:16" ht="12.75">
      <c r="B1257" s="125">
        <f ca="1">IFERROR(__xludf.DUMMYFUNCTION("""COMPUTED_VALUE"""),44526.5520833333)</f>
        <v>44526.552083333299</v>
      </c>
      <c r="C1257">
        <f ca="1">IFERROR(__xludf.DUMMYFUNCTION("""COMPUTED_VALUE"""),47.25)</f>
        <v>47.25</v>
      </c>
      <c r="O1257" s="125">
        <f ca="1">IFERROR(__xludf.DUMMYFUNCTION("""COMPUTED_VALUE"""),44526.5520833333)</f>
        <v>44526.552083333299</v>
      </c>
      <c r="P1257">
        <f ca="1">IFERROR(__xludf.DUMMYFUNCTION("""COMPUTED_VALUE"""),47.25)</f>
        <v>47.25</v>
      </c>
    </row>
    <row r="1258" spans="2:16" ht="12.75">
      <c r="B1258" s="125">
        <f ca="1">IFERROR(__xludf.DUMMYFUNCTION("""COMPUTED_VALUE"""),44529.6666666666)</f>
        <v>44529.666666666599</v>
      </c>
      <c r="C1258">
        <f ca="1">IFERROR(__xludf.DUMMYFUNCTION("""COMPUTED_VALUE"""),47)</f>
        <v>47</v>
      </c>
      <c r="O1258" s="125">
        <f ca="1">IFERROR(__xludf.DUMMYFUNCTION("""COMPUTED_VALUE"""),44529.6666666666)</f>
        <v>44529.666666666599</v>
      </c>
      <c r="P1258">
        <f ca="1">IFERROR(__xludf.DUMMYFUNCTION("""COMPUTED_VALUE"""),47)</f>
        <v>47</v>
      </c>
    </row>
    <row r="1259" spans="2:16" ht="12.75">
      <c r="B1259" s="125">
        <f ca="1">IFERROR(__xludf.DUMMYFUNCTION("""COMPUTED_VALUE"""),44530.6666666666)</f>
        <v>44530.666666666599</v>
      </c>
      <c r="C1259">
        <f ca="1">IFERROR(__xludf.DUMMYFUNCTION("""COMPUTED_VALUE"""),46.18)</f>
        <v>46.18</v>
      </c>
      <c r="O1259" s="125">
        <f ca="1">IFERROR(__xludf.DUMMYFUNCTION("""COMPUTED_VALUE"""),44530.6666666666)</f>
        <v>44530.666666666599</v>
      </c>
      <c r="P1259">
        <f ca="1">IFERROR(__xludf.DUMMYFUNCTION("""COMPUTED_VALUE"""),46.18)</f>
        <v>46.18</v>
      </c>
    </row>
    <row r="1260" spans="2:16" ht="12.75">
      <c r="B1260" s="125">
        <f ca="1">IFERROR(__xludf.DUMMYFUNCTION("""COMPUTED_VALUE"""),44531.6666666666)</f>
        <v>44531.666666666599</v>
      </c>
      <c r="C1260">
        <f ca="1">IFERROR(__xludf.DUMMYFUNCTION("""COMPUTED_VALUE"""),45.56)</f>
        <v>45.56</v>
      </c>
      <c r="O1260" s="125">
        <f ca="1">IFERROR(__xludf.DUMMYFUNCTION("""COMPUTED_VALUE"""),44531.6666666666)</f>
        <v>44531.666666666599</v>
      </c>
      <c r="P1260">
        <f ca="1">IFERROR(__xludf.DUMMYFUNCTION("""COMPUTED_VALUE"""),45.56)</f>
        <v>45.56</v>
      </c>
    </row>
    <row r="1261" spans="2:16" ht="12.75">
      <c r="B1261" s="125">
        <f ca="1">IFERROR(__xludf.DUMMYFUNCTION("""COMPUTED_VALUE"""),44532.6666666666)</f>
        <v>44532.666666666599</v>
      </c>
      <c r="C1261">
        <f ca="1">IFERROR(__xludf.DUMMYFUNCTION("""COMPUTED_VALUE"""),45.27)</f>
        <v>45.27</v>
      </c>
      <c r="O1261" s="125">
        <f ca="1">IFERROR(__xludf.DUMMYFUNCTION("""COMPUTED_VALUE"""),44532.6666666666)</f>
        <v>44532.666666666599</v>
      </c>
      <c r="P1261">
        <f ca="1">IFERROR(__xludf.DUMMYFUNCTION("""COMPUTED_VALUE"""),45.27)</f>
        <v>45.27</v>
      </c>
    </row>
    <row r="1262" spans="2:16" ht="12.75">
      <c r="B1262" s="125">
        <f ca="1">IFERROR(__xludf.DUMMYFUNCTION("""COMPUTED_VALUE"""),44533.6666666666)</f>
        <v>44533.666666666599</v>
      </c>
      <c r="C1262">
        <f ca="1">IFERROR(__xludf.DUMMYFUNCTION("""COMPUTED_VALUE"""),43.05)</f>
        <v>43.05</v>
      </c>
      <c r="O1262" s="125">
        <f ca="1">IFERROR(__xludf.DUMMYFUNCTION("""COMPUTED_VALUE"""),44533.6666666666)</f>
        <v>44533.666666666599</v>
      </c>
      <c r="P1262">
        <f ca="1">IFERROR(__xludf.DUMMYFUNCTION("""COMPUTED_VALUE"""),43.05)</f>
        <v>43.05</v>
      </c>
    </row>
    <row r="1263" spans="2:16" ht="12.75">
      <c r="B1263" s="125">
        <f ca="1">IFERROR(__xludf.DUMMYFUNCTION("""COMPUTED_VALUE"""),44536.6666666666)</f>
        <v>44536.666666666599</v>
      </c>
      <c r="C1263">
        <f ca="1">IFERROR(__xludf.DUMMYFUNCTION("""COMPUTED_VALUE"""),43.9)</f>
        <v>43.9</v>
      </c>
      <c r="O1263" s="125">
        <f ca="1">IFERROR(__xludf.DUMMYFUNCTION("""COMPUTED_VALUE"""),44536.6666666666)</f>
        <v>44536.666666666599</v>
      </c>
      <c r="P1263">
        <f ca="1">IFERROR(__xludf.DUMMYFUNCTION("""COMPUTED_VALUE"""),43.9)</f>
        <v>43.9</v>
      </c>
    </row>
    <row r="1264" spans="2:16" ht="12.75">
      <c r="B1264" s="125">
        <f ca="1">IFERROR(__xludf.DUMMYFUNCTION("""COMPUTED_VALUE"""),44537.6666666666)</f>
        <v>44537.666666666599</v>
      </c>
      <c r="C1264">
        <f ca="1">IFERROR(__xludf.DUMMYFUNCTION("""COMPUTED_VALUE"""),45.54)</f>
        <v>45.54</v>
      </c>
      <c r="O1264" s="125">
        <f ca="1">IFERROR(__xludf.DUMMYFUNCTION("""COMPUTED_VALUE"""),44537.6666666666)</f>
        <v>44537.666666666599</v>
      </c>
      <c r="P1264">
        <f ca="1">IFERROR(__xludf.DUMMYFUNCTION("""COMPUTED_VALUE"""),45.54)</f>
        <v>45.54</v>
      </c>
    </row>
    <row r="1265" spans="2:16" ht="12.75">
      <c r="B1265" s="125">
        <f ca="1">IFERROR(__xludf.DUMMYFUNCTION("""COMPUTED_VALUE"""),44538.6666666666)</f>
        <v>44538.666666666599</v>
      </c>
      <c r="C1265">
        <f ca="1">IFERROR(__xludf.DUMMYFUNCTION("""COMPUTED_VALUE"""),45.68)</f>
        <v>45.68</v>
      </c>
      <c r="O1265" s="125">
        <f ca="1">IFERROR(__xludf.DUMMYFUNCTION("""COMPUTED_VALUE"""),44538.6666666666)</f>
        <v>44538.666666666599</v>
      </c>
      <c r="P1265">
        <f ca="1">IFERROR(__xludf.DUMMYFUNCTION("""COMPUTED_VALUE"""),45.68)</f>
        <v>45.68</v>
      </c>
    </row>
    <row r="1266" spans="2:16" ht="12.75">
      <c r="B1266" s="125">
        <f ca="1">IFERROR(__xludf.DUMMYFUNCTION("""COMPUTED_VALUE"""),44539.6666666666)</f>
        <v>44539.666666666599</v>
      </c>
      <c r="C1266">
        <f ca="1">IFERROR(__xludf.DUMMYFUNCTION("""COMPUTED_VALUE"""),45.16)</f>
        <v>45.16</v>
      </c>
      <c r="O1266" s="125">
        <f ca="1">IFERROR(__xludf.DUMMYFUNCTION("""COMPUTED_VALUE"""),44539.6666666666)</f>
        <v>44539.666666666599</v>
      </c>
      <c r="P1266">
        <f ca="1">IFERROR(__xludf.DUMMYFUNCTION("""COMPUTED_VALUE"""),45.16)</f>
        <v>45.16</v>
      </c>
    </row>
    <row r="1267" spans="2:16" ht="12.75">
      <c r="B1267" s="125">
        <f ca="1">IFERROR(__xludf.DUMMYFUNCTION("""COMPUTED_VALUE"""),44540.6666666666)</f>
        <v>44540.666666666599</v>
      </c>
      <c r="C1267">
        <f ca="1">IFERROR(__xludf.DUMMYFUNCTION("""COMPUTED_VALUE"""),45)</f>
        <v>45</v>
      </c>
      <c r="O1267" s="125">
        <f ca="1">IFERROR(__xludf.DUMMYFUNCTION("""COMPUTED_VALUE"""),44540.6666666666)</f>
        <v>44540.666666666599</v>
      </c>
      <c r="P1267">
        <f ca="1">IFERROR(__xludf.DUMMYFUNCTION("""COMPUTED_VALUE"""),45)</f>
        <v>45</v>
      </c>
    </row>
    <row r="1268" spans="2:16" ht="12.75">
      <c r="B1268" s="125">
        <f ca="1">IFERROR(__xludf.DUMMYFUNCTION("""COMPUTED_VALUE"""),44543.6666666666)</f>
        <v>44543.666666666599</v>
      </c>
      <c r="C1268">
        <f ca="1">IFERROR(__xludf.DUMMYFUNCTION("""COMPUTED_VALUE"""),44.05)</f>
        <v>44.05</v>
      </c>
      <c r="O1268" s="125">
        <f ca="1">IFERROR(__xludf.DUMMYFUNCTION("""COMPUTED_VALUE"""),44543.6666666666)</f>
        <v>44543.666666666599</v>
      </c>
      <c r="P1268">
        <f ca="1">IFERROR(__xludf.DUMMYFUNCTION("""COMPUTED_VALUE"""),44.05)</f>
        <v>44.05</v>
      </c>
    </row>
    <row r="1269" spans="2:16" ht="12.75">
      <c r="B1269" s="125">
        <f ca="1">IFERROR(__xludf.DUMMYFUNCTION("""COMPUTED_VALUE"""),44544.6666666666)</f>
        <v>44544.666666666599</v>
      </c>
      <c r="C1269">
        <f ca="1">IFERROR(__xludf.DUMMYFUNCTION("""COMPUTED_VALUE"""),43.84)</f>
        <v>43.84</v>
      </c>
      <c r="O1269" s="125">
        <f ca="1">IFERROR(__xludf.DUMMYFUNCTION("""COMPUTED_VALUE"""),44544.6666666666)</f>
        <v>44544.666666666599</v>
      </c>
      <c r="P1269">
        <f ca="1">IFERROR(__xludf.DUMMYFUNCTION("""COMPUTED_VALUE"""),43.84)</f>
        <v>43.84</v>
      </c>
    </row>
    <row r="1270" spans="2:16" ht="12.75">
      <c r="B1270" s="125">
        <f ca="1">IFERROR(__xludf.DUMMYFUNCTION("""COMPUTED_VALUE"""),44545.6666666666)</f>
        <v>44545.666666666599</v>
      </c>
      <c r="C1270">
        <f ca="1">IFERROR(__xludf.DUMMYFUNCTION("""COMPUTED_VALUE"""),43.2)</f>
        <v>43.2</v>
      </c>
      <c r="O1270" s="125">
        <f ca="1">IFERROR(__xludf.DUMMYFUNCTION("""COMPUTED_VALUE"""),44545.6666666666)</f>
        <v>44545.666666666599</v>
      </c>
      <c r="P1270">
        <f ca="1">IFERROR(__xludf.DUMMYFUNCTION("""COMPUTED_VALUE"""),43.2)</f>
        <v>43.2</v>
      </c>
    </row>
    <row r="1271" spans="2:16" ht="12.75">
      <c r="B1271" s="125">
        <f ca="1">IFERROR(__xludf.DUMMYFUNCTION("""COMPUTED_VALUE"""),44546.6666666666)</f>
        <v>44546.666666666599</v>
      </c>
      <c r="C1271">
        <f ca="1">IFERROR(__xludf.DUMMYFUNCTION("""COMPUTED_VALUE"""),42.6)</f>
        <v>42.6</v>
      </c>
      <c r="O1271" s="125">
        <f ca="1">IFERROR(__xludf.DUMMYFUNCTION("""COMPUTED_VALUE"""),44546.6666666666)</f>
        <v>44546.666666666599</v>
      </c>
      <c r="P1271">
        <f ca="1">IFERROR(__xludf.DUMMYFUNCTION("""COMPUTED_VALUE"""),42.6)</f>
        <v>42.6</v>
      </c>
    </row>
    <row r="1272" spans="2:16" ht="12.75">
      <c r="B1272" s="125">
        <f ca="1">IFERROR(__xludf.DUMMYFUNCTION("""COMPUTED_VALUE"""),44547.6666666666)</f>
        <v>44547.666666666599</v>
      </c>
      <c r="C1272">
        <f ca="1">IFERROR(__xludf.DUMMYFUNCTION("""COMPUTED_VALUE"""),42.37)</f>
        <v>42.37</v>
      </c>
      <c r="O1272" s="125">
        <f ca="1">IFERROR(__xludf.DUMMYFUNCTION("""COMPUTED_VALUE"""),44547.6666666666)</f>
        <v>44547.666666666599</v>
      </c>
      <c r="P1272">
        <f ca="1">IFERROR(__xludf.DUMMYFUNCTION("""COMPUTED_VALUE"""),42.37)</f>
        <v>42.37</v>
      </c>
    </row>
    <row r="1273" spans="2:16" ht="12.75">
      <c r="B1273" s="125">
        <f ca="1">IFERROR(__xludf.DUMMYFUNCTION("""COMPUTED_VALUE"""),44550.6666666666)</f>
        <v>44550.666666666599</v>
      </c>
      <c r="C1273">
        <f ca="1">IFERROR(__xludf.DUMMYFUNCTION("""COMPUTED_VALUE"""),40.93)</f>
        <v>40.93</v>
      </c>
      <c r="O1273" s="125">
        <f ca="1">IFERROR(__xludf.DUMMYFUNCTION("""COMPUTED_VALUE"""),44550.6666666666)</f>
        <v>44550.666666666599</v>
      </c>
      <c r="P1273">
        <f ca="1">IFERROR(__xludf.DUMMYFUNCTION("""COMPUTED_VALUE"""),40.93)</f>
        <v>40.93</v>
      </c>
    </row>
    <row r="1274" spans="2:16" ht="12.75">
      <c r="B1274" s="125">
        <f ca="1">IFERROR(__xludf.DUMMYFUNCTION("""COMPUTED_VALUE"""),44551.6666666666)</f>
        <v>44551.666666666599</v>
      </c>
      <c r="C1274">
        <f ca="1">IFERROR(__xludf.DUMMYFUNCTION("""COMPUTED_VALUE"""),42.91)</f>
        <v>42.91</v>
      </c>
      <c r="O1274" s="125">
        <f ca="1">IFERROR(__xludf.DUMMYFUNCTION("""COMPUTED_VALUE"""),44551.6666666666)</f>
        <v>44551.666666666599</v>
      </c>
      <c r="P1274">
        <f ca="1">IFERROR(__xludf.DUMMYFUNCTION("""COMPUTED_VALUE"""),42.91)</f>
        <v>42.91</v>
      </c>
    </row>
    <row r="1275" spans="2:16" ht="12.75">
      <c r="B1275" s="125">
        <f ca="1">IFERROR(__xludf.DUMMYFUNCTION("""COMPUTED_VALUE"""),44552.6666666666)</f>
        <v>44552.666666666599</v>
      </c>
      <c r="C1275">
        <f ca="1">IFERROR(__xludf.DUMMYFUNCTION("""COMPUTED_VALUE"""),42.61)</f>
        <v>42.61</v>
      </c>
      <c r="O1275" s="125">
        <f ca="1">IFERROR(__xludf.DUMMYFUNCTION("""COMPUTED_VALUE"""),44552.6666666666)</f>
        <v>44552.666666666599</v>
      </c>
      <c r="P1275">
        <f ca="1">IFERROR(__xludf.DUMMYFUNCTION("""COMPUTED_VALUE"""),42.61)</f>
        <v>42.61</v>
      </c>
    </row>
    <row r="1276" spans="2:16" ht="12.75">
      <c r="B1276" s="125">
        <f ca="1">IFERROR(__xludf.DUMMYFUNCTION("""COMPUTED_VALUE"""),44553.6666666666)</f>
        <v>44553.666666666599</v>
      </c>
      <c r="C1276">
        <f ca="1">IFERROR(__xludf.DUMMYFUNCTION("""COMPUTED_VALUE"""),42.9)</f>
        <v>42.9</v>
      </c>
      <c r="O1276" s="125">
        <f ca="1">IFERROR(__xludf.DUMMYFUNCTION("""COMPUTED_VALUE"""),44553.6666666666)</f>
        <v>44553.666666666599</v>
      </c>
      <c r="P1276">
        <f ca="1">IFERROR(__xludf.DUMMYFUNCTION("""COMPUTED_VALUE"""),42.9)</f>
        <v>42.9</v>
      </c>
    </row>
    <row r="1277" spans="2:16" ht="12.75">
      <c r="B1277" s="125">
        <f ca="1">IFERROR(__xludf.DUMMYFUNCTION("""COMPUTED_VALUE"""),44557.6666666666)</f>
        <v>44557.666666666599</v>
      </c>
      <c r="C1277">
        <f ca="1">IFERROR(__xludf.DUMMYFUNCTION("""COMPUTED_VALUE"""),42.67)</f>
        <v>42.67</v>
      </c>
      <c r="O1277" s="125">
        <f ca="1">IFERROR(__xludf.DUMMYFUNCTION("""COMPUTED_VALUE"""),44557.6666666666)</f>
        <v>44557.666666666599</v>
      </c>
      <c r="P1277">
        <f ca="1">IFERROR(__xludf.DUMMYFUNCTION("""COMPUTED_VALUE"""),42.67)</f>
        <v>42.67</v>
      </c>
    </row>
    <row r="1278" spans="2:16" ht="12.75">
      <c r="B1278" s="125">
        <f ca="1">IFERROR(__xludf.DUMMYFUNCTION("""COMPUTED_VALUE"""),44558.6666666666)</f>
        <v>44558.666666666599</v>
      </c>
      <c r="C1278">
        <f ca="1">IFERROR(__xludf.DUMMYFUNCTION("""COMPUTED_VALUE"""),42.01)</f>
        <v>42.01</v>
      </c>
      <c r="O1278" s="125">
        <f ca="1">IFERROR(__xludf.DUMMYFUNCTION("""COMPUTED_VALUE"""),44558.6666666666)</f>
        <v>44558.666666666599</v>
      </c>
      <c r="P1278">
        <f ca="1">IFERROR(__xludf.DUMMYFUNCTION("""COMPUTED_VALUE"""),42.01)</f>
        <v>42.01</v>
      </c>
    </row>
    <row r="1279" spans="2:16" ht="12.75">
      <c r="B1279" s="125">
        <f ca="1">IFERROR(__xludf.DUMMYFUNCTION("""COMPUTED_VALUE"""),44559.6666666666)</f>
        <v>44559.666666666599</v>
      </c>
      <c r="C1279">
        <f ca="1">IFERROR(__xludf.DUMMYFUNCTION("""COMPUTED_VALUE"""),41.32)</f>
        <v>41.32</v>
      </c>
      <c r="O1279" s="125">
        <f ca="1">IFERROR(__xludf.DUMMYFUNCTION("""COMPUTED_VALUE"""),44559.6666666666)</f>
        <v>44559.666666666599</v>
      </c>
      <c r="P1279">
        <f ca="1">IFERROR(__xludf.DUMMYFUNCTION("""COMPUTED_VALUE"""),41.32)</f>
        <v>41.32</v>
      </c>
    </row>
    <row r="1280" spans="2:16" ht="12.75">
      <c r="B1280" s="125">
        <f ca="1">IFERROR(__xludf.DUMMYFUNCTION("""COMPUTED_VALUE"""),44560.6666666666)</f>
        <v>44560.666666666599</v>
      </c>
      <c r="C1280">
        <f ca="1">IFERROR(__xludf.DUMMYFUNCTION("""COMPUTED_VALUE"""),43.25)</f>
        <v>43.25</v>
      </c>
      <c r="O1280" s="125">
        <f ca="1">IFERROR(__xludf.DUMMYFUNCTION("""COMPUTED_VALUE"""),44560.6666666666)</f>
        <v>44560.666666666599</v>
      </c>
      <c r="P1280">
        <f ca="1">IFERROR(__xludf.DUMMYFUNCTION("""COMPUTED_VALUE"""),43.25)</f>
        <v>43.25</v>
      </c>
    </row>
    <row r="1281" spans="2:16" ht="12.75">
      <c r="B1281" s="125">
        <f ca="1">IFERROR(__xludf.DUMMYFUNCTION("""COMPUTED_VALUE"""),44561.6666666666)</f>
        <v>44561.666666666599</v>
      </c>
      <c r="C1281">
        <f ca="1">IFERROR(__xludf.DUMMYFUNCTION("""COMPUTED_VALUE"""),42.9)</f>
        <v>42.9</v>
      </c>
      <c r="O1281" s="125">
        <f ca="1">IFERROR(__xludf.DUMMYFUNCTION("""COMPUTED_VALUE"""),44561.6666666666)</f>
        <v>44561.666666666599</v>
      </c>
      <c r="P1281">
        <f ca="1">IFERROR(__xludf.DUMMYFUNCTION("""COMPUTED_VALUE"""),42.9)</f>
        <v>42.9</v>
      </c>
    </row>
    <row r="1282" spans="2:16" ht="12.75">
      <c r="B1282" s="125">
        <f ca="1">IFERROR(__xludf.DUMMYFUNCTION("""COMPUTED_VALUE"""),44564.6666666666)</f>
        <v>44564.666666666599</v>
      </c>
      <c r="C1282">
        <f ca="1">IFERROR(__xludf.DUMMYFUNCTION("""COMPUTED_VALUE"""),42.86)</f>
        <v>42.86</v>
      </c>
      <c r="O1282" s="125">
        <f ca="1">IFERROR(__xludf.DUMMYFUNCTION("""COMPUTED_VALUE"""),44564.6666666666)</f>
        <v>44564.666666666599</v>
      </c>
      <c r="P1282">
        <f ca="1">IFERROR(__xludf.DUMMYFUNCTION("""COMPUTED_VALUE"""),42.86)</f>
        <v>42.86</v>
      </c>
    </row>
    <row r="1283" spans="2:16" ht="12.75">
      <c r="B1283" s="125">
        <f ca="1">IFERROR(__xludf.DUMMYFUNCTION("""COMPUTED_VALUE"""),44565.6666666666)</f>
        <v>44565.666666666599</v>
      </c>
      <c r="C1283">
        <f ca="1">IFERROR(__xludf.DUMMYFUNCTION("""COMPUTED_VALUE"""),41.29)</f>
        <v>41.29</v>
      </c>
      <c r="O1283" s="125">
        <f ca="1">IFERROR(__xludf.DUMMYFUNCTION("""COMPUTED_VALUE"""),44565.6666666666)</f>
        <v>44565.666666666599</v>
      </c>
      <c r="P1283">
        <f ca="1">IFERROR(__xludf.DUMMYFUNCTION("""COMPUTED_VALUE"""),41.29)</f>
        <v>41.29</v>
      </c>
    </row>
    <row r="1284" spans="2:16" ht="12.75">
      <c r="B1284" s="125">
        <f ca="1">IFERROR(__xludf.DUMMYFUNCTION("""COMPUTED_VALUE"""),44566.6666666666)</f>
        <v>44566.666666666599</v>
      </c>
      <c r="C1284">
        <f ca="1">IFERROR(__xludf.DUMMYFUNCTION("""COMPUTED_VALUE"""),39.71)</f>
        <v>39.71</v>
      </c>
      <c r="O1284" s="125">
        <f ca="1">IFERROR(__xludf.DUMMYFUNCTION("""COMPUTED_VALUE"""),44566.6666666666)</f>
        <v>44566.666666666599</v>
      </c>
      <c r="P1284">
        <f ca="1">IFERROR(__xludf.DUMMYFUNCTION("""COMPUTED_VALUE"""),39.71)</f>
        <v>39.71</v>
      </c>
    </row>
    <row r="1285" spans="2:16" ht="12.75">
      <c r="B1285" s="125">
        <f ca="1">IFERROR(__xludf.DUMMYFUNCTION("""COMPUTED_VALUE"""),44567.6666666666)</f>
        <v>44567.666666666599</v>
      </c>
      <c r="C1285">
        <f ca="1">IFERROR(__xludf.DUMMYFUNCTION("""COMPUTED_VALUE"""),40.47)</f>
        <v>40.47</v>
      </c>
      <c r="O1285" s="125">
        <f ca="1">IFERROR(__xludf.DUMMYFUNCTION("""COMPUTED_VALUE"""),44567.6666666666)</f>
        <v>44567.666666666599</v>
      </c>
      <c r="P1285">
        <f ca="1">IFERROR(__xludf.DUMMYFUNCTION("""COMPUTED_VALUE"""),40.47)</f>
        <v>40.47</v>
      </c>
    </row>
    <row r="1286" spans="2:16" ht="12.75">
      <c r="B1286" s="125">
        <f ca="1">IFERROR(__xludf.DUMMYFUNCTION("""COMPUTED_VALUE"""),44568.6666666666)</f>
        <v>44568.666666666599</v>
      </c>
      <c r="C1286">
        <f ca="1">IFERROR(__xludf.DUMMYFUNCTION("""COMPUTED_VALUE"""),40.96)</f>
        <v>40.96</v>
      </c>
      <c r="O1286" s="125">
        <f ca="1">IFERROR(__xludf.DUMMYFUNCTION("""COMPUTED_VALUE"""),44568.6666666666)</f>
        <v>44568.666666666599</v>
      </c>
      <c r="P1286">
        <f ca="1">IFERROR(__xludf.DUMMYFUNCTION("""COMPUTED_VALUE"""),40.96)</f>
        <v>40.96</v>
      </c>
    </row>
    <row r="1287" spans="2:16" ht="12.75">
      <c r="B1287" s="125">
        <f ca="1">IFERROR(__xludf.DUMMYFUNCTION("""COMPUTED_VALUE"""),44571.6666666666)</f>
        <v>44571.666666666599</v>
      </c>
      <c r="C1287">
        <f ca="1">IFERROR(__xludf.DUMMYFUNCTION("""COMPUTED_VALUE"""),40.78)</f>
        <v>40.78</v>
      </c>
      <c r="O1287" s="125">
        <f ca="1">IFERROR(__xludf.DUMMYFUNCTION("""COMPUTED_VALUE"""),44571.6666666666)</f>
        <v>44571.666666666599</v>
      </c>
      <c r="P1287">
        <f ca="1">IFERROR(__xludf.DUMMYFUNCTION("""COMPUTED_VALUE"""),40.78)</f>
        <v>40.78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/>
  <cols>
    <col min="2" max="2" width="42.140625" customWidth="1"/>
    <col min="3" max="3" width="15" customWidth="1"/>
    <col min="4" max="4" width="19.140625" customWidth="1"/>
    <col min="8" max="8" width="8.42578125" customWidth="1"/>
  </cols>
  <sheetData>
    <row r="1" spans="1:27" ht="7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 spans="1:27" ht="12.75">
      <c r="A2" s="137"/>
      <c r="B2" s="138" t="s">
        <v>1</v>
      </c>
      <c r="C2" s="139">
        <v>43472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36"/>
      <c r="T2" s="136"/>
      <c r="U2" s="136"/>
      <c r="V2" s="136"/>
      <c r="W2" s="136"/>
      <c r="X2" s="136"/>
      <c r="Y2" s="136"/>
      <c r="Z2" s="136"/>
      <c r="AA2" s="136"/>
    </row>
    <row r="3" spans="1:27" ht="38.25">
      <c r="A3" s="141" t="s">
        <v>83</v>
      </c>
      <c r="B3" s="142" t="s">
        <v>4</v>
      </c>
      <c r="C3" s="142" t="s">
        <v>5</v>
      </c>
      <c r="D3" s="143" t="s">
        <v>84</v>
      </c>
      <c r="E3" s="142" t="s">
        <v>7</v>
      </c>
      <c r="F3" s="144" t="s">
        <v>8</v>
      </c>
      <c r="G3" s="145" t="s">
        <v>9</v>
      </c>
      <c r="H3" s="146" t="s">
        <v>10</v>
      </c>
      <c r="I3" s="144" t="s">
        <v>11</v>
      </c>
      <c r="J3" s="143" t="s">
        <v>85</v>
      </c>
      <c r="K3" s="144" t="s">
        <v>12</v>
      </c>
      <c r="L3" s="144" t="s">
        <v>13</v>
      </c>
      <c r="M3" s="144" t="s">
        <v>14</v>
      </c>
      <c r="N3" s="144" t="s">
        <v>15</v>
      </c>
      <c r="O3" s="144" t="s">
        <v>16</v>
      </c>
      <c r="P3" s="147" t="s">
        <v>17</v>
      </c>
      <c r="Q3" s="144" t="s">
        <v>18</v>
      </c>
      <c r="R3" s="148" t="s">
        <v>19</v>
      </c>
      <c r="S3" s="148" t="s">
        <v>86</v>
      </c>
      <c r="T3" s="136"/>
      <c r="U3" s="136"/>
      <c r="V3" s="136"/>
      <c r="W3" s="136"/>
      <c r="X3" s="136"/>
      <c r="Y3" s="136"/>
      <c r="Z3" s="136"/>
      <c r="AA3" s="136"/>
    </row>
    <row r="4" spans="1:27" ht="12.75">
      <c r="A4" s="149" t="s">
        <v>87</v>
      </c>
      <c r="B4" s="137" t="s">
        <v>88</v>
      </c>
      <c r="C4" s="137">
        <v>111</v>
      </c>
      <c r="D4" s="150" t="str">
        <f ca="1">IFERROR(__xludf.DUMMYFUNCTION("INDEX(GOOGLEFINANCE(A4,""price"",date(2019,1,7)),2,2)"),"#N/A")</f>
        <v>#N/A</v>
      </c>
      <c r="E4" s="151" t="str">
        <f ca="1">IFERROR(__xludf.DUMMYFUNCTION("GOOGLEFINANCE(A4)"),"#N/A")</f>
        <v>#N/A</v>
      </c>
      <c r="F4" s="140" t="e">
        <f t="shared" ref="F4:F19" ca="1" si="0">D4*C4</f>
        <v>#VALUE!</v>
      </c>
      <c r="G4" s="151" t="e">
        <f t="shared" ref="G4:G19" ca="1" si="1">C4*E4</f>
        <v>#VALUE!</v>
      </c>
      <c r="H4" s="152" t="e">
        <f t="shared" ref="H4:H19" ca="1" si="2">G4/$G$21</f>
        <v>#VALUE!</v>
      </c>
      <c r="I4" s="153">
        <v>15.64</v>
      </c>
      <c r="J4" s="154" t="e">
        <f t="shared" ref="J4:J19" ca="1" si="3">G4-F4</f>
        <v>#VALUE!</v>
      </c>
      <c r="K4" s="155" t="str">
        <f ca="1">IFERROR(__xludf.DUMMYFUNCTION("(googlefinance(A4, ""changepct"")/100)"),"#N/A")</f>
        <v>#N/A</v>
      </c>
      <c r="L4" s="152" t="e">
        <f t="shared" ref="L4:L19" ca="1" si="4">K4*H4</f>
        <v>#VALUE!</v>
      </c>
      <c r="M4" s="155" t="str">
        <f ca="1">IFERROR(__xludf.DUMMYFUNCTION("(E4-INDEX(GOOGLEFINANCE(A4,""open"",(TODAY()-90)),2,2))/INDEX(GOOGLEFINANCE(A4,""open"",Today()-90),2,2)"),"#N/A")</f>
        <v>#N/A</v>
      </c>
      <c r="N4" s="156" t="str">
        <f ca="1">IFERROR(__xludf.DUMMYFUNCTION("(E4-INDEX(GOOGLEFINANCE(A4,""close"",Date(Year(Today()),1,1)),2,2))/INDEX(GOOGLEFINANCE(A4,""close"",Date(Year(Today()),1,1)),2,2)"),"#N/A")</f>
        <v>#N/A</v>
      </c>
      <c r="O4" s="155" t="e">
        <f t="shared" ref="O4:O19" ca="1" si="5">(((E4-I4)/I4)+1)^(1/((TODAY()-V5)/365)) - 1</f>
        <v>#VALUE!</v>
      </c>
      <c r="P4" s="152" t="e">
        <f t="shared" ref="P4:P19" ca="1" si="6">(E4-I4)/I4</f>
        <v>#VALUE!</v>
      </c>
      <c r="Q4" s="152" t="e">
        <f t="shared" ref="Q4:Q19" ca="1" si="7">(E4-D4)/D4</f>
        <v>#VALUE!</v>
      </c>
      <c r="R4" s="157" t="e">
        <f t="shared" ref="R4:R19" ca="1" si="8">Q4*H4</f>
        <v>#VALUE!</v>
      </c>
      <c r="S4" s="157" t="e">
        <f t="shared" ref="S4:S19" ca="1" si="9">P4*H4</f>
        <v>#VALUE!</v>
      </c>
      <c r="T4" s="136"/>
      <c r="U4" s="136"/>
      <c r="V4" s="136"/>
      <c r="W4" s="136"/>
      <c r="X4" s="136"/>
      <c r="Y4" s="136"/>
      <c r="Z4" s="136"/>
      <c r="AA4" s="136"/>
    </row>
    <row r="5" spans="1:27" ht="12.75">
      <c r="A5" s="149" t="s">
        <v>27</v>
      </c>
      <c r="B5" s="137" t="str">
        <f ca="1">IFERROR(__xludf.DUMMYFUNCTION("GOOGLEFINANCE(A5, ""name"")"),"EMQQ The Emerging Markets Internet &amp; Ecommerce ETF")</f>
        <v>EMQQ The Emerging Markets Internet &amp; Ecommerce ETF</v>
      </c>
      <c r="C5" s="158">
        <v>67</v>
      </c>
      <c r="D5" s="150">
        <f ca="1">IFERROR(__xludf.DUMMYFUNCTION("INDEX(GOOGLEFINANCE(A5,""price"",date(2019,1,7)),2,2)"),28.11)</f>
        <v>28.11</v>
      </c>
      <c r="E5" s="151">
        <f ca="1">IFERROR(__xludf.DUMMYFUNCTION("GOOGLEFINANCE(A5)"),42.64)</f>
        <v>42.64</v>
      </c>
      <c r="F5" s="151">
        <f t="shared" ca="1" si="0"/>
        <v>1883.37</v>
      </c>
      <c r="G5" s="151">
        <f t="shared" ca="1" si="1"/>
        <v>2856.88</v>
      </c>
      <c r="H5" s="152" t="e">
        <f t="shared" ca="1" si="2"/>
        <v>#VALUE!</v>
      </c>
      <c r="I5" s="159">
        <v>38.49</v>
      </c>
      <c r="J5" s="154">
        <f t="shared" ca="1" si="3"/>
        <v>973.51000000000022</v>
      </c>
      <c r="K5" s="155">
        <f ca="1">IFERROR(__xludf.DUMMYFUNCTION("(googlefinance(A5, ""changepct"")/100)"),0.0455999999999999)</f>
        <v>4.5599999999999898E-2</v>
      </c>
      <c r="L5" s="152" t="e">
        <f t="shared" ca="1" si="4"/>
        <v>#VALUE!</v>
      </c>
      <c r="M5" s="155">
        <f ca="1">IFERROR(__xludf.DUMMYFUNCTION("(E5-INDEX(GOOGLEFINANCE(A5,""open"",(TODAY()-90)),2,2))/INDEX(GOOGLEFINANCE(A5,""open"",Today()-90),2,2)"),-0.169781931464174)</f>
        <v>-0.169781931464174</v>
      </c>
      <c r="N5" s="156">
        <f ca="1">IFERROR(__xludf.DUMMYFUNCTION("(E5-INDEX(GOOGLEFINANCE(A5,""close"",Date(Year(Today()),1,1)),2,2))/INDEX(GOOGLEFINANCE(A5,""close"",Date(Year(Today()),1,1)),2,2)"),-0.00513299113392437)</f>
        <v>-5.1329911339243698E-3</v>
      </c>
      <c r="O5" s="155">
        <f t="shared" ca="1" si="5"/>
        <v>8.3883959478092684E-4</v>
      </c>
      <c r="P5" s="152">
        <f t="shared" ca="1" si="6"/>
        <v>0.10782021304234862</v>
      </c>
      <c r="Q5" s="152">
        <f t="shared" ca="1" si="7"/>
        <v>0.51689790110281042</v>
      </c>
      <c r="R5" s="157" t="e">
        <f t="shared" ca="1" si="8"/>
        <v>#VALUE!</v>
      </c>
      <c r="S5" s="157" t="e">
        <f t="shared" ca="1" si="9"/>
        <v>#VALUE!</v>
      </c>
      <c r="T5" s="136"/>
      <c r="U5" s="136"/>
      <c r="V5" s="136"/>
      <c r="W5" s="136"/>
      <c r="X5" s="136"/>
      <c r="Y5" s="136"/>
      <c r="Z5" s="136"/>
      <c r="AA5" s="136"/>
    </row>
    <row r="6" spans="1:27" ht="12.75">
      <c r="A6" s="149" t="s">
        <v>89</v>
      </c>
      <c r="B6" s="137" t="str">
        <f ca="1">IFERROR(__xludf.DUMMYFUNCTION("GOOGLEFINANCE(A6, ""name"")"),"Global X Robotics and Artificial Intelligence ETF")</f>
        <v>Global X Robotics and Artificial Intelligence ETF</v>
      </c>
      <c r="C6" s="137">
        <v>155</v>
      </c>
      <c r="D6" s="150">
        <f ca="1">IFERROR(__xludf.DUMMYFUNCTION("INDEX(GOOGLEFINANCE(A6,""price"",date(2019,1,7)),2,2)"),17.17)</f>
        <v>17.170000000000002</v>
      </c>
      <c r="E6" s="151">
        <f ca="1">IFERROR(__xludf.DUMMYFUNCTION("GOOGLEFINANCE(A6)"),33.63)</f>
        <v>33.630000000000003</v>
      </c>
      <c r="F6" s="151">
        <f t="shared" ca="1" si="0"/>
        <v>2661.3500000000004</v>
      </c>
      <c r="G6" s="151">
        <f t="shared" ca="1" si="1"/>
        <v>5212.6500000000005</v>
      </c>
      <c r="H6" s="152" t="e">
        <f t="shared" ca="1" si="2"/>
        <v>#VALUE!</v>
      </c>
      <c r="I6" s="153">
        <v>20.59</v>
      </c>
      <c r="J6" s="154">
        <f t="shared" ca="1" si="3"/>
        <v>2551.3000000000002</v>
      </c>
      <c r="K6" s="155">
        <f ca="1">IFERROR(__xludf.DUMMYFUNCTION("(googlefinance(A6, ""changepct"")/100)"),0.006)</f>
        <v>6.0000000000000001E-3</v>
      </c>
      <c r="L6" s="152" t="e">
        <f t="shared" ca="1" si="4"/>
        <v>#VALUE!</v>
      </c>
      <c r="M6" s="155">
        <f ca="1">IFERROR(__xludf.DUMMYFUNCTION("(E6-INDEX(GOOGLEFINANCE(A6,""open"",(TODAY()-90)),2,2))/INDEX(GOOGLEFINANCE(A6,""open"",Today()-90),2,2)"),-0.0574551569506725)</f>
        <v>-5.7455156950672499E-2</v>
      </c>
      <c r="N6" s="156">
        <f ca="1">IFERROR(__xludf.DUMMYFUNCTION("(E6-INDEX(GOOGLEFINANCE(A6,""close"",Date(Year(Today()),1,1)),2,2))/INDEX(GOOGLEFINANCE(A6,""close"",Date(Year(Today()),1,1)),2,2)"),-0.0681629260182876)</f>
        <v>-6.8162926018287606E-2</v>
      </c>
      <c r="O6" s="155">
        <f t="shared" ca="1" si="5"/>
        <v>4.0256196974242098E-3</v>
      </c>
      <c r="P6" s="152">
        <f t="shared" ca="1" si="6"/>
        <v>0.63331714424477914</v>
      </c>
      <c r="Q6" s="152">
        <f t="shared" ca="1" si="7"/>
        <v>0.95864880605707625</v>
      </c>
      <c r="R6" s="157" t="e">
        <f t="shared" ca="1" si="8"/>
        <v>#VALUE!</v>
      </c>
      <c r="S6" s="157" t="e">
        <f t="shared" ca="1" si="9"/>
        <v>#VALUE!</v>
      </c>
      <c r="T6" s="136"/>
      <c r="U6" s="136"/>
      <c r="V6" s="136"/>
      <c r="W6" s="136"/>
      <c r="X6" s="136"/>
      <c r="Y6" s="136"/>
      <c r="Z6" s="136"/>
      <c r="AA6" s="136"/>
    </row>
    <row r="7" spans="1:27" ht="12.75">
      <c r="A7" s="149" t="s">
        <v>30</v>
      </c>
      <c r="B7" s="137" t="str">
        <f ca="1">IFERROR(__xludf.DUMMYFUNCTION("GOOGLEFINANCE(A7, ""name"")"),"Global X FinTech ETF")</f>
        <v>Global X FinTech ETF</v>
      </c>
      <c r="C7" s="137">
        <v>61</v>
      </c>
      <c r="D7" s="150">
        <f ca="1">IFERROR(__xludf.DUMMYFUNCTION("INDEX(GOOGLEFINANCE(A7,""price"",date(2019,1,7)),2,2)"),22.65)</f>
        <v>22.65</v>
      </c>
      <c r="E7" s="151">
        <f ca="1">IFERROR(__xludf.DUMMYFUNCTION("GOOGLEFINANCE(A7)"),37.71)</f>
        <v>37.71</v>
      </c>
      <c r="F7" s="151">
        <f t="shared" ca="1" si="0"/>
        <v>1381.6499999999999</v>
      </c>
      <c r="G7" s="151">
        <f t="shared" ca="1" si="1"/>
        <v>2300.31</v>
      </c>
      <c r="H7" s="152" t="e">
        <f t="shared" ca="1" si="2"/>
        <v>#VALUE!</v>
      </c>
      <c r="I7" s="153">
        <v>22</v>
      </c>
      <c r="J7" s="154">
        <f t="shared" ca="1" si="3"/>
        <v>918.66000000000008</v>
      </c>
      <c r="K7" s="155">
        <f ca="1">IFERROR(__xludf.DUMMYFUNCTION("(googlefinance(A7, ""changepct"")/100)"),0.0349)</f>
        <v>3.49E-2</v>
      </c>
      <c r="L7" s="152" t="e">
        <f t="shared" ca="1" si="4"/>
        <v>#VALUE!</v>
      </c>
      <c r="M7" s="155">
        <f ca="1">IFERROR(__xludf.DUMMYFUNCTION("(E7-INDEX(GOOGLEFINANCE(A7,""open"",(TODAY()-90)),2,2))/INDEX(GOOGLEFINANCE(A7,""open"",Today()-90),2,2)"),-0.225190055475652)</f>
        <v>-0.22519005547565199</v>
      </c>
      <c r="N7" s="156">
        <f ca="1">IFERROR(__xludf.DUMMYFUNCTION("(E7-INDEX(GOOGLEFINANCE(A7,""close"",Date(Year(Today()),1,1)),2,2))/INDEX(GOOGLEFINANCE(A7,""close"",Date(Year(Today()),1,1)),2,2)"),-0.0624067628045747)</f>
        <v>-6.2406762804574703E-2</v>
      </c>
      <c r="O7" s="155">
        <f t="shared" ca="1" si="5"/>
        <v>4.4225622033970957E-3</v>
      </c>
      <c r="P7" s="152">
        <f t="shared" ca="1" si="6"/>
        <v>0.71409090909090911</v>
      </c>
      <c r="Q7" s="152">
        <f t="shared" ca="1" si="7"/>
        <v>0.66490066225165578</v>
      </c>
      <c r="R7" s="157" t="e">
        <f t="shared" ca="1" si="8"/>
        <v>#VALUE!</v>
      </c>
      <c r="S7" s="157" t="e">
        <f t="shared" ca="1" si="9"/>
        <v>#VALUE!</v>
      </c>
      <c r="T7" s="136"/>
      <c r="U7" s="136"/>
      <c r="V7" s="136"/>
      <c r="W7" s="136"/>
      <c r="X7" s="136"/>
      <c r="Y7" s="136"/>
      <c r="Z7" s="136"/>
      <c r="AA7" s="136"/>
    </row>
    <row r="8" spans="1:27" ht="12.75">
      <c r="A8" s="149" t="s">
        <v>73</v>
      </c>
      <c r="B8" s="137" t="str">
        <f ca="1">IFERROR(__xludf.DUMMYFUNCTION("GOOGLEFINANCE(A8, ""name"")"),"Invesco DB US Dollar Index Bullish Fund")</f>
        <v>Invesco DB US Dollar Index Bullish Fund</v>
      </c>
      <c r="C8" s="137">
        <v>51</v>
      </c>
      <c r="D8" s="150">
        <f ca="1">IFERROR(__xludf.DUMMYFUNCTION("INDEX(GOOGLEFINANCE(A8,""price"",date(2019,1,7)),2,2)"),25.35)</f>
        <v>25.35</v>
      </c>
      <c r="E8" s="151">
        <f ca="1">IFERROR(__xludf.DUMMYFUNCTION("GOOGLEFINANCE(A8)"),25.61)</f>
        <v>25.61</v>
      </c>
      <c r="F8" s="151">
        <f t="shared" ca="1" si="0"/>
        <v>1292.8500000000001</v>
      </c>
      <c r="G8" s="151">
        <f t="shared" ca="1" si="1"/>
        <v>1306.1099999999999</v>
      </c>
      <c r="H8" s="152" t="e">
        <f t="shared" ca="1" si="2"/>
        <v>#VALUE!</v>
      </c>
      <c r="I8" s="153">
        <v>25.5</v>
      </c>
      <c r="J8" s="154">
        <f t="shared" ca="1" si="3"/>
        <v>13.259999999999764</v>
      </c>
      <c r="K8" s="155">
        <f ca="1">IFERROR(__xludf.DUMMYFUNCTION("(googlefinance(A8, ""changepct"")/100)"),-0.0043)</f>
        <v>-4.3E-3</v>
      </c>
      <c r="L8" s="152" t="e">
        <f t="shared" ca="1" si="4"/>
        <v>#VALUE!</v>
      </c>
      <c r="M8" s="155">
        <f ca="1">IFERROR(__xludf.DUMMYFUNCTION("(E8-INDEX(GOOGLEFINANCE(A8,""open"",(TODAY()-90)),2,2))/INDEX(GOOGLEFINANCE(A8,""open"",Today()-90),2,2)"),0.0122529644268774)</f>
        <v>1.22529644268774E-2</v>
      </c>
      <c r="N8" s="156">
        <f ca="1">IFERROR(__xludf.DUMMYFUNCTION("(E8-INDEX(GOOGLEFINANCE(A8,""close"",Date(Year(Today()),1,1)),2,2))/INDEX(GOOGLEFINANCE(A8,""close"",Date(Year(Today()),1,1)),2,2)"),-0.00697944939899184)</f>
        <v>-6.97944939899184E-3</v>
      </c>
      <c r="O8" s="155">
        <f t="shared" ca="1" si="5"/>
        <v>3.5248945039256796E-5</v>
      </c>
      <c r="P8" s="152">
        <f t="shared" ca="1" si="6"/>
        <v>4.3137254901960565E-3</v>
      </c>
      <c r="Q8" s="152">
        <f t="shared" ca="1" si="7"/>
        <v>1.0256410256410177E-2</v>
      </c>
      <c r="R8" s="157" t="e">
        <f t="shared" ca="1" si="8"/>
        <v>#VALUE!</v>
      </c>
      <c r="S8" s="157" t="e">
        <f t="shared" ca="1" si="9"/>
        <v>#VALUE!</v>
      </c>
      <c r="T8" s="136"/>
      <c r="U8" s="136"/>
      <c r="V8" s="136"/>
      <c r="W8" s="136"/>
      <c r="X8" s="136"/>
      <c r="Y8" s="136"/>
      <c r="Z8" s="136"/>
      <c r="AA8" s="136"/>
    </row>
    <row r="9" spans="1:27" ht="12.75">
      <c r="A9" s="149" t="s">
        <v>90</v>
      </c>
      <c r="B9" s="137" t="str">
        <f ca="1">IFERROR(__xludf.DUMMYFUNCTION("GOOGLEFINANCE(A9, ""name"")"),"Ishares Msci Brazil ETF")</f>
        <v>Ishares Msci Brazil ETF</v>
      </c>
      <c r="C9" s="137">
        <v>31</v>
      </c>
      <c r="D9" s="150">
        <f ca="1">IFERROR(__xludf.DUMMYFUNCTION("INDEX(GOOGLEFINANCE(A9,""price"",date(2019,1,7)),2,2)"),41.4)</f>
        <v>41.4</v>
      </c>
      <c r="E9" s="151">
        <f ca="1">IFERROR(__xludf.DUMMYFUNCTION("GOOGLEFINANCE(A9)"),27.99)</f>
        <v>27.99</v>
      </c>
      <c r="F9" s="151">
        <f t="shared" ca="1" si="0"/>
        <v>1283.3999999999999</v>
      </c>
      <c r="G9" s="151">
        <f t="shared" ca="1" si="1"/>
        <v>867.68999999999994</v>
      </c>
      <c r="H9" s="152" t="e">
        <f t="shared" ca="1" si="2"/>
        <v>#VALUE!</v>
      </c>
      <c r="I9" s="153">
        <v>39.630000000000003</v>
      </c>
      <c r="J9" s="154">
        <f t="shared" ca="1" si="3"/>
        <v>-415.70999999999992</v>
      </c>
      <c r="K9" s="155">
        <f ca="1">IFERROR(__xludf.DUMMYFUNCTION("(googlefinance(A9, ""changepct"")/100)"),0.0371)</f>
        <v>3.7100000000000001E-2</v>
      </c>
      <c r="L9" s="152" t="e">
        <f t="shared" ca="1" si="4"/>
        <v>#VALUE!</v>
      </c>
      <c r="M9" s="155">
        <f ca="1">IFERROR(__xludf.DUMMYFUNCTION("(E9-INDEX(GOOGLEFINANCE(A9,""open"",(TODAY()-90)),2,2))/INDEX(GOOGLEFINANCE(A9,""open"",Today()-90),2,2)"),-0.129393468118195)</f>
        <v>-0.12939346811819499</v>
      </c>
      <c r="N9" s="156">
        <f ca="1">IFERROR(__xludf.DUMMYFUNCTION("(E9-INDEX(GOOGLEFINANCE(A9,""close"",Date(Year(Today()),1,1)),2,2))/INDEX(GOOGLEFINANCE(A9,""close"",Date(Year(Today()),1,1)),2,2)"),0.0230263157894736)</f>
        <v>2.30263157894736E-2</v>
      </c>
      <c r="O9" s="155">
        <f t="shared" ca="1" si="5"/>
        <v>-2.8435203063085224E-3</v>
      </c>
      <c r="P9" s="152">
        <f t="shared" ca="1" si="6"/>
        <v>-0.29371688115064354</v>
      </c>
      <c r="Q9" s="152">
        <f t="shared" ca="1" si="7"/>
        <v>-0.32391304347826089</v>
      </c>
      <c r="R9" s="157" t="e">
        <f t="shared" ca="1" si="8"/>
        <v>#VALUE!</v>
      </c>
      <c r="S9" s="157" t="e">
        <f t="shared" ca="1" si="9"/>
        <v>#VALUE!</v>
      </c>
      <c r="T9" s="136"/>
      <c r="U9" s="136"/>
      <c r="V9" s="136"/>
      <c r="W9" s="136"/>
      <c r="X9" s="136"/>
      <c r="Y9" s="136"/>
      <c r="Z9" s="136"/>
      <c r="AA9" s="136"/>
    </row>
    <row r="10" spans="1:27" ht="12.75">
      <c r="A10" s="149" t="s">
        <v>91</v>
      </c>
      <c r="B10" s="137" t="str">
        <f ca="1">IFERROR(__xludf.DUMMYFUNCTION("GOOGLEFINANCE(A10, ""name"")"),"iShares MSCI Chile ETF")</f>
        <v>iShares MSCI Chile ETF</v>
      </c>
      <c r="C10" s="137">
        <v>55</v>
      </c>
      <c r="D10" s="150">
        <f ca="1">IFERROR(__xludf.DUMMYFUNCTION("INDEX(GOOGLEFINANCE(A10,""price"",date(2019,1,7)),2,2)"),43.01)</f>
        <v>43.01</v>
      </c>
      <c r="E10" s="151">
        <f ca="1">IFERROR(__xludf.DUMMYFUNCTION("GOOGLEFINANCE(A10)"),24.37)</f>
        <v>24.37</v>
      </c>
      <c r="F10" s="151">
        <f t="shared" ca="1" si="0"/>
        <v>2365.5499999999997</v>
      </c>
      <c r="G10" s="151">
        <f t="shared" ca="1" si="1"/>
        <v>1340.3500000000001</v>
      </c>
      <c r="H10" s="152" t="e">
        <f t="shared" ca="1" si="2"/>
        <v>#VALUE!</v>
      </c>
      <c r="I10" s="153">
        <v>49.68</v>
      </c>
      <c r="J10" s="154">
        <f t="shared" ca="1" si="3"/>
        <v>-1025.1999999999996</v>
      </c>
      <c r="K10" s="155">
        <f ca="1">IFERROR(__xludf.DUMMYFUNCTION("(googlefinance(A10, ""changepct"")/100)"),0.0326)</f>
        <v>3.2599999999999997E-2</v>
      </c>
      <c r="L10" s="152" t="e">
        <f t="shared" ca="1" si="4"/>
        <v>#VALUE!</v>
      </c>
      <c r="M10" s="155">
        <f ca="1">IFERROR(__xludf.DUMMYFUNCTION("(E10-INDEX(GOOGLEFINANCE(A10,""open"",(TODAY()-90)),2,2))/INDEX(GOOGLEFINANCE(A10,""open"",Today()-90),2,2)"),-0.000820008200081983)</f>
        <v>-8.2000820008198299E-4</v>
      </c>
      <c r="N10" s="156">
        <f ca="1">IFERROR(__xludf.DUMMYFUNCTION("(E10-INDEX(GOOGLEFINANCE(A10,""close"",Date(Year(Today()),1,1)),2,2))/INDEX(GOOGLEFINANCE(A10,""close"",Date(Year(Today()),1,1)),2,2)"),0.0508840017248813)</f>
        <v>5.0884001724881299E-2</v>
      </c>
      <c r="O10" s="155">
        <f t="shared" ca="1" si="5"/>
        <v>-5.8155032609592539E-3</v>
      </c>
      <c r="P10" s="152">
        <f t="shared" ca="1" si="6"/>
        <v>-0.5094605475040257</v>
      </c>
      <c r="Q10" s="152">
        <f t="shared" ca="1" si="7"/>
        <v>-0.43338758428272489</v>
      </c>
      <c r="R10" s="157" t="e">
        <f t="shared" ca="1" si="8"/>
        <v>#VALUE!</v>
      </c>
      <c r="S10" s="157" t="e">
        <f t="shared" ca="1" si="9"/>
        <v>#VALUE!</v>
      </c>
      <c r="T10" s="136"/>
      <c r="U10" s="136"/>
      <c r="V10" s="136"/>
      <c r="W10" s="136"/>
      <c r="X10" s="136"/>
      <c r="Y10" s="136"/>
      <c r="Z10" s="136"/>
      <c r="AA10" s="136"/>
    </row>
    <row r="11" spans="1:27" ht="12.75">
      <c r="A11" s="149" t="s">
        <v>36</v>
      </c>
      <c r="B11" s="137" t="str">
        <f ca="1">IFERROR(__xludf.DUMMYFUNCTION("GOOGLEFINANCE(A11, ""name"")"),"iShares MSCI Netherlands ETF")</f>
        <v>iShares MSCI Netherlands ETF</v>
      </c>
      <c r="C11" s="137">
        <v>80</v>
      </c>
      <c r="D11" s="150">
        <f ca="1">IFERROR(__xludf.DUMMYFUNCTION("INDEX(GOOGLEFINANCE(A11,""price"",date(2019,1,7)),2,2)"),26.72)</f>
        <v>26.72</v>
      </c>
      <c r="E11" s="151">
        <f ca="1">IFERROR(__xludf.DUMMYFUNCTION("GOOGLEFINANCE(A11)"),49.11)</f>
        <v>49.11</v>
      </c>
      <c r="F11" s="151">
        <f t="shared" ca="1" si="0"/>
        <v>2137.6</v>
      </c>
      <c r="G11" s="151">
        <f t="shared" ca="1" si="1"/>
        <v>3928.8</v>
      </c>
      <c r="H11" s="152" t="e">
        <f t="shared" ca="1" si="2"/>
        <v>#VALUE!</v>
      </c>
      <c r="I11" s="153">
        <v>29.89</v>
      </c>
      <c r="J11" s="154">
        <f t="shared" ca="1" si="3"/>
        <v>1791.2000000000003</v>
      </c>
      <c r="K11" s="155">
        <f ca="1">IFERROR(__xludf.DUMMYFUNCTION("(googlefinance(A11, ""changepct"")/100)"),0.0161)</f>
        <v>1.61E-2</v>
      </c>
      <c r="L11" s="152" t="e">
        <f t="shared" ca="1" si="4"/>
        <v>#VALUE!</v>
      </c>
      <c r="M11" s="155">
        <f ca="1">IFERROR(__xludf.DUMMYFUNCTION("(E11-INDEX(GOOGLEFINANCE(A11,""open"",(TODAY()-90)),2,2))/INDEX(GOOGLEFINANCE(A11,""open"",Today()-90),2,2)"),-0.00947962888261393)</f>
        <v>-9.4796288826139302E-3</v>
      </c>
      <c r="N11" s="156">
        <f ca="1">IFERROR(__xludf.DUMMYFUNCTION("(E11-INDEX(GOOGLEFINANCE(A11,""close"",Date(Year(Today()),1,1)),2,2))/INDEX(GOOGLEFINANCE(A11,""close"",Date(Year(Today()),1,1)),2,2)"),-0.0281021175539283)</f>
        <v>-2.8102117553928298E-2</v>
      </c>
      <c r="O11" s="155">
        <f t="shared" ca="1" si="5"/>
        <v>4.0743406668890536E-3</v>
      </c>
      <c r="P11" s="152">
        <f t="shared" ca="1" si="6"/>
        <v>0.6430244228839076</v>
      </c>
      <c r="Q11" s="152">
        <f t="shared" ca="1" si="7"/>
        <v>0.83794910179640725</v>
      </c>
      <c r="R11" s="157" t="e">
        <f t="shared" ca="1" si="8"/>
        <v>#VALUE!</v>
      </c>
      <c r="S11" s="157" t="e">
        <f t="shared" ca="1" si="9"/>
        <v>#VALUE!</v>
      </c>
      <c r="T11" s="136"/>
      <c r="U11" s="136"/>
      <c r="V11" s="136"/>
      <c r="W11" s="136"/>
      <c r="X11" s="136"/>
      <c r="Y11" s="136"/>
      <c r="Z11" s="136"/>
      <c r="AA11" s="136"/>
    </row>
    <row r="12" spans="1:27" ht="12.75">
      <c r="A12" s="149" t="s">
        <v>39</v>
      </c>
      <c r="B12" s="137" t="str">
        <f ca="1">IFERROR(__xludf.DUMMYFUNCTION("GOOGLEFINANCE(A12, ""name"")"),"iShares Global Clean Energy ETF")</f>
        <v>iShares Global Clean Energy ETF</v>
      </c>
      <c r="C12" s="137">
        <v>169</v>
      </c>
      <c r="D12" s="150">
        <f ca="1">IFERROR(__xludf.DUMMYFUNCTION("INDEX(GOOGLEFINANCE(A12,""price"",date(2019,1,7)),2,2)"),8.57)</f>
        <v>8.57</v>
      </c>
      <c r="E12" s="151">
        <f ca="1">IFERROR(__xludf.DUMMYFUNCTION("GOOGLEFINANCE(A12)"),19.74)</f>
        <v>19.739999999999998</v>
      </c>
      <c r="F12" s="151">
        <f t="shared" ca="1" si="0"/>
        <v>1448.3300000000002</v>
      </c>
      <c r="G12" s="151">
        <f t="shared" ca="1" si="1"/>
        <v>3336.06</v>
      </c>
      <c r="H12" s="152" t="e">
        <f t="shared" ca="1" si="2"/>
        <v>#VALUE!</v>
      </c>
      <c r="I12" s="153">
        <v>9.19</v>
      </c>
      <c r="J12" s="154">
        <f t="shared" ca="1" si="3"/>
        <v>1887.7299999999998</v>
      </c>
      <c r="K12" s="155">
        <f ca="1">IFERROR(__xludf.DUMMYFUNCTION("(googlefinance(A12, ""changepct"")/100)"),0.0087)</f>
        <v>8.6999999999999994E-3</v>
      </c>
      <c r="L12" s="152" t="e">
        <f t="shared" ca="1" si="4"/>
        <v>#VALUE!</v>
      </c>
      <c r="M12" s="155">
        <f ca="1">IFERROR(__xludf.DUMMYFUNCTION("(E12-INDEX(GOOGLEFINANCE(A12,""open"",(TODAY()-90)),2,2))/INDEX(GOOGLEFINANCE(A12,""open"",Today()-90),2,2)"),-0.125775022143489)</f>
        <v>-0.12577502214348901</v>
      </c>
      <c r="N12" s="156">
        <f ca="1">IFERROR(__xludf.DUMMYFUNCTION("(E12-INDEX(GOOGLEFINANCE(A12,""close"",Date(Year(Today()),1,1)),2,2))/INDEX(GOOGLEFINANCE(A12,""close"",Date(Year(Today()),1,1)),2,2)"),-0.0749765698219307)</f>
        <v>-7.4976569821930697E-2</v>
      </c>
      <c r="O12" s="155">
        <f t="shared" ca="1" si="5"/>
        <v>6.2802413812477198E-3</v>
      </c>
      <c r="P12" s="152">
        <f t="shared" ca="1" si="6"/>
        <v>1.147986942328618</v>
      </c>
      <c r="Q12" s="152">
        <f t="shared" ca="1" si="7"/>
        <v>1.3033838973162191</v>
      </c>
      <c r="R12" s="157" t="e">
        <f t="shared" ca="1" si="8"/>
        <v>#VALUE!</v>
      </c>
      <c r="S12" s="157" t="e">
        <f t="shared" ca="1" si="9"/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2.75">
      <c r="A13" s="149" t="s">
        <v>74</v>
      </c>
      <c r="B13" s="137" t="str">
        <f ca="1">IFERROR(__xludf.DUMMYFUNCTION("GOOGLEFINANCE(A13, ""name"")"),"iShares US Aerospace &amp; Defense ETF")</f>
        <v>iShares US Aerospace &amp; Defense ETF</v>
      </c>
      <c r="C13" s="137">
        <v>8</v>
      </c>
      <c r="D13" s="150">
        <f ca="1">IFERROR(__xludf.DUMMYFUNCTION("INDEX(GOOGLEFINANCE(A13,""price"",date(2019,1,7)),2,2)"),87.64)</f>
        <v>87.64</v>
      </c>
      <c r="E13" s="151">
        <f ca="1">IFERROR(__xludf.DUMMYFUNCTION("GOOGLEFINANCE(A13)"),106.64)</f>
        <v>106.64</v>
      </c>
      <c r="F13" s="151">
        <f t="shared" ca="1" si="0"/>
        <v>701.12</v>
      </c>
      <c r="G13" s="151">
        <f t="shared" ca="1" si="1"/>
        <v>853.12</v>
      </c>
      <c r="H13" s="152" t="e">
        <f t="shared" ca="1" si="2"/>
        <v>#VALUE!</v>
      </c>
      <c r="I13" s="153">
        <v>181.79</v>
      </c>
      <c r="J13" s="154">
        <f t="shared" ca="1" si="3"/>
        <v>152</v>
      </c>
      <c r="K13" s="155">
        <f ca="1">IFERROR(__xludf.DUMMYFUNCTION("(googlefinance(A13, ""changepct"")/100)"),0.0116)</f>
        <v>1.1599999999999999E-2</v>
      </c>
      <c r="L13" s="152" t="e">
        <f t="shared" ca="1" si="4"/>
        <v>#VALUE!</v>
      </c>
      <c r="M13" s="155">
        <f ca="1">IFERROR(__xludf.DUMMYFUNCTION("(E13-INDEX(GOOGLEFINANCE(A13,""open"",(TODAY()-90)),2,2))/INDEX(GOOGLEFINANCE(A13,""open"",Today()-90),2,2)"),-0.0090140321531456)</f>
        <v>-9.0140321531456003E-3</v>
      </c>
      <c r="N13" s="156">
        <f ca="1">IFERROR(__xludf.DUMMYFUNCTION("(E13-INDEX(GOOGLEFINANCE(A13,""close"",Date(Year(Today()),1,1)),2,2))/INDEX(GOOGLEFINANCE(A13,""close"",Date(Year(Today()),1,1)),2,2)"),0.0278554216867469)</f>
        <v>2.7855421686746901E-2</v>
      </c>
      <c r="O13" s="155">
        <f t="shared" ca="1" si="5"/>
        <v>-4.3583348466391669E-3</v>
      </c>
      <c r="P13" s="152">
        <f t="shared" ca="1" si="6"/>
        <v>-0.41338907530667252</v>
      </c>
      <c r="Q13" s="152">
        <f t="shared" ca="1" si="7"/>
        <v>0.21679598356914651</v>
      </c>
      <c r="R13" s="157" t="e">
        <f t="shared" ca="1" si="8"/>
        <v>#VALUE!</v>
      </c>
      <c r="S13" s="157" t="e">
        <f t="shared" ca="1" si="9"/>
        <v>#VALUE!</v>
      </c>
      <c r="T13" s="136"/>
      <c r="U13" s="136"/>
      <c r="V13" s="136"/>
      <c r="W13" s="136"/>
      <c r="X13" s="136"/>
      <c r="Y13" s="136"/>
      <c r="Z13" s="136"/>
      <c r="AA13" s="136"/>
    </row>
    <row r="14" spans="1:27" ht="12.75">
      <c r="A14" s="149" t="s">
        <v>92</v>
      </c>
      <c r="B14" s="137" t="str">
        <f ca="1">IFERROR(__xludf.DUMMYFUNCTION("GOOGLEFINANCE(A14, ""name"")"),"iShares US Medical Devices ETF")</f>
        <v>iShares US Medical Devices ETF</v>
      </c>
      <c r="C14" s="137">
        <v>7</v>
      </c>
      <c r="D14" s="150">
        <f ca="1">IFERROR(__xludf.DUMMYFUNCTION("INDEX(GOOGLEFINANCE(A14,""price"",date(2019,1,7)),2,2)"),32.69)</f>
        <v>32.69</v>
      </c>
      <c r="E14" s="151">
        <f ca="1">IFERROR(__xludf.DUMMYFUNCTION("GOOGLEFINANCE(A14)"),63.12)</f>
        <v>63.12</v>
      </c>
      <c r="F14" s="151">
        <f t="shared" ca="1" si="0"/>
        <v>228.82999999999998</v>
      </c>
      <c r="G14" s="151">
        <f t="shared" ca="1" si="1"/>
        <v>441.84</v>
      </c>
      <c r="H14" s="152" t="e">
        <f t="shared" ca="1" si="2"/>
        <v>#VALUE!</v>
      </c>
      <c r="I14" s="153">
        <v>199.74</v>
      </c>
      <c r="J14" s="154">
        <f t="shared" ca="1" si="3"/>
        <v>213.01</v>
      </c>
      <c r="K14" s="155">
        <f ca="1">IFERROR(__xludf.DUMMYFUNCTION("(googlefinance(A14, ""changepct"")/100)"),0.0101)</f>
        <v>1.01E-2</v>
      </c>
      <c r="L14" s="152" t="e">
        <f t="shared" ca="1" si="4"/>
        <v>#VALUE!</v>
      </c>
      <c r="M14" s="155">
        <f ca="1">IFERROR(__xludf.DUMMYFUNCTION("(E14-INDEX(GOOGLEFINANCE(A14,""open"",(TODAY()-90)),2,2))/INDEX(GOOGLEFINANCE(A14,""open"",Today()-90),2,2)"),0.0195445000807624)</f>
        <v>1.95445000807624E-2</v>
      </c>
      <c r="N14" s="156">
        <f ca="1">IFERROR(__xludf.DUMMYFUNCTION("(E14-INDEX(GOOGLEFINANCE(A14,""close"",Date(Year(Today()),1,1)),2,2))/INDEX(GOOGLEFINANCE(A14,""close"",Date(Year(Today()),1,1)),2,2)"),-0.0350099373184528)</f>
        <v>-3.5009937318452797E-2</v>
      </c>
      <c r="O14" s="155">
        <f t="shared" ca="1" si="5"/>
        <v>-9.3889859464765246E-3</v>
      </c>
      <c r="P14" s="152">
        <f t="shared" ca="1" si="6"/>
        <v>-0.6839891859417242</v>
      </c>
      <c r="Q14" s="152">
        <f t="shared" ca="1" si="7"/>
        <v>0.93086570816763536</v>
      </c>
      <c r="R14" s="157" t="e">
        <f t="shared" ca="1" si="8"/>
        <v>#VALUE!</v>
      </c>
      <c r="S14" s="157" t="e">
        <f t="shared" ca="1" si="9"/>
        <v>#VALUE!</v>
      </c>
      <c r="T14" s="136"/>
      <c r="U14" s="136"/>
      <c r="V14" s="136"/>
      <c r="W14" s="136"/>
      <c r="X14" s="136"/>
      <c r="Y14" s="136"/>
      <c r="Z14" s="136"/>
      <c r="AA14" s="136"/>
    </row>
    <row r="15" spans="1:27" ht="12.75">
      <c r="A15" s="149" t="s">
        <v>45</v>
      </c>
      <c r="B15" s="137" t="str">
        <f ca="1">IFERROR(__xludf.DUMMYFUNCTION("GOOGLEFINANCE(A15, ""name"")"),"iShares Currency Hedged Msci Germany ETF")</f>
        <v>iShares Currency Hedged Msci Germany ETF</v>
      </c>
      <c r="C15" s="137">
        <v>96</v>
      </c>
      <c r="D15" s="150">
        <f ca="1">IFERROR(__xludf.DUMMYFUNCTION("INDEX(GOOGLEFINANCE(A15,""price"",date(2019,1,7)),2,2)"),24.16)</f>
        <v>24.16</v>
      </c>
      <c r="E15" s="151">
        <f ca="1">IFERROR(__xludf.DUMMYFUNCTION("GOOGLEFINANCE(A15)"),33.15)</f>
        <v>33.15</v>
      </c>
      <c r="F15" s="151">
        <f t="shared" ca="1" si="0"/>
        <v>2319.36</v>
      </c>
      <c r="G15" s="151">
        <f t="shared" ca="1" si="1"/>
        <v>3182.3999999999996</v>
      </c>
      <c r="H15" s="152" t="e">
        <f t="shared" ca="1" si="2"/>
        <v>#VALUE!</v>
      </c>
      <c r="I15" s="153">
        <v>26.51</v>
      </c>
      <c r="J15" s="154">
        <f t="shared" ca="1" si="3"/>
        <v>863.03999999999951</v>
      </c>
      <c r="K15" s="155">
        <f ca="1">IFERROR(__xludf.DUMMYFUNCTION("(googlefinance(A15, ""changepct"")/100)"),0.0097)</f>
        <v>9.7000000000000003E-3</v>
      </c>
      <c r="L15" s="152" t="e">
        <f t="shared" ca="1" si="4"/>
        <v>#VALUE!</v>
      </c>
      <c r="M15" s="155">
        <f ca="1">IFERROR(__xludf.DUMMYFUNCTION("(E15-INDEX(GOOGLEFINANCE(A15,""open"",(TODAY()-90)),2,2))/INDEX(GOOGLEFINANCE(A15,""open"",Today()-90),2,2)"),0.0323886639676113)</f>
        <v>3.2388663967611302E-2</v>
      </c>
      <c r="N15" s="156">
        <f ca="1">IFERROR(__xludf.DUMMYFUNCTION("(E15-INDEX(GOOGLEFINANCE(A15,""close"",Date(Year(Today()),1,1)),2,2))/INDEX(GOOGLEFINANCE(A15,""close"",Date(Year(Today()),1,1)),2,2)"),-0.00240746313572068)</f>
        <v>-2.4074631357206798E-3</v>
      </c>
      <c r="O15" s="155">
        <f t="shared" ca="1" si="5"/>
        <v>1.8320455237259559E-3</v>
      </c>
      <c r="P15" s="152">
        <f t="shared" ca="1" si="6"/>
        <v>0.25047152018106361</v>
      </c>
      <c r="Q15" s="152">
        <f t="shared" ca="1" si="7"/>
        <v>0.37210264900662243</v>
      </c>
      <c r="R15" s="157" t="e">
        <f t="shared" ca="1" si="8"/>
        <v>#VALUE!</v>
      </c>
      <c r="S15" s="157" t="e">
        <f t="shared" ca="1" si="9"/>
        <v>#VALUE!</v>
      </c>
      <c r="T15" s="136"/>
      <c r="U15" s="136"/>
      <c r="V15" s="136"/>
      <c r="W15" s="136"/>
      <c r="X15" s="136"/>
      <c r="Y15" s="136"/>
      <c r="Z15" s="136"/>
      <c r="AA15" s="136"/>
    </row>
    <row r="16" spans="1:27" ht="12.75">
      <c r="A16" s="149" t="s">
        <v>93</v>
      </c>
      <c r="B16" s="137" t="str">
        <f ca="1">IFERROR(__xludf.DUMMYFUNCTION("GOOGLEFINANCE(A16, ""name"")"),"iShares Currency Hedged Msci Japan ETF")</f>
        <v>iShares Currency Hedged Msci Japan ETF</v>
      </c>
      <c r="C16" s="137">
        <v>46</v>
      </c>
      <c r="D16" s="150">
        <f ca="1">IFERROR(__xludf.DUMMYFUNCTION("INDEX(GOOGLEFINANCE(A16,""price"",date(2019,1,7)),2,2)"),28.82)</f>
        <v>28.82</v>
      </c>
      <c r="E16" s="151">
        <f ca="1">IFERROR(__xludf.DUMMYFUNCTION("GOOGLEFINANCE(A16)"),39.75)</f>
        <v>39.75</v>
      </c>
      <c r="F16" s="151">
        <f t="shared" ca="1" si="0"/>
        <v>1325.72</v>
      </c>
      <c r="G16" s="151">
        <f t="shared" ca="1" si="1"/>
        <v>1828.5</v>
      </c>
      <c r="H16" s="152" t="e">
        <f t="shared" ca="1" si="2"/>
        <v>#VALUE!</v>
      </c>
      <c r="I16" s="153">
        <v>28.9</v>
      </c>
      <c r="J16" s="154">
        <f t="shared" ca="1" si="3"/>
        <v>502.78</v>
      </c>
      <c r="K16" s="155">
        <f ca="1">IFERROR(__xludf.DUMMYFUNCTION("(googlefinance(A16, ""changepct"")/100)"),0.0076)</f>
        <v>7.6E-3</v>
      </c>
      <c r="L16" s="152" t="e">
        <f t="shared" ca="1" si="4"/>
        <v>#VALUE!</v>
      </c>
      <c r="M16" s="155">
        <f ca="1">IFERROR(__xludf.DUMMYFUNCTION("(E16-INDEX(GOOGLEFINANCE(A16,""open"",(TODAY()-90)),2,2))/INDEX(GOOGLEFINANCE(A16,""open"",Today()-90),2,2)"),0.00786004056795137)</f>
        <v>7.8600405679513704E-3</v>
      </c>
      <c r="N16" s="156">
        <f ca="1">IFERROR(__xludf.DUMMYFUNCTION("(E16-INDEX(GOOGLEFINANCE(A16,""close"",Date(Year(Today()),1,1)),2,2))/INDEX(GOOGLEFINANCE(A16,""close"",Date(Year(Today()),1,1)),2,2)"),0.00050339793606854)</f>
        <v>5.0339793606854E-4</v>
      </c>
      <c r="O16" s="155">
        <f t="shared" ca="1" si="5"/>
        <v>2.6137437172117917E-3</v>
      </c>
      <c r="P16" s="152">
        <f t="shared" ca="1" si="6"/>
        <v>0.37543252595155718</v>
      </c>
      <c r="Q16" s="152">
        <f t="shared" ca="1" si="7"/>
        <v>0.3792505204718945</v>
      </c>
      <c r="R16" s="157" t="e">
        <f t="shared" ca="1" si="8"/>
        <v>#VALUE!</v>
      </c>
      <c r="S16" s="157" t="e">
        <f t="shared" ca="1" si="9"/>
        <v>#VALUE!</v>
      </c>
      <c r="T16" s="136"/>
      <c r="U16" s="136"/>
      <c r="V16" s="136"/>
      <c r="W16" s="136"/>
      <c r="X16" s="136"/>
      <c r="Y16" s="136"/>
      <c r="Z16" s="136"/>
      <c r="AA16" s="136"/>
    </row>
    <row r="17" spans="1:27" ht="12.75">
      <c r="A17" s="149" t="s">
        <v>48</v>
      </c>
      <c r="B17" s="137" t="str">
        <f ca="1">IFERROR(__xludf.DUMMYFUNCTION("GOOGLEFINANCE(A17, ""name"")"),"Consumer Staples Select Sector SPDR Fund")</f>
        <v>Consumer Staples Select Sector SPDR Fund</v>
      </c>
      <c r="C17" s="137">
        <v>36</v>
      </c>
      <c r="D17" s="150">
        <f ca="1">IFERROR(__xludf.DUMMYFUNCTION("INDEX(GOOGLEFINANCE(A17,""price"",date(2019,1,7)),2,2)"),51.19)</f>
        <v>51.19</v>
      </c>
      <c r="E17" s="151">
        <f ca="1">IFERROR(__xludf.DUMMYFUNCTION("GOOGLEFINANCE(A17)"),76.72)</f>
        <v>76.72</v>
      </c>
      <c r="F17" s="151">
        <f t="shared" ca="1" si="0"/>
        <v>1842.84</v>
      </c>
      <c r="G17" s="151">
        <f t="shared" ca="1" si="1"/>
        <v>2761.92</v>
      </c>
      <c r="H17" s="152" t="e">
        <f t="shared" ca="1" si="2"/>
        <v>#VALUE!</v>
      </c>
      <c r="I17" s="153">
        <v>51.91</v>
      </c>
      <c r="J17" s="154">
        <f t="shared" ca="1" si="3"/>
        <v>919.08000000000015</v>
      </c>
      <c r="K17" s="155">
        <f ca="1">IFERROR(__xludf.DUMMYFUNCTION("(googlefinance(A17, ""changepct"")/100)"),-0.0012)</f>
        <v>-1.1999999999999999E-3</v>
      </c>
      <c r="L17" s="152" t="e">
        <f t="shared" ca="1" si="4"/>
        <v>#VALUE!</v>
      </c>
      <c r="M17" s="155">
        <f ca="1">IFERROR(__xludf.DUMMYFUNCTION("(E17-INDEX(GOOGLEFINANCE(A17,""open"",(TODAY()-90)),2,2))/INDEX(GOOGLEFINANCE(A17,""open"",Today()-90),2,2)"),0.0939683445030657)</f>
        <v>9.3968344503065696E-2</v>
      </c>
      <c r="N17" s="156">
        <f ca="1">IFERROR(__xludf.DUMMYFUNCTION("(E17-INDEX(GOOGLEFINANCE(A17,""close"",Date(Year(Today()),1,1)),2,2))/INDEX(GOOGLEFINANCE(A17,""close"",Date(Year(Today()),1,1)),2,2)"),-0.00492866407263288)</f>
        <v>-4.9286640726328799E-3</v>
      </c>
      <c r="O17" s="155">
        <f t="shared" ca="1" si="5"/>
        <v>3.204090322955766E-3</v>
      </c>
      <c r="P17" s="152">
        <f t="shared" ca="1" si="6"/>
        <v>0.47794259294933544</v>
      </c>
      <c r="Q17" s="152">
        <f t="shared" ca="1" si="7"/>
        <v>0.49873022074623957</v>
      </c>
      <c r="R17" s="157" t="e">
        <f t="shared" ca="1" si="8"/>
        <v>#VALUE!</v>
      </c>
      <c r="S17" s="157" t="e">
        <f t="shared" ca="1" si="9"/>
        <v>#VALUE!</v>
      </c>
      <c r="T17" s="136"/>
      <c r="U17" s="136"/>
      <c r="V17" s="136"/>
      <c r="W17" s="136"/>
      <c r="X17" s="136"/>
      <c r="Y17" s="136"/>
      <c r="Z17" s="136"/>
      <c r="AA17" s="136"/>
    </row>
    <row r="18" spans="1:27" ht="12.75">
      <c r="A18" s="149" t="s">
        <v>94</v>
      </c>
      <c r="B18" s="137" t="str">
        <f ca="1">IFERROR(__xludf.DUMMYFUNCTION("GOOGLEFINANCE(A18, ""name"")"),"SPDR S&amp;P Insurance ETF")</f>
        <v>SPDR S&amp;P Insurance ETF</v>
      </c>
      <c r="C18" s="137">
        <v>46</v>
      </c>
      <c r="D18" s="150">
        <f ca="1">IFERROR(__xludf.DUMMYFUNCTION("INDEX(GOOGLEFINANCE(A18,""price"",date(2019,1,7)),2,2)"),28.64)</f>
        <v>28.64</v>
      </c>
      <c r="E18" s="151">
        <f ca="1">IFERROR(__xludf.DUMMYFUNCTION("GOOGLEFINANCE(A18)"),41.41)</f>
        <v>41.41</v>
      </c>
      <c r="F18" s="151">
        <f t="shared" ca="1" si="0"/>
        <v>1317.44</v>
      </c>
      <c r="G18" s="151">
        <f t="shared" ca="1" si="1"/>
        <v>1904.86</v>
      </c>
      <c r="H18" s="152" t="e">
        <f t="shared" ca="1" si="2"/>
        <v>#VALUE!</v>
      </c>
      <c r="I18" s="153">
        <v>28.66</v>
      </c>
      <c r="J18" s="154">
        <f t="shared" ca="1" si="3"/>
        <v>587.41999999999985</v>
      </c>
      <c r="K18" s="155">
        <f ca="1">IFERROR(__xludf.DUMMYFUNCTION("(googlefinance(A18, ""changepct"")/100)"),0.0102)</f>
        <v>1.0200000000000001E-2</v>
      </c>
      <c r="L18" s="152" t="e">
        <f t="shared" ca="1" si="4"/>
        <v>#VALUE!</v>
      </c>
      <c r="M18" s="155">
        <f ca="1">IFERROR(__xludf.DUMMYFUNCTION("(E18-INDEX(GOOGLEFINANCE(A18,""open"",(TODAY()-90)),2,2))/INDEX(GOOGLEFINANCE(A18,""open"",Today()-90),2,2)"),0.0435987903225805)</f>
        <v>4.3598790322580502E-2</v>
      </c>
      <c r="N18" s="156">
        <f ca="1">IFERROR(__xludf.DUMMYFUNCTION("(E18-INDEX(GOOGLEFINANCE(A18,""close"",Date(Year(Today()),1,1)),2,2))/INDEX(GOOGLEFINANCE(A18,""close"",Date(Year(Today()),1,1)),2,2)"),0.02703373015873)</f>
        <v>2.703373015873E-2</v>
      </c>
      <c r="O18" s="155">
        <f t="shared" ca="1" si="5"/>
        <v>3.0181926712926632E-3</v>
      </c>
      <c r="P18" s="152">
        <f t="shared" ca="1" si="6"/>
        <v>0.44487090020935088</v>
      </c>
      <c r="Q18" s="152">
        <f t="shared" ca="1" si="7"/>
        <v>0.44587988826815628</v>
      </c>
      <c r="R18" s="157" t="e">
        <f t="shared" ca="1" si="8"/>
        <v>#VALUE!</v>
      </c>
      <c r="S18" s="157" t="e">
        <f t="shared" ca="1" si="9"/>
        <v>#VALUE!</v>
      </c>
      <c r="T18" s="136"/>
      <c r="U18" s="136"/>
      <c r="V18" s="136"/>
      <c r="W18" s="136"/>
      <c r="X18" s="136"/>
      <c r="Y18" s="136"/>
      <c r="Z18" s="136"/>
      <c r="AA18" s="136"/>
    </row>
    <row r="19" spans="1:27" ht="12.75">
      <c r="A19" s="160" t="s">
        <v>51</v>
      </c>
      <c r="B19" s="161" t="str">
        <f ca="1">IFERROR(__xludf.DUMMYFUNCTION("GOOGLEFINANCE(A19, ""name"")"),"Vanguard Utilities Index Fund ETF")</f>
        <v>Vanguard Utilities Index Fund ETF</v>
      </c>
      <c r="C19" s="161">
        <v>9</v>
      </c>
      <c r="D19" s="162">
        <f ca="1">IFERROR(__xludf.DUMMYFUNCTION("INDEX(GOOGLEFINANCE(A19,""price"",date(2019,1,7)),2,2)"),116.71)</f>
        <v>116.71</v>
      </c>
      <c r="E19" s="163">
        <f ca="1">IFERROR(__xludf.DUMMYFUNCTION("GOOGLEFINANCE(A19)"),151.54)</f>
        <v>151.54</v>
      </c>
      <c r="F19" s="163">
        <f t="shared" ca="1" si="0"/>
        <v>1050.3899999999999</v>
      </c>
      <c r="G19" s="163">
        <f t="shared" ca="1" si="1"/>
        <v>1363.86</v>
      </c>
      <c r="H19" s="152" t="e">
        <f t="shared" ca="1" si="2"/>
        <v>#VALUE!</v>
      </c>
      <c r="I19" s="164">
        <v>117.41</v>
      </c>
      <c r="J19" s="154">
        <f t="shared" ca="1" si="3"/>
        <v>313.47000000000003</v>
      </c>
      <c r="K19" s="165">
        <f ca="1">IFERROR(__xludf.DUMMYFUNCTION("(googlefinance(A19, ""changepct"")/100)"),-0.0087)</f>
        <v>-8.6999999999999994E-3</v>
      </c>
      <c r="L19" s="166" t="e">
        <f t="shared" ca="1" si="4"/>
        <v>#VALUE!</v>
      </c>
      <c r="M19" s="165">
        <f ca="1">IFERROR(__xludf.DUMMYFUNCTION("(E19-INDEX(GOOGLEFINANCE(A19,""open"",(TODAY()-90)),2,2))/INDEX(GOOGLEFINANCE(A19,""open"",Today()-90),2,2)"),0.0765842568911622)</f>
        <v>7.6584256891162203E-2</v>
      </c>
      <c r="N19" s="167">
        <f ca="1">IFERROR(__xludf.DUMMYFUNCTION("(E19-INDEX(GOOGLEFINANCE(A19,""close"",Date(Year(Today()),1,1)),2,2))/INDEX(GOOGLEFINANCE(A19,""close"",Date(Year(Today()),1,1)),2,2)"),-0.0223856525385458)</f>
        <v>-2.2385652538545801E-2</v>
      </c>
      <c r="O19" s="165">
        <f t="shared" ca="1" si="5"/>
        <v>2.0917860633296037E-3</v>
      </c>
      <c r="P19" s="166">
        <f t="shared" ca="1" si="6"/>
        <v>0.2906907418448173</v>
      </c>
      <c r="Q19" s="166">
        <f t="shared" ca="1" si="7"/>
        <v>0.298432010967355</v>
      </c>
      <c r="R19" s="168" t="e">
        <f t="shared" ca="1" si="8"/>
        <v>#VALUE!</v>
      </c>
      <c r="S19" s="168" t="e">
        <f t="shared" ca="1" si="9"/>
        <v>#VALUE!</v>
      </c>
      <c r="T19" s="136"/>
      <c r="U19" s="136"/>
      <c r="V19" s="136"/>
      <c r="W19" s="136"/>
      <c r="X19" s="136"/>
      <c r="Y19" s="136"/>
      <c r="Z19" s="136"/>
      <c r="AA19" s="136"/>
    </row>
    <row r="20" spans="1:27" ht="12.75">
      <c r="A20" s="169" t="s">
        <v>67</v>
      </c>
      <c r="B20" s="170"/>
      <c r="C20" s="171"/>
      <c r="D20" s="172"/>
      <c r="E20" s="173"/>
      <c r="F20" s="174">
        <v>283.62</v>
      </c>
      <c r="G20" s="174">
        <v>283.62</v>
      </c>
      <c r="H20" s="175" t="e">
        <f t="shared" ref="H20:H22" ca="1" si="10">G20/$G$22</f>
        <v>#VALUE!</v>
      </c>
      <c r="I20" s="171"/>
      <c r="J20" s="171"/>
      <c r="K20" s="171"/>
      <c r="L20" s="171"/>
      <c r="M20" s="171"/>
      <c r="N20" s="171"/>
      <c r="O20" s="171"/>
      <c r="P20" s="171"/>
      <c r="Q20" s="171"/>
      <c r="R20" s="176"/>
      <c r="S20" s="136"/>
      <c r="T20" s="136"/>
      <c r="U20" s="136"/>
      <c r="V20" s="136"/>
      <c r="W20" s="136"/>
      <c r="X20" s="136"/>
      <c r="Y20" s="136"/>
      <c r="Z20" s="136"/>
      <c r="AA20" s="136"/>
    </row>
    <row r="21" spans="1:27" ht="12.75">
      <c r="A21" s="149" t="s">
        <v>69</v>
      </c>
      <c r="B21" s="177"/>
      <c r="C21" s="105" t="s">
        <v>17</v>
      </c>
      <c r="D21" s="106" t="e">
        <f ca="1">(G22-F22)/F22</f>
        <v>#VALUE!</v>
      </c>
      <c r="E21" s="178"/>
      <c r="F21" s="140" t="e">
        <f t="shared" ref="F21:G21" ca="1" si="11">SUM(F4:F19)</f>
        <v>#VALUE!</v>
      </c>
      <c r="G21" s="140" t="e">
        <f t="shared" ca="1" si="11"/>
        <v>#VALUE!</v>
      </c>
      <c r="H21" s="152" t="e">
        <f t="shared" ca="1" si="10"/>
        <v>#VALUE!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9"/>
      <c r="S21" s="136"/>
      <c r="T21" s="136"/>
      <c r="U21" s="136"/>
      <c r="V21" s="136"/>
      <c r="W21" s="136"/>
      <c r="X21" s="136"/>
      <c r="Y21" s="136"/>
      <c r="Z21" s="136"/>
      <c r="AA21" s="136"/>
    </row>
    <row r="22" spans="1:27" ht="12.75">
      <c r="A22" s="160" t="s">
        <v>71</v>
      </c>
      <c r="B22" s="180"/>
      <c r="C22" s="181"/>
      <c r="D22" s="182"/>
      <c r="E22" s="181"/>
      <c r="F22" s="183" t="e">
        <f t="shared" ref="F22:G22" ca="1" si="12">SUM(F20:F21)</f>
        <v>#VALUE!</v>
      </c>
      <c r="G22" s="183" t="e">
        <f t="shared" ca="1" si="12"/>
        <v>#VALUE!</v>
      </c>
      <c r="H22" s="166" t="e">
        <f t="shared" ca="1" si="10"/>
        <v>#VALUE!</v>
      </c>
      <c r="I22" s="181"/>
      <c r="J22" s="184"/>
      <c r="K22" s="184">
        <f t="shared" ref="K22:L22" ca="1" si="13">SUM(K4:K19)</f>
        <v>0.21599999999999991</v>
      </c>
      <c r="L22" s="184" t="e">
        <f t="shared" ca="1" si="13"/>
        <v>#VALUE!</v>
      </c>
      <c r="M22" s="185"/>
      <c r="N22" s="185"/>
      <c r="O22" s="185"/>
      <c r="P22" s="185"/>
      <c r="Q22" s="186" t="e">
        <f t="shared" ref="Q22:R22" ca="1" si="14">SUM(Q4:Q19)</f>
        <v>#VALUE!</v>
      </c>
      <c r="R22" s="186" t="e">
        <f t="shared" ca="1" si="14"/>
        <v>#VALUE!</v>
      </c>
      <c r="S22" s="136"/>
      <c r="T22" s="136"/>
      <c r="U22" s="136"/>
      <c r="V22" s="136"/>
      <c r="W22" s="136"/>
      <c r="X22" s="136"/>
      <c r="Y22" s="136"/>
      <c r="Z22" s="136"/>
      <c r="AA22" s="136"/>
    </row>
    <row r="23" spans="1:27" ht="12.75">
      <c r="A23" s="187"/>
      <c r="B23" s="187"/>
      <c r="C23" s="188"/>
      <c r="D23" s="188"/>
      <c r="E23" s="188"/>
      <c r="F23" s="189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36"/>
      <c r="T23" s="136"/>
      <c r="U23" s="136"/>
      <c r="V23" s="136"/>
      <c r="W23" s="136"/>
      <c r="X23" s="136"/>
      <c r="Y23" s="136"/>
      <c r="Z23" s="136"/>
      <c r="AA23" s="136"/>
    </row>
    <row r="24" spans="1:27" ht="12.75">
      <c r="A24" s="188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36"/>
      <c r="T24" s="136"/>
      <c r="U24" s="136"/>
      <c r="V24" s="136"/>
      <c r="W24" s="136"/>
      <c r="X24" s="136"/>
      <c r="Y24" s="136"/>
      <c r="Z24" s="136"/>
      <c r="AA24" s="136"/>
    </row>
    <row r="25" spans="1:27" ht="12.75">
      <c r="A25" s="188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36"/>
      <c r="T25" s="136"/>
      <c r="U25" s="136"/>
      <c r="V25" s="136"/>
      <c r="W25" s="136"/>
      <c r="X25" s="136"/>
      <c r="Y25" s="136"/>
      <c r="Z25" s="136"/>
      <c r="AA25" s="136"/>
    </row>
    <row r="26" spans="1:27" ht="12.75">
      <c r="A26" s="188"/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6"/>
      <c r="T26" s="136"/>
      <c r="U26" s="136"/>
      <c r="V26" s="136"/>
      <c r="W26" s="136"/>
      <c r="X26" s="136"/>
      <c r="Y26" s="136"/>
      <c r="Z26" s="136"/>
      <c r="AA26" s="136"/>
    </row>
    <row r="27" spans="1:27" ht="12.75">
      <c r="A27" s="188"/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6"/>
      <c r="T27" s="136"/>
      <c r="U27" s="136"/>
      <c r="V27" s="136"/>
      <c r="W27" s="136"/>
      <c r="X27" s="136"/>
      <c r="Y27" s="136"/>
      <c r="Z27" s="136"/>
      <c r="AA27" s="136"/>
    </row>
    <row r="28" spans="1:27" ht="12.75">
      <c r="A28" s="188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6"/>
      <c r="T28" s="136"/>
      <c r="U28" s="136"/>
      <c r="V28" s="136"/>
      <c r="W28" s="136"/>
      <c r="X28" s="136"/>
      <c r="Y28" s="136"/>
      <c r="Z28" s="136"/>
      <c r="AA28" s="136"/>
    </row>
    <row r="29" spans="1:27" ht="12.75">
      <c r="A29" s="188"/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6"/>
      <c r="T29" s="136"/>
      <c r="U29" s="136"/>
      <c r="V29" s="136"/>
      <c r="W29" s="136"/>
      <c r="X29" s="136"/>
      <c r="Y29" s="136"/>
      <c r="Z29" s="136"/>
      <c r="AA29" s="136"/>
    </row>
    <row r="30" spans="1:27" ht="12.75">
      <c r="A30" s="188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6"/>
      <c r="T30" s="136"/>
      <c r="U30" s="136"/>
      <c r="V30" s="136"/>
      <c r="W30" s="136"/>
      <c r="X30" s="136"/>
      <c r="Y30" s="136"/>
      <c r="Z30" s="136"/>
      <c r="AA30" s="136"/>
    </row>
    <row r="31" spans="1:27" ht="12.75">
      <c r="A31" s="188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6"/>
      <c r="T31" s="136"/>
      <c r="U31" s="136"/>
      <c r="V31" s="136"/>
      <c r="W31" s="136"/>
      <c r="X31" s="136"/>
      <c r="Y31" s="136"/>
      <c r="Z31" s="136"/>
      <c r="AA31" s="136"/>
    </row>
    <row r="32" spans="1:27" ht="12.75">
      <c r="A32" s="188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6"/>
      <c r="T32" s="136"/>
      <c r="U32" s="136"/>
      <c r="V32" s="136"/>
      <c r="W32" s="136"/>
      <c r="X32" s="136"/>
      <c r="Y32" s="136"/>
      <c r="Z32" s="136"/>
      <c r="AA32" s="136"/>
    </row>
    <row r="33" spans="1:27" ht="12.75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6"/>
      <c r="T33" s="136"/>
      <c r="U33" s="136"/>
      <c r="V33" s="136"/>
      <c r="W33" s="136"/>
      <c r="X33" s="136"/>
      <c r="Y33" s="136"/>
      <c r="Z33" s="136"/>
      <c r="AA33" s="136"/>
    </row>
    <row r="34" spans="1:27" ht="12.75">
      <c r="A34" s="18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6"/>
      <c r="T34" s="136"/>
      <c r="U34" s="136"/>
      <c r="V34" s="136"/>
      <c r="W34" s="136"/>
      <c r="X34" s="136"/>
      <c r="Y34" s="136"/>
      <c r="Z34" s="136"/>
      <c r="AA34" s="136"/>
    </row>
    <row r="35" spans="1:27" ht="12.75">
      <c r="A35" s="188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6"/>
      <c r="T35" s="136"/>
      <c r="U35" s="136"/>
      <c r="V35" s="136"/>
      <c r="W35" s="136"/>
      <c r="X35" s="136"/>
      <c r="Y35" s="136"/>
      <c r="Z35" s="136"/>
      <c r="AA35" s="136"/>
    </row>
    <row r="36" spans="1:27" ht="12.75">
      <c r="A36" s="188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2.75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6"/>
      <c r="T37" s="136"/>
      <c r="U37" s="136"/>
      <c r="V37" s="136"/>
      <c r="W37" s="136"/>
      <c r="X37" s="136"/>
      <c r="Y37" s="136"/>
      <c r="Z37" s="136"/>
      <c r="AA37" s="136"/>
    </row>
    <row r="38" spans="1:27" ht="12.75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 ht="12.75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 ht="12.75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36"/>
      <c r="T40" s="136"/>
      <c r="U40" s="136"/>
      <c r="V40" s="136"/>
      <c r="W40" s="136"/>
      <c r="X40" s="136"/>
      <c r="Y40" s="136"/>
      <c r="Z40" s="136"/>
      <c r="AA40" s="136"/>
    </row>
    <row r="41" spans="1:27" ht="12.75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36"/>
      <c r="T41" s="136"/>
      <c r="U41" s="136"/>
      <c r="V41" s="136"/>
      <c r="W41" s="136"/>
      <c r="X41" s="136"/>
      <c r="Y41" s="136"/>
      <c r="Z41" s="136"/>
      <c r="AA41" s="136"/>
    </row>
    <row r="42" spans="1:27" ht="12.7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36"/>
      <c r="T42" s="136"/>
      <c r="U42" s="136"/>
      <c r="V42" s="136"/>
      <c r="W42" s="136"/>
      <c r="X42" s="136"/>
      <c r="Y42" s="136"/>
      <c r="Z42" s="136"/>
      <c r="AA42" s="136"/>
    </row>
    <row r="43" spans="1:27" ht="12.7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36"/>
      <c r="T43" s="136"/>
      <c r="U43" s="136"/>
      <c r="V43" s="136"/>
      <c r="W43" s="136"/>
      <c r="X43" s="136"/>
      <c r="Y43" s="136"/>
      <c r="Z43" s="136"/>
      <c r="AA43" s="136"/>
    </row>
    <row r="44" spans="1:27" ht="12.75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36"/>
      <c r="T44" s="136"/>
      <c r="U44" s="136"/>
      <c r="V44" s="136"/>
      <c r="W44" s="136"/>
      <c r="X44" s="136"/>
      <c r="Y44" s="136"/>
      <c r="Z44" s="136"/>
      <c r="AA44" s="136"/>
    </row>
    <row r="45" spans="1:27" ht="12.7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36"/>
      <c r="T45" s="136"/>
      <c r="U45" s="136"/>
      <c r="V45" s="136"/>
      <c r="W45" s="136"/>
      <c r="X45" s="136"/>
      <c r="Y45" s="136"/>
      <c r="Z45" s="136"/>
      <c r="AA45" s="136"/>
    </row>
    <row r="46" spans="1:27" ht="12.75">
      <c r="A46" s="188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 ht="12.75">
      <c r="A47" s="188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 ht="12.75">
      <c r="A48" s="188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 ht="12.75">
      <c r="A49" s="188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36"/>
      <c r="T49" s="136"/>
      <c r="U49" s="136"/>
      <c r="V49" s="136"/>
      <c r="W49" s="136"/>
      <c r="X49" s="136"/>
      <c r="Y49" s="136"/>
      <c r="Z49" s="136"/>
      <c r="AA49" s="136"/>
    </row>
    <row r="50" spans="1:27" ht="12.75">
      <c r="A50" s="18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36"/>
      <c r="T50" s="136"/>
      <c r="U50" s="136"/>
      <c r="V50" s="136"/>
      <c r="W50" s="136"/>
      <c r="X50" s="136"/>
      <c r="Y50" s="136"/>
      <c r="Z50" s="136"/>
      <c r="AA50" s="136"/>
    </row>
    <row r="51" spans="1:27" ht="12.75">
      <c r="A51" s="188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 ht="12.75">
      <c r="A52" s="188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36"/>
      <c r="T52" s="136"/>
      <c r="U52" s="136"/>
      <c r="V52" s="136"/>
      <c r="W52" s="136"/>
      <c r="X52" s="136"/>
      <c r="Y52" s="136"/>
      <c r="Z52" s="136"/>
      <c r="AA52" s="136"/>
    </row>
    <row r="53" spans="1:27" ht="12.75">
      <c r="A53" s="188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36"/>
      <c r="T53" s="136"/>
      <c r="U53" s="136"/>
      <c r="V53" s="136"/>
      <c r="W53" s="136"/>
      <c r="X53" s="136"/>
      <c r="Y53" s="136"/>
      <c r="Z53" s="136"/>
      <c r="AA53" s="136"/>
    </row>
    <row r="54" spans="1:27" ht="12.75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36"/>
      <c r="T54" s="136"/>
      <c r="U54" s="136"/>
      <c r="V54" s="136"/>
      <c r="W54" s="136"/>
      <c r="X54" s="136"/>
      <c r="Y54" s="136"/>
      <c r="Z54" s="136"/>
      <c r="AA54" s="136"/>
    </row>
    <row r="55" spans="1:27" ht="12.7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36"/>
      <c r="T55" s="136"/>
      <c r="U55" s="136"/>
      <c r="V55" s="136"/>
      <c r="W55" s="136"/>
      <c r="X55" s="136"/>
      <c r="Y55" s="136"/>
      <c r="Z55" s="136"/>
      <c r="AA55" s="136"/>
    </row>
    <row r="56" spans="1:27" ht="12.7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36"/>
      <c r="T56" s="136"/>
      <c r="U56" s="136"/>
      <c r="V56" s="136"/>
      <c r="W56" s="136"/>
      <c r="X56" s="136"/>
      <c r="Y56" s="136"/>
      <c r="Z56" s="136"/>
      <c r="AA56" s="136"/>
    </row>
    <row r="57" spans="1:27" ht="12.7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36"/>
      <c r="T57" s="136"/>
      <c r="U57" s="136"/>
      <c r="V57" s="136"/>
      <c r="W57" s="136"/>
      <c r="X57" s="136"/>
      <c r="Y57" s="136"/>
      <c r="Z57" s="136"/>
      <c r="AA57" s="136"/>
    </row>
    <row r="58" spans="1:27" ht="12.7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36"/>
      <c r="T58" s="136"/>
      <c r="U58" s="136"/>
      <c r="V58" s="136"/>
      <c r="W58" s="136"/>
      <c r="X58" s="136"/>
      <c r="Y58" s="136"/>
      <c r="Z58" s="136"/>
      <c r="AA58" s="136"/>
    </row>
    <row r="59" spans="1:27" ht="12.7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36"/>
      <c r="T59" s="136"/>
      <c r="U59" s="136"/>
      <c r="V59" s="136"/>
      <c r="W59" s="136"/>
      <c r="X59" s="136"/>
      <c r="Y59" s="136"/>
      <c r="Z59" s="136"/>
      <c r="AA59" s="136"/>
    </row>
    <row r="60" spans="1:27" ht="12.7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36"/>
      <c r="T60" s="136"/>
      <c r="U60" s="136"/>
      <c r="V60" s="136"/>
      <c r="W60" s="136"/>
      <c r="X60" s="136"/>
      <c r="Y60" s="136"/>
      <c r="Z60" s="136"/>
      <c r="AA60" s="136"/>
    </row>
    <row r="61" spans="1:27" ht="12.7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36"/>
      <c r="T61" s="136"/>
      <c r="U61" s="136"/>
      <c r="V61" s="136"/>
      <c r="W61" s="136"/>
      <c r="X61" s="136"/>
      <c r="Y61" s="136"/>
      <c r="Z61" s="136"/>
      <c r="AA61" s="136"/>
    </row>
    <row r="62" spans="1:27" ht="12.7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36"/>
      <c r="T62" s="136"/>
      <c r="U62" s="136"/>
      <c r="V62" s="136"/>
      <c r="W62" s="136"/>
      <c r="X62" s="136"/>
      <c r="Y62" s="136"/>
      <c r="Z62" s="136"/>
      <c r="AA62" s="136"/>
    </row>
    <row r="63" spans="1:27" ht="12.75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36"/>
      <c r="T63" s="136"/>
      <c r="U63" s="136"/>
      <c r="V63" s="136"/>
      <c r="W63" s="136"/>
      <c r="X63" s="136"/>
      <c r="Y63" s="136"/>
      <c r="Z63" s="136"/>
      <c r="AA63" s="136"/>
    </row>
    <row r="64" spans="1:27" ht="12.75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36"/>
      <c r="T64" s="136"/>
      <c r="U64" s="136"/>
      <c r="V64" s="136"/>
      <c r="W64" s="136"/>
      <c r="X64" s="136"/>
      <c r="Y64" s="136"/>
      <c r="Z64" s="136"/>
      <c r="AA64" s="136"/>
    </row>
    <row r="65" spans="1:27" ht="12.7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36"/>
      <c r="T65" s="136"/>
      <c r="U65" s="136"/>
      <c r="V65" s="136"/>
      <c r="W65" s="136"/>
      <c r="X65" s="136"/>
      <c r="Y65" s="136"/>
      <c r="Z65" s="136"/>
      <c r="AA65" s="136"/>
    </row>
    <row r="66" spans="1:27" ht="12.75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36"/>
      <c r="T66" s="136"/>
      <c r="U66" s="136"/>
      <c r="V66" s="136"/>
      <c r="W66" s="136"/>
      <c r="X66" s="136"/>
      <c r="Y66" s="136"/>
      <c r="Z66" s="136"/>
      <c r="AA66" s="136"/>
    </row>
    <row r="67" spans="1:27" ht="12.75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36"/>
      <c r="T67" s="136"/>
      <c r="U67" s="136"/>
      <c r="V67" s="136"/>
      <c r="W67" s="136"/>
      <c r="X67" s="136"/>
      <c r="Y67" s="136"/>
      <c r="Z67" s="136"/>
      <c r="AA67" s="136"/>
    </row>
    <row r="68" spans="1:27" ht="12.75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36"/>
      <c r="T68" s="136"/>
      <c r="U68" s="136"/>
      <c r="V68" s="136"/>
      <c r="W68" s="136"/>
      <c r="X68" s="136"/>
      <c r="Y68" s="136"/>
      <c r="Z68" s="136"/>
      <c r="AA68" s="136"/>
    </row>
    <row r="69" spans="1:27" ht="12.75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36"/>
      <c r="T69" s="136"/>
      <c r="U69" s="136"/>
      <c r="V69" s="136"/>
      <c r="W69" s="136"/>
      <c r="X69" s="136"/>
      <c r="Y69" s="136"/>
      <c r="Z69" s="136"/>
      <c r="AA69" s="136"/>
    </row>
    <row r="70" spans="1:27" ht="12.75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36"/>
      <c r="T70" s="136"/>
      <c r="U70" s="136"/>
      <c r="V70" s="136"/>
      <c r="W70" s="136"/>
      <c r="X70" s="136"/>
      <c r="Y70" s="136"/>
      <c r="Z70" s="136"/>
      <c r="AA70" s="136"/>
    </row>
    <row r="71" spans="1:27" ht="12.75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36"/>
      <c r="T71" s="136"/>
      <c r="U71" s="136"/>
      <c r="V71" s="136"/>
      <c r="W71" s="136"/>
      <c r="X71" s="136"/>
      <c r="Y71" s="136"/>
      <c r="Z71" s="136"/>
      <c r="AA71" s="136"/>
    </row>
    <row r="72" spans="1:27" ht="12.75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36"/>
      <c r="T72" s="136"/>
      <c r="U72" s="136"/>
      <c r="V72" s="136"/>
      <c r="W72" s="136"/>
      <c r="X72" s="136"/>
      <c r="Y72" s="136"/>
      <c r="Z72" s="136"/>
      <c r="AA72" s="136"/>
    </row>
    <row r="73" spans="1:27" ht="12.75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36"/>
      <c r="T73" s="136"/>
      <c r="U73" s="136"/>
      <c r="V73" s="136"/>
      <c r="W73" s="136"/>
      <c r="X73" s="136"/>
      <c r="Y73" s="136"/>
      <c r="Z73" s="136"/>
      <c r="AA73" s="136"/>
    </row>
    <row r="74" spans="1:27" ht="12.75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36"/>
      <c r="T74" s="136"/>
      <c r="U74" s="136"/>
      <c r="V74" s="136"/>
      <c r="W74" s="136"/>
      <c r="X74" s="136"/>
      <c r="Y74" s="136"/>
      <c r="Z74" s="136"/>
      <c r="AA74" s="136"/>
    </row>
    <row r="75" spans="1:27" ht="12.75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36"/>
      <c r="T75" s="136"/>
      <c r="U75" s="136"/>
      <c r="V75" s="136"/>
      <c r="W75" s="136"/>
      <c r="X75" s="136"/>
      <c r="Y75" s="136"/>
      <c r="Z75" s="136"/>
      <c r="AA75" s="136"/>
    </row>
    <row r="76" spans="1:27" ht="12.75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36"/>
      <c r="T76" s="136"/>
      <c r="U76" s="136"/>
      <c r="V76" s="136"/>
      <c r="W76" s="136"/>
      <c r="X76" s="136"/>
      <c r="Y76" s="136"/>
      <c r="Z76" s="136"/>
      <c r="AA76" s="136"/>
    </row>
    <row r="77" spans="1:27" ht="12.75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36"/>
      <c r="T77" s="136"/>
      <c r="U77" s="136"/>
      <c r="V77" s="136"/>
      <c r="W77" s="136"/>
      <c r="X77" s="136"/>
      <c r="Y77" s="136"/>
      <c r="Z77" s="136"/>
      <c r="AA77" s="136"/>
    </row>
    <row r="78" spans="1:27" ht="12.75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36"/>
      <c r="T78" s="136"/>
      <c r="U78" s="136"/>
      <c r="V78" s="136"/>
      <c r="W78" s="136"/>
      <c r="X78" s="136"/>
      <c r="Y78" s="136"/>
      <c r="Z78" s="136"/>
      <c r="AA78" s="136"/>
    </row>
    <row r="79" spans="1:27" ht="12.75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36"/>
      <c r="T79" s="136"/>
      <c r="U79" s="136"/>
      <c r="V79" s="136"/>
      <c r="W79" s="136"/>
      <c r="X79" s="136"/>
      <c r="Y79" s="136"/>
      <c r="Z79" s="136"/>
      <c r="AA79" s="136"/>
    </row>
    <row r="80" spans="1:27" ht="12.75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36"/>
      <c r="T80" s="136"/>
      <c r="U80" s="136"/>
      <c r="V80" s="136"/>
      <c r="W80" s="136"/>
      <c r="X80" s="136"/>
      <c r="Y80" s="136"/>
      <c r="Z80" s="136"/>
      <c r="AA80" s="136"/>
    </row>
    <row r="81" spans="1:27" ht="12.75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36"/>
      <c r="T81" s="136"/>
      <c r="U81" s="136"/>
      <c r="V81" s="136"/>
      <c r="W81" s="136"/>
      <c r="X81" s="136"/>
      <c r="Y81" s="136"/>
      <c r="Z81" s="136"/>
      <c r="AA81" s="136"/>
    </row>
    <row r="82" spans="1:27" ht="12.75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36"/>
      <c r="T82" s="136"/>
      <c r="U82" s="136"/>
      <c r="V82" s="136"/>
      <c r="W82" s="136"/>
      <c r="X82" s="136"/>
      <c r="Y82" s="136"/>
      <c r="Z82" s="136"/>
      <c r="AA82" s="136"/>
    </row>
    <row r="83" spans="1:27" ht="12.75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36"/>
      <c r="T83" s="136"/>
      <c r="U83" s="136"/>
      <c r="V83" s="136"/>
      <c r="W83" s="136"/>
      <c r="X83" s="136"/>
      <c r="Y83" s="136"/>
      <c r="Z83" s="136"/>
      <c r="AA83" s="136"/>
    </row>
    <row r="84" spans="1:27" ht="12.75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36"/>
      <c r="T84" s="136"/>
      <c r="U84" s="136"/>
      <c r="V84" s="136"/>
      <c r="W84" s="136"/>
      <c r="X84" s="136"/>
      <c r="Y84" s="136"/>
      <c r="Z84" s="136"/>
      <c r="AA84" s="136"/>
    </row>
    <row r="85" spans="1:27" ht="12.75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36"/>
      <c r="T85" s="136"/>
      <c r="U85" s="136"/>
      <c r="V85" s="136"/>
      <c r="W85" s="136"/>
      <c r="X85" s="136"/>
      <c r="Y85" s="136"/>
      <c r="Z85" s="136"/>
      <c r="AA85" s="136"/>
    </row>
    <row r="86" spans="1:27" ht="12.75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36"/>
      <c r="T86" s="136"/>
      <c r="U86" s="136"/>
      <c r="V86" s="136"/>
      <c r="W86" s="136"/>
      <c r="X86" s="136"/>
      <c r="Y86" s="136"/>
      <c r="Z86" s="136"/>
      <c r="AA86" s="136"/>
    </row>
    <row r="87" spans="1:27" ht="12.75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36"/>
      <c r="T87" s="136"/>
      <c r="U87" s="136"/>
      <c r="V87" s="136"/>
      <c r="W87" s="136"/>
      <c r="X87" s="136"/>
      <c r="Y87" s="136"/>
      <c r="Z87" s="136"/>
      <c r="AA87" s="136"/>
    </row>
    <row r="88" spans="1:27" ht="12.75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36"/>
      <c r="T88" s="136"/>
      <c r="U88" s="136"/>
      <c r="V88" s="136"/>
      <c r="W88" s="136"/>
      <c r="X88" s="136"/>
      <c r="Y88" s="136"/>
      <c r="Z88" s="136"/>
      <c r="AA88" s="136"/>
    </row>
    <row r="89" spans="1:27" ht="12.75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36"/>
      <c r="T89" s="136"/>
      <c r="U89" s="136"/>
      <c r="V89" s="136"/>
      <c r="W89" s="136"/>
      <c r="X89" s="136"/>
      <c r="Y89" s="136"/>
      <c r="Z89" s="136"/>
      <c r="AA89" s="136"/>
    </row>
    <row r="90" spans="1:27" ht="12.75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36"/>
      <c r="T90" s="136"/>
      <c r="U90" s="136"/>
      <c r="V90" s="136"/>
      <c r="W90" s="136"/>
      <c r="X90" s="136"/>
      <c r="Y90" s="136"/>
      <c r="Z90" s="136"/>
      <c r="AA90" s="136"/>
    </row>
    <row r="91" spans="1:27" ht="12.75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36"/>
      <c r="T91" s="136"/>
      <c r="U91" s="136"/>
      <c r="V91" s="136"/>
      <c r="W91" s="136"/>
      <c r="X91" s="136"/>
      <c r="Y91" s="136"/>
      <c r="Z91" s="136"/>
      <c r="AA91" s="136"/>
    </row>
    <row r="92" spans="1:27" ht="12.75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36"/>
      <c r="T92" s="136"/>
      <c r="U92" s="136"/>
      <c r="V92" s="136"/>
      <c r="W92" s="136"/>
      <c r="X92" s="136"/>
      <c r="Y92" s="136"/>
      <c r="Z92" s="136"/>
      <c r="AA92" s="136"/>
    </row>
    <row r="93" spans="1:27" ht="12.75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36"/>
      <c r="T93" s="136"/>
      <c r="U93" s="136"/>
      <c r="V93" s="136"/>
      <c r="W93" s="136"/>
      <c r="X93" s="136"/>
      <c r="Y93" s="136"/>
      <c r="Z93" s="136"/>
      <c r="AA93" s="136"/>
    </row>
    <row r="94" spans="1:27" ht="12.75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36"/>
      <c r="T94" s="136"/>
      <c r="U94" s="136"/>
      <c r="V94" s="136"/>
      <c r="W94" s="136"/>
      <c r="X94" s="136"/>
      <c r="Y94" s="136"/>
      <c r="Z94" s="136"/>
      <c r="AA94" s="136"/>
    </row>
    <row r="95" spans="1:27" ht="12.75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36"/>
      <c r="T95" s="136"/>
      <c r="U95" s="136"/>
      <c r="V95" s="136"/>
      <c r="W95" s="136"/>
      <c r="X95" s="136"/>
      <c r="Y95" s="136"/>
      <c r="Z95" s="136"/>
      <c r="AA95" s="136"/>
    </row>
    <row r="96" spans="1:27" ht="12.75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36"/>
      <c r="T96" s="136"/>
      <c r="U96" s="136"/>
      <c r="V96" s="136"/>
      <c r="W96" s="136"/>
      <c r="X96" s="136"/>
      <c r="Y96" s="136"/>
      <c r="Z96" s="136"/>
      <c r="AA96" s="136"/>
    </row>
    <row r="97" spans="1:27" ht="12.75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36"/>
      <c r="T97" s="136"/>
      <c r="U97" s="136"/>
      <c r="V97" s="136"/>
      <c r="W97" s="136"/>
      <c r="X97" s="136"/>
      <c r="Y97" s="136"/>
      <c r="Z97" s="136"/>
      <c r="AA97" s="136"/>
    </row>
    <row r="98" spans="1:27" ht="12.75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36"/>
      <c r="T98" s="136"/>
      <c r="U98" s="136"/>
      <c r="V98" s="136"/>
      <c r="W98" s="136"/>
      <c r="X98" s="136"/>
      <c r="Y98" s="136"/>
      <c r="Z98" s="136"/>
      <c r="AA98" s="136"/>
    </row>
    <row r="99" spans="1:27" ht="12.75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36"/>
      <c r="T99" s="136"/>
      <c r="U99" s="136"/>
      <c r="V99" s="136"/>
      <c r="W99" s="136"/>
      <c r="X99" s="136"/>
      <c r="Y99" s="136"/>
      <c r="Z99" s="136"/>
      <c r="AA99" s="136"/>
    </row>
    <row r="100" spans="1:27" ht="12.75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36"/>
      <c r="T100" s="136"/>
      <c r="U100" s="136"/>
      <c r="V100" s="136"/>
      <c r="W100" s="136"/>
      <c r="X100" s="136"/>
      <c r="Y100" s="136"/>
      <c r="Z100" s="136"/>
      <c r="AA100" s="136"/>
    </row>
    <row r="101" spans="1:27" ht="12.75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36"/>
      <c r="T101" s="136"/>
      <c r="U101" s="136"/>
      <c r="V101" s="136"/>
      <c r="W101" s="136"/>
      <c r="X101" s="136"/>
      <c r="Y101" s="136"/>
      <c r="Z101" s="136"/>
      <c r="AA101" s="136"/>
    </row>
    <row r="102" spans="1:27" ht="12.75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36"/>
      <c r="T102" s="136"/>
      <c r="U102" s="136"/>
      <c r="V102" s="136"/>
      <c r="W102" s="136"/>
      <c r="X102" s="136"/>
      <c r="Y102" s="136"/>
      <c r="Z102" s="136"/>
      <c r="AA102" s="136"/>
    </row>
    <row r="103" spans="1:27" ht="12.75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36"/>
      <c r="T103" s="136"/>
      <c r="U103" s="136"/>
      <c r="V103" s="136"/>
      <c r="W103" s="136"/>
      <c r="X103" s="136"/>
      <c r="Y103" s="136"/>
      <c r="Z103" s="136"/>
      <c r="AA103" s="136"/>
    </row>
    <row r="104" spans="1:27" ht="12.75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36"/>
      <c r="T104" s="136"/>
      <c r="U104" s="136"/>
      <c r="V104" s="136"/>
      <c r="W104" s="136"/>
      <c r="X104" s="136"/>
      <c r="Y104" s="136"/>
      <c r="Z104" s="136"/>
      <c r="AA104" s="136"/>
    </row>
    <row r="105" spans="1:27" ht="12.7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36"/>
      <c r="T105" s="136"/>
      <c r="U105" s="136"/>
      <c r="V105" s="136"/>
      <c r="W105" s="136"/>
      <c r="X105" s="136"/>
      <c r="Y105" s="136"/>
      <c r="Z105" s="136"/>
      <c r="AA105" s="136"/>
    </row>
    <row r="106" spans="1:27" ht="12.75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36"/>
      <c r="T106" s="136"/>
      <c r="U106" s="136"/>
      <c r="V106" s="136"/>
      <c r="W106" s="136"/>
      <c r="X106" s="136"/>
      <c r="Y106" s="136"/>
      <c r="Z106" s="136"/>
      <c r="AA106" s="136"/>
    </row>
    <row r="107" spans="1:27" ht="12.75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36"/>
      <c r="T107" s="136"/>
      <c r="U107" s="136"/>
      <c r="V107" s="136"/>
      <c r="W107" s="136"/>
      <c r="X107" s="136"/>
      <c r="Y107" s="136"/>
      <c r="Z107" s="136"/>
      <c r="AA107" s="136"/>
    </row>
    <row r="108" spans="1:27" ht="12.75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36"/>
      <c r="T108" s="136"/>
      <c r="U108" s="136"/>
      <c r="V108" s="136"/>
      <c r="W108" s="136"/>
      <c r="X108" s="136"/>
      <c r="Y108" s="136"/>
      <c r="Z108" s="136"/>
      <c r="AA108" s="136"/>
    </row>
    <row r="109" spans="1:27" ht="12.75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36"/>
      <c r="T109" s="136"/>
      <c r="U109" s="136"/>
      <c r="V109" s="136"/>
      <c r="W109" s="136"/>
      <c r="X109" s="136"/>
      <c r="Y109" s="136"/>
      <c r="Z109" s="136"/>
      <c r="AA109" s="136"/>
    </row>
    <row r="110" spans="1:27" ht="12.75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36"/>
      <c r="T110" s="136"/>
      <c r="U110" s="136"/>
      <c r="V110" s="136"/>
      <c r="W110" s="136"/>
      <c r="X110" s="136"/>
      <c r="Y110" s="136"/>
      <c r="Z110" s="136"/>
      <c r="AA110" s="136"/>
    </row>
    <row r="111" spans="1:27" ht="12.7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36"/>
      <c r="T111" s="136"/>
      <c r="U111" s="136"/>
      <c r="V111" s="136"/>
      <c r="W111" s="136"/>
      <c r="X111" s="136"/>
      <c r="Y111" s="136"/>
      <c r="Z111" s="136"/>
      <c r="AA111" s="136"/>
    </row>
    <row r="112" spans="1:27" ht="12.75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36"/>
      <c r="T112" s="136"/>
      <c r="U112" s="136"/>
      <c r="V112" s="136"/>
      <c r="W112" s="136"/>
      <c r="X112" s="136"/>
      <c r="Y112" s="136"/>
      <c r="Z112" s="136"/>
      <c r="AA112" s="136"/>
    </row>
    <row r="113" spans="1:27" ht="12.75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36"/>
      <c r="T113" s="136"/>
      <c r="U113" s="136"/>
      <c r="V113" s="136"/>
      <c r="W113" s="136"/>
      <c r="X113" s="136"/>
      <c r="Y113" s="136"/>
      <c r="Z113" s="136"/>
      <c r="AA113" s="136"/>
    </row>
    <row r="114" spans="1:27" ht="12.75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36"/>
      <c r="T114" s="136"/>
      <c r="U114" s="136"/>
      <c r="V114" s="136"/>
      <c r="W114" s="136"/>
      <c r="X114" s="136"/>
      <c r="Y114" s="136"/>
      <c r="Z114" s="136"/>
      <c r="AA114" s="136"/>
    </row>
    <row r="115" spans="1:27" ht="12.7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36"/>
      <c r="T115" s="136"/>
      <c r="U115" s="136"/>
      <c r="V115" s="136"/>
      <c r="W115" s="136"/>
      <c r="X115" s="136"/>
      <c r="Y115" s="136"/>
      <c r="Z115" s="136"/>
      <c r="AA115" s="136"/>
    </row>
    <row r="116" spans="1:27" ht="12.75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36"/>
      <c r="T116" s="136"/>
      <c r="U116" s="136"/>
      <c r="V116" s="136"/>
      <c r="W116" s="136"/>
      <c r="X116" s="136"/>
      <c r="Y116" s="136"/>
      <c r="Z116" s="136"/>
      <c r="AA116" s="136"/>
    </row>
    <row r="117" spans="1:27" ht="12.75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36"/>
      <c r="T117" s="136"/>
      <c r="U117" s="136"/>
      <c r="V117" s="136"/>
      <c r="W117" s="136"/>
      <c r="X117" s="136"/>
      <c r="Y117" s="136"/>
      <c r="Z117" s="136"/>
      <c r="AA117" s="136"/>
    </row>
    <row r="118" spans="1:27" ht="12.75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36"/>
      <c r="T118" s="136"/>
      <c r="U118" s="136"/>
      <c r="V118" s="136"/>
      <c r="W118" s="136"/>
      <c r="X118" s="136"/>
      <c r="Y118" s="136"/>
      <c r="Z118" s="136"/>
      <c r="AA118" s="136"/>
    </row>
    <row r="119" spans="1:27" ht="12.75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36"/>
      <c r="T119" s="136"/>
      <c r="U119" s="136"/>
      <c r="V119" s="136"/>
      <c r="W119" s="136"/>
      <c r="X119" s="136"/>
      <c r="Y119" s="136"/>
      <c r="Z119" s="136"/>
      <c r="AA119" s="136"/>
    </row>
    <row r="120" spans="1:27" ht="12.75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36"/>
      <c r="T120" s="136"/>
      <c r="U120" s="136"/>
      <c r="V120" s="136"/>
      <c r="W120" s="136"/>
      <c r="X120" s="136"/>
      <c r="Y120" s="136"/>
      <c r="Z120" s="136"/>
      <c r="AA120" s="136"/>
    </row>
    <row r="121" spans="1:27" ht="12.75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36"/>
      <c r="T121" s="136"/>
      <c r="U121" s="136"/>
      <c r="V121" s="136"/>
      <c r="W121" s="136"/>
      <c r="X121" s="136"/>
      <c r="Y121" s="136"/>
      <c r="Z121" s="136"/>
      <c r="AA121" s="136"/>
    </row>
    <row r="122" spans="1:27" ht="12.75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36"/>
      <c r="T122" s="136"/>
      <c r="U122" s="136"/>
      <c r="V122" s="136"/>
      <c r="W122" s="136"/>
      <c r="X122" s="136"/>
      <c r="Y122" s="136"/>
      <c r="Z122" s="136"/>
      <c r="AA122" s="136"/>
    </row>
    <row r="123" spans="1:27" ht="12.75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36"/>
      <c r="T123" s="136"/>
      <c r="U123" s="136"/>
      <c r="V123" s="136"/>
      <c r="W123" s="136"/>
      <c r="X123" s="136"/>
      <c r="Y123" s="136"/>
      <c r="Z123" s="136"/>
      <c r="AA123" s="136"/>
    </row>
    <row r="124" spans="1:27" ht="12.75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36"/>
      <c r="T124" s="136"/>
      <c r="U124" s="136"/>
      <c r="V124" s="136"/>
      <c r="W124" s="136"/>
      <c r="X124" s="136"/>
      <c r="Y124" s="136"/>
      <c r="Z124" s="136"/>
      <c r="AA124" s="136"/>
    </row>
    <row r="125" spans="1:27" ht="12.7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36"/>
      <c r="T125" s="136"/>
      <c r="U125" s="136"/>
      <c r="V125" s="136"/>
      <c r="W125" s="136"/>
      <c r="X125" s="136"/>
      <c r="Y125" s="136"/>
      <c r="Z125" s="136"/>
      <c r="AA125" s="136"/>
    </row>
    <row r="126" spans="1:27" ht="12.75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36"/>
      <c r="T126" s="136"/>
      <c r="U126" s="136"/>
      <c r="V126" s="136"/>
      <c r="W126" s="136"/>
      <c r="X126" s="136"/>
      <c r="Y126" s="136"/>
      <c r="Z126" s="136"/>
      <c r="AA126" s="136"/>
    </row>
    <row r="127" spans="1:27" ht="12.75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36"/>
      <c r="T127" s="136"/>
      <c r="U127" s="136"/>
      <c r="V127" s="136"/>
      <c r="W127" s="136"/>
      <c r="X127" s="136"/>
      <c r="Y127" s="136"/>
      <c r="Z127" s="136"/>
      <c r="AA127" s="136"/>
    </row>
    <row r="128" spans="1:27" ht="12.75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36"/>
      <c r="T128" s="136"/>
      <c r="U128" s="136"/>
      <c r="V128" s="136"/>
      <c r="W128" s="136"/>
      <c r="X128" s="136"/>
      <c r="Y128" s="136"/>
      <c r="Z128" s="136"/>
      <c r="AA128" s="136"/>
    </row>
    <row r="129" spans="1:27" ht="12.75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36"/>
      <c r="T129" s="136"/>
      <c r="U129" s="136"/>
      <c r="V129" s="136"/>
      <c r="W129" s="136"/>
      <c r="X129" s="136"/>
      <c r="Y129" s="136"/>
      <c r="Z129" s="136"/>
      <c r="AA129" s="136"/>
    </row>
    <row r="130" spans="1:27" ht="12.75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36"/>
      <c r="T130" s="136"/>
      <c r="U130" s="136"/>
      <c r="V130" s="136"/>
      <c r="W130" s="136"/>
      <c r="X130" s="136"/>
      <c r="Y130" s="136"/>
      <c r="Z130" s="136"/>
      <c r="AA130" s="136"/>
    </row>
    <row r="131" spans="1:27" ht="12.75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36"/>
      <c r="T131" s="136"/>
      <c r="U131" s="136"/>
      <c r="V131" s="136"/>
      <c r="W131" s="136"/>
      <c r="X131" s="136"/>
      <c r="Y131" s="136"/>
      <c r="Z131" s="136"/>
      <c r="AA131" s="136"/>
    </row>
    <row r="132" spans="1:27" ht="12.75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36"/>
      <c r="T132" s="136"/>
      <c r="U132" s="136"/>
      <c r="V132" s="136"/>
      <c r="W132" s="136"/>
      <c r="X132" s="136"/>
      <c r="Y132" s="136"/>
      <c r="Z132" s="136"/>
      <c r="AA132" s="136"/>
    </row>
    <row r="133" spans="1:27" ht="12.75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36"/>
      <c r="T133" s="136"/>
      <c r="U133" s="136"/>
      <c r="V133" s="136"/>
      <c r="W133" s="136"/>
      <c r="X133" s="136"/>
      <c r="Y133" s="136"/>
      <c r="Z133" s="136"/>
      <c r="AA133" s="136"/>
    </row>
    <row r="134" spans="1:27" ht="12.75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36"/>
      <c r="T134" s="136"/>
      <c r="U134" s="136"/>
      <c r="V134" s="136"/>
      <c r="W134" s="136"/>
      <c r="X134" s="136"/>
      <c r="Y134" s="136"/>
      <c r="Z134" s="136"/>
      <c r="AA134" s="136"/>
    </row>
    <row r="135" spans="1:27" ht="12.7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36"/>
      <c r="T135" s="136"/>
      <c r="U135" s="136"/>
      <c r="V135" s="136"/>
      <c r="W135" s="136"/>
      <c r="X135" s="136"/>
      <c r="Y135" s="136"/>
      <c r="Z135" s="136"/>
      <c r="AA135" s="136"/>
    </row>
    <row r="136" spans="1:27" ht="12.75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36"/>
      <c r="T136" s="136"/>
      <c r="U136" s="136"/>
      <c r="V136" s="136"/>
      <c r="W136" s="136"/>
      <c r="X136" s="136"/>
      <c r="Y136" s="136"/>
      <c r="Z136" s="136"/>
      <c r="AA136" s="136"/>
    </row>
    <row r="137" spans="1:27" ht="12.75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36"/>
      <c r="T137" s="136"/>
      <c r="U137" s="136"/>
      <c r="V137" s="136"/>
      <c r="W137" s="136"/>
      <c r="X137" s="136"/>
      <c r="Y137" s="136"/>
      <c r="Z137" s="136"/>
      <c r="AA137" s="136"/>
    </row>
    <row r="138" spans="1:27" ht="12.75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36"/>
      <c r="T138" s="136"/>
      <c r="U138" s="136"/>
      <c r="V138" s="136"/>
      <c r="W138" s="136"/>
      <c r="X138" s="136"/>
      <c r="Y138" s="136"/>
      <c r="Z138" s="136"/>
      <c r="AA138" s="136"/>
    </row>
    <row r="139" spans="1:27" ht="12.75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36"/>
      <c r="T139" s="136"/>
      <c r="U139" s="136"/>
      <c r="V139" s="136"/>
      <c r="W139" s="136"/>
      <c r="X139" s="136"/>
      <c r="Y139" s="136"/>
      <c r="Z139" s="136"/>
      <c r="AA139" s="136"/>
    </row>
    <row r="140" spans="1:27" ht="12.75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36"/>
      <c r="T140" s="136"/>
      <c r="U140" s="136"/>
      <c r="V140" s="136"/>
      <c r="W140" s="136"/>
      <c r="X140" s="136"/>
      <c r="Y140" s="136"/>
      <c r="Z140" s="136"/>
      <c r="AA140" s="136"/>
    </row>
    <row r="141" spans="1:27" ht="12.75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36"/>
      <c r="T141" s="136"/>
      <c r="U141" s="136"/>
      <c r="V141" s="136"/>
      <c r="W141" s="136"/>
      <c r="X141" s="136"/>
      <c r="Y141" s="136"/>
      <c r="Z141" s="136"/>
      <c r="AA141" s="136"/>
    </row>
    <row r="142" spans="1:27" ht="12.75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36"/>
      <c r="T142" s="136"/>
      <c r="U142" s="136"/>
      <c r="V142" s="136"/>
      <c r="W142" s="136"/>
      <c r="X142" s="136"/>
      <c r="Y142" s="136"/>
      <c r="Z142" s="136"/>
      <c r="AA142" s="136"/>
    </row>
    <row r="143" spans="1:27" ht="12.75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36"/>
      <c r="T143" s="136"/>
      <c r="U143" s="136"/>
      <c r="V143" s="136"/>
      <c r="W143" s="136"/>
      <c r="X143" s="136"/>
      <c r="Y143" s="136"/>
      <c r="Z143" s="136"/>
      <c r="AA143" s="136"/>
    </row>
    <row r="144" spans="1:27" ht="12.75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36"/>
      <c r="T144" s="136"/>
      <c r="U144" s="136"/>
      <c r="V144" s="136"/>
      <c r="W144" s="136"/>
      <c r="X144" s="136"/>
      <c r="Y144" s="136"/>
      <c r="Z144" s="136"/>
      <c r="AA144" s="136"/>
    </row>
    <row r="145" spans="1:27" ht="12.7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36"/>
      <c r="T145" s="136"/>
      <c r="U145" s="136"/>
      <c r="V145" s="136"/>
      <c r="W145" s="136"/>
      <c r="X145" s="136"/>
      <c r="Y145" s="136"/>
      <c r="Z145" s="136"/>
      <c r="AA145" s="136"/>
    </row>
    <row r="146" spans="1:27" ht="12.75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36"/>
      <c r="T146" s="136"/>
      <c r="U146" s="136"/>
      <c r="V146" s="136"/>
      <c r="W146" s="136"/>
      <c r="X146" s="136"/>
      <c r="Y146" s="136"/>
      <c r="Z146" s="136"/>
      <c r="AA146" s="136"/>
    </row>
    <row r="147" spans="1:27" ht="12.75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36"/>
      <c r="T147" s="136"/>
      <c r="U147" s="136"/>
      <c r="V147" s="136"/>
      <c r="W147" s="136"/>
      <c r="X147" s="136"/>
      <c r="Y147" s="136"/>
      <c r="Z147" s="136"/>
      <c r="AA147" s="136"/>
    </row>
    <row r="148" spans="1:27" ht="12.75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36"/>
      <c r="T148" s="136"/>
      <c r="U148" s="136"/>
      <c r="V148" s="136"/>
      <c r="W148" s="136"/>
      <c r="X148" s="136"/>
      <c r="Y148" s="136"/>
      <c r="Z148" s="136"/>
      <c r="AA148" s="136"/>
    </row>
    <row r="149" spans="1:27" ht="12.75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36"/>
      <c r="T149" s="136"/>
      <c r="U149" s="136"/>
      <c r="V149" s="136"/>
      <c r="W149" s="136"/>
      <c r="X149" s="136"/>
      <c r="Y149" s="136"/>
      <c r="Z149" s="136"/>
      <c r="AA149" s="136"/>
    </row>
    <row r="150" spans="1:27" ht="12.75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36"/>
      <c r="T150" s="136"/>
      <c r="U150" s="136"/>
      <c r="V150" s="136"/>
      <c r="W150" s="136"/>
      <c r="X150" s="136"/>
      <c r="Y150" s="136"/>
      <c r="Z150" s="136"/>
      <c r="AA150" s="136"/>
    </row>
    <row r="151" spans="1:27" ht="12.75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36"/>
      <c r="T151" s="136"/>
      <c r="U151" s="136"/>
      <c r="V151" s="136"/>
      <c r="W151" s="136"/>
      <c r="X151" s="136"/>
      <c r="Y151" s="136"/>
      <c r="Z151" s="136"/>
      <c r="AA151" s="136"/>
    </row>
    <row r="152" spans="1:27" ht="12.75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36"/>
      <c r="T152" s="136"/>
      <c r="U152" s="136"/>
      <c r="V152" s="136"/>
      <c r="W152" s="136"/>
      <c r="X152" s="136"/>
      <c r="Y152" s="136"/>
      <c r="Z152" s="136"/>
      <c r="AA152" s="136"/>
    </row>
    <row r="153" spans="1:27" ht="12.75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36"/>
      <c r="T153" s="136"/>
      <c r="U153" s="136"/>
      <c r="V153" s="136"/>
      <c r="W153" s="136"/>
      <c r="X153" s="136"/>
      <c r="Y153" s="136"/>
      <c r="Z153" s="136"/>
      <c r="AA153" s="136"/>
    </row>
    <row r="154" spans="1:27" ht="12.75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36"/>
      <c r="T154" s="136"/>
      <c r="U154" s="136"/>
      <c r="V154" s="136"/>
      <c r="W154" s="136"/>
      <c r="X154" s="136"/>
      <c r="Y154" s="136"/>
      <c r="Z154" s="136"/>
      <c r="AA154" s="136"/>
    </row>
    <row r="155" spans="1:27" ht="12.7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36"/>
      <c r="T155" s="136"/>
      <c r="U155" s="136"/>
      <c r="V155" s="136"/>
      <c r="W155" s="136"/>
      <c r="X155" s="136"/>
      <c r="Y155" s="136"/>
      <c r="Z155" s="136"/>
      <c r="AA155" s="136"/>
    </row>
    <row r="156" spans="1:27" ht="12.75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36"/>
      <c r="T156" s="136"/>
      <c r="U156" s="136"/>
      <c r="V156" s="136"/>
      <c r="W156" s="136"/>
      <c r="X156" s="136"/>
      <c r="Y156" s="136"/>
      <c r="Z156" s="136"/>
      <c r="AA156" s="136"/>
    </row>
    <row r="157" spans="1:27" ht="12.75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36"/>
      <c r="T157" s="136"/>
      <c r="U157" s="136"/>
      <c r="V157" s="136"/>
      <c r="W157" s="136"/>
      <c r="X157" s="136"/>
      <c r="Y157" s="136"/>
      <c r="Z157" s="136"/>
      <c r="AA157" s="136"/>
    </row>
    <row r="158" spans="1:27" ht="12.75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36"/>
      <c r="T158" s="136"/>
      <c r="U158" s="136"/>
      <c r="V158" s="136"/>
      <c r="W158" s="136"/>
      <c r="X158" s="136"/>
      <c r="Y158" s="136"/>
      <c r="Z158" s="136"/>
      <c r="AA158" s="136"/>
    </row>
    <row r="159" spans="1:27" ht="12.75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36"/>
      <c r="T159" s="136"/>
      <c r="U159" s="136"/>
      <c r="V159" s="136"/>
      <c r="W159" s="136"/>
      <c r="X159" s="136"/>
      <c r="Y159" s="136"/>
      <c r="Z159" s="136"/>
      <c r="AA159" s="136"/>
    </row>
    <row r="160" spans="1:27" ht="12.75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36"/>
      <c r="T160" s="136"/>
      <c r="U160" s="136"/>
      <c r="V160" s="136"/>
      <c r="W160" s="136"/>
      <c r="X160" s="136"/>
      <c r="Y160" s="136"/>
      <c r="Z160" s="136"/>
      <c r="AA160" s="136"/>
    </row>
    <row r="161" spans="1:27" ht="12.75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36"/>
      <c r="T161" s="136"/>
      <c r="U161" s="136"/>
      <c r="V161" s="136"/>
      <c r="W161" s="136"/>
      <c r="X161" s="136"/>
      <c r="Y161" s="136"/>
      <c r="Z161" s="136"/>
      <c r="AA161" s="136"/>
    </row>
    <row r="162" spans="1:27" ht="12.75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36"/>
      <c r="T162" s="136"/>
      <c r="U162" s="136"/>
      <c r="V162" s="136"/>
      <c r="W162" s="136"/>
      <c r="X162" s="136"/>
      <c r="Y162" s="136"/>
      <c r="Z162" s="136"/>
      <c r="AA162" s="136"/>
    </row>
    <row r="163" spans="1:27" ht="12.75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36"/>
      <c r="T163" s="136"/>
      <c r="U163" s="136"/>
      <c r="V163" s="136"/>
      <c r="W163" s="136"/>
      <c r="X163" s="136"/>
      <c r="Y163" s="136"/>
      <c r="Z163" s="136"/>
      <c r="AA163" s="136"/>
    </row>
    <row r="164" spans="1:27" ht="12.75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36"/>
      <c r="T164" s="136"/>
      <c r="U164" s="136"/>
      <c r="V164" s="136"/>
      <c r="W164" s="136"/>
      <c r="X164" s="136"/>
      <c r="Y164" s="136"/>
      <c r="Z164" s="136"/>
      <c r="AA164" s="136"/>
    </row>
    <row r="165" spans="1:27" ht="12.7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36"/>
      <c r="T165" s="136"/>
      <c r="U165" s="136"/>
      <c r="V165" s="136"/>
      <c r="W165" s="136"/>
      <c r="X165" s="136"/>
      <c r="Y165" s="136"/>
      <c r="Z165" s="136"/>
      <c r="AA165" s="136"/>
    </row>
    <row r="166" spans="1:27" ht="12.75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36"/>
      <c r="T166" s="136"/>
      <c r="U166" s="136"/>
      <c r="V166" s="136"/>
      <c r="W166" s="136"/>
      <c r="X166" s="136"/>
      <c r="Y166" s="136"/>
      <c r="Z166" s="136"/>
      <c r="AA166" s="136"/>
    </row>
    <row r="167" spans="1:27" ht="12.75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36"/>
      <c r="T167" s="136"/>
      <c r="U167" s="136"/>
      <c r="V167" s="136"/>
      <c r="W167" s="136"/>
      <c r="X167" s="136"/>
      <c r="Y167" s="136"/>
      <c r="Z167" s="136"/>
      <c r="AA167" s="136"/>
    </row>
    <row r="168" spans="1:27" ht="12.75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36"/>
      <c r="T168" s="136"/>
      <c r="U168" s="136"/>
      <c r="V168" s="136"/>
      <c r="W168" s="136"/>
      <c r="X168" s="136"/>
      <c r="Y168" s="136"/>
      <c r="Z168" s="136"/>
      <c r="AA168" s="136"/>
    </row>
    <row r="169" spans="1:27" ht="12.75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36"/>
      <c r="T169" s="136"/>
      <c r="U169" s="136"/>
      <c r="V169" s="136"/>
      <c r="W169" s="136"/>
      <c r="X169" s="136"/>
      <c r="Y169" s="136"/>
      <c r="Z169" s="136"/>
      <c r="AA169" s="136"/>
    </row>
    <row r="170" spans="1:27" ht="12.75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36"/>
      <c r="T170" s="136"/>
      <c r="U170" s="136"/>
      <c r="V170" s="136"/>
      <c r="W170" s="136"/>
      <c r="X170" s="136"/>
      <c r="Y170" s="136"/>
      <c r="Z170" s="136"/>
      <c r="AA170" s="136"/>
    </row>
    <row r="171" spans="1:27" ht="12.75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36"/>
      <c r="T171" s="136"/>
      <c r="U171" s="136"/>
      <c r="V171" s="136"/>
      <c r="W171" s="136"/>
      <c r="X171" s="136"/>
      <c r="Y171" s="136"/>
      <c r="Z171" s="136"/>
      <c r="AA171" s="136"/>
    </row>
    <row r="172" spans="1:27" ht="12.75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36"/>
      <c r="T172" s="136"/>
      <c r="U172" s="136"/>
      <c r="V172" s="136"/>
      <c r="W172" s="136"/>
      <c r="X172" s="136"/>
      <c r="Y172" s="136"/>
      <c r="Z172" s="136"/>
      <c r="AA172" s="136"/>
    </row>
    <row r="173" spans="1:27" ht="12.75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36"/>
      <c r="T173" s="136"/>
      <c r="U173" s="136"/>
      <c r="V173" s="136"/>
      <c r="W173" s="136"/>
      <c r="X173" s="136"/>
      <c r="Y173" s="136"/>
      <c r="Z173" s="136"/>
      <c r="AA173" s="136"/>
    </row>
    <row r="174" spans="1:27" ht="12.75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36"/>
      <c r="T174" s="136"/>
      <c r="U174" s="136"/>
      <c r="V174" s="136"/>
      <c r="W174" s="136"/>
      <c r="X174" s="136"/>
      <c r="Y174" s="136"/>
      <c r="Z174" s="136"/>
      <c r="AA174" s="136"/>
    </row>
    <row r="175" spans="1:27" ht="12.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36"/>
      <c r="T175" s="136"/>
      <c r="U175" s="136"/>
      <c r="V175" s="136"/>
      <c r="W175" s="136"/>
      <c r="X175" s="136"/>
      <c r="Y175" s="136"/>
      <c r="Z175" s="136"/>
      <c r="AA175" s="136"/>
    </row>
    <row r="176" spans="1:27" ht="12.75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36"/>
      <c r="T176" s="136"/>
      <c r="U176" s="136"/>
      <c r="V176" s="136"/>
      <c r="W176" s="136"/>
      <c r="X176" s="136"/>
      <c r="Y176" s="136"/>
      <c r="Z176" s="136"/>
      <c r="AA176" s="136"/>
    </row>
    <row r="177" spans="1:27" ht="12.75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36"/>
      <c r="T177" s="136"/>
      <c r="U177" s="136"/>
      <c r="V177" s="136"/>
      <c r="W177" s="136"/>
      <c r="X177" s="136"/>
      <c r="Y177" s="136"/>
      <c r="Z177" s="136"/>
      <c r="AA177" s="136"/>
    </row>
    <row r="178" spans="1:27" ht="12.75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36"/>
      <c r="T178" s="136"/>
      <c r="U178" s="136"/>
      <c r="V178" s="136"/>
      <c r="W178" s="136"/>
      <c r="X178" s="136"/>
      <c r="Y178" s="136"/>
      <c r="Z178" s="136"/>
      <c r="AA178" s="136"/>
    </row>
    <row r="179" spans="1:27" ht="12.75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36"/>
      <c r="T179" s="136"/>
      <c r="U179" s="136"/>
      <c r="V179" s="136"/>
      <c r="W179" s="136"/>
      <c r="X179" s="136"/>
      <c r="Y179" s="136"/>
      <c r="Z179" s="136"/>
      <c r="AA179" s="136"/>
    </row>
    <row r="180" spans="1:27" ht="12.75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36"/>
      <c r="T180" s="136"/>
      <c r="U180" s="136"/>
      <c r="V180" s="136"/>
      <c r="W180" s="136"/>
      <c r="X180" s="136"/>
      <c r="Y180" s="136"/>
      <c r="Z180" s="136"/>
      <c r="AA180" s="136"/>
    </row>
    <row r="181" spans="1:27" ht="12.75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36"/>
      <c r="T181" s="136"/>
      <c r="U181" s="136"/>
      <c r="V181" s="136"/>
      <c r="W181" s="136"/>
      <c r="X181" s="136"/>
      <c r="Y181" s="136"/>
      <c r="Z181" s="136"/>
      <c r="AA181" s="136"/>
    </row>
    <row r="182" spans="1:27" ht="12.75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36"/>
      <c r="T182" s="136"/>
      <c r="U182" s="136"/>
      <c r="V182" s="136"/>
      <c r="W182" s="136"/>
      <c r="X182" s="136"/>
      <c r="Y182" s="136"/>
      <c r="Z182" s="136"/>
      <c r="AA182" s="136"/>
    </row>
    <row r="183" spans="1:27" ht="12.75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36"/>
      <c r="T183" s="136"/>
      <c r="U183" s="136"/>
      <c r="V183" s="136"/>
      <c r="W183" s="136"/>
      <c r="X183" s="136"/>
      <c r="Y183" s="136"/>
      <c r="Z183" s="136"/>
      <c r="AA183" s="136"/>
    </row>
    <row r="184" spans="1:27" ht="12.75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36"/>
      <c r="T184" s="136"/>
      <c r="U184" s="136"/>
      <c r="V184" s="136"/>
      <c r="W184" s="136"/>
      <c r="X184" s="136"/>
      <c r="Y184" s="136"/>
      <c r="Z184" s="136"/>
      <c r="AA184" s="136"/>
    </row>
    <row r="185" spans="1:27" ht="12.7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36"/>
      <c r="T185" s="136"/>
      <c r="U185" s="136"/>
      <c r="V185" s="136"/>
      <c r="W185" s="136"/>
      <c r="X185" s="136"/>
      <c r="Y185" s="136"/>
      <c r="Z185" s="136"/>
      <c r="AA185" s="136"/>
    </row>
    <row r="186" spans="1:27" ht="12.75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36"/>
      <c r="T186" s="136"/>
      <c r="U186" s="136"/>
      <c r="V186" s="136"/>
      <c r="W186" s="136"/>
      <c r="X186" s="136"/>
      <c r="Y186" s="136"/>
      <c r="Z186" s="136"/>
      <c r="AA186" s="136"/>
    </row>
    <row r="187" spans="1:27" ht="12.75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36"/>
      <c r="T187" s="136"/>
      <c r="U187" s="136"/>
      <c r="V187" s="136"/>
      <c r="W187" s="136"/>
      <c r="X187" s="136"/>
      <c r="Y187" s="136"/>
      <c r="Z187" s="136"/>
      <c r="AA187" s="136"/>
    </row>
    <row r="188" spans="1:27" ht="12.75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36"/>
      <c r="T188" s="136"/>
      <c r="U188" s="136"/>
      <c r="V188" s="136"/>
      <c r="W188" s="136"/>
      <c r="X188" s="136"/>
      <c r="Y188" s="136"/>
      <c r="Z188" s="136"/>
      <c r="AA188" s="136"/>
    </row>
    <row r="189" spans="1:27" ht="12.75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36"/>
      <c r="T189" s="136"/>
      <c r="U189" s="136"/>
      <c r="V189" s="136"/>
      <c r="W189" s="136"/>
      <c r="X189" s="136"/>
      <c r="Y189" s="136"/>
      <c r="Z189" s="136"/>
      <c r="AA189" s="136"/>
    </row>
    <row r="190" spans="1:27" ht="12.75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36"/>
      <c r="T190" s="136"/>
      <c r="U190" s="136"/>
      <c r="V190" s="136"/>
      <c r="W190" s="136"/>
      <c r="X190" s="136"/>
      <c r="Y190" s="136"/>
      <c r="Z190" s="136"/>
      <c r="AA190" s="136"/>
    </row>
    <row r="191" spans="1:27" ht="12.75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36"/>
      <c r="T191" s="136"/>
      <c r="U191" s="136"/>
      <c r="V191" s="136"/>
      <c r="W191" s="136"/>
      <c r="X191" s="136"/>
      <c r="Y191" s="136"/>
      <c r="Z191" s="136"/>
      <c r="AA191" s="136"/>
    </row>
    <row r="192" spans="1:27" ht="12.75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36"/>
      <c r="T192" s="136"/>
      <c r="U192" s="136"/>
      <c r="V192" s="136"/>
      <c r="W192" s="136"/>
      <c r="X192" s="136"/>
      <c r="Y192" s="136"/>
      <c r="Z192" s="136"/>
      <c r="AA192" s="136"/>
    </row>
    <row r="193" spans="1:27" ht="12.75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36"/>
      <c r="T193" s="136"/>
      <c r="U193" s="136"/>
      <c r="V193" s="136"/>
      <c r="W193" s="136"/>
      <c r="X193" s="136"/>
      <c r="Y193" s="136"/>
      <c r="Z193" s="136"/>
      <c r="AA193" s="136"/>
    </row>
    <row r="194" spans="1:27" ht="12.75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36"/>
      <c r="T194" s="136"/>
      <c r="U194" s="136"/>
      <c r="V194" s="136"/>
      <c r="W194" s="136"/>
      <c r="X194" s="136"/>
      <c r="Y194" s="136"/>
      <c r="Z194" s="136"/>
      <c r="AA194" s="136"/>
    </row>
    <row r="195" spans="1:27" ht="12.7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36"/>
      <c r="T195" s="136"/>
      <c r="U195" s="136"/>
      <c r="V195" s="136"/>
      <c r="W195" s="136"/>
      <c r="X195" s="136"/>
      <c r="Y195" s="136"/>
      <c r="Z195" s="136"/>
      <c r="AA195" s="136"/>
    </row>
    <row r="196" spans="1:27" ht="12.75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36"/>
      <c r="T196" s="136"/>
      <c r="U196" s="136"/>
      <c r="V196" s="136"/>
      <c r="W196" s="136"/>
      <c r="X196" s="136"/>
      <c r="Y196" s="136"/>
      <c r="Z196" s="136"/>
      <c r="AA196" s="136"/>
    </row>
    <row r="197" spans="1:27" ht="12.75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36"/>
      <c r="T197" s="136"/>
      <c r="U197" s="136"/>
      <c r="V197" s="136"/>
      <c r="W197" s="136"/>
      <c r="X197" s="136"/>
      <c r="Y197" s="136"/>
      <c r="Z197" s="136"/>
      <c r="AA197" s="136"/>
    </row>
    <row r="198" spans="1:27" ht="12.75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36"/>
      <c r="T198" s="136"/>
      <c r="U198" s="136"/>
      <c r="V198" s="136"/>
      <c r="W198" s="136"/>
      <c r="X198" s="136"/>
      <c r="Y198" s="136"/>
      <c r="Z198" s="136"/>
      <c r="AA198" s="136"/>
    </row>
    <row r="199" spans="1:27" ht="12.75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36"/>
      <c r="T199" s="136"/>
      <c r="U199" s="136"/>
      <c r="V199" s="136"/>
      <c r="W199" s="136"/>
      <c r="X199" s="136"/>
      <c r="Y199" s="136"/>
      <c r="Z199" s="136"/>
      <c r="AA199" s="136"/>
    </row>
    <row r="200" spans="1:27" ht="12.75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36"/>
      <c r="T200" s="136"/>
      <c r="U200" s="136"/>
      <c r="V200" s="136"/>
      <c r="W200" s="136"/>
      <c r="X200" s="136"/>
      <c r="Y200" s="136"/>
      <c r="Z200" s="136"/>
      <c r="AA200" s="136"/>
    </row>
    <row r="201" spans="1:27" ht="12.75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36"/>
      <c r="T201" s="136"/>
      <c r="U201" s="136"/>
      <c r="V201" s="136"/>
      <c r="W201" s="136"/>
      <c r="X201" s="136"/>
      <c r="Y201" s="136"/>
      <c r="Z201" s="136"/>
      <c r="AA201" s="136"/>
    </row>
    <row r="202" spans="1:27" ht="12.75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36"/>
      <c r="T202" s="136"/>
      <c r="U202" s="136"/>
      <c r="V202" s="136"/>
      <c r="W202" s="136"/>
      <c r="X202" s="136"/>
      <c r="Y202" s="136"/>
      <c r="Z202" s="136"/>
      <c r="AA202" s="136"/>
    </row>
    <row r="203" spans="1:27" ht="12.75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36"/>
      <c r="T203" s="136"/>
      <c r="U203" s="136"/>
      <c r="V203" s="136"/>
      <c r="W203" s="136"/>
      <c r="X203" s="136"/>
      <c r="Y203" s="136"/>
      <c r="Z203" s="136"/>
      <c r="AA203" s="136"/>
    </row>
    <row r="204" spans="1:27" ht="12.75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36"/>
      <c r="T204" s="136"/>
      <c r="U204" s="136"/>
      <c r="V204" s="136"/>
      <c r="W204" s="136"/>
      <c r="X204" s="136"/>
      <c r="Y204" s="136"/>
      <c r="Z204" s="136"/>
      <c r="AA204" s="136"/>
    </row>
    <row r="205" spans="1:27" ht="12.7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36"/>
      <c r="T205" s="136"/>
      <c r="U205" s="136"/>
      <c r="V205" s="136"/>
      <c r="W205" s="136"/>
      <c r="X205" s="136"/>
      <c r="Y205" s="136"/>
      <c r="Z205" s="136"/>
      <c r="AA205" s="136"/>
    </row>
    <row r="206" spans="1:27" ht="12.75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36"/>
      <c r="T206" s="136"/>
      <c r="U206" s="136"/>
      <c r="V206" s="136"/>
      <c r="W206" s="136"/>
      <c r="X206" s="136"/>
      <c r="Y206" s="136"/>
      <c r="Z206" s="136"/>
      <c r="AA206" s="136"/>
    </row>
    <row r="207" spans="1:27" ht="12.75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36"/>
      <c r="T207" s="136"/>
      <c r="U207" s="136"/>
      <c r="V207" s="136"/>
      <c r="W207" s="136"/>
      <c r="X207" s="136"/>
      <c r="Y207" s="136"/>
      <c r="Z207" s="136"/>
      <c r="AA207" s="136"/>
    </row>
    <row r="208" spans="1:27" ht="12.75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36"/>
      <c r="T208" s="136"/>
      <c r="U208" s="136"/>
      <c r="V208" s="136"/>
      <c r="W208" s="136"/>
      <c r="X208" s="136"/>
      <c r="Y208" s="136"/>
      <c r="Z208" s="136"/>
      <c r="AA208" s="136"/>
    </row>
    <row r="209" spans="1:27" ht="12.75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36"/>
      <c r="T209" s="136"/>
      <c r="U209" s="136"/>
      <c r="V209" s="136"/>
      <c r="W209" s="136"/>
      <c r="X209" s="136"/>
      <c r="Y209" s="136"/>
      <c r="Z209" s="136"/>
      <c r="AA209" s="136"/>
    </row>
    <row r="210" spans="1:27" ht="12.75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36"/>
      <c r="T210" s="136"/>
      <c r="U210" s="136"/>
      <c r="V210" s="136"/>
      <c r="W210" s="136"/>
      <c r="X210" s="136"/>
      <c r="Y210" s="136"/>
      <c r="Z210" s="136"/>
      <c r="AA210" s="136"/>
    </row>
    <row r="211" spans="1:27" ht="12.75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36"/>
      <c r="T211" s="136"/>
      <c r="U211" s="136"/>
      <c r="V211" s="136"/>
      <c r="W211" s="136"/>
      <c r="X211" s="136"/>
      <c r="Y211" s="136"/>
      <c r="Z211" s="136"/>
      <c r="AA211" s="136"/>
    </row>
    <row r="212" spans="1:27" ht="12.75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36"/>
      <c r="T212" s="136"/>
      <c r="U212" s="136"/>
      <c r="V212" s="136"/>
      <c r="W212" s="136"/>
      <c r="X212" s="136"/>
      <c r="Y212" s="136"/>
      <c r="Z212" s="136"/>
      <c r="AA212" s="136"/>
    </row>
    <row r="213" spans="1:27" ht="12.75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36"/>
      <c r="T213" s="136"/>
      <c r="U213" s="136"/>
      <c r="V213" s="136"/>
      <c r="W213" s="136"/>
      <c r="X213" s="136"/>
      <c r="Y213" s="136"/>
      <c r="Z213" s="136"/>
      <c r="AA213" s="136"/>
    </row>
    <row r="214" spans="1:27" ht="12.75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36"/>
      <c r="T214" s="136"/>
      <c r="U214" s="136"/>
      <c r="V214" s="136"/>
      <c r="W214" s="136"/>
      <c r="X214" s="136"/>
      <c r="Y214" s="136"/>
      <c r="Z214" s="136"/>
      <c r="AA214" s="136"/>
    </row>
    <row r="215" spans="1:27" ht="12.7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36"/>
      <c r="T215" s="136"/>
      <c r="U215" s="136"/>
      <c r="V215" s="136"/>
      <c r="W215" s="136"/>
      <c r="X215" s="136"/>
      <c r="Y215" s="136"/>
      <c r="Z215" s="136"/>
      <c r="AA215" s="136"/>
    </row>
    <row r="216" spans="1:27" ht="12.75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36"/>
      <c r="T216" s="136"/>
      <c r="U216" s="136"/>
      <c r="V216" s="136"/>
      <c r="W216" s="136"/>
      <c r="X216" s="136"/>
      <c r="Y216" s="136"/>
      <c r="Z216" s="136"/>
      <c r="AA216" s="136"/>
    </row>
    <row r="217" spans="1:27" ht="12.75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36"/>
      <c r="T217" s="136"/>
      <c r="U217" s="136"/>
      <c r="V217" s="136"/>
      <c r="W217" s="136"/>
      <c r="X217" s="136"/>
      <c r="Y217" s="136"/>
      <c r="Z217" s="136"/>
      <c r="AA217" s="136"/>
    </row>
    <row r="218" spans="1:27" ht="12.75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36"/>
      <c r="T218" s="136"/>
      <c r="U218" s="136"/>
      <c r="V218" s="136"/>
      <c r="W218" s="136"/>
      <c r="X218" s="136"/>
      <c r="Y218" s="136"/>
      <c r="Z218" s="136"/>
      <c r="AA218" s="136"/>
    </row>
    <row r="219" spans="1:27" ht="12.75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36"/>
      <c r="T219" s="136"/>
      <c r="U219" s="136"/>
      <c r="V219" s="136"/>
      <c r="W219" s="136"/>
      <c r="X219" s="136"/>
      <c r="Y219" s="136"/>
      <c r="Z219" s="136"/>
      <c r="AA219" s="136"/>
    </row>
    <row r="220" spans="1:27" ht="12.75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36"/>
      <c r="T220" s="136"/>
      <c r="U220" s="136"/>
      <c r="V220" s="136"/>
      <c r="W220" s="136"/>
      <c r="X220" s="136"/>
      <c r="Y220" s="136"/>
      <c r="Z220" s="136"/>
      <c r="AA220" s="136"/>
    </row>
    <row r="221" spans="1:27" ht="12.75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36"/>
      <c r="T221" s="136"/>
      <c r="U221" s="136"/>
      <c r="V221" s="136"/>
      <c r="W221" s="136"/>
      <c r="X221" s="136"/>
      <c r="Y221" s="136"/>
      <c r="Z221" s="136"/>
      <c r="AA221" s="136"/>
    </row>
    <row r="222" spans="1:27" ht="12.75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36"/>
      <c r="T222" s="136"/>
      <c r="U222" s="136"/>
      <c r="V222" s="136"/>
      <c r="W222" s="136"/>
      <c r="X222" s="136"/>
      <c r="Y222" s="136"/>
      <c r="Z222" s="136"/>
      <c r="AA222" s="136"/>
    </row>
    <row r="223" spans="1:27" ht="12.75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36"/>
      <c r="T223" s="136"/>
      <c r="U223" s="136"/>
      <c r="V223" s="136"/>
      <c r="W223" s="136"/>
      <c r="X223" s="136"/>
      <c r="Y223" s="136"/>
      <c r="Z223" s="136"/>
      <c r="AA223" s="136"/>
    </row>
    <row r="224" spans="1:27" ht="12.75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36"/>
      <c r="T224" s="136"/>
      <c r="U224" s="136"/>
      <c r="V224" s="136"/>
      <c r="W224" s="136"/>
      <c r="X224" s="136"/>
      <c r="Y224" s="136"/>
      <c r="Z224" s="136"/>
      <c r="AA224" s="136"/>
    </row>
    <row r="225" spans="1:27" ht="12.7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36"/>
      <c r="T225" s="136"/>
      <c r="U225" s="136"/>
      <c r="V225" s="136"/>
      <c r="W225" s="136"/>
      <c r="X225" s="136"/>
      <c r="Y225" s="136"/>
      <c r="Z225" s="136"/>
      <c r="AA225" s="136"/>
    </row>
    <row r="226" spans="1:27" ht="12.75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36"/>
      <c r="T226" s="136"/>
      <c r="U226" s="136"/>
      <c r="V226" s="136"/>
      <c r="W226" s="136"/>
      <c r="X226" s="136"/>
      <c r="Y226" s="136"/>
      <c r="Z226" s="136"/>
      <c r="AA226" s="136"/>
    </row>
    <row r="227" spans="1:27" ht="12.75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36"/>
      <c r="T227" s="136"/>
      <c r="U227" s="136"/>
      <c r="V227" s="136"/>
      <c r="W227" s="136"/>
      <c r="X227" s="136"/>
      <c r="Y227" s="136"/>
      <c r="Z227" s="136"/>
      <c r="AA227" s="136"/>
    </row>
    <row r="228" spans="1:27" ht="12.75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36"/>
      <c r="T228" s="136"/>
      <c r="U228" s="136"/>
      <c r="V228" s="136"/>
      <c r="W228" s="136"/>
      <c r="X228" s="136"/>
      <c r="Y228" s="136"/>
      <c r="Z228" s="136"/>
      <c r="AA228" s="136"/>
    </row>
    <row r="229" spans="1:27" ht="12.75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36"/>
      <c r="T229" s="136"/>
      <c r="U229" s="136"/>
      <c r="V229" s="136"/>
      <c r="W229" s="136"/>
      <c r="X229" s="136"/>
      <c r="Y229" s="136"/>
      <c r="Z229" s="136"/>
      <c r="AA229" s="136"/>
    </row>
    <row r="230" spans="1:27" ht="12.75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36"/>
      <c r="T230" s="136"/>
      <c r="U230" s="136"/>
      <c r="V230" s="136"/>
      <c r="W230" s="136"/>
      <c r="X230" s="136"/>
      <c r="Y230" s="136"/>
      <c r="Z230" s="136"/>
      <c r="AA230" s="136"/>
    </row>
    <row r="231" spans="1:27" ht="12.75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36"/>
      <c r="T231" s="136"/>
      <c r="U231" s="136"/>
      <c r="V231" s="136"/>
      <c r="W231" s="136"/>
      <c r="X231" s="136"/>
      <c r="Y231" s="136"/>
      <c r="Z231" s="136"/>
      <c r="AA231" s="136"/>
    </row>
    <row r="232" spans="1:27" ht="12.75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36"/>
      <c r="T232" s="136"/>
      <c r="U232" s="136"/>
      <c r="V232" s="136"/>
      <c r="W232" s="136"/>
      <c r="X232" s="136"/>
      <c r="Y232" s="136"/>
      <c r="Z232" s="136"/>
      <c r="AA232" s="136"/>
    </row>
    <row r="233" spans="1:27" ht="12.75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36"/>
      <c r="T233" s="136"/>
      <c r="U233" s="136"/>
      <c r="V233" s="136"/>
      <c r="W233" s="136"/>
      <c r="X233" s="136"/>
      <c r="Y233" s="136"/>
      <c r="Z233" s="136"/>
      <c r="AA233" s="136"/>
    </row>
    <row r="234" spans="1:27" ht="12.75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36"/>
      <c r="T234" s="136"/>
      <c r="U234" s="136"/>
      <c r="V234" s="136"/>
      <c r="W234" s="136"/>
      <c r="X234" s="136"/>
      <c r="Y234" s="136"/>
      <c r="Z234" s="136"/>
      <c r="AA234" s="136"/>
    </row>
    <row r="235" spans="1:27" ht="12.7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36"/>
      <c r="T235" s="136"/>
      <c r="U235" s="136"/>
      <c r="V235" s="136"/>
      <c r="W235" s="136"/>
      <c r="X235" s="136"/>
      <c r="Y235" s="136"/>
      <c r="Z235" s="136"/>
      <c r="AA235" s="136"/>
    </row>
    <row r="236" spans="1:27" ht="12.75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36"/>
      <c r="T236" s="136"/>
      <c r="U236" s="136"/>
      <c r="V236" s="136"/>
      <c r="W236" s="136"/>
      <c r="X236" s="136"/>
      <c r="Y236" s="136"/>
      <c r="Z236" s="136"/>
      <c r="AA236" s="136"/>
    </row>
    <row r="237" spans="1:27" ht="12.75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36"/>
      <c r="T237" s="136"/>
      <c r="U237" s="136"/>
      <c r="V237" s="136"/>
      <c r="W237" s="136"/>
      <c r="X237" s="136"/>
      <c r="Y237" s="136"/>
      <c r="Z237" s="136"/>
      <c r="AA237" s="136"/>
    </row>
    <row r="238" spans="1:27" ht="12.75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36"/>
      <c r="T238" s="136"/>
      <c r="U238" s="136"/>
      <c r="V238" s="136"/>
      <c r="W238" s="136"/>
      <c r="X238" s="136"/>
      <c r="Y238" s="136"/>
      <c r="Z238" s="136"/>
      <c r="AA238" s="136"/>
    </row>
    <row r="239" spans="1:27" ht="12.75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36"/>
      <c r="T239" s="136"/>
      <c r="U239" s="136"/>
      <c r="V239" s="136"/>
      <c r="W239" s="136"/>
      <c r="X239" s="136"/>
      <c r="Y239" s="136"/>
      <c r="Z239" s="136"/>
      <c r="AA239" s="136"/>
    </row>
    <row r="240" spans="1:27" ht="12.75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36"/>
      <c r="T240" s="136"/>
      <c r="U240" s="136"/>
      <c r="V240" s="136"/>
      <c r="W240" s="136"/>
      <c r="X240" s="136"/>
      <c r="Y240" s="136"/>
      <c r="Z240" s="136"/>
      <c r="AA240" s="136"/>
    </row>
    <row r="241" spans="1:27" ht="12.75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36"/>
      <c r="T241" s="136"/>
      <c r="U241" s="136"/>
      <c r="V241" s="136"/>
      <c r="W241" s="136"/>
      <c r="X241" s="136"/>
      <c r="Y241" s="136"/>
      <c r="Z241" s="136"/>
      <c r="AA241" s="136"/>
    </row>
    <row r="242" spans="1:27" ht="12.75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36"/>
      <c r="T242" s="136"/>
      <c r="U242" s="136"/>
      <c r="V242" s="136"/>
      <c r="W242" s="136"/>
      <c r="X242" s="136"/>
      <c r="Y242" s="136"/>
      <c r="Z242" s="136"/>
      <c r="AA242" s="136"/>
    </row>
    <row r="243" spans="1:27" ht="12.75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36"/>
      <c r="T243" s="136"/>
      <c r="U243" s="136"/>
      <c r="V243" s="136"/>
      <c r="W243" s="136"/>
      <c r="X243" s="136"/>
      <c r="Y243" s="136"/>
      <c r="Z243" s="136"/>
      <c r="AA243" s="136"/>
    </row>
    <row r="244" spans="1:27" ht="12.75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36"/>
      <c r="T244" s="136"/>
      <c r="U244" s="136"/>
      <c r="V244" s="136"/>
      <c r="W244" s="136"/>
      <c r="X244" s="136"/>
      <c r="Y244" s="136"/>
      <c r="Z244" s="136"/>
      <c r="AA244" s="136"/>
    </row>
    <row r="245" spans="1:27" ht="12.7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36"/>
      <c r="T245" s="136"/>
      <c r="U245" s="136"/>
      <c r="V245" s="136"/>
      <c r="W245" s="136"/>
      <c r="X245" s="136"/>
      <c r="Y245" s="136"/>
      <c r="Z245" s="136"/>
      <c r="AA245" s="136"/>
    </row>
    <row r="246" spans="1:27" ht="12.75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36"/>
      <c r="T246" s="136"/>
      <c r="U246" s="136"/>
      <c r="V246" s="136"/>
      <c r="W246" s="136"/>
      <c r="X246" s="136"/>
      <c r="Y246" s="136"/>
      <c r="Z246" s="136"/>
      <c r="AA246" s="136"/>
    </row>
    <row r="247" spans="1:27" ht="12.75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36"/>
      <c r="T247" s="136"/>
      <c r="U247" s="136"/>
      <c r="V247" s="136"/>
      <c r="W247" s="136"/>
      <c r="X247" s="136"/>
      <c r="Y247" s="136"/>
      <c r="Z247" s="136"/>
      <c r="AA247" s="136"/>
    </row>
    <row r="248" spans="1:27" ht="12.75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36"/>
      <c r="T248" s="136"/>
      <c r="U248" s="136"/>
      <c r="V248" s="136"/>
      <c r="W248" s="136"/>
      <c r="X248" s="136"/>
      <c r="Y248" s="136"/>
      <c r="Z248" s="136"/>
      <c r="AA248" s="136"/>
    </row>
    <row r="249" spans="1:27" ht="12.75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36"/>
      <c r="T249" s="136"/>
      <c r="U249" s="136"/>
      <c r="V249" s="136"/>
      <c r="W249" s="136"/>
      <c r="X249" s="136"/>
      <c r="Y249" s="136"/>
      <c r="Z249" s="136"/>
      <c r="AA249" s="136"/>
    </row>
    <row r="250" spans="1:27" ht="12.75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36"/>
      <c r="T250" s="136"/>
      <c r="U250" s="136"/>
      <c r="V250" s="136"/>
      <c r="W250" s="136"/>
      <c r="X250" s="136"/>
      <c r="Y250" s="136"/>
      <c r="Z250" s="136"/>
      <c r="AA250" s="136"/>
    </row>
    <row r="251" spans="1:27" ht="12.75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36"/>
      <c r="T251" s="136"/>
      <c r="U251" s="136"/>
      <c r="V251" s="136"/>
      <c r="W251" s="136"/>
      <c r="X251" s="136"/>
      <c r="Y251" s="136"/>
      <c r="Z251" s="136"/>
      <c r="AA251" s="136"/>
    </row>
    <row r="252" spans="1:27" ht="12.75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36"/>
      <c r="T252" s="136"/>
      <c r="U252" s="136"/>
      <c r="V252" s="136"/>
      <c r="W252" s="136"/>
      <c r="X252" s="136"/>
      <c r="Y252" s="136"/>
      <c r="Z252" s="136"/>
      <c r="AA252" s="136"/>
    </row>
    <row r="253" spans="1:27" ht="12.75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36"/>
      <c r="T253" s="136"/>
      <c r="U253" s="136"/>
      <c r="V253" s="136"/>
      <c r="W253" s="136"/>
      <c r="X253" s="136"/>
      <c r="Y253" s="136"/>
      <c r="Z253" s="136"/>
      <c r="AA253" s="136"/>
    </row>
    <row r="254" spans="1:27" ht="12.75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36"/>
      <c r="T254" s="136"/>
      <c r="U254" s="136"/>
      <c r="V254" s="136"/>
      <c r="W254" s="136"/>
      <c r="X254" s="136"/>
      <c r="Y254" s="136"/>
      <c r="Z254" s="136"/>
      <c r="AA254" s="136"/>
    </row>
    <row r="255" spans="1:27" ht="12.7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36"/>
      <c r="T255" s="136"/>
      <c r="U255" s="136"/>
      <c r="V255" s="136"/>
      <c r="W255" s="136"/>
      <c r="X255" s="136"/>
      <c r="Y255" s="136"/>
      <c r="Z255" s="136"/>
      <c r="AA255" s="136"/>
    </row>
    <row r="256" spans="1:27" ht="12.75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36"/>
      <c r="T256" s="136"/>
      <c r="U256" s="136"/>
      <c r="V256" s="136"/>
      <c r="W256" s="136"/>
      <c r="X256" s="136"/>
      <c r="Y256" s="136"/>
      <c r="Z256" s="136"/>
      <c r="AA256" s="136"/>
    </row>
    <row r="257" spans="1:27" ht="12.75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36"/>
      <c r="T257" s="136"/>
      <c r="U257" s="136"/>
      <c r="V257" s="136"/>
      <c r="W257" s="136"/>
      <c r="X257" s="136"/>
      <c r="Y257" s="136"/>
      <c r="Z257" s="136"/>
      <c r="AA257" s="136"/>
    </row>
    <row r="258" spans="1:27" ht="12.75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36"/>
      <c r="T258" s="136"/>
      <c r="U258" s="136"/>
      <c r="V258" s="136"/>
      <c r="W258" s="136"/>
      <c r="X258" s="136"/>
      <c r="Y258" s="136"/>
      <c r="Z258" s="136"/>
      <c r="AA258" s="136"/>
    </row>
    <row r="259" spans="1:27" ht="12.75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36"/>
      <c r="T259" s="136"/>
      <c r="U259" s="136"/>
      <c r="V259" s="136"/>
      <c r="W259" s="136"/>
      <c r="X259" s="136"/>
      <c r="Y259" s="136"/>
      <c r="Z259" s="136"/>
      <c r="AA259" s="136"/>
    </row>
    <row r="260" spans="1:27" ht="12.75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36"/>
      <c r="T260" s="136"/>
      <c r="U260" s="136"/>
      <c r="V260" s="136"/>
      <c r="W260" s="136"/>
      <c r="X260" s="136"/>
      <c r="Y260" s="136"/>
      <c r="Z260" s="136"/>
      <c r="AA260" s="136"/>
    </row>
    <row r="261" spans="1:27" ht="12.75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36"/>
      <c r="T261" s="136"/>
      <c r="U261" s="136"/>
      <c r="V261" s="136"/>
      <c r="W261" s="136"/>
      <c r="X261" s="136"/>
      <c r="Y261" s="136"/>
      <c r="Z261" s="136"/>
      <c r="AA261" s="136"/>
    </row>
    <row r="262" spans="1:27" ht="12.75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36"/>
      <c r="T262" s="136"/>
      <c r="U262" s="136"/>
      <c r="V262" s="136"/>
      <c r="W262" s="136"/>
      <c r="X262" s="136"/>
      <c r="Y262" s="136"/>
      <c r="Z262" s="136"/>
      <c r="AA262" s="136"/>
    </row>
    <row r="263" spans="1:27" ht="12.75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36"/>
      <c r="T263" s="136"/>
      <c r="U263" s="136"/>
      <c r="V263" s="136"/>
      <c r="W263" s="136"/>
      <c r="X263" s="136"/>
      <c r="Y263" s="136"/>
      <c r="Z263" s="136"/>
      <c r="AA263" s="136"/>
    </row>
    <row r="264" spans="1:27" ht="12.75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36"/>
      <c r="T264" s="136"/>
      <c r="U264" s="136"/>
      <c r="V264" s="136"/>
      <c r="W264" s="136"/>
      <c r="X264" s="136"/>
      <c r="Y264" s="136"/>
      <c r="Z264" s="136"/>
      <c r="AA264" s="136"/>
    </row>
    <row r="265" spans="1:27" ht="12.7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36"/>
      <c r="T265" s="136"/>
      <c r="U265" s="136"/>
      <c r="V265" s="136"/>
      <c r="W265" s="136"/>
      <c r="X265" s="136"/>
      <c r="Y265" s="136"/>
      <c r="Z265" s="136"/>
      <c r="AA265" s="136"/>
    </row>
    <row r="266" spans="1:27" ht="12.75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36"/>
      <c r="T266" s="136"/>
      <c r="U266" s="136"/>
      <c r="V266" s="136"/>
      <c r="W266" s="136"/>
      <c r="X266" s="136"/>
      <c r="Y266" s="136"/>
      <c r="Z266" s="136"/>
      <c r="AA266" s="136"/>
    </row>
    <row r="267" spans="1:27" ht="12.75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36"/>
      <c r="T267" s="136"/>
      <c r="U267" s="136"/>
      <c r="V267" s="136"/>
      <c r="W267" s="136"/>
      <c r="X267" s="136"/>
      <c r="Y267" s="136"/>
      <c r="Z267" s="136"/>
      <c r="AA267" s="136"/>
    </row>
    <row r="268" spans="1:27" ht="12.75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36"/>
      <c r="T268" s="136"/>
      <c r="U268" s="136"/>
      <c r="V268" s="136"/>
      <c r="W268" s="136"/>
      <c r="X268" s="136"/>
      <c r="Y268" s="136"/>
      <c r="Z268" s="136"/>
      <c r="AA268" s="136"/>
    </row>
    <row r="269" spans="1:27" ht="12.75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36"/>
      <c r="T269" s="136"/>
      <c r="U269" s="136"/>
      <c r="V269" s="136"/>
      <c r="W269" s="136"/>
      <c r="X269" s="136"/>
      <c r="Y269" s="136"/>
      <c r="Z269" s="136"/>
      <c r="AA269" s="136"/>
    </row>
    <row r="270" spans="1:27" ht="12.75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36"/>
      <c r="T270" s="136"/>
      <c r="U270" s="136"/>
      <c r="V270" s="136"/>
      <c r="W270" s="136"/>
      <c r="X270" s="136"/>
      <c r="Y270" s="136"/>
      <c r="Z270" s="136"/>
      <c r="AA270" s="136"/>
    </row>
    <row r="271" spans="1:27" ht="12.75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36"/>
      <c r="T271" s="136"/>
      <c r="U271" s="136"/>
      <c r="V271" s="136"/>
      <c r="W271" s="136"/>
      <c r="X271" s="136"/>
      <c r="Y271" s="136"/>
      <c r="Z271" s="136"/>
      <c r="AA271" s="136"/>
    </row>
    <row r="272" spans="1:27" ht="12.75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36"/>
      <c r="T272" s="136"/>
      <c r="U272" s="136"/>
      <c r="V272" s="136"/>
      <c r="W272" s="136"/>
      <c r="X272" s="136"/>
      <c r="Y272" s="136"/>
      <c r="Z272" s="136"/>
      <c r="AA272" s="136"/>
    </row>
    <row r="273" spans="1:27" ht="12.75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36"/>
      <c r="T273" s="136"/>
      <c r="U273" s="136"/>
      <c r="V273" s="136"/>
      <c r="W273" s="136"/>
      <c r="X273" s="136"/>
      <c r="Y273" s="136"/>
      <c r="Z273" s="136"/>
      <c r="AA273" s="136"/>
    </row>
    <row r="274" spans="1:27" ht="12.75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36"/>
      <c r="T274" s="136"/>
      <c r="U274" s="136"/>
      <c r="V274" s="136"/>
      <c r="W274" s="136"/>
      <c r="X274" s="136"/>
      <c r="Y274" s="136"/>
      <c r="Z274" s="136"/>
      <c r="AA274" s="136"/>
    </row>
    <row r="275" spans="1:27" ht="12.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36"/>
      <c r="T275" s="136"/>
      <c r="U275" s="136"/>
      <c r="V275" s="136"/>
      <c r="W275" s="136"/>
      <c r="X275" s="136"/>
      <c r="Y275" s="136"/>
      <c r="Z275" s="136"/>
      <c r="AA275" s="136"/>
    </row>
    <row r="276" spans="1:27" ht="12.75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36"/>
      <c r="T276" s="136"/>
      <c r="U276" s="136"/>
      <c r="V276" s="136"/>
      <c r="W276" s="136"/>
      <c r="X276" s="136"/>
      <c r="Y276" s="136"/>
      <c r="Z276" s="136"/>
      <c r="AA276" s="136"/>
    </row>
    <row r="277" spans="1:27" ht="12.75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36"/>
      <c r="T277" s="136"/>
      <c r="U277" s="136"/>
      <c r="V277" s="136"/>
      <c r="W277" s="136"/>
      <c r="X277" s="136"/>
      <c r="Y277" s="136"/>
      <c r="Z277" s="136"/>
      <c r="AA277" s="136"/>
    </row>
    <row r="278" spans="1:27" ht="12.75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36"/>
      <c r="T278" s="136"/>
      <c r="U278" s="136"/>
      <c r="V278" s="136"/>
      <c r="W278" s="136"/>
      <c r="X278" s="136"/>
      <c r="Y278" s="136"/>
      <c r="Z278" s="136"/>
      <c r="AA278" s="136"/>
    </row>
    <row r="279" spans="1:27" ht="12.75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36"/>
      <c r="T279" s="136"/>
      <c r="U279" s="136"/>
      <c r="V279" s="136"/>
      <c r="W279" s="136"/>
      <c r="X279" s="136"/>
      <c r="Y279" s="136"/>
      <c r="Z279" s="136"/>
      <c r="AA279" s="136"/>
    </row>
    <row r="280" spans="1:27" ht="12.75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36"/>
      <c r="T280" s="136"/>
      <c r="U280" s="136"/>
      <c r="V280" s="136"/>
      <c r="W280" s="136"/>
      <c r="X280" s="136"/>
      <c r="Y280" s="136"/>
      <c r="Z280" s="136"/>
      <c r="AA280" s="136"/>
    </row>
    <row r="281" spans="1:27" ht="12.75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36"/>
      <c r="T281" s="136"/>
      <c r="U281" s="136"/>
      <c r="V281" s="136"/>
      <c r="W281" s="136"/>
      <c r="X281" s="136"/>
      <c r="Y281" s="136"/>
      <c r="Z281" s="136"/>
      <c r="AA281" s="136"/>
    </row>
    <row r="282" spans="1:27" ht="12.75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36"/>
      <c r="T282" s="136"/>
      <c r="U282" s="136"/>
      <c r="V282" s="136"/>
      <c r="W282" s="136"/>
      <c r="X282" s="136"/>
      <c r="Y282" s="136"/>
      <c r="Z282" s="136"/>
      <c r="AA282" s="136"/>
    </row>
    <row r="283" spans="1:27" ht="12.75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36"/>
      <c r="T283" s="136"/>
      <c r="U283" s="136"/>
      <c r="V283" s="136"/>
      <c r="W283" s="136"/>
      <c r="X283" s="136"/>
      <c r="Y283" s="136"/>
      <c r="Z283" s="136"/>
      <c r="AA283" s="136"/>
    </row>
    <row r="284" spans="1:27" ht="12.75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36"/>
      <c r="T284" s="136"/>
      <c r="U284" s="136"/>
      <c r="V284" s="136"/>
      <c r="W284" s="136"/>
      <c r="X284" s="136"/>
      <c r="Y284" s="136"/>
      <c r="Z284" s="136"/>
      <c r="AA284" s="136"/>
    </row>
    <row r="285" spans="1:27" ht="12.7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36"/>
      <c r="T285" s="136"/>
      <c r="U285" s="136"/>
      <c r="V285" s="136"/>
      <c r="W285" s="136"/>
      <c r="X285" s="136"/>
      <c r="Y285" s="136"/>
      <c r="Z285" s="136"/>
      <c r="AA285" s="136"/>
    </row>
    <row r="286" spans="1:27" ht="12.75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36"/>
      <c r="T286" s="136"/>
      <c r="U286" s="136"/>
      <c r="V286" s="136"/>
      <c r="W286" s="136"/>
      <c r="X286" s="136"/>
      <c r="Y286" s="136"/>
      <c r="Z286" s="136"/>
      <c r="AA286" s="136"/>
    </row>
    <row r="287" spans="1:27" ht="12.75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36"/>
      <c r="T287" s="136"/>
      <c r="U287" s="136"/>
      <c r="V287" s="136"/>
      <c r="W287" s="136"/>
      <c r="X287" s="136"/>
      <c r="Y287" s="136"/>
      <c r="Z287" s="136"/>
      <c r="AA287" s="136"/>
    </row>
    <row r="288" spans="1:27" ht="12.75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36"/>
      <c r="T288" s="136"/>
      <c r="U288" s="136"/>
      <c r="V288" s="136"/>
      <c r="W288" s="136"/>
      <c r="X288" s="136"/>
      <c r="Y288" s="136"/>
      <c r="Z288" s="136"/>
      <c r="AA288" s="136"/>
    </row>
    <row r="289" spans="1:27" ht="12.75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36"/>
      <c r="T289" s="136"/>
      <c r="U289" s="136"/>
      <c r="V289" s="136"/>
      <c r="W289" s="136"/>
      <c r="X289" s="136"/>
      <c r="Y289" s="136"/>
      <c r="Z289" s="136"/>
      <c r="AA289" s="136"/>
    </row>
    <row r="290" spans="1:27" ht="12.75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36"/>
      <c r="T290" s="136"/>
      <c r="U290" s="136"/>
      <c r="V290" s="136"/>
      <c r="W290" s="136"/>
      <c r="X290" s="136"/>
      <c r="Y290" s="136"/>
      <c r="Z290" s="136"/>
      <c r="AA290" s="136"/>
    </row>
    <row r="291" spans="1:27" ht="12.75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36"/>
      <c r="T291" s="136"/>
      <c r="U291" s="136"/>
      <c r="V291" s="136"/>
      <c r="W291" s="136"/>
      <c r="X291" s="136"/>
      <c r="Y291" s="136"/>
      <c r="Z291" s="136"/>
      <c r="AA291" s="136"/>
    </row>
    <row r="292" spans="1:27" ht="12.75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36"/>
      <c r="T292" s="136"/>
      <c r="U292" s="136"/>
      <c r="V292" s="136"/>
      <c r="W292" s="136"/>
      <c r="X292" s="136"/>
      <c r="Y292" s="136"/>
      <c r="Z292" s="136"/>
      <c r="AA292" s="136"/>
    </row>
    <row r="293" spans="1:27" ht="12.75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36"/>
      <c r="T293" s="136"/>
      <c r="U293" s="136"/>
      <c r="V293" s="136"/>
      <c r="W293" s="136"/>
      <c r="X293" s="136"/>
      <c r="Y293" s="136"/>
      <c r="Z293" s="136"/>
      <c r="AA293" s="136"/>
    </row>
    <row r="294" spans="1:27" ht="12.75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36"/>
      <c r="T294" s="136"/>
      <c r="U294" s="136"/>
      <c r="V294" s="136"/>
      <c r="W294" s="136"/>
      <c r="X294" s="136"/>
      <c r="Y294" s="136"/>
      <c r="Z294" s="136"/>
      <c r="AA294" s="136"/>
    </row>
    <row r="295" spans="1:27" ht="12.7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36"/>
      <c r="T295" s="136"/>
      <c r="U295" s="136"/>
      <c r="V295" s="136"/>
      <c r="W295" s="136"/>
      <c r="X295" s="136"/>
      <c r="Y295" s="136"/>
      <c r="Z295" s="136"/>
      <c r="AA295" s="136"/>
    </row>
    <row r="296" spans="1:27" ht="12.75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36"/>
      <c r="T296" s="136"/>
      <c r="U296" s="136"/>
      <c r="V296" s="136"/>
      <c r="W296" s="136"/>
      <c r="X296" s="136"/>
      <c r="Y296" s="136"/>
      <c r="Z296" s="136"/>
      <c r="AA296" s="136"/>
    </row>
    <row r="297" spans="1:27" ht="12.75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36"/>
      <c r="T297" s="136"/>
      <c r="U297" s="136"/>
      <c r="V297" s="136"/>
      <c r="W297" s="136"/>
      <c r="X297" s="136"/>
      <c r="Y297" s="136"/>
      <c r="Z297" s="136"/>
      <c r="AA297" s="136"/>
    </row>
    <row r="298" spans="1:27" ht="12.75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36"/>
      <c r="T298" s="136"/>
      <c r="U298" s="136"/>
      <c r="V298" s="136"/>
      <c r="W298" s="136"/>
      <c r="X298" s="136"/>
      <c r="Y298" s="136"/>
      <c r="Z298" s="136"/>
      <c r="AA298" s="136"/>
    </row>
    <row r="299" spans="1:27" ht="12.75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36"/>
      <c r="T299" s="136"/>
      <c r="U299" s="136"/>
      <c r="V299" s="136"/>
      <c r="W299" s="136"/>
      <c r="X299" s="136"/>
      <c r="Y299" s="136"/>
      <c r="Z299" s="136"/>
      <c r="AA299" s="136"/>
    </row>
    <row r="300" spans="1:27" ht="12.75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36"/>
      <c r="T300" s="136"/>
      <c r="U300" s="136"/>
      <c r="V300" s="136"/>
      <c r="W300" s="136"/>
      <c r="X300" s="136"/>
      <c r="Y300" s="136"/>
      <c r="Z300" s="136"/>
      <c r="AA300" s="136"/>
    </row>
    <row r="301" spans="1:27" ht="12.75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36"/>
      <c r="T301" s="136"/>
      <c r="U301" s="136"/>
      <c r="V301" s="136"/>
      <c r="W301" s="136"/>
      <c r="X301" s="136"/>
      <c r="Y301" s="136"/>
      <c r="Z301" s="136"/>
      <c r="AA301" s="136"/>
    </row>
    <row r="302" spans="1:27" ht="12.75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36"/>
      <c r="T302" s="136"/>
      <c r="U302" s="136"/>
      <c r="V302" s="136"/>
      <c r="W302" s="136"/>
      <c r="X302" s="136"/>
      <c r="Y302" s="136"/>
      <c r="Z302" s="136"/>
      <c r="AA302" s="136"/>
    </row>
    <row r="303" spans="1:27" ht="12.75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36"/>
      <c r="T303" s="136"/>
      <c r="U303" s="136"/>
      <c r="V303" s="136"/>
      <c r="W303" s="136"/>
      <c r="X303" s="136"/>
      <c r="Y303" s="136"/>
      <c r="Z303" s="136"/>
      <c r="AA303" s="136"/>
    </row>
    <row r="304" spans="1:27" ht="12.75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36"/>
      <c r="T304" s="136"/>
      <c r="U304" s="136"/>
      <c r="V304" s="136"/>
      <c r="W304" s="136"/>
      <c r="X304" s="136"/>
      <c r="Y304" s="136"/>
      <c r="Z304" s="136"/>
      <c r="AA304" s="136"/>
    </row>
    <row r="305" spans="1:27" ht="12.7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36"/>
      <c r="T305" s="136"/>
      <c r="U305" s="136"/>
      <c r="V305" s="136"/>
      <c r="W305" s="136"/>
      <c r="X305" s="136"/>
      <c r="Y305" s="136"/>
      <c r="Z305" s="136"/>
      <c r="AA305" s="136"/>
    </row>
    <row r="306" spans="1:27" ht="12.75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36"/>
      <c r="T306" s="136"/>
      <c r="U306" s="136"/>
      <c r="V306" s="136"/>
      <c r="W306" s="136"/>
      <c r="X306" s="136"/>
      <c r="Y306" s="136"/>
      <c r="Z306" s="136"/>
      <c r="AA306" s="136"/>
    </row>
    <row r="307" spans="1:27" ht="12.75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36"/>
      <c r="T307" s="136"/>
      <c r="U307" s="136"/>
      <c r="V307" s="136"/>
      <c r="W307" s="136"/>
      <c r="X307" s="136"/>
      <c r="Y307" s="136"/>
      <c r="Z307" s="136"/>
      <c r="AA307" s="136"/>
    </row>
    <row r="308" spans="1:27" ht="12.75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36"/>
      <c r="T308" s="136"/>
      <c r="U308" s="136"/>
      <c r="V308" s="136"/>
      <c r="W308" s="136"/>
      <c r="X308" s="136"/>
      <c r="Y308" s="136"/>
      <c r="Z308" s="136"/>
      <c r="AA308" s="136"/>
    </row>
    <row r="309" spans="1:27" ht="12.75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36"/>
      <c r="T309" s="136"/>
      <c r="U309" s="136"/>
      <c r="V309" s="136"/>
      <c r="W309" s="136"/>
      <c r="X309" s="136"/>
      <c r="Y309" s="136"/>
      <c r="Z309" s="136"/>
      <c r="AA309" s="136"/>
    </row>
    <row r="310" spans="1:27" ht="12.75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36"/>
      <c r="T310" s="136"/>
      <c r="U310" s="136"/>
      <c r="V310" s="136"/>
      <c r="W310" s="136"/>
      <c r="X310" s="136"/>
      <c r="Y310" s="136"/>
      <c r="Z310" s="136"/>
      <c r="AA310" s="136"/>
    </row>
    <row r="311" spans="1:27" ht="12.75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36"/>
      <c r="T311" s="136"/>
      <c r="U311" s="136"/>
      <c r="V311" s="136"/>
      <c r="W311" s="136"/>
      <c r="X311" s="136"/>
      <c r="Y311" s="136"/>
      <c r="Z311" s="136"/>
      <c r="AA311" s="136"/>
    </row>
    <row r="312" spans="1:27" ht="12.75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36"/>
      <c r="T312" s="136"/>
      <c r="U312" s="136"/>
      <c r="V312" s="136"/>
      <c r="W312" s="136"/>
      <c r="X312" s="136"/>
      <c r="Y312" s="136"/>
      <c r="Z312" s="136"/>
      <c r="AA312" s="136"/>
    </row>
    <row r="313" spans="1:27" ht="12.75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36"/>
      <c r="T313" s="136"/>
      <c r="U313" s="136"/>
      <c r="V313" s="136"/>
      <c r="W313" s="136"/>
      <c r="X313" s="136"/>
      <c r="Y313" s="136"/>
      <c r="Z313" s="136"/>
      <c r="AA313" s="136"/>
    </row>
    <row r="314" spans="1:27" ht="12.75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36"/>
      <c r="T314" s="136"/>
      <c r="U314" s="136"/>
      <c r="V314" s="136"/>
      <c r="W314" s="136"/>
      <c r="X314" s="136"/>
      <c r="Y314" s="136"/>
      <c r="Z314" s="136"/>
      <c r="AA314" s="136"/>
    </row>
    <row r="315" spans="1:27" ht="12.7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36"/>
      <c r="T315" s="136"/>
      <c r="U315" s="136"/>
      <c r="V315" s="136"/>
      <c r="W315" s="136"/>
      <c r="X315" s="136"/>
      <c r="Y315" s="136"/>
      <c r="Z315" s="136"/>
      <c r="AA315" s="136"/>
    </row>
    <row r="316" spans="1:27" ht="12.75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36"/>
      <c r="T316" s="136"/>
      <c r="U316" s="136"/>
      <c r="V316" s="136"/>
      <c r="W316" s="136"/>
      <c r="X316" s="136"/>
      <c r="Y316" s="136"/>
      <c r="Z316" s="136"/>
      <c r="AA316" s="136"/>
    </row>
    <row r="317" spans="1:27" ht="12.75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36"/>
      <c r="T317" s="136"/>
      <c r="U317" s="136"/>
      <c r="V317" s="136"/>
      <c r="W317" s="136"/>
      <c r="X317" s="136"/>
      <c r="Y317" s="136"/>
      <c r="Z317" s="136"/>
      <c r="AA317" s="136"/>
    </row>
    <row r="318" spans="1:27" ht="12.75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36"/>
      <c r="T318" s="136"/>
      <c r="U318" s="136"/>
      <c r="V318" s="136"/>
      <c r="W318" s="136"/>
      <c r="X318" s="136"/>
      <c r="Y318" s="136"/>
      <c r="Z318" s="136"/>
      <c r="AA318" s="136"/>
    </row>
    <row r="319" spans="1:27" ht="12.75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36"/>
      <c r="T319" s="136"/>
      <c r="U319" s="136"/>
      <c r="V319" s="136"/>
      <c r="W319" s="136"/>
      <c r="X319" s="136"/>
      <c r="Y319" s="136"/>
      <c r="Z319" s="136"/>
      <c r="AA319" s="136"/>
    </row>
    <row r="320" spans="1:27" ht="12.75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36"/>
      <c r="T320" s="136"/>
      <c r="U320" s="136"/>
      <c r="V320" s="136"/>
      <c r="W320" s="136"/>
      <c r="X320" s="136"/>
      <c r="Y320" s="136"/>
      <c r="Z320" s="136"/>
      <c r="AA320" s="136"/>
    </row>
    <row r="321" spans="1:27" ht="12.75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36"/>
      <c r="T321" s="136"/>
      <c r="U321" s="136"/>
      <c r="V321" s="136"/>
      <c r="W321" s="136"/>
      <c r="X321" s="136"/>
      <c r="Y321" s="136"/>
      <c r="Z321" s="136"/>
      <c r="AA321" s="136"/>
    </row>
    <row r="322" spans="1:27" ht="12.75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36"/>
      <c r="T322" s="136"/>
      <c r="U322" s="136"/>
      <c r="V322" s="136"/>
      <c r="W322" s="136"/>
      <c r="X322" s="136"/>
      <c r="Y322" s="136"/>
      <c r="Z322" s="136"/>
      <c r="AA322" s="136"/>
    </row>
    <row r="323" spans="1:27" ht="12.75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36"/>
      <c r="T323" s="136"/>
      <c r="U323" s="136"/>
      <c r="V323" s="136"/>
      <c r="W323" s="136"/>
      <c r="X323" s="136"/>
      <c r="Y323" s="136"/>
      <c r="Z323" s="136"/>
      <c r="AA323" s="136"/>
    </row>
    <row r="324" spans="1:27" ht="12.75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36"/>
      <c r="T324" s="136"/>
      <c r="U324" s="136"/>
      <c r="V324" s="136"/>
      <c r="W324" s="136"/>
      <c r="X324" s="136"/>
      <c r="Y324" s="136"/>
      <c r="Z324" s="136"/>
      <c r="AA324" s="136"/>
    </row>
    <row r="325" spans="1:27" ht="12.7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36"/>
      <c r="T325" s="136"/>
      <c r="U325" s="136"/>
      <c r="V325" s="136"/>
      <c r="W325" s="136"/>
      <c r="X325" s="136"/>
      <c r="Y325" s="136"/>
      <c r="Z325" s="136"/>
      <c r="AA325" s="136"/>
    </row>
    <row r="326" spans="1:27" ht="12.75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36"/>
      <c r="T326" s="136"/>
      <c r="U326" s="136"/>
      <c r="V326" s="136"/>
      <c r="W326" s="136"/>
      <c r="X326" s="136"/>
      <c r="Y326" s="136"/>
      <c r="Z326" s="136"/>
      <c r="AA326" s="136"/>
    </row>
    <row r="327" spans="1:27" ht="12.75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36"/>
      <c r="T327" s="136"/>
      <c r="U327" s="136"/>
      <c r="V327" s="136"/>
      <c r="W327" s="136"/>
      <c r="X327" s="136"/>
      <c r="Y327" s="136"/>
      <c r="Z327" s="136"/>
      <c r="AA327" s="136"/>
    </row>
    <row r="328" spans="1:27" ht="12.75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36"/>
      <c r="T328" s="136"/>
      <c r="U328" s="136"/>
      <c r="V328" s="136"/>
      <c r="W328" s="136"/>
      <c r="X328" s="136"/>
      <c r="Y328" s="136"/>
      <c r="Z328" s="136"/>
      <c r="AA328" s="136"/>
    </row>
    <row r="329" spans="1:27" ht="12.75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36"/>
      <c r="T329" s="136"/>
      <c r="U329" s="136"/>
      <c r="V329" s="136"/>
      <c r="W329" s="136"/>
      <c r="X329" s="136"/>
      <c r="Y329" s="136"/>
      <c r="Z329" s="136"/>
      <c r="AA329" s="136"/>
    </row>
    <row r="330" spans="1:27" ht="12.75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36"/>
      <c r="T330" s="136"/>
      <c r="U330" s="136"/>
      <c r="V330" s="136"/>
      <c r="W330" s="136"/>
      <c r="X330" s="136"/>
      <c r="Y330" s="136"/>
      <c r="Z330" s="136"/>
      <c r="AA330" s="136"/>
    </row>
    <row r="331" spans="1:27" ht="12.75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36"/>
      <c r="T331" s="136"/>
      <c r="U331" s="136"/>
      <c r="V331" s="136"/>
      <c r="W331" s="136"/>
      <c r="X331" s="136"/>
      <c r="Y331" s="136"/>
      <c r="Z331" s="136"/>
      <c r="AA331" s="136"/>
    </row>
    <row r="332" spans="1:27" ht="12.75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36"/>
      <c r="T332" s="136"/>
      <c r="U332" s="136"/>
      <c r="V332" s="136"/>
      <c r="W332" s="136"/>
      <c r="X332" s="136"/>
      <c r="Y332" s="136"/>
      <c r="Z332" s="136"/>
      <c r="AA332" s="136"/>
    </row>
    <row r="333" spans="1:27" ht="12.75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36"/>
      <c r="T333" s="136"/>
      <c r="U333" s="136"/>
      <c r="V333" s="136"/>
      <c r="W333" s="136"/>
      <c r="X333" s="136"/>
      <c r="Y333" s="136"/>
      <c r="Z333" s="136"/>
      <c r="AA333" s="136"/>
    </row>
    <row r="334" spans="1:27" ht="12.75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36"/>
      <c r="T334" s="136"/>
      <c r="U334" s="136"/>
      <c r="V334" s="136"/>
      <c r="W334" s="136"/>
      <c r="X334" s="136"/>
      <c r="Y334" s="136"/>
      <c r="Z334" s="136"/>
      <c r="AA334" s="136"/>
    </row>
    <row r="335" spans="1:27" ht="12.7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36"/>
      <c r="T335" s="136"/>
      <c r="U335" s="136"/>
      <c r="V335" s="136"/>
      <c r="W335" s="136"/>
      <c r="X335" s="136"/>
      <c r="Y335" s="136"/>
      <c r="Z335" s="136"/>
      <c r="AA335" s="136"/>
    </row>
    <row r="336" spans="1:27" ht="12.75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36"/>
      <c r="T336" s="136"/>
      <c r="U336" s="136"/>
      <c r="V336" s="136"/>
      <c r="W336" s="136"/>
      <c r="X336" s="136"/>
      <c r="Y336" s="136"/>
      <c r="Z336" s="136"/>
      <c r="AA336" s="136"/>
    </row>
    <row r="337" spans="1:27" ht="12.75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36"/>
      <c r="T337" s="136"/>
      <c r="U337" s="136"/>
      <c r="V337" s="136"/>
      <c r="W337" s="136"/>
      <c r="X337" s="136"/>
      <c r="Y337" s="136"/>
      <c r="Z337" s="136"/>
      <c r="AA337" s="136"/>
    </row>
    <row r="338" spans="1:27" ht="12.75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36"/>
      <c r="T338" s="136"/>
      <c r="U338" s="136"/>
      <c r="V338" s="136"/>
      <c r="W338" s="136"/>
      <c r="X338" s="136"/>
      <c r="Y338" s="136"/>
      <c r="Z338" s="136"/>
      <c r="AA338" s="136"/>
    </row>
    <row r="339" spans="1:27" ht="12.75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36"/>
      <c r="T339" s="136"/>
      <c r="U339" s="136"/>
      <c r="V339" s="136"/>
      <c r="W339" s="136"/>
      <c r="X339" s="136"/>
      <c r="Y339" s="136"/>
      <c r="Z339" s="136"/>
      <c r="AA339" s="136"/>
    </row>
    <row r="340" spans="1:27" ht="12.75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36"/>
      <c r="T340" s="136"/>
      <c r="U340" s="136"/>
      <c r="V340" s="136"/>
      <c r="W340" s="136"/>
      <c r="X340" s="136"/>
      <c r="Y340" s="136"/>
      <c r="Z340" s="136"/>
      <c r="AA340" s="136"/>
    </row>
    <row r="341" spans="1:27" ht="12.75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36"/>
      <c r="T341" s="136"/>
      <c r="U341" s="136"/>
      <c r="V341" s="136"/>
      <c r="W341" s="136"/>
      <c r="X341" s="136"/>
      <c r="Y341" s="136"/>
      <c r="Z341" s="136"/>
      <c r="AA341" s="136"/>
    </row>
    <row r="342" spans="1:27" ht="12.75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36"/>
      <c r="T342" s="136"/>
      <c r="U342" s="136"/>
      <c r="V342" s="136"/>
      <c r="W342" s="136"/>
      <c r="X342" s="136"/>
      <c r="Y342" s="136"/>
      <c r="Z342" s="136"/>
      <c r="AA342" s="136"/>
    </row>
    <row r="343" spans="1:27" ht="12.75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36"/>
      <c r="T343" s="136"/>
      <c r="U343" s="136"/>
      <c r="V343" s="136"/>
      <c r="W343" s="136"/>
      <c r="X343" s="136"/>
      <c r="Y343" s="136"/>
      <c r="Z343" s="136"/>
      <c r="AA343" s="136"/>
    </row>
    <row r="344" spans="1:27" ht="12.75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36"/>
      <c r="T344" s="136"/>
      <c r="U344" s="136"/>
      <c r="V344" s="136"/>
      <c r="W344" s="136"/>
      <c r="X344" s="136"/>
      <c r="Y344" s="136"/>
      <c r="Z344" s="136"/>
      <c r="AA344" s="136"/>
    </row>
    <row r="345" spans="1:27" ht="12.7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36"/>
      <c r="T345" s="136"/>
      <c r="U345" s="136"/>
      <c r="V345" s="136"/>
      <c r="W345" s="136"/>
      <c r="X345" s="136"/>
      <c r="Y345" s="136"/>
      <c r="Z345" s="136"/>
      <c r="AA345" s="136"/>
    </row>
    <row r="346" spans="1:27" ht="12.75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36"/>
      <c r="T346" s="136"/>
      <c r="U346" s="136"/>
      <c r="V346" s="136"/>
      <c r="W346" s="136"/>
      <c r="X346" s="136"/>
      <c r="Y346" s="136"/>
      <c r="Z346" s="136"/>
      <c r="AA346" s="136"/>
    </row>
    <row r="347" spans="1:27" ht="12.75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36"/>
      <c r="T347" s="136"/>
      <c r="U347" s="136"/>
      <c r="V347" s="136"/>
      <c r="W347" s="136"/>
      <c r="X347" s="136"/>
      <c r="Y347" s="136"/>
      <c r="Z347" s="136"/>
      <c r="AA347" s="136"/>
    </row>
    <row r="348" spans="1:27" ht="12.75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36"/>
      <c r="T348" s="136"/>
      <c r="U348" s="136"/>
      <c r="V348" s="136"/>
      <c r="W348" s="136"/>
      <c r="X348" s="136"/>
      <c r="Y348" s="136"/>
      <c r="Z348" s="136"/>
      <c r="AA348" s="136"/>
    </row>
    <row r="349" spans="1:27" ht="12.75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36"/>
      <c r="T349" s="136"/>
      <c r="U349" s="136"/>
      <c r="V349" s="136"/>
      <c r="W349" s="136"/>
      <c r="X349" s="136"/>
      <c r="Y349" s="136"/>
      <c r="Z349" s="136"/>
      <c r="AA349" s="136"/>
    </row>
    <row r="350" spans="1:27" ht="12.75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36"/>
      <c r="T350" s="136"/>
      <c r="U350" s="136"/>
      <c r="V350" s="136"/>
      <c r="W350" s="136"/>
      <c r="X350" s="136"/>
      <c r="Y350" s="136"/>
      <c r="Z350" s="136"/>
      <c r="AA350" s="136"/>
    </row>
    <row r="351" spans="1:27" ht="12.75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36"/>
      <c r="T351" s="136"/>
      <c r="U351" s="136"/>
      <c r="V351" s="136"/>
      <c r="W351" s="136"/>
      <c r="X351" s="136"/>
      <c r="Y351" s="136"/>
      <c r="Z351" s="136"/>
      <c r="AA351" s="136"/>
    </row>
    <row r="352" spans="1:27" ht="12.75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36"/>
      <c r="T352" s="136"/>
      <c r="U352" s="136"/>
      <c r="V352" s="136"/>
      <c r="W352" s="136"/>
      <c r="X352" s="136"/>
      <c r="Y352" s="136"/>
      <c r="Z352" s="136"/>
      <c r="AA352" s="136"/>
    </row>
    <row r="353" spans="1:27" ht="12.75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36"/>
      <c r="T353" s="136"/>
      <c r="U353" s="136"/>
      <c r="V353" s="136"/>
      <c r="W353" s="136"/>
      <c r="X353" s="136"/>
      <c r="Y353" s="136"/>
      <c r="Z353" s="136"/>
      <c r="AA353" s="136"/>
    </row>
    <row r="354" spans="1:27" ht="12.75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36"/>
      <c r="T354" s="136"/>
      <c r="U354" s="136"/>
      <c r="V354" s="136"/>
      <c r="W354" s="136"/>
      <c r="X354" s="136"/>
      <c r="Y354" s="136"/>
      <c r="Z354" s="136"/>
      <c r="AA354" s="136"/>
    </row>
    <row r="355" spans="1:27" ht="12.7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36"/>
      <c r="T355" s="136"/>
      <c r="U355" s="136"/>
      <c r="V355" s="136"/>
      <c r="W355" s="136"/>
      <c r="X355" s="136"/>
      <c r="Y355" s="136"/>
      <c r="Z355" s="136"/>
      <c r="AA355" s="136"/>
    </row>
    <row r="356" spans="1:27" ht="12.75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36"/>
      <c r="T356" s="136"/>
      <c r="U356" s="136"/>
      <c r="V356" s="136"/>
      <c r="W356" s="136"/>
      <c r="X356" s="136"/>
      <c r="Y356" s="136"/>
      <c r="Z356" s="136"/>
      <c r="AA356" s="136"/>
    </row>
    <row r="357" spans="1:27" ht="12.75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36"/>
      <c r="T357" s="136"/>
      <c r="U357" s="136"/>
      <c r="V357" s="136"/>
      <c r="W357" s="136"/>
      <c r="X357" s="136"/>
      <c r="Y357" s="136"/>
      <c r="Z357" s="136"/>
      <c r="AA357" s="136"/>
    </row>
    <row r="358" spans="1:27" ht="12.75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36"/>
      <c r="T358" s="136"/>
      <c r="U358" s="136"/>
      <c r="V358" s="136"/>
      <c r="W358" s="136"/>
      <c r="X358" s="136"/>
      <c r="Y358" s="136"/>
      <c r="Z358" s="136"/>
      <c r="AA358" s="136"/>
    </row>
    <row r="359" spans="1:27" ht="12.75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36"/>
      <c r="T359" s="136"/>
      <c r="U359" s="136"/>
      <c r="V359" s="136"/>
      <c r="W359" s="136"/>
      <c r="X359" s="136"/>
      <c r="Y359" s="136"/>
      <c r="Z359" s="136"/>
      <c r="AA359" s="136"/>
    </row>
    <row r="360" spans="1:27" ht="12.75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36"/>
      <c r="T360" s="136"/>
      <c r="U360" s="136"/>
      <c r="V360" s="136"/>
      <c r="W360" s="136"/>
      <c r="X360" s="136"/>
      <c r="Y360" s="136"/>
      <c r="Z360" s="136"/>
      <c r="AA360" s="136"/>
    </row>
    <row r="361" spans="1:27" ht="12.75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36"/>
      <c r="T361" s="136"/>
      <c r="U361" s="136"/>
      <c r="V361" s="136"/>
      <c r="W361" s="136"/>
      <c r="X361" s="136"/>
      <c r="Y361" s="136"/>
      <c r="Z361" s="136"/>
      <c r="AA361" s="136"/>
    </row>
    <row r="362" spans="1:27" ht="12.75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36"/>
      <c r="T362" s="136"/>
      <c r="U362" s="136"/>
      <c r="V362" s="136"/>
      <c r="W362" s="136"/>
      <c r="X362" s="136"/>
      <c r="Y362" s="136"/>
      <c r="Z362" s="136"/>
      <c r="AA362" s="136"/>
    </row>
    <row r="363" spans="1:27" ht="12.75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36"/>
      <c r="T363" s="136"/>
      <c r="U363" s="136"/>
      <c r="V363" s="136"/>
      <c r="W363" s="136"/>
      <c r="X363" s="136"/>
      <c r="Y363" s="136"/>
      <c r="Z363" s="136"/>
      <c r="AA363" s="136"/>
    </row>
    <row r="364" spans="1:27" ht="12.75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36"/>
      <c r="T364" s="136"/>
      <c r="U364" s="136"/>
      <c r="V364" s="136"/>
      <c r="W364" s="136"/>
      <c r="X364" s="136"/>
      <c r="Y364" s="136"/>
      <c r="Z364" s="136"/>
      <c r="AA364" s="136"/>
    </row>
    <row r="365" spans="1:27" ht="12.7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36"/>
      <c r="T365" s="136"/>
      <c r="U365" s="136"/>
      <c r="V365" s="136"/>
      <c r="W365" s="136"/>
      <c r="X365" s="136"/>
      <c r="Y365" s="136"/>
      <c r="Z365" s="136"/>
      <c r="AA365" s="136"/>
    </row>
    <row r="366" spans="1:27" ht="12.75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36"/>
      <c r="T366" s="136"/>
      <c r="U366" s="136"/>
      <c r="V366" s="136"/>
      <c r="W366" s="136"/>
      <c r="X366" s="136"/>
      <c r="Y366" s="136"/>
      <c r="Z366" s="136"/>
      <c r="AA366" s="136"/>
    </row>
    <row r="367" spans="1:27" ht="12.75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36"/>
      <c r="T367" s="136"/>
      <c r="U367" s="136"/>
      <c r="V367" s="136"/>
      <c r="W367" s="136"/>
      <c r="X367" s="136"/>
      <c r="Y367" s="136"/>
      <c r="Z367" s="136"/>
      <c r="AA367" s="136"/>
    </row>
    <row r="368" spans="1:27" ht="12.75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36"/>
      <c r="T368" s="136"/>
      <c r="U368" s="136"/>
      <c r="V368" s="136"/>
      <c r="W368" s="136"/>
      <c r="X368" s="136"/>
      <c r="Y368" s="136"/>
      <c r="Z368" s="136"/>
      <c r="AA368" s="136"/>
    </row>
    <row r="369" spans="1:27" ht="12.75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36"/>
      <c r="T369" s="136"/>
      <c r="U369" s="136"/>
      <c r="V369" s="136"/>
      <c r="W369" s="136"/>
      <c r="X369" s="136"/>
      <c r="Y369" s="136"/>
      <c r="Z369" s="136"/>
      <c r="AA369" s="136"/>
    </row>
    <row r="370" spans="1:27" ht="12.75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36"/>
      <c r="T370" s="136"/>
      <c r="U370" s="136"/>
      <c r="V370" s="136"/>
      <c r="W370" s="136"/>
      <c r="X370" s="136"/>
      <c r="Y370" s="136"/>
      <c r="Z370" s="136"/>
      <c r="AA370" s="136"/>
    </row>
    <row r="371" spans="1:27" ht="12.75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36"/>
      <c r="T371" s="136"/>
      <c r="U371" s="136"/>
      <c r="V371" s="136"/>
      <c r="W371" s="136"/>
      <c r="X371" s="136"/>
      <c r="Y371" s="136"/>
      <c r="Z371" s="136"/>
      <c r="AA371" s="136"/>
    </row>
    <row r="372" spans="1:27" ht="12.75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36"/>
      <c r="T372" s="136"/>
      <c r="U372" s="136"/>
      <c r="V372" s="136"/>
      <c r="W372" s="136"/>
      <c r="X372" s="136"/>
      <c r="Y372" s="136"/>
      <c r="Z372" s="136"/>
      <c r="AA372" s="136"/>
    </row>
    <row r="373" spans="1:27" ht="12.75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36"/>
      <c r="T373" s="136"/>
      <c r="U373" s="136"/>
      <c r="V373" s="136"/>
      <c r="W373" s="136"/>
      <c r="X373" s="136"/>
      <c r="Y373" s="136"/>
      <c r="Z373" s="136"/>
      <c r="AA373" s="136"/>
    </row>
    <row r="374" spans="1:27" ht="12.75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36"/>
      <c r="T374" s="136"/>
      <c r="U374" s="136"/>
      <c r="V374" s="136"/>
      <c r="W374" s="136"/>
      <c r="X374" s="136"/>
      <c r="Y374" s="136"/>
      <c r="Z374" s="136"/>
      <c r="AA374" s="136"/>
    </row>
    <row r="375" spans="1:27" ht="12.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36"/>
      <c r="T375" s="136"/>
      <c r="U375" s="136"/>
      <c r="V375" s="136"/>
      <c r="W375" s="136"/>
      <c r="X375" s="136"/>
      <c r="Y375" s="136"/>
      <c r="Z375" s="136"/>
      <c r="AA375" s="136"/>
    </row>
    <row r="376" spans="1:27" ht="12.75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36"/>
      <c r="T376" s="136"/>
      <c r="U376" s="136"/>
      <c r="V376" s="136"/>
      <c r="W376" s="136"/>
      <c r="X376" s="136"/>
      <c r="Y376" s="136"/>
      <c r="Z376" s="136"/>
      <c r="AA376" s="136"/>
    </row>
    <row r="377" spans="1:27" ht="12.75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36"/>
      <c r="T377" s="136"/>
      <c r="U377" s="136"/>
      <c r="V377" s="136"/>
      <c r="W377" s="136"/>
      <c r="X377" s="136"/>
      <c r="Y377" s="136"/>
      <c r="Z377" s="136"/>
      <c r="AA377" s="136"/>
    </row>
    <row r="378" spans="1:27" ht="12.75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36"/>
      <c r="T378" s="136"/>
      <c r="U378" s="136"/>
      <c r="V378" s="136"/>
      <c r="W378" s="136"/>
      <c r="X378" s="136"/>
      <c r="Y378" s="136"/>
      <c r="Z378" s="136"/>
      <c r="AA378" s="136"/>
    </row>
    <row r="379" spans="1:27" ht="12.75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36"/>
      <c r="T379" s="136"/>
      <c r="U379" s="136"/>
      <c r="V379" s="136"/>
      <c r="W379" s="136"/>
      <c r="X379" s="136"/>
      <c r="Y379" s="136"/>
      <c r="Z379" s="136"/>
      <c r="AA379" s="136"/>
    </row>
    <row r="380" spans="1:27" ht="12.75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36"/>
      <c r="T380" s="136"/>
      <c r="U380" s="136"/>
      <c r="V380" s="136"/>
      <c r="W380" s="136"/>
      <c r="X380" s="136"/>
      <c r="Y380" s="136"/>
      <c r="Z380" s="136"/>
      <c r="AA380" s="136"/>
    </row>
    <row r="381" spans="1:27" ht="12.75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36"/>
      <c r="T381" s="136"/>
      <c r="U381" s="136"/>
      <c r="V381" s="136"/>
      <c r="W381" s="136"/>
      <c r="X381" s="136"/>
      <c r="Y381" s="136"/>
      <c r="Z381" s="136"/>
      <c r="AA381" s="136"/>
    </row>
    <row r="382" spans="1:27" ht="12.75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36"/>
      <c r="T382" s="136"/>
      <c r="U382" s="136"/>
      <c r="V382" s="136"/>
      <c r="W382" s="136"/>
      <c r="X382" s="136"/>
      <c r="Y382" s="136"/>
      <c r="Z382" s="136"/>
      <c r="AA382" s="136"/>
    </row>
    <row r="383" spans="1:27" ht="12.75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36"/>
      <c r="T383" s="136"/>
      <c r="U383" s="136"/>
      <c r="V383" s="136"/>
      <c r="W383" s="136"/>
      <c r="X383" s="136"/>
      <c r="Y383" s="136"/>
      <c r="Z383" s="136"/>
      <c r="AA383" s="136"/>
    </row>
    <row r="384" spans="1:27" ht="12.75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36"/>
      <c r="T384" s="136"/>
      <c r="U384" s="136"/>
      <c r="V384" s="136"/>
      <c r="W384" s="136"/>
      <c r="X384" s="136"/>
      <c r="Y384" s="136"/>
      <c r="Z384" s="136"/>
      <c r="AA384" s="136"/>
    </row>
    <row r="385" spans="1:27" ht="12.7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36"/>
      <c r="T385" s="136"/>
      <c r="U385" s="136"/>
      <c r="V385" s="136"/>
      <c r="W385" s="136"/>
      <c r="X385" s="136"/>
      <c r="Y385" s="136"/>
      <c r="Z385" s="136"/>
      <c r="AA385" s="136"/>
    </row>
    <row r="386" spans="1:27" ht="12.75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36"/>
      <c r="T386" s="136"/>
      <c r="U386" s="136"/>
      <c r="V386" s="136"/>
      <c r="W386" s="136"/>
      <c r="X386" s="136"/>
      <c r="Y386" s="136"/>
      <c r="Z386" s="136"/>
      <c r="AA386" s="136"/>
    </row>
    <row r="387" spans="1:27" ht="12.75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36"/>
      <c r="T387" s="136"/>
      <c r="U387" s="136"/>
      <c r="V387" s="136"/>
      <c r="W387" s="136"/>
      <c r="X387" s="136"/>
      <c r="Y387" s="136"/>
      <c r="Z387" s="136"/>
      <c r="AA387" s="136"/>
    </row>
    <row r="388" spans="1:27" ht="12.75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36"/>
      <c r="T388" s="136"/>
      <c r="U388" s="136"/>
      <c r="V388" s="136"/>
      <c r="W388" s="136"/>
      <c r="X388" s="136"/>
      <c r="Y388" s="136"/>
      <c r="Z388" s="136"/>
      <c r="AA388" s="136"/>
    </row>
    <row r="389" spans="1:27" ht="12.75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36"/>
      <c r="T389" s="136"/>
      <c r="U389" s="136"/>
      <c r="V389" s="136"/>
      <c r="W389" s="136"/>
      <c r="X389" s="136"/>
      <c r="Y389" s="136"/>
      <c r="Z389" s="136"/>
      <c r="AA389" s="136"/>
    </row>
    <row r="390" spans="1:27" ht="12.75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36"/>
      <c r="T390" s="136"/>
      <c r="U390" s="136"/>
      <c r="V390" s="136"/>
      <c r="W390" s="136"/>
      <c r="X390" s="136"/>
      <c r="Y390" s="136"/>
      <c r="Z390" s="136"/>
      <c r="AA390" s="136"/>
    </row>
    <row r="391" spans="1:27" ht="12.75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36"/>
      <c r="T391" s="136"/>
      <c r="U391" s="136"/>
      <c r="V391" s="136"/>
      <c r="W391" s="136"/>
      <c r="X391" s="136"/>
      <c r="Y391" s="136"/>
      <c r="Z391" s="136"/>
      <c r="AA391" s="136"/>
    </row>
    <row r="392" spans="1:27" ht="12.75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36"/>
      <c r="T392" s="136"/>
      <c r="U392" s="136"/>
      <c r="V392" s="136"/>
      <c r="W392" s="136"/>
      <c r="X392" s="136"/>
      <c r="Y392" s="136"/>
      <c r="Z392" s="136"/>
      <c r="AA392" s="136"/>
    </row>
    <row r="393" spans="1:27" ht="12.75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36"/>
      <c r="T393" s="136"/>
      <c r="U393" s="136"/>
      <c r="V393" s="136"/>
      <c r="W393" s="136"/>
      <c r="X393" s="136"/>
      <c r="Y393" s="136"/>
      <c r="Z393" s="136"/>
      <c r="AA393" s="136"/>
    </row>
    <row r="394" spans="1:27" ht="12.75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36"/>
      <c r="T394" s="136"/>
      <c r="U394" s="136"/>
      <c r="V394" s="136"/>
      <c r="W394" s="136"/>
      <c r="X394" s="136"/>
      <c r="Y394" s="136"/>
      <c r="Z394" s="136"/>
      <c r="AA394" s="136"/>
    </row>
    <row r="395" spans="1:27" ht="12.7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36"/>
      <c r="T395" s="136"/>
      <c r="U395" s="136"/>
      <c r="V395" s="136"/>
      <c r="W395" s="136"/>
      <c r="X395" s="136"/>
      <c r="Y395" s="136"/>
      <c r="Z395" s="136"/>
      <c r="AA395" s="136"/>
    </row>
    <row r="396" spans="1:27" ht="12.75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36"/>
      <c r="T396" s="136"/>
      <c r="U396" s="136"/>
      <c r="V396" s="136"/>
      <c r="W396" s="136"/>
      <c r="X396" s="136"/>
      <c r="Y396" s="136"/>
      <c r="Z396" s="136"/>
      <c r="AA396" s="136"/>
    </row>
    <row r="397" spans="1:27" ht="12.75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36"/>
      <c r="T397" s="136"/>
      <c r="U397" s="136"/>
      <c r="V397" s="136"/>
      <c r="W397" s="136"/>
      <c r="X397" s="136"/>
      <c r="Y397" s="136"/>
      <c r="Z397" s="136"/>
      <c r="AA397" s="136"/>
    </row>
    <row r="398" spans="1:27" ht="12.75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36"/>
      <c r="T398" s="136"/>
      <c r="U398" s="136"/>
      <c r="V398" s="136"/>
      <c r="W398" s="136"/>
      <c r="X398" s="136"/>
      <c r="Y398" s="136"/>
      <c r="Z398" s="136"/>
      <c r="AA398" s="136"/>
    </row>
    <row r="399" spans="1:27" ht="12.75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36"/>
      <c r="T399" s="136"/>
      <c r="U399" s="136"/>
      <c r="V399" s="136"/>
      <c r="W399" s="136"/>
      <c r="X399" s="136"/>
      <c r="Y399" s="136"/>
      <c r="Z399" s="136"/>
      <c r="AA399" s="136"/>
    </row>
    <row r="400" spans="1:27" ht="12.75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36"/>
      <c r="T400" s="136"/>
      <c r="U400" s="136"/>
      <c r="V400" s="136"/>
      <c r="W400" s="136"/>
      <c r="X400" s="136"/>
      <c r="Y400" s="136"/>
      <c r="Z400" s="136"/>
      <c r="AA400" s="136"/>
    </row>
    <row r="401" spans="1:27" ht="12.75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36"/>
      <c r="T401" s="136"/>
      <c r="U401" s="136"/>
      <c r="V401" s="136"/>
      <c r="W401" s="136"/>
      <c r="X401" s="136"/>
      <c r="Y401" s="136"/>
      <c r="Z401" s="136"/>
      <c r="AA401" s="136"/>
    </row>
    <row r="402" spans="1:27" ht="12.75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36"/>
      <c r="T402" s="136"/>
      <c r="U402" s="136"/>
      <c r="V402" s="136"/>
      <c r="W402" s="136"/>
      <c r="X402" s="136"/>
      <c r="Y402" s="136"/>
      <c r="Z402" s="136"/>
      <c r="AA402" s="136"/>
    </row>
    <row r="403" spans="1:27" ht="12.75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36"/>
      <c r="T403" s="136"/>
      <c r="U403" s="136"/>
      <c r="V403" s="136"/>
      <c r="W403" s="136"/>
      <c r="X403" s="136"/>
      <c r="Y403" s="136"/>
      <c r="Z403" s="136"/>
      <c r="AA403" s="136"/>
    </row>
    <row r="404" spans="1:27" ht="12.75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36"/>
      <c r="T404" s="136"/>
      <c r="U404" s="136"/>
      <c r="V404" s="136"/>
      <c r="W404" s="136"/>
      <c r="X404" s="136"/>
      <c r="Y404" s="136"/>
      <c r="Z404" s="136"/>
      <c r="AA404" s="136"/>
    </row>
    <row r="405" spans="1:27" ht="12.7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36"/>
      <c r="T405" s="136"/>
      <c r="U405" s="136"/>
      <c r="V405" s="136"/>
      <c r="W405" s="136"/>
      <c r="X405" s="136"/>
      <c r="Y405" s="136"/>
      <c r="Z405" s="136"/>
      <c r="AA405" s="136"/>
    </row>
    <row r="406" spans="1:27" ht="12.75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36"/>
      <c r="T406" s="136"/>
      <c r="U406" s="136"/>
      <c r="V406" s="136"/>
      <c r="W406" s="136"/>
      <c r="X406" s="136"/>
      <c r="Y406" s="136"/>
      <c r="Z406" s="136"/>
      <c r="AA406" s="136"/>
    </row>
    <row r="407" spans="1:27" ht="12.75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36"/>
      <c r="T407" s="136"/>
      <c r="U407" s="136"/>
      <c r="V407" s="136"/>
      <c r="W407" s="136"/>
      <c r="X407" s="136"/>
      <c r="Y407" s="136"/>
      <c r="Z407" s="136"/>
      <c r="AA407" s="136"/>
    </row>
    <row r="408" spans="1:27" ht="12.75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36"/>
      <c r="T408" s="136"/>
      <c r="U408" s="136"/>
      <c r="V408" s="136"/>
      <c r="W408" s="136"/>
      <c r="X408" s="136"/>
      <c r="Y408" s="136"/>
      <c r="Z408" s="136"/>
      <c r="AA408" s="136"/>
    </row>
    <row r="409" spans="1:27" ht="12.75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36"/>
      <c r="T409" s="136"/>
      <c r="U409" s="136"/>
      <c r="V409" s="136"/>
      <c r="W409" s="136"/>
      <c r="X409" s="136"/>
      <c r="Y409" s="136"/>
      <c r="Z409" s="136"/>
      <c r="AA409" s="136"/>
    </row>
    <row r="410" spans="1:27" ht="12.75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36"/>
      <c r="T410" s="136"/>
      <c r="U410" s="136"/>
      <c r="V410" s="136"/>
      <c r="W410" s="136"/>
      <c r="X410" s="136"/>
      <c r="Y410" s="136"/>
      <c r="Z410" s="136"/>
      <c r="AA410" s="136"/>
    </row>
    <row r="411" spans="1:27" ht="12.75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36"/>
      <c r="T411" s="136"/>
      <c r="U411" s="136"/>
      <c r="V411" s="136"/>
      <c r="W411" s="136"/>
      <c r="X411" s="136"/>
      <c r="Y411" s="136"/>
      <c r="Z411" s="136"/>
      <c r="AA411" s="136"/>
    </row>
    <row r="412" spans="1:27" ht="12.75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36"/>
      <c r="T412" s="136"/>
      <c r="U412" s="136"/>
      <c r="V412" s="136"/>
      <c r="W412" s="136"/>
      <c r="X412" s="136"/>
      <c r="Y412" s="136"/>
      <c r="Z412" s="136"/>
      <c r="AA412" s="136"/>
    </row>
    <row r="413" spans="1:27" ht="12.75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36"/>
      <c r="T413" s="136"/>
      <c r="U413" s="136"/>
      <c r="V413" s="136"/>
      <c r="W413" s="136"/>
      <c r="X413" s="136"/>
      <c r="Y413" s="136"/>
      <c r="Z413" s="136"/>
      <c r="AA413" s="136"/>
    </row>
    <row r="414" spans="1:27" ht="12.75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36"/>
      <c r="T414" s="136"/>
      <c r="U414" s="136"/>
      <c r="V414" s="136"/>
      <c r="W414" s="136"/>
      <c r="X414" s="136"/>
      <c r="Y414" s="136"/>
      <c r="Z414" s="136"/>
      <c r="AA414" s="136"/>
    </row>
    <row r="415" spans="1:27" ht="12.7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36"/>
      <c r="T415" s="136"/>
      <c r="U415" s="136"/>
      <c r="V415" s="136"/>
      <c r="W415" s="136"/>
      <c r="X415" s="136"/>
      <c r="Y415" s="136"/>
      <c r="Z415" s="136"/>
      <c r="AA415" s="136"/>
    </row>
    <row r="416" spans="1:27" ht="12.75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36"/>
      <c r="T416" s="136"/>
      <c r="U416" s="136"/>
      <c r="V416" s="136"/>
      <c r="W416" s="136"/>
      <c r="X416" s="136"/>
      <c r="Y416" s="136"/>
      <c r="Z416" s="136"/>
      <c r="AA416" s="136"/>
    </row>
    <row r="417" spans="1:27" ht="12.75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36"/>
      <c r="T417" s="136"/>
      <c r="U417" s="136"/>
      <c r="V417" s="136"/>
      <c r="W417" s="136"/>
      <c r="X417" s="136"/>
      <c r="Y417" s="136"/>
      <c r="Z417" s="136"/>
      <c r="AA417" s="136"/>
    </row>
    <row r="418" spans="1:27" ht="12.75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36"/>
      <c r="T418" s="136"/>
      <c r="U418" s="136"/>
      <c r="V418" s="136"/>
      <c r="W418" s="136"/>
      <c r="X418" s="136"/>
      <c r="Y418" s="136"/>
      <c r="Z418" s="136"/>
      <c r="AA418" s="136"/>
    </row>
    <row r="419" spans="1:27" ht="12.75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36"/>
      <c r="T419" s="136"/>
      <c r="U419" s="136"/>
      <c r="V419" s="136"/>
      <c r="W419" s="136"/>
      <c r="X419" s="136"/>
      <c r="Y419" s="136"/>
      <c r="Z419" s="136"/>
      <c r="AA419" s="136"/>
    </row>
    <row r="420" spans="1:27" ht="12.75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36"/>
      <c r="T420" s="136"/>
      <c r="U420" s="136"/>
      <c r="V420" s="136"/>
      <c r="W420" s="136"/>
      <c r="X420" s="136"/>
      <c r="Y420" s="136"/>
      <c r="Z420" s="136"/>
      <c r="AA420" s="136"/>
    </row>
    <row r="421" spans="1:27" ht="12.75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36"/>
      <c r="T421" s="136"/>
      <c r="U421" s="136"/>
      <c r="V421" s="136"/>
      <c r="W421" s="136"/>
      <c r="X421" s="136"/>
      <c r="Y421" s="136"/>
      <c r="Z421" s="136"/>
      <c r="AA421" s="136"/>
    </row>
    <row r="422" spans="1:27" ht="12.75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36"/>
      <c r="T422" s="136"/>
      <c r="U422" s="136"/>
      <c r="V422" s="136"/>
      <c r="W422" s="136"/>
      <c r="X422" s="136"/>
      <c r="Y422" s="136"/>
      <c r="Z422" s="136"/>
      <c r="AA422" s="136"/>
    </row>
    <row r="423" spans="1:27" ht="12.75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36"/>
      <c r="T423" s="136"/>
      <c r="U423" s="136"/>
      <c r="V423" s="136"/>
      <c r="W423" s="136"/>
      <c r="X423" s="136"/>
      <c r="Y423" s="136"/>
      <c r="Z423" s="136"/>
      <c r="AA423" s="136"/>
    </row>
    <row r="424" spans="1:27" ht="12.75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36"/>
      <c r="T424" s="136"/>
      <c r="U424" s="136"/>
      <c r="V424" s="136"/>
      <c r="W424" s="136"/>
      <c r="X424" s="136"/>
      <c r="Y424" s="136"/>
      <c r="Z424" s="136"/>
      <c r="AA424" s="136"/>
    </row>
    <row r="425" spans="1:27" ht="12.7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36"/>
      <c r="T425" s="136"/>
      <c r="U425" s="136"/>
      <c r="V425" s="136"/>
      <c r="W425" s="136"/>
      <c r="X425" s="136"/>
      <c r="Y425" s="136"/>
      <c r="Z425" s="136"/>
      <c r="AA425" s="136"/>
    </row>
    <row r="426" spans="1:27" ht="12.75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36"/>
      <c r="T426" s="136"/>
      <c r="U426" s="136"/>
      <c r="V426" s="136"/>
      <c r="W426" s="136"/>
      <c r="X426" s="136"/>
      <c r="Y426" s="136"/>
      <c r="Z426" s="136"/>
      <c r="AA426" s="136"/>
    </row>
    <row r="427" spans="1:27" ht="12.75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36"/>
      <c r="T427" s="136"/>
      <c r="U427" s="136"/>
      <c r="V427" s="136"/>
      <c r="W427" s="136"/>
      <c r="X427" s="136"/>
      <c r="Y427" s="136"/>
      <c r="Z427" s="136"/>
      <c r="AA427" s="136"/>
    </row>
    <row r="428" spans="1:27" ht="12.75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36"/>
      <c r="T428" s="136"/>
      <c r="U428" s="136"/>
      <c r="V428" s="136"/>
      <c r="W428" s="136"/>
      <c r="X428" s="136"/>
      <c r="Y428" s="136"/>
      <c r="Z428" s="136"/>
      <c r="AA428" s="136"/>
    </row>
    <row r="429" spans="1:27" ht="12.75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36"/>
      <c r="T429" s="136"/>
      <c r="U429" s="136"/>
      <c r="V429" s="136"/>
      <c r="W429" s="136"/>
      <c r="X429" s="136"/>
      <c r="Y429" s="136"/>
      <c r="Z429" s="136"/>
      <c r="AA429" s="136"/>
    </row>
    <row r="430" spans="1:27" ht="12.75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36"/>
      <c r="T430" s="136"/>
      <c r="U430" s="136"/>
      <c r="V430" s="136"/>
      <c r="W430" s="136"/>
      <c r="X430" s="136"/>
      <c r="Y430" s="136"/>
      <c r="Z430" s="136"/>
      <c r="AA430" s="136"/>
    </row>
    <row r="431" spans="1:27" ht="12.75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36"/>
      <c r="T431" s="136"/>
      <c r="U431" s="136"/>
      <c r="V431" s="136"/>
      <c r="W431" s="136"/>
      <c r="X431" s="136"/>
      <c r="Y431" s="136"/>
      <c r="Z431" s="136"/>
      <c r="AA431" s="136"/>
    </row>
    <row r="432" spans="1:27" ht="12.75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36"/>
      <c r="T432" s="136"/>
      <c r="U432" s="136"/>
      <c r="V432" s="136"/>
      <c r="W432" s="136"/>
      <c r="X432" s="136"/>
      <c r="Y432" s="136"/>
      <c r="Z432" s="136"/>
      <c r="AA432" s="136"/>
    </row>
    <row r="433" spans="1:27" ht="12.75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36"/>
      <c r="T433" s="136"/>
      <c r="U433" s="136"/>
      <c r="V433" s="136"/>
      <c r="W433" s="136"/>
      <c r="X433" s="136"/>
      <c r="Y433" s="136"/>
      <c r="Z433" s="136"/>
      <c r="AA433" s="136"/>
    </row>
    <row r="434" spans="1:27" ht="12.75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36"/>
      <c r="T434" s="136"/>
      <c r="U434" s="136"/>
      <c r="V434" s="136"/>
      <c r="W434" s="136"/>
      <c r="X434" s="136"/>
      <c r="Y434" s="136"/>
      <c r="Z434" s="136"/>
      <c r="AA434" s="136"/>
    </row>
    <row r="435" spans="1:27" ht="12.7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36"/>
      <c r="T435" s="136"/>
      <c r="U435" s="136"/>
      <c r="V435" s="136"/>
      <c r="W435" s="136"/>
      <c r="X435" s="136"/>
      <c r="Y435" s="136"/>
      <c r="Z435" s="136"/>
      <c r="AA435" s="136"/>
    </row>
    <row r="436" spans="1:27" ht="12.75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36"/>
      <c r="T436" s="136"/>
      <c r="U436" s="136"/>
      <c r="V436" s="136"/>
      <c r="W436" s="136"/>
      <c r="X436" s="136"/>
      <c r="Y436" s="136"/>
      <c r="Z436" s="136"/>
      <c r="AA436" s="136"/>
    </row>
    <row r="437" spans="1:27" ht="12.75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36"/>
      <c r="T437" s="136"/>
      <c r="U437" s="136"/>
      <c r="V437" s="136"/>
      <c r="W437" s="136"/>
      <c r="X437" s="136"/>
      <c r="Y437" s="136"/>
      <c r="Z437" s="136"/>
      <c r="AA437" s="136"/>
    </row>
    <row r="438" spans="1:27" ht="12.75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36"/>
      <c r="T438" s="136"/>
      <c r="U438" s="136"/>
      <c r="V438" s="136"/>
      <c r="W438" s="136"/>
      <c r="X438" s="136"/>
      <c r="Y438" s="136"/>
      <c r="Z438" s="136"/>
      <c r="AA438" s="136"/>
    </row>
    <row r="439" spans="1:27" ht="12.75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36"/>
      <c r="T439" s="136"/>
      <c r="U439" s="136"/>
      <c r="V439" s="136"/>
      <c r="W439" s="136"/>
      <c r="X439" s="136"/>
      <c r="Y439" s="136"/>
      <c r="Z439" s="136"/>
      <c r="AA439" s="136"/>
    </row>
    <row r="440" spans="1:27" ht="12.75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36"/>
      <c r="T440" s="136"/>
      <c r="U440" s="136"/>
      <c r="V440" s="136"/>
      <c r="W440" s="136"/>
      <c r="X440" s="136"/>
      <c r="Y440" s="136"/>
      <c r="Z440" s="136"/>
      <c r="AA440" s="136"/>
    </row>
    <row r="441" spans="1:27" ht="12.75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36"/>
      <c r="T441" s="136"/>
      <c r="U441" s="136"/>
      <c r="V441" s="136"/>
      <c r="W441" s="136"/>
      <c r="X441" s="136"/>
      <c r="Y441" s="136"/>
      <c r="Z441" s="136"/>
      <c r="AA441" s="136"/>
    </row>
    <row r="442" spans="1:27" ht="12.75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36"/>
      <c r="T442" s="136"/>
      <c r="U442" s="136"/>
      <c r="V442" s="136"/>
      <c r="W442" s="136"/>
      <c r="X442" s="136"/>
      <c r="Y442" s="136"/>
      <c r="Z442" s="136"/>
      <c r="AA442" s="136"/>
    </row>
    <row r="443" spans="1:27" ht="12.75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36"/>
      <c r="T443" s="136"/>
      <c r="U443" s="136"/>
      <c r="V443" s="136"/>
      <c r="W443" s="136"/>
      <c r="X443" s="136"/>
      <c r="Y443" s="136"/>
      <c r="Z443" s="136"/>
      <c r="AA443" s="136"/>
    </row>
    <row r="444" spans="1:27" ht="12.75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36"/>
      <c r="T444" s="136"/>
      <c r="U444" s="136"/>
      <c r="V444" s="136"/>
      <c r="W444" s="136"/>
      <c r="X444" s="136"/>
      <c r="Y444" s="136"/>
      <c r="Z444" s="136"/>
      <c r="AA444" s="136"/>
    </row>
    <row r="445" spans="1:27" ht="12.7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36"/>
      <c r="T445" s="136"/>
      <c r="U445" s="136"/>
      <c r="V445" s="136"/>
      <c r="W445" s="136"/>
      <c r="X445" s="136"/>
      <c r="Y445" s="136"/>
      <c r="Z445" s="136"/>
      <c r="AA445" s="136"/>
    </row>
    <row r="446" spans="1:27" ht="12.75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36"/>
      <c r="T446" s="136"/>
      <c r="U446" s="136"/>
      <c r="V446" s="136"/>
      <c r="W446" s="136"/>
      <c r="X446" s="136"/>
      <c r="Y446" s="136"/>
      <c r="Z446" s="136"/>
      <c r="AA446" s="136"/>
    </row>
    <row r="447" spans="1:27" ht="12.75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36"/>
      <c r="T447" s="136"/>
      <c r="U447" s="136"/>
      <c r="V447" s="136"/>
      <c r="W447" s="136"/>
      <c r="X447" s="136"/>
      <c r="Y447" s="136"/>
      <c r="Z447" s="136"/>
      <c r="AA447" s="136"/>
    </row>
    <row r="448" spans="1:27" ht="12.75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36"/>
      <c r="T448" s="136"/>
      <c r="U448" s="136"/>
      <c r="V448" s="136"/>
      <c r="W448" s="136"/>
      <c r="X448" s="136"/>
      <c r="Y448" s="136"/>
      <c r="Z448" s="136"/>
      <c r="AA448" s="136"/>
    </row>
    <row r="449" spans="1:27" ht="12.75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36"/>
      <c r="T449" s="136"/>
      <c r="U449" s="136"/>
      <c r="V449" s="136"/>
      <c r="W449" s="136"/>
      <c r="X449" s="136"/>
      <c r="Y449" s="136"/>
      <c r="Z449" s="136"/>
      <c r="AA449" s="136"/>
    </row>
    <row r="450" spans="1:27" ht="12.75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36"/>
      <c r="T450" s="136"/>
      <c r="U450" s="136"/>
      <c r="V450" s="136"/>
      <c r="W450" s="136"/>
      <c r="X450" s="136"/>
      <c r="Y450" s="136"/>
      <c r="Z450" s="136"/>
      <c r="AA450" s="136"/>
    </row>
    <row r="451" spans="1:27" ht="12.75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36"/>
      <c r="T451" s="136"/>
      <c r="U451" s="136"/>
      <c r="V451" s="136"/>
      <c r="W451" s="136"/>
      <c r="X451" s="136"/>
      <c r="Y451" s="136"/>
      <c r="Z451" s="136"/>
      <c r="AA451" s="136"/>
    </row>
    <row r="452" spans="1:27" ht="12.75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36"/>
      <c r="T452" s="136"/>
      <c r="U452" s="136"/>
      <c r="V452" s="136"/>
      <c r="W452" s="136"/>
      <c r="X452" s="136"/>
      <c r="Y452" s="136"/>
      <c r="Z452" s="136"/>
      <c r="AA452" s="136"/>
    </row>
    <row r="453" spans="1:27" ht="12.75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36"/>
      <c r="T453" s="136"/>
      <c r="U453" s="136"/>
      <c r="V453" s="136"/>
      <c r="W453" s="136"/>
      <c r="X453" s="136"/>
      <c r="Y453" s="136"/>
      <c r="Z453" s="136"/>
      <c r="AA453" s="136"/>
    </row>
    <row r="454" spans="1:27" ht="12.75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36"/>
      <c r="T454" s="136"/>
      <c r="U454" s="136"/>
      <c r="V454" s="136"/>
      <c r="W454" s="136"/>
      <c r="X454" s="136"/>
      <c r="Y454" s="136"/>
      <c r="Z454" s="136"/>
      <c r="AA454" s="136"/>
    </row>
    <row r="455" spans="1:27" ht="12.7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36"/>
      <c r="T455" s="136"/>
      <c r="U455" s="136"/>
      <c r="V455" s="136"/>
      <c r="W455" s="136"/>
      <c r="X455" s="136"/>
      <c r="Y455" s="136"/>
      <c r="Z455" s="136"/>
      <c r="AA455" s="136"/>
    </row>
    <row r="456" spans="1:27" ht="12.75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36"/>
      <c r="T456" s="136"/>
      <c r="U456" s="136"/>
      <c r="V456" s="136"/>
      <c r="W456" s="136"/>
      <c r="X456" s="136"/>
      <c r="Y456" s="136"/>
      <c r="Z456" s="136"/>
      <c r="AA456" s="136"/>
    </row>
    <row r="457" spans="1:27" ht="12.75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36"/>
      <c r="T457" s="136"/>
      <c r="U457" s="136"/>
      <c r="V457" s="136"/>
      <c r="W457" s="136"/>
      <c r="X457" s="136"/>
      <c r="Y457" s="136"/>
      <c r="Z457" s="136"/>
      <c r="AA457" s="136"/>
    </row>
    <row r="458" spans="1:27" ht="12.75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36"/>
      <c r="T458" s="136"/>
      <c r="U458" s="136"/>
      <c r="V458" s="136"/>
      <c r="W458" s="136"/>
      <c r="X458" s="136"/>
      <c r="Y458" s="136"/>
      <c r="Z458" s="136"/>
      <c r="AA458" s="136"/>
    </row>
    <row r="459" spans="1:27" ht="12.75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36"/>
      <c r="T459" s="136"/>
      <c r="U459" s="136"/>
      <c r="V459" s="136"/>
      <c r="W459" s="136"/>
      <c r="X459" s="136"/>
      <c r="Y459" s="136"/>
      <c r="Z459" s="136"/>
      <c r="AA459" s="136"/>
    </row>
    <row r="460" spans="1:27" ht="12.75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36"/>
      <c r="T460" s="136"/>
      <c r="U460" s="136"/>
      <c r="V460" s="136"/>
      <c r="W460" s="136"/>
      <c r="X460" s="136"/>
      <c r="Y460" s="136"/>
      <c r="Z460" s="136"/>
      <c r="AA460" s="136"/>
    </row>
    <row r="461" spans="1:27" ht="12.75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36"/>
      <c r="T461" s="136"/>
      <c r="U461" s="136"/>
      <c r="V461" s="136"/>
      <c r="W461" s="136"/>
      <c r="X461" s="136"/>
      <c r="Y461" s="136"/>
      <c r="Z461" s="136"/>
      <c r="AA461" s="136"/>
    </row>
    <row r="462" spans="1:27" ht="12.75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36"/>
      <c r="T462" s="136"/>
      <c r="U462" s="136"/>
      <c r="V462" s="136"/>
      <c r="W462" s="136"/>
      <c r="X462" s="136"/>
      <c r="Y462" s="136"/>
      <c r="Z462" s="136"/>
      <c r="AA462" s="136"/>
    </row>
    <row r="463" spans="1:27" ht="12.75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36"/>
      <c r="T463" s="136"/>
      <c r="U463" s="136"/>
      <c r="V463" s="136"/>
      <c r="W463" s="136"/>
      <c r="X463" s="136"/>
      <c r="Y463" s="136"/>
      <c r="Z463" s="136"/>
      <c r="AA463" s="136"/>
    </row>
    <row r="464" spans="1:27" ht="12.75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36"/>
      <c r="T464" s="136"/>
      <c r="U464" s="136"/>
      <c r="V464" s="136"/>
      <c r="W464" s="136"/>
      <c r="X464" s="136"/>
      <c r="Y464" s="136"/>
      <c r="Z464" s="136"/>
      <c r="AA464" s="136"/>
    </row>
    <row r="465" spans="1:27" ht="12.7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36"/>
      <c r="T465" s="136"/>
      <c r="U465" s="136"/>
      <c r="V465" s="136"/>
      <c r="W465" s="136"/>
      <c r="X465" s="136"/>
      <c r="Y465" s="136"/>
      <c r="Z465" s="136"/>
      <c r="AA465" s="136"/>
    </row>
    <row r="466" spans="1:27" ht="12.75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36"/>
      <c r="T466" s="136"/>
      <c r="U466" s="136"/>
      <c r="V466" s="136"/>
      <c r="W466" s="136"/>
      <c r="X466" s="136"/>
      <c r="Y466" s="136"/>
      <c r="Z466" s="136"/>
      <c r="AA466" s="136"/>
    </row>
    <row r="467" spans="1:27" ht="12.75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36"/>
      <c r="T467" s="136"/>
      <c r="U467" s="136"/>
      <c r="V467" s="136"/>
      <c r="W467" s="136"/>
      <c r="X467" s="136"/>
      <c r="Y467" s="136"/>
      <c r="Z467" s="136"/>
      <c r="AA467" s="136"/>
    </row>
    <row r="468" spans="1:27" ht="12.75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36"/>
      <c r="T468" s="136"/>
      <c r="U468" s="136"/>
      <c r="V468" s="136"/>
      <c r="W468" s="136"/>
      <c r="X468" s="136"/>
      <c r="Y468" s="136"/>
      <c r="Z468" s="136"/>
      <c r="AA468" s="136"/>
    </row>
    <row r="469" spans="1:27" ht="12.75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36"/>
      <c r="T469" s="136"/>
      <c r="U469" s="136"/>
      <c r="V469" s="136"/>
      <c r="W469" s="136"/>
      <c r="X469" s="136"/>
      <c r="Y469" s="136"/>
      <c r="Z469" s="136"/>
      <c r="AA469" s="136"/>
    </row>
    <row r="470" spans="1:27" ht="12.75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36"/>
      <c r="T470" s="136"/>
      <c r="U470" s="136"/>
      <c r="V470" s="136"/>
      <c r="W470" s="136"/>
      <c r="X470" s="136"/>
      <c r="Y470" s="136"/>
      <c r="Z470" s="136"/>
      <c r="AA470" s="136"/>
    </row>
    <row r="471" spans="1:27" ht="12.75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36"/>
      <c r="T471" s="136"/>
      <c r="U471" s="136"/>
      <c r="V471" s="136"/>
      <c r="W471" s="136"/>
      <c r="X471" s="136"/>
      <c r="Y471" s="136"/>
      <c r="Z471" s="136"/>
      <c r="AA471" s="136"/>
    </row>
    <row r="472" spans="1:27" ht="12.75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36"/>
      <c r="T472" s="136"/>
      <c r="U472" s="136"/>
      <c r="V472" s="136"/>
      <c r="W472" s="136"/>
      <c r="X472" s="136"/>
      <c r="Y472" s="136"/>
      <c r="Z472" s="136"/>
      <c r="AA472" s="136"/>
    </row>
    <row r="473" spans="1:27" ht="12.75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36"/>
      <c r="T473" s="136"/>
      <c r="U473" s="136"/>
      <c r="V473" s="136"/>
      <c r="W473" s="136"/>
      <c r="X473" s="136"/>
      <c r="Y473" s="136"/>
      <c r="Z473" s="136"/>
      <c r="AA473" s="136"/>
    </row>
    <row r="474" spans="1:27" ht="12.75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36"/>
      <c r="T474" s="136"/>
      <c r="U474" s="136"/>
      <c r="V474" s="136"/>
      <c r="W474" s="136"/>
      <c r="X474" s="136"/>
      <c r="Y474" s="136"/>
      <c r="Z474" s="136"/>
      <c r="AA474" s="136"/>
    </row>
    <row r="475" spans="1:27" ht="12.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36"/>
      <c r="T475" s="136"/>
      <c r="U475" s="136"/>
      <c r="V475" s="136"/>
      <c r="W475" s="136"/>
      <c r="X475" s="136"/>
      <c r="Y475" s="136"/>
      <c r="Z475" s="136"/>
      <c r="AA475" s="136"/>
    </row>
    <row r="476" spans="1:27" ht="12.75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36"/>
      <c r="T476" s="136"/>
      <c r="U476" s="136"/>
      <c r="V476" s="136"/>
      <c r="W476" s="136"/>
      <c r="X476" s="136"/>
      <c r="Y476" s="136"/>
      <c r="Z476" s="136"/>
      <c r="AA476" s="136"/>
    </row>
    <row r="477" spans="1:27" ht="12.75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36"/>
      <c r="T477" s="136"/>
      <c r="U477" s="136"/>
      <c r="V477" s="136"/>
      <c r="W477" s="136"/>
      <c r="X477" s="136"/>
      <c r="Y477" s="136"/>
      <c r="Z477" s="136"/>
      <c r="AA477" s="136"/>
    </row>
    <row r="478" spans="1:27" ht="12.75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36"/>
      <c r="T478" s="136"/>
      <c r="U478" s="136"/>
      <c r="V478" s="136"/>
      <c r="W478" s="136"/>
      <c r="X478" s="136"/>
      <c r="Y478" s="136"/>
      <c r="Z478" s="136"/>
      <c r="AA478" s="136"/>
    </row>
    <row r="479" spans="1:27" ht="12.75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36"/>
      <c r="T479" s="136"/>
      <c r="U479" s="136"/>
      <c r="V479" s="136"/>
      <c r="W479" s="136"/>
      <c r="X479" s="136"/>
      <c r="Y479" s="136"/>
      <c r="Z479" s="136"/>
      <c r="AA479" s="136"/>
    </row>
    <row r="480" spans="1:27" ht="12.75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36"/>
      <c r="T480" s="136"/>
      <c r="U480" s="136"/>
      <c r="V480" s="136"/>
      <c r="W480" s="136"/>
      <c r="X480" s="136"/>
      <c r="Y480" s="136"/>
      <c r="Z480" s="136"/>
      <c r="AA480" s="136"/>
    </row>
    <row r="481" spans="1:27" ht="12.75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36"/>
      <c r="T481" s="136"/>
      <c r="U481" s="136"/>
      <c r="V481" s="136"/>
      <c r="W481" s="136"/>
      <c r="X481" s="136"/>
      <c r="Y481" s="136"/>
      <c r="Z481" s="136"/>
      <c r="AA481" s="136"/>
    </row>
    <row r="482" spans="1:27" ht="12.75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36"/>
      <c r="T482" s="136"/>
      <c r="U482" s="136"/>
      <c r="V482" s="136"/>
      <c r="W482" s="136"/>
      <c r="X482" s="136"/>
      <c r="Y482" s="136"/>
      <c r="Z482" s="136"/>
      <c r="AA482" s="136"/>
    </row>
    <row r="483" spans="1:27" ht="12.75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36"/>
      <c r="T483" s="136"/>
      <c r="U483" s="136"/>
      <c r="V483" s="136"/>
      <c r="W483" s="136"/>
      <c r="X483" s="136"/>
      <c r="Y483" s="136"/>
      <c r="Z483" s="136"/>
      <c r="AA483" s="136"/>
    </row>
    <row r="484" spans="1:27" ht="12.75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36"/>
      <c r="T484" s="136"/>
      <c r="U484" s="136"/>
      <c r="V484" s="136"/>
      <c r="W484" s="136"/>
      <c r="X484" s="136"/>
      <c r="Y484" s="136"/>
      <c r="Z484" s="136"/>
      <c r="AA484" s="136"/>
    </row>
    <row r="485" spans="1:27" ht="12.7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36"/>
      <c r="T485" s="136"/>
      <c r="U485" s="136"/>
      <c r="V485" s="136"/>
      <c r="W485" s="136"/>
      <c r="X485" s="136"/>
      <c r="Y485" s="136"/>
      <c r="Z485" s="136"/>
      <c r="AA485" s="136"/>
    </row>
    <row r="486" spans="1:27" ht="12.75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36"/>
      <c r="T486" s="136"/>
      <c r="U486" s="136"/>
      <c r="V486" s="136"/>
      <c r="W486" s="136"/>
      <c r="X486" s="136"/>
      <c r="Y486" s="136"/>
      <c r="Z486" s="136"/>
      <c r="AA486" s="136"/>
    </row>
    <row r="487" spans="1:27" ht="12.75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36"/>
      <c r="T487" s="136"/>
      <c r="U487" s="136"/>
      <c r="V487" s="136"/>
      <c r="W487" s="136"/>
      <c r="X487" s="136"/>
      <c r="Y487" s="136"/>
      <c r="Z487" s="136"/>
      <c r="AA487" s="136"/>
    </row>
    <row r="488" spans="1:27" ht="12.75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36"/>
      <c r="T488" s="136"/>
      <c r="U488" s="136"/>
      <c r="V488" s="136"/>
      <c r="W488" s="136"/>
      <c r="X488" s="136"/>
      <c r="Y488" s="136"/>
      <c r="Z488" s="136"/>
      <c r="AA488" s="136"/>
    </row>
    <row r="489" spans="1:27" ht="12.75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36"/>
      <c r="T489" s="136"/>
      <c r="U489" s="136"/>
      <c r="V489" s="136"/>
      <c r="W489" s="136"/>
      <c r="X489" s="136"/>
      <c r="Y489" s="136"/>
      <c r="Z489" s="136"/>
      <c r="AA489" s="136"/>
    </row>
    <row r="490" spans="1:27" ht="12.75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36"/>
      <c r="T490" s="136"/>
      <c r="U490" s="136"/>
      <c r="V490" s="136"/>
      <c r="W490" s="136"/>
      <c r="X490" s="136"/>
      <c r="Y490" s="136"/>
      <c r="Z490" s="136"/>
      <c r="AA490" s="136"/>
    </row>
    <row r="491" spans="1:27" ht="12.75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36"/>
      <c r="T491" s="136"/>
      <c r="U491" s="136"/>
      <c r="V491" s="136"/>
      <c r="W491" s="136"/>
      <c r="X491" s="136"/>
      <c r="Y491" s="136"/>
      <c r="Z491" s="136"/>
      <c r="AA491" s="136"/>
    </row>
    <row r="492" spans="1:27" ht="12.75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36"/>
      <c r="T492" s="136"/>
      <c r="U492" s="136"/>
      <c r="V492" s="136"/>
      <c r="W492" s="136"/>
      <c r="X492" s="136"/>
      <c r="Y492" s="136"/>
      <c r="Z492" s="136"/>
      <c r="AA492" s="136"/>
    </row>
    <row r="493" spans="1:27" ht="12.75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36"/>
      <c r="T493" s="136"/>
      <c r="U493" s="136"/>
      <c r="V493" s="136"/>
      <c r="W493" s="136"/>
      <c r="X493" s="136"/>
      <c r="Y493" s="136"/>
      <c r="Z493" s="136"/>
      <c r="AA493" s="136"/>
    </row>
    <row r="494" spans="1:27" ht="12.75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36"/>
      <c r="T494" s="136"/>
      <c r="U494" s="136"/>
      <c r="V494" s="136"/>
      <c r="W494" s="136"/>
      <c r="X494" s="136"/>
      <c r="Y494" s="136"/>
      <c r="Z494" s="136"/>
      <c r="AA494" s="136"/>
    </row>
    <row r="495" spans="1:27" ht="12.7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36"/>
      <c r="T495" s="136"/>
      <c r="U495" s="136"/>
      <c r="V495" s="136"/>
      <c r="W495" s="136"/>
      <c r="X495" s="136"/>
      <c r="Y495" s="136"/>
      <c r="Z495" s="136"/>
      <c r="AA495" s="136"/>
    </row>
    <row r="496" spans="1:27" ht="12.75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36"/>
      <c r="T496" s="136"/>
      <c r="U496" s="136"/>
      <c r="V496" s="136"/>
      <c r="W496" s="136"/>
      <c r="X496" s="136"/>
      <c r="Y496" s="136"/>
      <c r="Z496" s="136"/>
      <c r="AA496" s="136"/>
    </row>
    <row r="497" spans="1:27" ht="12.75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36"/>
      <c r="T497" s="136"/>
      <c r="U497" s="136"/>
      <c r="V497" s="136"/>
      <c r="W497" s="136"/>
      <c r="X497" s="136"/>
      <c r="Y497" s="136"/>
      <c r="Z497" s="136"/>
      <c r="AA497" s="136"/>
    </row>
    <row r="498" spans="1:27" ht="12.75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36"/>
      <c r="T498" s="136"/>
      <c r="U498" s="136"/>
      <c r="V498" s="136"/>
      <c r="W498" s="136"/>
      <c r="X498" s="136"/>
      <c r="Y498" s="136"/>
      <c r="Z498" s="136"/>
      <c r="AA498" s="136"/>
    </row>
    <row r="499" spans="1:27" ht="12.75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36"/>
      <c r="T499" s="136"/>
      <c r="U499" s="136"/>
      <c r="V499" s="136"/>
      <c r="W499" s="136"/>
      <c r="X499" s="136"/>
      <c r="Y499" s="136"/>
      <c r="Z499" s="136"/>
      <c r="AA499" s="136"/>
    </row>
    <row r="500" spans="1:27" ht="12.75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36"/>
      <c r="T500" s="136"/>
      <c r="U500" s="136"/>
      <c r="V500" s="136"/>
      <c r="W500" s="136"/>
      <c r="X500" s="136"/>
      <c r="Y500" s="136"/>
      <c r="Z500" s="136"/>
      <c r="AA500" s="136"/>
    </row>
    <row r="501" spans="1:27" ht="12.75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36"/>
      <c r="T501" s="136"/>
      <c r="U501" s="136"/>
      <c r="V501" s="136"/>
      <c r="W501" s="136"/>
      <c r="X501" s="136"/>
      <c r="Y501" s="136"/>
      <c r="Z501" s="136"/>
      <c r="AA501" s="136"/>
    </row>
    <row r="502" spans="1:27" ht="12.75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36"/>
      <c r="T502" s="136"/>
      <c r="U502" s="136"/>
      <c r="V502" s="136"/>
      <c r="W502" s="136"/>
      <c r="X502" s="136"/>
      <c r="Y502" s="136"/>
      <c r="Z502" s="136"/>
      <c r="AA502" s="136"/>
    </row>
    <row r="503" spans="1:27" ht="12.75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36"/>
      <c r="T503" s="136"/>
      <c r="U503" s="136"/>
      <c r="V503" s="136"/>
      <c r="W503" s="136"/>
      <c r="X503" s="136"/>
      <c r="Y503" s="136"/>
      <c r="Z503" s="136"/>
      <c r="AA503" s="136"/>
    </row>
    <row r="504" spans="1:27" ht="12.75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36"/>
      <c r="T504" s="136"/>
      <c r="U504" s="136"/>
      <c r="V504" s="136"/>
      <c r="W504" s="136"/>
      <c r="X504" s="136"/>
      <c r="Y504" s="136"/>
      <c r="Z504" s="136"/>
      <c r="AA504" s="136"/>
    </row>
    <row r="505" spans="1:27" ht="12.7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36"/>
      <c r="T505" s="136"/>
      <c r="U505" s="136"/>
      <c r="V505" s="136"/>
      <c r="W505" s="136"/>
      <c r="X505" s="136"/>
      <c r="Y505" s="136"/>
      <c r="Z505" s="136"/>
      <c r="AA505" s="136"/>
    </row>
    <row r="506" spans="1:27" ht="12.75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36"/>
      <c r="T506" s="136"/>
      <c r="U506" s="136"/>
      <c r="V506" s="136"/>
      <c r="W506" s="136"/>
      <c r="X506" s="136"/>
      <c r="Y506" s="136"/>
      <c r="Z506" s="136"/>
      <c r="AA506" s="136"/>
    </row>
    <row r="507" spans="1:27" ht="12.75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36"/>
      <c r="T507" s="136"/>
      <c r="U507" s="136"/>
      <c r="V507" s="136"/>
      <c r="W507" s="136"/>
      <c r="X507" s="136"/>
      <c r="Y507" s="136"/>
      <c r="Z507" s="136"/>
      <c r="AA507" s="136"/>
    </row>
    <row r="508" spans="1:27" ht="12.75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36"/>
      <c r="T508" s="136"/>
      <c r="U508" s="136"/>
      <c r="V508" s="136"/>
      <c r="W508" s="136"/>
      <c r="X508" s="136"/>
      <c r="Y508" s="136"/>
      <c r="Z508" s="136"/>
      <c r="AA508" s="136"/>
    </row>
    <row r="509" spans="1:27" ht="12.75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36"/>
      <c r="T509" s="136"/>
      <c r="U509" s="136"/>
      <c r="V509" s="136"/>
      <c r="W509" s="136"/>
      <c r="X509" s="136"/>
      <c r="Y509" s="136"/>
      <c r="Z509" s="136"/>
      <c r="AA509" s="136"/>
    </row>
    <row r="510" spans="1:27" ht="12.75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36"/>
      <c r="T510" s="136"/>
      <c r="U510" s="136"/>
      <c r="V510" s="136"/>
      <c r="W510" s="136"/>
      <c r="X510" s="136"/>
      <c r="Y510" s="136"/>
      <c r="Z510" s="136"/>
      <c r="AA510" s="136"/>
    </row>
    <row r="511" spans="1:27" ht="12.75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36"/>
      <c r="T511" s="136"/>
      <c r="U511" s="136"/>
      <c r="V511" s="136"/>
      <c r="W511" s="136"/>
      <c r="X511" s="136"/>
      <c r="Y511" s="136"/>
      <c r="Z511" s="136"/>
      <c r="AA511" s="136"/>
    </row>
    <row r="512" spans="1:27" ht="12.75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36"/>
      <c r="T512" s="136"/>
      <c r="U512" s="136"/>
      <c r="V512" s="136"/>
      <c r="W512" s="136"/>
      <c r="X512" s="136"/>
      <c r="Y512" s="136"/>
      <c r="Z512" s="136"/>
      <c r="AA512" s="136"/>
    </row>
    <row r="513" spans="1:27" ht="12.75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36"/>
      <c r="T513" s="136"/>
      <c r="U513" s="136"/>
      <c r="V513" s="136"/>
      <c r="W513" s="136"/>
      <c r="X513" s="136"/>
      <c r="Y513" s="136"/>
      <c r="Z513" s="136"/>
      <c r="AA513" s="136"/>
    </row>
    <row r="514" spans="1:27" ht="12.75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36"/>
      <c r="T514" s="136"/>
      <c r="U514" s="136"/>
      <c r="V514" s="136"/>
      <c r="W514" s="136"/>
      <c r="X514" s="136"/>
      <c r="Y514" s="136"/>
      <c r="Z514" s="136"/>
      <c r="AA514" s="136"/>
    </row>
    <row r="515" spans="1:27" ht="12.7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36"/>
      <c r="T515" s="136"/>
      <c r="U515" s="136"/>
      <c r="V515" s="136"/>
      <c r="W515" s="136"/>
      <c r="X515" s="136"/>
      <c r="Y515" s="136"/>
      <c r="Z515" s="136"/>
      <c r="AA515" s="136"/>
    </row>
    <row r="516" spans="1:27" ht="12.75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36"/>
      <c r="T516" s="136"/>
      <c r="U516" s="136"/>
      <c r="V516" s="136"/>
      <c r="W516" s="136"/>
      <c r="X516" s="136"/>
      <c r="Y516" s="136"/>
      <c r="Z516" s="136"/>
      <c r="AA516" s="136"/>
    </row>
    <row r="517" spans="1:27" ht="12.75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36"/>
      <c r="T517" s="136"/>
      <c r="U517" s="136"/>
      <c r="V517" s="136"/>
      <c r="W517" s="136"/>
      <c r="X517" s="136"/>
      <c r="Y517" s="136"/>
      <c r="Z517" s="136"/>
      <c r="AA517" s="136"/>
    </row>
    <row r="518" spans="1:27" ht="12.75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36"/>
      <c r="T518" s="136"/>
      <c r="U518" s="136"/>
      <c r="V518" s="136"/>
      <c r="W518" s="136"/>
      <c r="X518" s="136"/>
      <c r="Y518" s="136"/>
      <c r="Z518" s="136"/>
      <c r="AA518" s="136"/>
    </row>
    <row r="519" spans="1:27" ht="12.75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36"/>
      <c r="T519" s="136"/>
      <c r="U519" s="136"/>
      <c r="V519" s="136"/>
      <c r="W519" s="136"/>
      <c r="X519" s="136"/>
      <c r="Y519" s="136"/>
      <c r="Z519" s="136"/>
      <c r="AA519" s="136"/>
    </row>
    <row r="520" spans="1:27" ht="12.75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36"/>
      <c r="T520" s="136"/>
      <c r="U520" s="136"/>
      <c r="V520" s="136"/>
      <c r="W520" s="136"/>
      <c r="X520" s="136"/>
      <c r="Y520" s="136"/>
      <c r="Z520" s="136"/>
      <c r="AA520" s="136"/>
    </row>
    <row r="521" spans="1:27" ht="12.75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36"/>
      <c r="T521" s="136"/>
      <c r="U521" s="136"/>
      <c r="V521" s="136"/>
      <c r="W521" s="136"/>
      <c r="X521" s="136"/>
      <c r="Y521" s="136"/>
      <c r="Z521" s="136"/>
      <c r="AA521" s="136"/>
    </row>
    <row r="522" spans="1:27" ht="12.75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36"/>
      <c r="T522" s="136"/>
      <c r="U522" s="136"/>
      <c r="V522" s="136"/>
      <c r="W522" s="136"/>
      <c r="X522" s="136"/>
      <c r="Y522" s="136"/>
      <c r="Z522" s="136"/>
      <c r="AA522" s="136"/>
    </row>
    <row r="523" spans="1:27" ht="12.75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36"/>
      <c r="T523" s="136"/>
      <c r="U523" s="136"/>
      <c r="V523" s="136"/>
      <c r="W523" s="136"/>
      <c r="X523" s="136"/>
      <c r="Y523" s="136"/>
      <c r="Z523" s="136"/>
      <c r="AA523" s="136"/>
    </row>
    <row r="524" spans="1:27" ht="12.75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36"/>
      <c r="T524" s="136"/>
      <c r="U524" s="136"/>
      <c r="V524" s="136"/>
      <c r="W524" s="136"/>
      <c r="X524" s="136"/>
      <c r="Y524" s="136"/>
      <c r="Z524" s="136"/>
      <c r="AA524" s="136"/>
    </row>
    <row r="525" spans="1:27" ht="12.7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36"/>
      <c r="T525" s="136"/>
      <c r="U525" s="136"/>
      <c r="V525" s="136"/>
      <c r="W525" s="136"/>
      <c r="X525" s="136"/>
      <c r="Y525" s="136"/>
      <c r="Z525" s="136"/>
      <c r="AA525" s="136"/>
    </row>
    <row r="526" spans="1:27" ht="12.75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36"/>
      <c r="T526" s="136"/>
      <c r="U526" s="136"/>
      <c r="V526" s="136"/>
      <c r="W526" s="136"/>
      <c r="X526" s="136"/>
      <c r="Y526" s="136"/>
      <c r="Z526" s="136"/>
      <c r="AA526" s="136"/>
    </row>
    <row r="527" spans="1:27" ht="12.75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36"/>
      <c r="T527" s="136"/>
      <c r="U527" s="136"/>
      <c r="V527" s="136"/>
      <c r="W527" s="136"/>
      <c r="X527" s="136"/>
      <c r="Y527" s="136"/>
      <c r="Z527" s="136"/>
      <c r="AA527" s="136"/>
    </row>
    <row r="528" spans="1:27" ht="12.75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36"/>
      <c r="T528" s="136"/>
      <c r="U528" s="136"/>
      <c r="V528" s="136"/>
      <c r="W528" s="136"/>
      <c r="X528" s="136"/>
      <c r="Y528" s="136"/>
      <c r="Z528" s="136"/>
      <c r="AA528" s="136"/>
    </row>
    <row r="529" spans="1:27" ht="12.75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36"/>
      <c r="T529" s="136"/>
      <c r="U529" s="136"/>
      <c r="V529" s="136"/>
      <c r="W529" s="136"/>
      <c r="X529" s="136"/>
      <c r="Y529" s="136"/>
      <c r="Z529" s="136"/>
      <c r="AA529" s="136"/>
    </row>
    <row r="530" spans="1:27" ht="12.75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36"/>
      <c r="T530" s="136"/>
      <c r="U530" s="136"/>
      <c r="V530" s="136"/>
      <c r="W530" s="136"/>
      <c r="X530" s="136"/>
      <c r="Y530" s="136"/>
      <c r="Z530" s="136"/>
      <c r="AA530" s="136"/>
    </row>
    <row r="531" spans="1:27" ht="12.75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36"/>
      <c r="T531" s="136"/>
      <c r="U531" s="136"/>
      <c r="V531" s="136"/>
      <c r="W531" s="136"/>
      <c r="X531" s="136"/>
      <c r="Y531" s="136"/>
      <c r="Z531" s="136"/>
      <c r="AA531" s="136"/>
    </row>
    <row r="532" spans="1:27" ht="12.75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36"/>
      <c r="T532" s="136"/>
      <c r="U532" s="136"/>
      <c r="V532" s="136"/>
      <c r="W532" s="136"/>
      <c r="X532" s="136"/>
      <c r="Y532" s="136"/>
      <c r="Z532" s="136"/>
      <c r="AA532" s="136"/>
    </row>
    <row r="533" spans="1:27" ht="12.75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36"/>
      <c r="T533" s="136"/>
      <c r="U533" s="136"/>
      <c r="V533" s="136"/>
      <c r="W533" s="136"/>
      <c r="X533" s="136"/>
      <c r="Y533" s="136"/>
      <c r="Z533" s="136"/>
      <c r="AA533" s="136"/>
    </row>
    <row r="534" spans="1:27" ht="12.75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36"/>
      <c r="T534" s="136"/>
      <c r="U534" s="136"/>
      <c r="V534" s="136"/>
      <c r="W534" s="136"/>
      <c r="X534" s="136"/>
      <c r="Y534" s="136"/>
      <c r="Z534" s="136"/>
      <c r="AA534" s="136"/>
    </row>
    <row r="535" spans="1:27" ht="12.7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36"/>
      <c r="T535" s="136"/>
      <c r="U535" s="136"/>
      <c r="V535" s="136"/>
      <c r="W535" s="136"/>
      <c r="X535" s="136"/>
      <c r="Y535" s="136"/>
      <c r="Z535" s="136"/>
      <c r="AA535" s="136"/>
    </row>
    <row r="536" spans="1:27" ht="12.75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36"/>
      <c r="T536" s="136"/>
      <c r="U536" s="136"/>
      <c r="V536" s="136"/>
      <c r="W536" s="136"/>
      <c r="X536" s="136"/>
      <c r="Y536" s="136"/>
      <c r="Z536" s="136"/>
      <c r="AA536" s="136"/>
    </row>
    <row r="537" spans="1:27" ht="12.75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36"/>
      <c r="T537" s="136"/>
      <c r="U537" s="136"/>
      <c r="V537" s="136"/>
      <c r="W537" s="136"/>
      <c r="X537" s="136"/>
      <c r="Y537" s="136"/>
      <c r="Z537" s="136"/>
      <c r="AA537" s="136"/>
    </row>
    <row r="538" spans="1:27" ht="12.75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36"/>
      <c r="T538" s="136"/>
      <c r="U538" s="136"/>
      <c r="V538" s="136"/>
      <c r="W538" s="136"/>
      <c r="X538" s="136"/>
      <c r="Y538" s="136"/>
      <c r="Z538" s="136"/>
      <c r="AA538" s="136"/>
    </row>
    <row r="539" spans="1:27" ht="12.75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36"/>
      <c r="T539" s="136"/>
      <c r="U539" s="136"/>
      <c r="V539" s="136"/>
      <c r="W539" s="136"/>
      <c r="X539" s="136"/>
      <c r="Y539" s="136"/>
      <c r="Z539" s="136"/>
      <c r="AA539" s="136"/>
    </row>
    <row r="540" spans="1:27" ht="12.75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36"/>
      <c r="T540" s="136"/>
      <c r="U540" s="136"/>
      <c r="V540" s="136"/>
      <c r="W540" s="136"/>
      <c r="X540" s="136"/>
      <c r="Y540" s="136"/>
      <c r="Z540" s="136"/>
      <c r="AA540" s="136"/>
    </row>
    <row r="541" spans="1:27" ht="12.75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36"/>
      <c r="T541" s="136"/>
      <c r="U541" s="136"/>
      <c r="V541" s="136"/>
      <c r="W541" s="136"/>
      <c r="X541" s="136"/>
      <c r="Y541" s="136"/>
      <c r="Z541" s="136"/>
      <c r="AA541" s="136"/>
    </row>
    <row r="542" spans="1:27" ht="12.75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36"/>
      <c r="T542" s="136"/>
      <c r="U542" s="136"/>
      <c r="V542" s="136"/>
      <c r="W542" s="136"/>
      <c r="X542" s="136"/>
      <c r="Y542" s="136"/>
      <c r="Z542" s="136"/>
      <c r="AA542" s="136"/>
    </row>
    <row r="543" spans="1:27" ht="12.75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36"/>
      <c r="T543" s="136"/>
      <c r="U543" s="136"/>
      <c r="V543" s="136"/>
      <c r="W543" s="136"/>
      <c r="X543" s="136"/>
      <c r="Y543" s="136"/>
      <c r="Z543" s="136"/>
      <c r="AA543" s="136"/>
    </row>
    <row r="544" spans="1:27" ht="12.75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36"/>
      <c r="T544" s="136"/>
      <c r="U544" s="136"/>
      <c r="V544" s="136"/>
      <c r="W544" s="136"/>
      <c r="X544" s="136"/>
      <c r="Y544" s="136"/>
      <c r="Z544" s="136"/>
      <c r="AA544" s="136"/>
    </row>
    <row r="545" spans="1:27" ht="12.7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36"/>
      <c r="T545" s="136"/>
      <c r="U545" s="136"/>
      <c r="V545" s="136"/>
      <c r="W545" s="136"/>
      <c r="X545" s="136"/>
      <c r="Y545" s="136"/>
      <c r="Z545" s="136"/>
      <c r="AA545" s="136"/>
    </row>
    <row r="546" spans="1:27" ht="12.75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36"/>
      <c r="T546" s="136"/>
      <c r="U546" s="136"/>
      <c r="V546" s="136"/>
      <c r="W546" s="136"/>
      <c r="X546" s="136"/>
      <c r="Y546" s="136"/>
      <c r="Z546" s="136"/>
      <c r="AA546" s="136"/>
    </row>
    <row r="547" spans="1:27" ht="12.75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36"/>
      <c r="T547" s="136"/>
      <c r="U547" s="136"/>
      <c r="V547" s="136"/>
      <c r="W547" s="136"/>
      <c r="X547" s="136"/>
      <c r="Y547" s="136"/>
      <c r="Z547" s="136"/>
      <c r="AA547" s="136"/>
    </row>
    <row r="548" spans="1:27" ht="12.75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36"/>
      <c r="T548" s="136"/>
      <c r="U548" s="136"/>
      <c r="V548" s="136"/>
      <c r="W548" s="136"/>
      <c r="X548" s="136"/>
      <c r="Y548" s="136"/>
      <c r="Z548" s="136"/>
      <c r="AA548" s="136"/>
    </row>
    <row r="549" spans="1:27" ht="12.75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36"/>
      <c r="T549" s="136"/>
      <c r="U549" s="136"/>
      <c r="V549" s="136"/>
      <c r="W549" s="136"/>
      <c r="X549" s="136"/>
      <c r="Y549" s="136"/>
      <c r="Z549" s="136"/>
      <c r="AA549" s="136"/>
    </row>
    <row r="550" spans="1:27" ht="12.75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36"/>
      <c r="T550" s="136"/>
      <c r="U550" s="136"/>
      <c r="V550" s="136"/>
      <c r="W550" s="136"/>
      <c r="X550" s="136"/>
      <c r="Y550" s="136"/>
      <c r="Z550" s="136"/>
      <c r="AA550" s="136"/>
    </row>
    <row r="551" spans="1:27" ht="12.75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36"/>
      <c r="T551" s="136"/>
      <c r="U551" s="136"/>
      <c r="V551" s="136"/>
      <c r="W551" s="136"/>
      <c r="X551" s="136"/>
      <c r="Y551" s="136"/>
      <c r="Z551" s="136"/>
      <c r="AA551" s="136"/>
    </row>
    <row r="552" spans="1:27" ht="12.75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36"/>
      <c r="T552" s="136"/>
      <c r="U552" s="136"/>
      <c r="V552" s="136"/>
      <c r="W552" s="136"/>
      <c r="X552" s="136"/>
      <c r="Y552" s="136"/>
      <c r="Z552" s="136"/>
      <c r="AA552" s="136"/>
    </row>
    <row r="553" spans="1:27" ht="12.75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36"/>
      <c r="T553" s="136"/>
      <c r="U553" s="136"/>
      <c r="V553" s="136"/>
      <c r="W553" s="136"/>
      <c r="X553" s="136"/>
      <c r="Y553" s="136"/>
      <c r="Z553" s="136"/>
      <c r="AA553" s="136"/>
    </row>
    <row r="554" spans="1:27" ht="12.75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36"/>
      <c r="T554" s="136"/>
      <c r="U554" s="136"/>
      <c r="V554" s="136"/>
      <c r="W554" s="136"/>
      <c r="X554" s="136"/>
      <c r="Y554" s="136"/>
      <c r="Z554" s="136"/>
      <c r="AA554" s="136"/>
    </row>
    <row r="555" spans="1:27" ht="12.7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36"/>
      <c r="T555" s="136"/>
      <c r="U555" s="136"/>
      <c r="V555" s="136"/>
      <c r="W555" s="136"/>
      <c r="X555" s="136"/>
      <c r="Y555" s="136"/>
      <c r="Z555" s="136"/>
      <c r="AA555" s="136"/>
    </row>
    <row r="556" spans="1:27" ht="12.75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36"/>
      <c r="T556" s="136"/>
      <c r="U556" s="136"/>
      <c r="V556" s="136"/>
      <c r="W556" s="136"/>
      <c r="X556" s="136"/>
      <c r="Y556" s="136"/>
      <c r="Z556" s="136"/>
      <c r="AA556" s="136"/>
    </row>
    <row r="557" spans="1:27" ht="12.75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36"/>
      <c r="T557" s="136"/>
      <c r="U557" s="136"/>
      <c r="V557" s="136"/>
      <c r="W557" s="136"/>
      <c r="X557" s="136"/>
      <c r="Y557" s="136"/>
      <c r="Z557" s="136"/>
      <c r="AA557" s="136"/>
    </row>
    <row r="558" spans="1:27" ht="12.75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36"/>
      <c r="T558" s="136"/>
      <c r="U558" s="136"/>
      <c r="V558" s="136"/>
      <c r="W558" s="136"/>
      <c r="X558" s="136"/>
      <c r="Y558" s="136"/>
      <c r="Z558" s="136"/>
      <c r="AA558" s="136"/>
    </row>
    <row r="559" spans="1:27" ht="12.75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36"/>
      <c r="T559" s="136"/>
      <c r="U559" s="136"/>
      <c r="V559" s="136"/>
      <c r="W559" s="136"/>
      <c r="X559" s="136"/>
      <c r="Y559" s="136"/>
      <c r="Z559" s="136"/>
      <c r="AA559" s="136"/>
    </row>
    <row r="560" spans="1:27" ht="12.75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36"/>
      <c r="T560" s="136"/>
      <c r="U560" s="136"/>
      <c r="V560" s="136"/>
      <c r="W560" s="136"/>
      <c r="X560" s="136"/>
      <c r="Y560" s="136"/>
      <c r="Z560" s="136"/>
      <c r="AA560" s="136"/>
    </row>
    <row r="561" spans="1:27" ht="12.75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36"/>
      <c r="T561" s="136"/>
      <c r="U561" s="136"/>
      <c r="V561" s="136"/>
      <c r="W561" s="136"/>
      <c r="X561" s="136"/>
      <c r="Y561" s="136"/>
      <c r="Z561" s="136"/>
      <c r="AA561" s="136"/>
    </row>
    <row r="562" spans="1:27" ht="12.75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36"/>
      <c r="T562" s="136"/>
      <c r="U562" s="136"/>
      <c r="V562" s="136"/>
      <c r="W562" s="136"/>
      <c r="X562" s="136"/>
      <c r="Y562" s="136"/>
      <c r="Z562" s="136"/>
      <c r="AA562" s="136"/>
    </row>
    <row r="563" spans="1:27" ht="12.75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36"/>
      <c r="T563" s="136"/>
      <c r="U563" s="136"/>
      <c r="V563" s="136"/>
      <c r="W563" s="136"/>
      <c r="X563" s="136"/>
      <c r="Y563" s="136"/>
      <c r="Z563" s="136"/>
      <c r="AA563" s="136"/>
    </row>
    <row r="564" spans="1:27" ht="12.75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36"/>
      <c r="T564" s="136"/>
      <c r="U564" s="136"/>
      <c r="V564" s="136"/>
      <c r="W564" s="136"/>
      <c r="X564" s="136"/>
      <c r="Y564" s="136"/>
      <c r="Z564" s="136"/>
      <c r="AA564" s="136"/>
    </row>
    <row r="565" spans="1:27" ht="12.7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36"/>
      <c r="T565" s="136"/>
      <c r="U565" s="136"/>
      <c r="V565" s="136"/>
      <c r="W565" s="136"/>
      <c r="X565" s="136"/>
      <c r="Y565" s="136"/>
      <c r="Z565" s="136"/>
      <c r="AA565" s="136"/>
    </row>
    <row r="566" spans="1:27" ht="12.75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36"/>
      <c r="T566" s="136"/>
      <c r="U566" s="136"/>
      <c r="V566" s="136"/>
      <c r="W566" s="136"/>
      <c r="X566" s="136"/>
      <c r="Y566" s="136"/>
      <c r="Z566" s="136"/>
      <c r="AA566" s="136"/>
    </row>
    <row r="567" spans="1:27" ht="12.75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36"/>
      <c r="T567" s="136"/>
      <c r="U567" s="136"/>
      <c r="V567" s="136"/>
      <c r="W567" s="136"/>
      <c r="X567" s="136"/>
      <c r="Y567" s="136"/>
      <c r="Z567" s="136"/>
      <c r="AA567" s="136"/>
    </row>
    <row r="568" spans="1:27" ht="12.75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36"/>
      <c r="T568" s="136"/>
      <c r="U568" s="136"/>
      <c r="V568" s="136"/>
      <c r="W568" s="136"/>
      <c r="X568" s="136"/>
      <c r="Y568" s="136"/>
      <c r="Z568" s="136"/>
      <c r="AA568" s="136"/>
    </row>
    <row r="569" spans="1:27" ht="12.75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36"/>
      <c r="T569" s="136"/>
      <c r="U569" s="136"/>
      <c r="V569" s="136"/>
      <c r="W569" s="136"/>
      <c r="X569" s="136"/>
      <c r="Y569" s="136"/>
      <c r="Z569" s="136"/>
      <c r="AA569" s="136"/>
    </row>
    <row r="570" spans="1:27" ht="12.75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36"/>
      <c r="T570" s="136"/>
      <c r="U570" s="136"/>
      <c r="V570" s="136"/>
      <c r="W570" s="136"/>
      <c r="X570" s="136"/>
      <c r="Y570" s="136"/>
      <c r="Z570" s="136"/>
      <c r="AA570" s="136"/>
    </row>
    <row r="571" spans="1:27" ht="12.75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36"/>
      <c r="T571" s="136"/>
      <c r="U571" s="136"/>
      <c r="V571" s="136"/>
      <c r="W571" s="136"/>
      <c r="X571" s="136"/>
      <c r="Y571" s="136"/>
      <c r="Z571" s="136"/>
      <c r="AA571" s="136"/>
    </row>
    <row r="572" spans="1:27" ht="12.75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36"/>
      <c r="T572" s="136"/>
      <c r="U572" s="136"/>
      <c r="V572" s="136"/>
      <c r="W572" s="136"/>
      <c r="X572" s="136"/>
      <c r="Y572" s="136"/>
      <c r="Z572" s="136"/>
      <c r="AA572" s="136"/>
    </row>
    <row r="573" spans="1:27" ht="12.75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36"/>
      <c r="T573" s="136"/>
      <c r="U573" s="136"/>
      <c r="V573" s="136"/>
      <c r="W573" s="136"/>
      <c r="X573" s="136"/>
      <c r="Y573" s="136"/>
      <c r="Z573" s="136"/>
      <c r="AA573" s="136"/>
    </row>
    <row r="574" spans="1:27" ht="12.75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36"/>
      <c r="T574" s="136"/>
      <c r="U574" s="136"/>
      <c r="V574" s="136"/>
      <c r="W574" s="136"/>
      <c r="X574" s="136"/>
      <c r="Y574" s="136"/>
      <c r="Z574" s="136"/>
      <c r="AA574" s="136"/>
    </row>
    <row r="575" spans="1:27" ht="12.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36"/>
      <c r="T575" s="136"/>
      <c r="U575" s="136"/>
      <c r="V575" s="136"/>
      <c r="W575" s="136"/>
      <c r="X575" s="136"/>
      <c r="Y575" s="136"/>
      <c r="Z575" s="136"/>
      <c r="AA575" s="136"/>
    </row>
    <row r="576" spans="1:27" ht="12.75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36"/>
      <c r="T576" s="136"/>
      <c r="U576" s="136"/>
      <c r="V576" s="136"/>
      <c r="W576" s="136"/>
      <c r="X576" s="136"/>
      <c r="Y576" s="136"/>
      <c r="Z576" s="136"/>
      <c r="AA576" s="136"/>
    </row>
    <row r="577" spans="1:27" ht="12.75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36"/>
      <c r="T577" s="136"/>
      <c r="U577" s="136"/>
      <c r="V577" s="136"/>
      <c r="W577" s="136"/>
      <c r="X577" s="136"/>
      <c r="Y577" s="136"/>
      <c r="Z577" s="136"/>
      <c r="AA577" s="136"/>
    </row>
    <row r="578" spans="1:27" ht="12.75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36"/>
      <c r="T578" s="136"/>
      <c r="U578" s="136"/>
      <c r="V578" s="136"/>
      <c r="W578" s="136"/>
      <c r="X578" s="136"/>
      <c r="Y578" s="136"/>
      <c r="Z578" s="136"/>
      <c r="AA578" s="136"/>
    </row>
    <row r="579" spans="1:27" ht="12.75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36"/>
      <c r="T579" s="136"/>
      <c r="U579" s="136"/>
      <c r="V579" s="136"/>
      <c r="W579" s="136"/>
      <c r="X579" s="136"/>
      <c r="Y579" s="136"/>
      <c r="Z579" s="136"/>
      <c r="AA579" s="136"/>
    </row>
    <row r="580" spans="1:27" ht="12.75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36"/>
      <c r="T580" s="136"/>
      <c r="U580" s="136"/>
      <c r="V580" s="136"/>
      <c r="W580" s="136"/>
      <c r="X580" s="136"/>
      <c r="Y580" s="136"/>
      <c r="Z580" s="136"/>
      <c r="AA580" s="136"/>
    </row>
    <row r="581" spans="1:27" ht="12.75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36"/>
      <c r="T581" s="136"/>
      <c r="U581" s="136"/>
      <c r="V581" s="136"/>
      <c r="W581" s="136"/>
      <c r="X581" s="136"/>
      <c r="Y581" s="136"/>
      <c r="Z581" s="136"/>
      <c r="AA581" s="136"/>
    </row>
    <row r="582" spans="1:27" ht="12.75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36"/>
      <c r="T582" s="136"/>
      <c r="U582" s="136"/>
      <c r="V582" s="136"/>
      <c r="W582" s="136"/>
      <c r="X582" s="136"/>
      <c r="Y582" s="136"/>
      <c r="Z582" s="136"/>
      <c r="AA582" s="136"/>
    </row>
    <row r="583" spans="1:27" ht="12.75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36"/>
      <c r="T583" s="136"/>
      <c r="U583" s="136"/>
      <c r="V583" s="136"/>
      <c r="W583" s="136"/>
      <c r="X583" s="136"/>
      <c r="Y583" s="136"/>
      <c r="Z583" s="136"/>
      <c r="AA583" s="136"/>
    </row>
    <row r="584" spans="1:27" ht="12.75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36"/>
      <c r="T584" s="136"/>
      <c r="U584" s="136"/>
      <c r="V584" s="136"/>
      <c r="W584" s="136"/>
      <c r="X584" s="136"/>
      <c r="Y584" s="136"/>
      <c r="Z584" s="136"/>
      <c r="AA584" s="136"/>
    </row>
    <row r="585" spans="1:27" ht="12.7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36"/>
      <c r="T585" s="136"/>
      <c r="U585" s="136"/>
      <c r="V585" s="136"/>
      <c r="W585" s="136"/>
      <c r="X585" s="136"/>
      <c r="Y585" s="136"/>
      <c r="Z585" s="136"/>
      <c r="AA585" s="136"/>
    </row>
    <row r="586" spans="1:27" ht="12.75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36"/>
      <c r="T586" s="136"/>
      <c r="U586" s="136"/>
      <c r="V586" s="136"/>
      <c r="W586" s="136"/>
      <c r="X586" s="136"/>
      <c r="Y586" s="136"/>
      <c r="Z586" s="136"/>
      <c r="AA586" s="136"/>
    </row>
    <row r="587" spans="1:27" ht="12.75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36"/>
      <c r="T587" s="136"/>
      <c r="U587" s="136"/>
      <c r="V587" s="136"/>
      <c r="W587" s="136"/>
      <c r="X587" s="136"/>
      <c r="Y587" s="136"/>
      <c r="Z587" s="136"/>
      <c r="AA587" s="136"/>
    </row>
    <row r="588" spans="1:27" ht="12.75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36"/>
      <c r="T588" s="136"/>
      <c r="U588" s="136"/>
      <c r="V588" s="136"/>
      <c r="W588" s="136"/>
      <c r="X588" s="136"/>
      <c r="Y588" s="136"/>
      <c r="Z588" s="136"/>
      <c r="AA588" s="136"/>
    </row>
    <row r="589" spans="1:27" ht="12.75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36"/>
      <c r="T589" s="136"/>
      <c r="U589" s="136"/>
      <c r="V589" s="136"/>
      <c r="W589" s="136"/>
      <c r="X589" s="136"/>
      <c r="Y589" s="136"/>
      <c r="Z589" s="136"/>
      <c r="AA589" s="136"/>
    </row>
    <row r="590" spans="1:27" ht="12.75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36"/>
      <c r="T590" s="136"/>
      <c r="U590" s="136"/>
      <c r="V590" s="136"/>
      <c r="W590" s="136"/>
      <c r="X590" s="136"/>
      <c r="Y590" s="136"/>
      <c r="Z590" s="136"/>
      <c r="AA590" s="136"/>
    </row>
    <row r="591" spans="1:27" ht="12.75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36"/>
      <c r="T591" s="136"/>
      <c r="U591" s="136"/>
      <c r="V591" s="136"/>
      <c r="W591" s="136"/>
      <c r="X591" s="136"/>
      <c r="Y591" s="136"/>
      <c r="Z591" s="136"/>
      <c r="AA591" s="136"/>
    </row>
    <row r="592" spans="1:27" ht="12.75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36"/>
      <c r="T592" s="136"/>
      <c r="U592" s="136"/>
      <c r="V592" s="136"/>
      <c r="W592" s="136"/>
      <c r="X592" s="136"/>
      <c r="Y592" s="136"/>
      <c r="Z592" s="136"/>
      <c r="AA592" s="136"/>
    </row>
    <row r="593" spans="1:27" ht="12.75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36"/>
      <c r="T593" s="136"/>
      <c r="U593" s="136"/>
      <c r="V593" s="136"/>
      <c r="W593" s="136"/>
      <c r="X593" s="136"/>
      <c r="Y593" s="136"/>
      <c r="Z593" s="136"/>
      <c r="AA593" s="136"/>
    </row>
    <row r="594" spans="1:27" ht="12.75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36"/>
      <c r="T594" s="136"/>
      <c r="U594" s="136"/>
      <c r="V594" s="136"/>
      <c r="W594" s="136"/>
      <c r="X594" s="136"/>
      <c r="Y594" s="136"/>
      <c r="Z594" s="136"/>
      <c r="AA594" s="136"/>
    </row>
    <row r="595" spans="1:27" ht="12.7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36"/>
      <c r="T595" s="136"/>
      <c r="U595" s="136"/>
      <c r="V595" s="136"/>
      <c r="W595" s="136"/>
      <c r="X595" s="136"/>
      <c r="Y595" s="136"/>
      <c r="Z595" s="136"/>
      <c r="AA595" s="136"/>
    </row>
    <row r="596" spans="1:27" ht="12.75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36"/>
      <c r="T596" s="136"/>
      <c r="U596" s="136"/>
      <c r="V596" s="136"/>
      <c r="W596" s="136"/>
      <c r="X596" s="136"/>
      <c r="Y596" s="136"/>
      <c r="Z596" s="136"/>
      <c r="AA596" s="136"/>
    </row>
    <row r="597" spans="1:27" ht="12.75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36"/>
      <c r="T597" s="136"/>
      <c r="U597" s="136"/>
      <c r="V597" s="136"/>
      <c r="W597" s="136"/>
      <c r="X597" s="136"/>
      <c r="Y597" s="136"/>
      <c r="Z597" s="136"/>
      <c r="AA597" s="136"/>
    </row>
    <row r="598" spans="1:27" ht="12.75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36"/>
      <c r="T598" s="136"/>
      <c r="U598" s="136"/>
      <c r="V598" s="136"/>
      <c r="W598" s="136"/>
      <c r="X598" s="136"/>
      <c r="Y598" s="136"/>
      <c r="Z598" s="136"/>
      <c r="AA598" s="136"/>
    </row>
    <row r="599" spans="1:27" ht="12.75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36"/>
      <c r="T599" s="136"/>
      <c r="U599" s="136"/>
      <c r="V599" s="136"/>
      <c r="W599" s="136"/>
      <c r="X599" s="136"/>
      <c r="Y599" s="136"/>
      <c r="Z599" s="136"/>
      <c r="AA599" s="136"/>
    </row>
    <row r="600" spans="1:27" ht="12.75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36"/>
      <c r="T600" s="136"/>
      <c r="U600" s="136"/>
      <c r="V600" s="136"/>
      <c r="W600" s="136"/>
      <c r="X600" s="136"/>
      <c r="Y600" s="136"/>
      <c r="Z600" s="136"/>
      <c r="AA600" s="136"/>
    </row>
    <row r="601" spans="1:27" ht="12.75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36"/>
      <c r="T601" s="136"/>
      <c r="U601" s="136"/>
      <c r="V601" s="136"/>
      <c r="W601" s="136"/>
      <c r="X601" s="136"/>
      <c r="Y601" s="136"/>
      <c r="Z601" s="136"/>
      <c r="AA601" s="136"/>
    </row>
    <row r="602" spans="1:27" ht="12.75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36"/>
      <c r="T602" s="136"/>
      <c r="U602" s="136"/>
      <c r="V602" s="136"/>
      <c r="W602" s="136"/>
      <c r="X602" s="136"/>
      <c r="Y602" s="136"/>
      <c r="Z602" s="136"/>
      <c r="AA602" s="136"/>
    </row>
    <row r="603" spans="1:27" ht="12.75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36"/>
      <c r="T603" s="136"/>
      <c r="U603" s="136"/>
      <c r="V603" s="136"/>
      <c r="W603" s="136"/>
      <c r="X603" s="136"/>
      <c r="Y603" s="136"/>
      <c r="Z603" s="136"/>
      <c r="AA603" s="136"/>
    </row>
    <row r="604" spans="1:27" ht="12.75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36"/>
      <c r="T604" s="136"/>
      <c r="U604" s="136"/>
      <c r="V604" s="136"/>
      <c r="W604" s="136"/>
      <c r="X604" s="136"/>
      <c r="Y604" s="136"/>
      <c r="Z604" s="136"/>
      <c r="AA604" s="136"/>
    </row>
    <row r="605" spans="1:27" ht="12.7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36"/>
      <c r="T605" s="136"/>
      <c r="U605" s="136"/>
      <c r="V605" s="136"/>
      <c r="W605" s="136"/>
      <c r="X605" s="136"/>
      <c r="Y605" s="136"/>
      <c r="Z605" s="136"/>
      <c r="AA605" s="136"/>
    </row>
    <row r="606" spans="1:27" ht="12.75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36"/>
      <c r="T606" s="136"/>
      <c r="U606" s="136"/>
      <c r="V606" s="136"/>
      <c r="W606" s="136"/>
      <c r="X606" s="136"/>
      <c r="Y606" s="136"/>
      <c r="Z606" s="136"/>
      <c r="AA606" s="136"/>
    </row>
    <row r="607" spans="1:27" ht="12.75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36"/>
      <c r="T607" s="136"/>
      <c r="U607" s="136"/>
      <c r="V607" s="136"/>
      <c r="W607" s="136"/>
      <c r="X607" s="136"/>
      <c r="Y607" s="136"/>
      <c r="Z607" s="136"/>
      <c r="AA607" s="136"/>
    </row>
    <row r="608" spans="1:27" ht="12.75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36"/>
      <c r="T608" s="136"/>
      <c r="U608" s="136"/>
      <c r="V608" s="136"/>
      <c r="W608" s="136"/>
      <c r="X608" s="136"/>
      <c r="Y608" s="136"/>
      <c r="Z608" s="136"/>
      <c r="AA608" s="136"/>
    </row>
    <row r="609" spans="1:27" ht="12.75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36"/>
      <c r="T609" s="136"/>
      <c r="U609" s="136"/>
      <c r="V609" s="136"/>
      <c r="W609" s="136"/>
      <c r="X609" s="136"/>
      <c r="Y609" s="136"/>
      <c r="Z609" s="136"/>
      <c r="AA609" s="136"/>
    </row>
    <row r="610" spans="1:27" ht="12.75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36"/>
      <c r="T610" s="136"/>
      <c r="U610" s="136"/>
      <c r="V610" s="136"/>
      <c r="W610" s="136"/>
      <c r="X610" s="136"/>
      <c r="Y610" s="136"/>
      <c r="Z610" s="136"/>
      <c r="AA610" s="136"/>
    </row>
    <row r="611" spans="1:27" ht="12.75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36"/>
      <c r="T611" s="136"/>
      <c r="U611" s="136"/>
      <c r="V611" s="136"/>
      <c r="W611" s="136"/>
      <c r="X611" s="136"/>
      <c r="Y611" s="136"/>
      <c r="Z611" s="136"/>
      <c r="AA611" s="136"/>
    </row>
    <row r="612" spans="1:27" ht="12.75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36"/>
      <c r="T612" s="136"/>
      <c r="U612" s="136"/>
      <c r="V612" s="136"/>
      <c r="W612" s="136"/>
      <c r="X612" s="136"/>
      <c r="Y612" s="136"/>
      <c r="Z612" s="136"/>
      <c r="AA612" s="136"/>
    </row>
    <row r="613" spans="1:27" ht="12.75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36"/>
      <c r="T613" s="136"/>
      <c r="U613" s="136"/>
      <c r="V613" s="136"/>
      <c r="W613" s="136"/>
      <c r="X613" s="136"/>
      <c r="Y613" s="136"/>
      <c r="Z613" s="136"/>
      <c r="AA613" s="136"/>
    </row>
    <row r="614" spans="1:27" ht="12.75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36"/>
      <c r="T614" s="136"/>
      <c r="U614" s="136"/>
      <c r="V614" s="136"/>
      <c r="W614" s="136"/>
      <c r="X614" s="136"/>
      <c r="Y614" s="136"/>
      <c r="Z614" s="136"/>
      <c r="AA614" s="136"/>
    </row>
    <row r="615" spans="1:27" ht="12.7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36"/>
      <c r="T615" s="136"/>
      <c r="U615" s="136"/>
      <c r="V615" s="136"/>
      <c r="W615" s="136"/>
      <c r="X615" s="136"/>
      <c r="Y615" s="136"/>
      <c r="Z615" s="136"/>
      <c r="AA615" s="136"/>
    </row>
    <row r="616" spans="1:27" ht="12.75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36"/>
      <c r="T616" s="136"/>
      <c r="U616" s="136"/>
      <c r="V616" s="136"/>
      <c r="W616" s="136"/>
      <c r="X616" s="136"/>
      <c r="Y616" s="136"/>
      <c r="Z616" s="136"/>
      <c r="AA616" s="136"/>
    </row>
    <row r="617" spans="1:27" ht="12.75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36"/>
      <c r="T617" s="136"/>
      <c r="U617" s="136"/>
      <c r="V617" s="136"/>
      <c r="W617" s="136"/>
      <c r="X617" s="136"/>
      <c r="Y617" s="136"/>
      <c r="Z617" s="136"/>
      <c r="AA617" s="136"/>
    </row>
    <row r="618" spans="1:27" ht="12.75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36"/>
      <c r="T618" s="136"/>
      <c r="U618" s="136"/>
      <c r="V618" s="136"/>
      <c r="W618" s="136"/>
      <c r="X618" s="136"/>
      <c r="Y618" s="136"/>
      <c r="Z618" s="136"/>
      <c r="AA618" s="136"/>
    </row>
    <row r="619" spans="1:27" ht="12.75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36"/>
      <c r="T619" s="136"/>
      <c r="U619" s="136"/>
      <c r="V619" s="136"/>
      <c r="W619" s="136"/>
      <c r="X619" s="136"/>
      <c r="Y619" s="136"/>
      <c r="Z619" s="136"/>
      <c r="AA619" s="136"/>
    </row>
    <row r="620" spans="1:27" ht="12.75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36"/>
      <c r="T620" s="136"/>
      <c r="U620" s="136"/>
      <c r="V620" s="136"/>
      <c r="W620" s="136"/>
      <c r="X620" s="136"/>
      <c r="Y620" s="136"/>
      <c r="Z620" s="136"/>
      <c r="AA620" s="136"/>
    </row>
    <row r="621" spans="1:27" ht="12.75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36"/>
      <c r="T621" s="136"/>
      <c r="U621" s="136"/>
      <c r="V621" s="136"/>
      <c r="W621" s="136"/>
      <c r="X621" s="136"/>
      <c r="Y621" s="136"/>
      <c r="Z621" s="136"/>
      <c r="AA621" s="136"/>
    </row>
    <row r="622" spans="1:27" ht="12.75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36"/>
      <c r="T622" s="136"/>
      <c r="U622" s="136"/>
      <c r="V622" s="136"/>
      <c r="W622" s="136"/>
      <c r="X622" s="136"/>
      <c r="Y622" s="136"/>
      <c r="Z622" s="136"/>
      <c r="AA622" s="136"/>
    </row>
    <row r="623" spans="1:27" ht="12.75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36"/>
      <c r="T623" s="136"/>
      <c r="U623" s="136"/>
      <c r="V623" s="136"/>
      <c r="W623" s="136"/>
      <c r="X623" s="136"/>
      <c r="Y623" s="136"/>
      <c r="Z623" s="136"/>
      <c r="AA623" s="136"/>
    </row>
    <row r="624" spans="1:27" ht="12.75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36"/>
      <c r="T624" s="136"/>
      <c r="U624" s="136"/>
      <c r="V624" s="136"/>
      <c r="W624" s="136"/>
      <c r="X624" s="136"/>
      <c r="Y624" s="136"/>
      <c r="Z624" s="136"/>
      <c r="AA624" s="136"/>
    </row>
    <row r="625" spans="1:27" ht="12.7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36"/>
      <c r="T625" s="136"/>
      <c r="U625" s="136"/>
      <c r="V625" s="136"/>
      <c r="W625" s="136"/>
      <c r="X625" s="136"/>
      <c r="Y625" s="136"/>
      <c r="Z625" s="136"/>
      <c r="AA625" s="136"/>
    </row>
    <row r="626" spans="1:27" ht="12.75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36"/>
      <c r="T626" s="136"/>
      <c r="U626" s="136"/>
      <c r="V626" s="136"/>
      <c r="W626" s="136"/>
      <c r="X626" s="136"/>
      <c r="Y626" s="136"/>
      <c r="Z626" s="136"/>
      <c r="AA626" s="136"/>
    </row>
    <row r="627" spans="1:27" ht="12.75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36"/>
      <c r="T627" s="136"/>
      <c r="U627" s="136"/>
      <c r="V627" s="136"/>
      <c r="W627" s="136"/>
      <c r="X627" s="136"/>
      <c r="Y627" s="136"/>
      <c r="Z627" s="136"/>
      <c r="AA627" s="136"/>
    </row>
    <row r="628" spans="1:27" ht="12.75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36"/>
      <c r="T628" s="136"/>
      <c r="U628" s="136"/>
      <c r="V628" s="136"/>
      <c r="W628" s="136"/>
      <c r="X628" s="136"/>
      <c r="Y628" s="136"/>
      <c r="Z628" s="136"/>
      <c r="AA628" s="136"/>
    </row>
    <row r="629" spans="1:27" ht="12.75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36"/>
      <c r="T629" s="136"/>
      <c r="U629" s="136"/>
      <c r="V629" s="136"/>
      <c r="W629" s="136"/>
      <c r="X629" s="136"/>
      <c r="Y629" s="136"/>
      <c r="Z629" s="136"/>
      <c r="AA629" s="136"/>
    </row>
    <row r="630" spans="1:27" ht="12.75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36"/>
      <c r="T630" s="136"/>
      <c r="U630" s="136"/>
      <c r="V630" s="136"/>
      <c r="W630" s="136"/>
      <c r="X630" s="136"/>
      <c r="Y630" s="136"/>
      <c r="Z630" s="136"/>
      <c r="AA630" s="136"/>
    </row>
    <row r="631" spans="1:27" ht="12.75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36"/>
      <c r="T631" s="136"/>
      <c r="U631" s="136"/>
      <c r="V631" s="136"/>
      <c r="W631" s="136"/>
      <c r="X631" s="136"/>
      <c r="Y631" s="136"/>
      <c r="Z631" s="136"/>
      <c r="AA631" s="136"/>
    </row>
    <row r="632" spans="1:27" ht="12.75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36"/>
      <c r="T632" s="136"/>
      <c r="U632" s="136"/>
      <c r="V632" s="136"/>
      <c r="W632" s="136"/>
      <c r="X632" s="136"/>
      <c r="Y632" s="136"/>
      <c r="Z632" s="136"/>
      <c r="AA632" s="136"/>
    </row>
    <row r="633" spans="1:27" ht="12.75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36"/>
      <c r="T633" s="136"/>
      <c r="U633" s="136"/>
      <c r="V633" s="136"/>
      <c r="W633" s="136"/>
      <c r="X633" s="136"/>
      <c r="Y633" s="136"/>
      <c r="Z633" s="136"/>
      <c r="AA633" s="136"/>
    </row>
    <row r="634" spans="1:27" ht="12.75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36"/>
      <c r="T634" s="136"/>
      <c r="U634" s="136"/>
      <c r="V634" s="136"/>
      <c r="W634" s="136"/>
      <c r="X634" s="136"/>
      <c r="Y634" s="136"/>
      <c r="Z634" s="136"/>
      <c r="AA634" s="136"/>
    </row>
    <row r="635" spans="1:27" ht="12.7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36"/>
      <c r="T635" s="136"/>
      <c r="U635" s="136"/>
      <c r="V635" s="136"/>
      <c r="W635" s="136"/>
      <c r="X635" s="136"/>
      <c r="Y635" s="136"/>
      <c r="Z635" s="136"/>
      <c r="AA635" s="136"/>
    </row>
    <row r="636" spans="1:27" ht="12.75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36"/>
      <c r="T636" s="136"/>
      <c r="U636" s="136"/>
      <c r="V636" s="136"/>
      <c r="W636" s="136"/>
      <c r="X636" s="136"/>
      <c r="Y636" s="136"/>
      <c r="Z636" s="136"/>
      <c r="AA636" s="136"/>
    </row>
    <row r="637" spans="1:27" ht="12.75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36"/>
      <c r="T637" s="136"/>
      <c r="U637" s="136"/>
      <c r="V637" s="136"/>
      <c r="W637" s="136"/>
      <c r="X637" s="136"/>
      <c r="Y637" s="136"/>
      <c r="Z637" s="136"/>
      <c r="AA637" s="136"/>
    </row>
    <row r="638" spans="1:27" ht="12.75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36"/>
      <c r="T638" s="136"/>
      <c r="U638" s="136"/>
      <c r="V638" s="136"/>
      <c r="W638" s="136"/>
      <c r="X638" s="136"/>
      <c r="Y638" s="136"/>
      <c r="Z638" s="136"/>
      <c r="AA638" s="136"/>
    </row>
    <row r="639" spans="1:27" ht="12.75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36"/>
      <c r="T639" s="136"/>
      <c r="U639" s="136"/>
      <c r="V639" s="136"/>
      <c r="W639" s="136"/>
      <c r="X639" s="136"/>
      <c r="Y639" s="136"/>
      <c r="Z639" s="136"/>
      <c r="AA639" s="136"/>
    </row>
    <row r="640" spans="1:27" ht="12.75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36"/>
      <c r="T640" s="136"/>
      <c r="U640" s="136"/>
      <c r="V640" s="136"/>
      <c r="W640" s="136"/>
      <c r="X640" s="136"/>
      <c r="Y640" s="136"/>
      <c r="Z640" s="136"/>
      <c r="AA640" s="136"/>
    </row>
    <row r="641" spans="1:27" ht="12.75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36"/>
      <c r="T641" s="136"/>
      <c r="U641" s="136"/>
      <c r="V641" s="136"/>
      <c r="W641" s="136"/>
      <c r="X641" s="136"/>
      <c r="Y641" s="136"/>
      <c r="Z641" s="136"/>
      <c r="AA641" s="136"/>
    </row>
    <row r="642" spans="1:27" ht="12.75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36"/>
      <c r="T642" s="136"/>
      <c r="U642" s="136"/>
      <c r="V642" s="136"/>
      <c r="W642" s="136"/>
      <c r="X642" s="136"/>
      <c r="Y642" s="136"/>
      <c r="Z642" s="136"/>
      <c r="AA642" s="136"/>
    </row>
    <row r="643" spans="1:27" ht="12.75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36"/>
      <c r="T643" s="136"/>
      <c r="U643" s="136"/>
      <c r="V643" s="136"/>
      <c r="W643" s="136"/>
      <c r="X643" s="136"/>
      <c r="Y643" s="136"/>
      <c r="Z643" s="136"/>
      <c r="AA643" s="136"/>
    </row>
    <row r="644" spans="1:27" ht="12.75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36"/>
      <c r="T644" s="136"/>
      <c r="U644" s="136"/>
      <c r="V644" s="136"/>
      <c r="W644" s="136"/>
      <c r="X644" s="136"/>
      <c r="Y644" s="136"/>
      <c r="Z644" s="136"/>
      <c r="AA644" s="136"/>
    </row>
    <row r="645" spans="1:27" ht="12.7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36"/>
      <c r="T645" s="136"/>
      <c r="U645" s="136"/>
      <c r="V645" s="136"/>
      <c r="W645" s="136"/>
      <c r="X645" s="136"/>
      <c r="Y645" s="136"/>
      <c r="Z645" s="136"/>
      <c r="AA645" s="136"/>
    </row>
    <row r="646" spans="1:27" ht="12.75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36"/>
      <c r="T646" s="136"/>
      <c r="U646" s="136"/>
      <c r="V646" s="136"/>
      <c r="W646" s="136"/>
      <c r="X646" s="136"/>
      <c r="Y646" s="136"/>
      <c r="Z646" s="136"/>
      <c r="AA646" s="136"/>
    </row>
    <row r="647" spans="1:27" ht="12.75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36"/>
      <c r="T647" s="136"/>
      <c r="U647" s="136"/>
      <c r="V647" s="136"/>
      <c r="W647" s="136"/>
      <c r="X647" s="136"/>
      <c r="Y647" s="136"/>
      <c r="Z647" s="136"/>
      <c r="AA647" s="136"/>
    </row>
    <row r="648" spans="1:27" ht="12.75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36"/>
      <c r="T648" s="136"/>
      <c r="U648" s="136"/>
      <c r="V648" s="136"/>
      <c r="W648" s="136"/>
      <c r="X648" s="136"/>
      <c r="Y648" s="136"/>
      <c r="Z648" s="136"/>
      <c r="AA648" s="136"/>
    </row>
    <row r="649" spans="1:27" ht="12.75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36"/>
      <c r="T649" s="136"/>
      <c r="U649" s="136"/>
      <c r="V649" s="136"/>
      <c r="W649" s="136"/>
      <c r="X649" s="136"/>
      <c r="Y649" s="136"/>
      <c r="Z649" s="136"/>
      <c r="AA649" s="136"/>
    </row>
    <row r="650" spans="1:27" ht="12.75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36"/>
      <c r="T650" s="136"/>
      <c r="U650" s="136"/>
      <c r="V650" s="136"/>
      <c r="W650" s="136"/>
      <c r="X650" s="136"/>
      <c r="Y650" s="136"/>
      <c r="Z650" s="136"/>
      <c r="AA650" s="136"/>
    </row>
    <row r="651" spans="1:27" ht="12.75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36"/>
      <c r="T651" s="136"/>
      <c r="U651" s="136"/>
      <c r="V651" s="136"/>
      <c r="W651" s="136"/>
      <c r="X651" s="136"/>
      <c r="Y651" s="136"/>
      <c r="Z651" s="136"/>
      <c r="AA651" s="136"/>
    </row>
    <row r="652" spans="1:27" ht="12.75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36"/>
      <c r="T652" s="136"/>
      <c r="U652" s="136"/>
      <c r="V652" s="136"/>
      <c r="W652" s="136"/>
      <c r="X652" s="136"/>
      <c r="Y652" s="136"/>
      <c r="Z652" s="136"/>
      <c r="AA652" s="136"/>
    </row>
    <row r="653" spans="1:27" ht="12.75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36"/>
      <c r="T653" s="136"/>
      <c r="U653" s="136"/>
      <c r="V653" s="136"/>
      <c r="W653" s="136"/>
      <c r="X653" s="136"/>
      <c r="Y653" s="136"/>
      <c r="Z653" s="136"/>
      <c r="AA653" s="136"/>
    </row>
    <row r="654" spans="1:27" ht="12.75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36"/>
      <c r="T654" s="136"/>
      <c r="U654" s="136"/>
      <c r="V654" s="136"/>
      <c r="W654" s="136"/>
      <c r="X654" s="136"/>
      <c r="Y654" s="136"/>
      <c r="Z654" s="136"/>
      <c r="AA654" s="136"/>
    </row>
    <row r="655" spans="1:27" ht="12.7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36"/>
      <c r="T655" s="136"/>
      <c r="U655" s="136"/>
      <c r="V655" s="136"/>
      <c r="W655" s="136"/>
      <c r="X655" s="136"/>
      <c r="Y655" s="136"/>
      <c r="Z655" s="136"/>
      <c r="AA655" s="136"/>
    </row>
    <row r="656" spans="1:27" ht="12.75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36"/>
      <c r="T656" s="136"/>
      <c r="U656" s="136"/>
      <c r="V656" s="136"/>
      <c r="W656" s="136"/>
      <c r="X656" s="136"/>
      <c r="Y656" s="136"/>
      <c r="Z656" s="136"/>
      <c r="AA656" s="136"/>
    </row>
    <row r="657" spans="1:27" ht="12.75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36"/>
      <c r="T657" s="136"/>
      <c r="U657" s="136"/>
      <c r="V657" s="136"/>
      <c r="W657" s="136"/>
      <c r="X657" s="136"/>
      <c r="Y657" s="136"/>
      <c r="Z657" s="136"/>
      <c r="AA657" s="136"/>
    </row>
    <row r="658" spans="1:27" ht="12.75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36"/>
      <c r="T658" s="136"/>
      <c r="U658" s="136"/>
      <c r="V658" s="136"/>
      <c r="W658" s="136"/>
      <c r="X658" s="136"/>
      <c r="Y658" s="136"/>
      <c r="Z658" s="136"/>
      <c r="AA658" s="136"/>
    </row>
    <row r="659" spans="1:27" ht="12.75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36"/>
      <c r="T659" s="136"/>
      <c r="U659" s="136"/>
      <c r="V659" s="136"/>
      <c r="W659" s="136"/>
      <c r="X659" s="136"/>
      <c r="Y659" s="136"/>
      <c r="Z659" s="136"/>
      <c r="AA659" s="136"/>
    </row>
    <row r="660" spans="1:27" ht="12.75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36"/>
      <c r="T660" s="136"/>
      <c r="U660" s="136"/>
      <c r="V660" s="136"/>
      <c r="W660" s="136"/>
      <c r="X660" s="136"/>
      <c r="Y660" s="136"/>
      <c r="Z660" s="136"/>
      <c r="AA660" s="136"/>
    </row>
    <row r="661" spans="1:27" ht="12.75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36"/>
      <c r="T661" s="136"/>
      <c r="U661" s="136"/>
      <c r="V661" s="136"/>
      <c r="W661" s="136"/>
      <c r="X661" s="136"/>
      <c r="Y661" s="136"/>
      <c r="Z661" s="136"/>
      <c r="AA661" s="136"/>
    </row>
    <row r="662" spans="1:27" ht="12.75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36"/>
      <c r="T662" s="136"/>
      <c r="U662" s="136"/>
      <c r="V662" s="136"/>
      <c r="W662" s="136"/>
      <c r="X662" s="136"/>
      <c r="Y662" s="136"/>
      <c r="Z662" s="136"/>
      <c r="AA662" s="136"/>
    </row>
    <row r="663" spans="1:27" ht="12.75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36"/>
      <c r="T663" s="136"/>
      <c r="U663" s="136"/>
      <c r="V663" s="136"/>
      <c r="W663" s="136"/>
      <c r="X663" s="136"/>
      <c r="Y663" s="136"/>
      <c r="Z663" s="136"/>
      <c r="AA663" s="136"/>
    </row>
    <row r="664" spans="1:27" ht="12.75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36"/>
      <c r="T664" s="136"/>
      <c r="U664" s="136"/>
      <c r="V664" s="136"/>
      <c r="W664" s="136"/>
      <c r="X664" s="136"/>
      <c r="Y664" s="136"/>
      <c r="Z664" s="136"/>
      <c r="AA664" s="136"/>
    </row>
    <row r="665" spans="1:27" ht="12.7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36"/>
      <c r="T665" s="136"/>
      <c r="U665" s="136"/>
      <c r="V665" s="136"/>
      <c r="W665" s="136"/>
      <c r="X665" s="136"/>
      <c r="Y665" s="136"/>
      <c r="Z665" s="136"/>
      <c r="AA665" s="136"/>
    </row>
    <row r="666" spans="1:27" ht="12.75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36"/>
      <c r="T666" s="136"/>
      <c r="U666" s="136"/>
      <c r="V666" s="136"/>
      <c r="W666" s="136"/>
      <c r="X666" s="136"/>
      <c r="Y666" s="136"/>
      <c r="Z666" s="136"/>
      <c r="AA666" s="136"/>
    </row>
    <row r="667" spans="1:27" ht="12.75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36"/>
      <c r="T667" s="136"/>
      <c r="U667" s="136"/>
      <c r="V667" s="136"/>
      <c r="W667" s="136"/>
      <c r="X667" s="136"/>
      <c r="Y667" s="136"/>
      <c r="Z667" s="136"/>
      <c r="AA667" s="136"/>
    </row>
    <row r="668" spans="1:27" ht="12.75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36"/>
      <c r="T668" s="136"/>
      <c r="U668" s="136"/>
      <c r="V668" s="136"/>
      <c r="W668" s="136"/>
      <c r="X668" s="136"/>
      <c r="Y668" s="136"/>
      <c r="Z668" s="136"/>
      <c r="AA668" s="136"/>
    </row>
    <row r="669" spans="1:27" ht="12.75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36"/>
      <c r="T669" s="136"/>
      <c r="U669" s="136"/>
      <c r="V669" s="136"/>
      <c r="W669" s="136"/>
      <c r="X669" s="136"/>
      <c r="Y669" s="136"/>
      <c r="Z669" s="136"/>
      <c r="AA669" s="136"/>
    </row>
    <row r="670" spans="1:27" ht="12.75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36"/>
      <c r="T670" s="136"/>
      <c r="U670" s="136"/>
      <c r="V670" s="136"/>
      <c r="W670" s="136"/>
      <c r="X670" s="136"/>
      <c r="Y670" s="136"/>
      <c r="Z670" s="136"/>
      <c r="AA670" s="136"/>
    </row>
    <row r="671" spans="1:27" ht="12.75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36"/>
      <c r="T671" s="136"/>
      <c r="U671" s="136"/>
      <c r="V671" s="136"/>
      <c r="W671" s="136"/>
      <c r="X671" s="136"/>
      <c r="Y671" s="136"/>
      <c r="Z671" s="136"/>
      <c r="AA671" s="136"/>
    </row>
    <row r="672" spans="1:27" ht="12.75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36"/>
      <c r="T672" s="136"/>
      <c r="U672" s="136"/>
      <c r="V672" s="136"/>
      <c r="W672" s="136"/>
      <c r="X672" s="136"/>
      <c r="Y672" s="136"/>
      <c r="Z672" s="136"/>
      <c r="AA672" s="136"/>
    </row>
    <row r="673" spans="1:27" ht="12.75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36"/>
      <c r="T673" s="136"/>
      <c r="U673" s="136"/>
      <c r="V673" s="136"/>
      <c r="W673" s="136"/>
      <c r="X673" s="136"/>
      <c r="Y673" s="136"/>
      <c r="Z673" s="136"/>
      <c r="AA673" s="136"/>
    </row>
    <row r="674" spans="1:27" ht="12.75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36"/>
      <c r="T674" s="136"/>
      <c r="U674" s="136"/>
      <c r="V674" s="136"/>
      <c r="W674" s="136"/>
      <c r="X674" s="136"/>
      <c r="Y674" s="136"/>
      <c r="Z674" s="136"/>
      <c r="AA674" s="136"/>
    </row>
    <row r="675" spans="1:27" ht="12.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36"/>
      <c r="T675" s="136"/>
      <c r="U675" s="136"/>
      <c r="V675" s="136"/>
      <c r="W675" s="136"/>
      <c r="X675" s="136"/>
      <c r="Y675" s="136"/>
      <c r="Z675" s="136"/>
      <c r="AA675" s="136"/>
    </row>
    <row r="676" spans="1:27" ht="12.75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36"/>
      <c r="T676" s="136"/>
      <c r="U676" s="136"/>
      <c r="V676" s="136"/>
      <c r="W676" s="136"/>
      <c r="X676" s="136"/>
      <c r="Y676" s="136"/>
      <c r="Z676" s="136"/>
      <c r="AA676" s="136"/>
    </row>
    <row r="677" spans="1:27" ht="12.75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36"/>
      <c r="T677" s="136"/>
      <c r="U677" s="136"/>
      <c r="V677" s="136"/>
      <c r="W677" s="136"/>
      <c r="X677" s="136"/>
      <c r="Y677" s="136"/>
      <c r="Z677" s="136"/>
      <c r="AA677" s="136"/>
    </row>
    <row r="678" spans="1:27" ht="12.75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36"/>
      <c r="T678" s="136"/>
      <c r="U678" s="136"/>
      <c r="V678" s="136"/>
      <c r="W678" s="136"/>
      <c r="X678" s="136"/>
      <c r="Y678" s="136"/>
      <c r="Z678" s="136"/>
      <c r="AA678" s="136"/>
    </row>
    <row r="679" spans="1:27" ht="12.75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36"/>
      <c r="T679" s="136"/>
      <c r="U679" s="136"/>
      <c r="V679" s="136"/>
      <c r="W679" s="136"/>
      <c r="X679" s="136"/>
      <c r="Y679" s="136"/>
      <c r="Z679" s="136"/>
      <c r="AA679" s="136"/>
    </row>
    <row r="680" spans="1:27" ht="12.75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36"/>
      <c r="T680" s="136"/>
      <c r="U680" s="136"/>
      <c r="V680" s="136"/>
      <c r="W680" s="136"/>
      <c r="X680" s="136"/>
      <c r="Y680" s="136"/>
      <c r="Z680" s="136"/>
      <c r="AA680" s="136"/>
    </row>
    <row r="681" spans="1:27" ht="12.75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36"/>
      <c r="T681" s="136"/>
      <c r="U681" s="136"/>
      <c r="V681" s="136"/>
      <c r="W681" s="136"/>
      <c r="X681" s="136"/>
      <c r="Y681" s="136"/>
      <c r="Z681" s="136"/>
      <c r="AA681" s="136"/>
    </row>
    <row r="682" spans="1:27" ht="12.75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36"/>
      <c r="T682" s="136"/>
      <c r="U682" s="136"/>
      <c r="V682" s="136"/>
      <c r="W682" s="136"/>
      <c r="X682" s="136"/>
      <c r="Y682" s="136"/>
      <c r="Z682" s="136"/>
      <c r="AA682" s="136"/>
    </row>
    <row r="683" spans="1:27" ht="12.75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36"/>
      <c r="T683" s="136"/>
      <c r="U683" s="136"/>
      <c r="V683" s="136"/>
      <c r="W683" s="136"/>
      <c r="X683" s="136"/>
      <c r="Y683" s="136"/>
      <c r="Z683" s="136"/>
      <c r="AA683" s="136"/>
    </row>
    <row r="684" spans="1:27" ht="12.75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36"/>
      <c r="T684" s="136"/>
      <c r="U684" s="136"/>
      <c r="V684" s="136"/>
      <c r="W684" s="136"/>
      <c r="X684" s="136"/>
      <c r="Y684" s="136"/>
      <c r="Z684" s="136"/>
      <c r="AA684" s="136"/>
    </row>
    <row r="685" spans="1:27" ht="12.7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36"/>
      <c r="T685" s="136"/>
      <c r="U685" s="136"/>
      <c r="V685" s="136"/>
      <c r="W685" s="136"/>
      <c r="X685" s="136"/>
      <c r="Y685" s="136"/>
      <c r="Z685" s="136"/>
      <c r="AA685" s="136"/>
    </row>
    <row r="686" spans="1:27" ht="12.75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36"/>
      <c r="T686" s="136"/>
      <c r="U686" s="136"/>
      <c r="V686" s="136"/>
      <c r="W686" s="136"/>
      <c r="X686" s="136"/>
      <c r="Y686" s="136"/>
      <c r="Z686" s="136"/>
      <c r="AA686" s="136"/>
    </row>
    <row r="687" spans="1:27" ht="12.75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36"/>
      <c r="T687" s="136"/>
      <c r="U687" s="136"/>
      <c r="V687" s="136"/>
      <c r="W687" s="136"/>
      <c r="X687" s="136"/>
      <c r="Y687" s="136"/>
      <c r="Z687" s="136"/>
      <c r="AA687" s="136"/>
    </row>
    <row r="688" spans="1:27" ht="12.75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36"/>
      <c r="T688" s="136"/>
      <c r="U688" s="136"/>
      <c r="V688" s="136"/>
      <c r="W688" s="136"/>
      <c r="X688" s="136"/>
      <c r="Y688" s="136"/>
      <c r="Z688" s="136"/>
      <c r="AA688" s="136"/>
    </row>
    <row r="689" spans="1:27" ht="12.75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36"/>
      <c r="T689" s="136"/>
      <c r="U689" s="136"/>
      <c r="V689" s="136"/>
      <c r="W689" s="136"/>
      <c r="X689" s="136"/>
      <c r="Y689" s="136"/>
      <c r="Z689" s="136"/>
      <c r="AA689" s="136"/>
    </row>
    <row r="690" spans="1:27" ht="12.75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36"/>
      <c r="T690" s="136"/>
      <c r="U690" s="136"/>
      <c r="V690" s="136"/>
      <c r="W690" s="136"/>
      <c r="X690" s="136"/>
      <c r="Y690" s="136"/>
      <c r="Z690" s="136"/>
      <c r="AA690" s="136"/>
    </row>
    <row r="691" spans="1:27" ht="12.75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36"/>
      <c r="T691" s="136"/>
      <c r="U691" s="136"/>
      <c r="V691" s="136"/>
      <c r="W691" s="136"/>
      <c r="X691" s="136"/>
      <c r="Y691" s="136"/>
      <c r="Z691" s="136"/>
      <c r="AA691" s="136"/>
    </row>
    <row r="692" spans="1:27" ht="12.75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36"/>
      <c r="T692" s="136"/>
      <c r="U692" s="136"/>
      <c r="V692" s="136"/>
      <c r="W692" s="136"/>
      <c r="X692" s="136"/>
      <c r="Y692" s="136"/>
      <c r="Z692" s="136"/>
      <c r="AA692" s="136"/>
    </row>
    <row r="693" spans="1:27" ht="12.75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36"/>
      <c r="T693" s="136"/>
      <c r="U693" s="136"/>
      <c r="V693" s="136"/>
      <c r="W693" s="136"/>
      <c r="X693" s="136"/>
      <c r="Y693" s="136"/>
      <c r="Z693" s="136"/>
      <c r="AA693" s="136"/>
    </row>
    <row r="694" spans="1:27" ht="12.75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36"/>
      <c r="T694" s="136"/>
      <c r="U694" s="136"/>
      <c r="V694" s="136"/>
      <c r="W694" s="136"/>
      <c r="X694" s="136"/>
      <c r="Y694" s="136"/>
      <c r="Z694" s="136"/>
      <c r="AA694" s="136"/>
    </row>
    <row r="695" spans="1:27" ht="12.7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36"/>
      <c r="T695" s="136"/>
      <c r="U695" s="136"/>
      <c r="V695" s="136"/>
      <c r="W695" s="136"/>
      <c r="X695" s="136"/>
      <c r="Y695" s="136"/>
      <c r="Z695" s="136"/>
      <c r="AA695" s="136"/>
    </row>
    <row r="696" spans="1:27" ht="12.75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36"/>
      <c r="T696" s="136"/>
      <c r="U696" s="136"/>
      <c r="V696" s="136"/>
      <c r="W696" s="136"/>
      <c r="X696" s="136"/>
      <c r="Y696" s="136"/>
      <c r="Z696" s="136"/>
      <c r="AA696" s="136"/>
    </row>
    <row r="697" spans="1:27" ht="12.75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36"/>
      <c r="T697" s="136"/>
      <c r="U697" s="136"/>
      <c r="V697" s="136"/>
      <c r="W697" s="136"/>
      <c r="X697" s="136"/>
      <c r="Y697" s="136"/>
      <c r="Z697" s="136"/>
      <c r="AA697" s="136"/>
    </row>
    <row r="698" spans="1:27" ht="12.75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36"/>
      <c r="T698" s="136"/>
      <c r="U698" s="136"/>
      <c r="V698" s="136"/>
      <c r="W698" s="136"/>
      <c r="X698" s="136"/>
      <c r="Y698" s="136"/>
      <c r="Z698" s="136"/>
      <c r="AA698" s="136"/>
    </row>
    <row r="699" spans="1:27" ht="12.75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36"/>
      <c r="T699" s="136"/>
      <c r="U699" s="136"/>
      <c r="V699" s="136"/>
      <c r="W699" s="136"/>
      <c r="X699" s="136"/>
      <c r="Y699" s="136"/>
      <c r="Z699" s="136"/>
      <c r="AA699" s="136"/>
    </row>
    <row r="700" spans="1:27" ht="12.75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36"/>
      <c r="T700" s="136"/>
      <c r="U700" s="136"/>
      <c r="V700" s="136"/>
      <c r="W700" s="136"/>
      <c r="X700" s="136"/>
      <c r="Y700" s="136"/>
      <c r="Z700" s="136"/>
      <c r="AA700" s="136"/>
    </row>
    <row r="701" spans="1:27" ht="12.75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36"/>
      <c r="T701" s="136"/>
      <c r="U701" s="136"/>
      <c r="V701" s="136"/>
      <c r="W701" s="136"/>
      <c r="X701" s="136"/>
      <c r="Y701" s="136"/>
      <c r="Z701" s="136"/>
      <c r="AA701" s="136"/>
    </row>
    <row r="702" spans="1:27" ht="12.75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36"/>
      <c r="T702" s="136"/>
      <c r="U702" s="136"/>
      <c r="V702" s="136"/>
      <c r="W702" s="136"/>
      <c r="X702" s="136"/>
      <c r="Y702" s="136"/>
      <c r="Z702" s="136"/>
      <c r="AA702" s="136"/>
    </row>
    <row r="703" spans="1:27" ht="12.75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36"/>
      <c r="T703" s="136"/>
      <c r="U703" s="136"/>
      <c r="V703" s="136"/>
      <c r="W703" s="136"/>
      <c r="X703" s="136"/>
      <c r="Y703" s="136"/>
      <c r="Z703" s="136"/>
      <c r="AA703" s="136"/>
    </row>
    <row r="704" spans="1:27" ht="12.75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36"/>
      <c r="T704" s="136"/>
      <c r="U704" s="136"/>
      <c r="V704" s="136"/>
      <c r="W704" s="136"/>
      <c r="X704" s="136"/>
      <c r="Y704" s="136"/>
      <c r="Z704" s="136"/>
      <c r="AA704" s="136"/>
    </row>
    <row r="705" spans="1:27" ht="12.7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36"/>
      <c r="T705" s="136"/>
      <c r="U705" s="136"/>
      <c r="V705" s="136"/>
      <c r="W705" s="136"/>
      <c r="X705" s="136"/>
      <c r="Y705" s="136"/>
      <c r="Z705" s="136"/>
      <c r="AA705" s="136"/>
    </row>
    <row r="706" spans="1:27" ht="12.75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36"/>
      <c r="T706" s="136"/>
      <c r="U706" s="136"/>
      <c r="V706" s="136"/>
      <c r="W706" s="136"/>
      <c r="X706" s="136"/>
      <c r="Y706" s="136"/>
      <c r="Z706" s="136"/>
      <c r="AA706" s="136"/>
    </row>
    <row r="707" spans="1:27" ht="12.75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36"/>
      <c r="T707" s="136"/>
      <c r="U707" s="136"/>
      <c r="V707" s="136"/>
      <c r="W707" s="136"/>
      <c r="X707" s="136"/>
      <c r="Y707" s="136"/>
      <c r="Z707" s="136"/>
      <c r="AA707" s="136"/>
    </row>
    <row r="708" spans="1:27" ht="12.75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36"/>
      <c r="T708" s="136"/>
      <c r="U708" s="136"/>
      <c r="V708" s="136"/>
      <c r="W708" s="136"/>
      <c r="X708" s="136"/>
      <c r="Y708" s="136"/>
      <c r="Z708" s="136"/>
      <c r="AA708" s="136"/>
    </row>
    <row r="709" spans="1:27" ht="12.75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36"/>
      <c r="T709" s="136"/>
      <c r="U709" s="136"/>
      <c r="V709" s="136"/>
      <c r="W709" s="136"/>
      <c r="X709" s="136"/>
      <c r="Y709" s="136"/>
      <c r="Z709" s="136"/>
      <c r="AA709" s="136"/>
    </row>
    <row r="710" spans="1:27" ht="12.75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36"/>
      <c r="T710" s="136"/>
      <c r="U710" s="136"/>
      <c r="V710" s="136"/>
      <c r="W710" s="136"/>
      <c r="X710" s="136"/>
      <c r="Y710" s="136"/>
      <c r="Z710" s="136"/>
      <c r="AA710" s="136"/>
    </row>
    <row r="711" spans="1:27" ht="12.75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36"/>
      <c r="T711" s="136"/>
      <c r="U711" s="136"/>
      <c r="V711" s="136"/>
      <c r="W711" s="136"/>
      <c r="X711" s="136"/>
      <c r="Y711" s="136"/>
      <c r="Z711" s="136"/>
      <c r="AA711" s="136"/>
    </row>
    <row r="712" spans="1:27" ht="12.75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36"/>
      <c r="T712" s="136"/>
      <c r="U712" s="136"/>
      <c r="V712" s="136"/>
      <c r="W712" s="136"/>
      <c r="X712" s="136"/>
      <c r="Y712" s="136"/>
      <c r="Z712" s="136"/>
      <c r="AA712" s="136"/>
    </row>
    <row r="713" spans="1:27" ht="12.75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36"/>
      <c r="T713" s="136"/>
      <c r="U713" s="136"/>
      <c r="V713" s="136"/>
      <c r="W713" s="136"/>
      <c r="X713" s="136"/>
      <c r="Y713" s="136"/>
      <c r="Z713" s="136"/>
      <c r="AA713" s="136"/>
    </row>
    <row r="714" spans="1:27" ht="12.75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36"/>
      <c r="T714" s="136"/>
      <c r="U714" s="136"/>
      <c r="V714" s="136"/>
      <c r="W714" s="136"/>
      <c r="X714" s="136"/>
      <c r="Y714" s="136"/>
      <c r="Z714" s="136"/>
      <c r="AA714" s="136"/>
    </row>
    <row r="715" spans="1:27" ht="12.7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36"/>
      <c r="T715" s="136"/>
      <c r="U715" s="136"/>
      <c r="V715" s="136"/>
      <c r="W715" s="136"/>
      <c r="X715" s="136"/>
      <c r="Y715" s="136"/>
      <c r="Z715" s="136"/>
      <c r="AA715" s="136"/>
    </row>
    <row r="716" spans="1:27" ht="12.75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36"/>
      <c r="T716" s="136"/>
      <c r="U716" s="136"/>
      <c r="V716" s="136"/>
      <c r="W716" s="136"/>
      <c r="X716" s="136"/>
      <c r="Y716" s="136"/>
      <c r="Z716" s="136"/>
      <c r="AA716" s="136"/>
    </row>
    <row r="717" spans="1:27" ht="12.75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36"/>
      <c r="T717" s="136"/>
      <c r="U717" s="136"/>
      <c r="V717" s="136"/>
      <c r="W717" s="136"/>
      <c r="X717" s="136"/>
      <c r="Y717" s="136"/>
      <c r="Z717" s="136"/>
      <c r="AA717" s="136"/>
    </row>
    <row r="718" spans="1:27" ht="12.75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36"/>
      <c r="T718" s="136"/>
      <c r="U718" s="136"/>
      <c r="V718" s="136"/>
      <c r="W718" s="136"/>
      <c r="X718" s="136"/>
      <c r="Y718" s="136"/>
      <c r="Z718" s="136"/>
      <c r="AA718" s="136"/>
    </row>
    <row r="719" spans="1:27" ht="12.75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36"/>
      <c r="T719" s="136"/>
      <c r="U719" s="136"/>
      <c r="V719" s="136"/>
      <c r="W719" s="136"/>
      <c r="X719" s="136"/>
      <c r="Y719" s="136"/>
      <c r="Z719" s="136"/>
      <c r="AA719" s="136"/>
    </row>
    <row r="720" spans="1:27" ht="12.75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36"/>
      <c r="T720" s="136"/>
      <c r="U720" s="136"/>
      <c r="V720" s="136"/>
      <c r="W720" s="136"/>
      <c r="X720" s="136"/>
      <c r="Y720" s="136"/>
      <c r="Z720" s="136"/>
      <c r="AA720" s="136"/>
    </row>
    <row r="721" spans="1:27" ht="12.75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36"/>
      <c r="T721" s="136"/>
      <c r="U721" s="136"/>
      <c r="V721" s="136"/>
      <c r="W721" s="136"/>
      <c r="X721" s="136"/>
      <c r="Y721" s="136"/>
      <c r="Z721" s="136"/>
      <c r="AA721" s="136"/>
    </row>
    <row r="722" spans="1:27" ht="12.75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36"/>
      <c r="T722" s="136"/>
      <c r="U722" s="136"/>
      <c r="V722" s="136"/>
      <c r="W722" s="136"/>
      <c r="X722" s="136"/>
      <c r="Y722" s="136"/>
      <c r="Z722" s="136"/>
      <c r="AA722" s="136"/>
    </row>
    <row r="723" spans="1:27" ht="12.75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36"/>
      <c r="T723" s="136"/>
      <c r="U723" s="136"/>
      <c r="V723" s="136"/>
      <c r="W723" s="136"/>
      <c r="X723" s="136"/>
      <c r="Y723" s="136"/>
      <c r="Z723" s="136"/>
      <c r="AA723" s="136"/>
    </row>
    <row r="724" spans="1:27" ht="12.75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36"/>
      <c r="T724" s="136"/>
      <c r="U724" s="136"/>
      <c r="V724" s="136"/>
      <c r="W724" s="136"/>
      <c r="X724" s="136"/>
      <c r="Y724" s="136"/>
      <c r="Z724" s="136"/>
      <c r="AA724" s="136"/>
    </row>
    <row r="725" spans="1:27" ht="12.7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36"/>
      <c r="T725" s="136"/>
      <c r="U725" s="136"/>
      <c r="V725" s="136"/>
      <c r="W725" s="136"/>
      <c r="X725" s="136"/>
      <c r="Y725" s="136"/>
      <c r="Z725" s="136"/>
      <c r="AA725" s="136"/>
    </row>
    <row r="726" spans="1:27" ht="12.75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36"/>
      <c r="T726" s="136"/>
      <c r="U726" s="136"/>
      <c r="V726" s="136"/>
      <c r="W726" s="136"/>
      <c r="X726" s="136"/>
      <c r="Y726" s="136"/>
      <c r="Z726" s="136"/>
      <c r="AA726" s="136"/>
    </row>
    <row r="727" spans="1:27" ht="12.75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36"/>
      <c r="T727" s="136"/>
      <c r="U727" s="136"/>
      <c r="V727" s="136"/>
      <c r="W727" s="136"/>
      <c r="X727" s="136"/>
      <c r="Y727" s="136"/>
      <c r="Z727" s="136"/>
      <c r="AA727" s="136"/>
    </row>
    <row r="728" spans="1:27" ht="12.75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36"/>
      <c r="T728" s="136"/>
      <c r="U728" s="136"/>
      <c r="V728" s="136"/>
      <c r="W728" s="136"/>
      <c r="X728" s="136"/>
      <c r="Y728" s="136"/>
      <c r="Z728" s="136"/>
      <c r="AA728" s="136"/>
    </row>
    <row r="729" spans="1:27" ht="12.75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36"/>
      <c r="T729" s="136"/>
      <c r="U729" s="136"/>
      <c r="V729" s="136"/>
      <c r="W729" s="136"/>
      <c r="X729" s="136"/>
      <c r="Y729" s="136"/>
      <c r="Z729" s="136"/>
      <c r="AA729" s="136"/>
    </row>
    <row r="730" spans="1:27" ht="12.75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36"/>
      <c r="T730" s="136"/>
      <c r="U730" s="136"/>
      <c r="V730" s="136"/>
      <c r="W730" s="136"/>
      <c r="X730" s="136"/>
      <c r="Y730" s="136"/>
      <c r="Z730" s="136"/>
      <c r="AA730" s="136"/>
    </row>
    <row r="731" spans="1:27" ht="12.75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36"/>
      <c r="T731" s="136"/>
      <c r="U731" s="136"/>
      <c r="V731" s="136"/>
      <c r="W731" s="136"/>
      <c r="X731" s="136"/>
      <c r="Y731" s="136"/>
      <c r="Z731" s="136"/>
      <c r="AA731" s="136"/>
    </row>
    <row r="732" spans="1:27" ht="12.75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36"/>
      <c r="T732" s="136"/>
      <c r="U732" s="136"/>
      <c r="V732" s="136"/>
      <c r="W732" s="136"/>
      <c r="X732" s="136"/>
      <c r="Y732" s="136"/>
      <c r="Z732" s="136"/>
      <c r="AA732" s="136"/>
    </row>
    <row r="733" spans="1:27" ht="12.75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36"/>
      <c r="T733" s="136"/>
      <c r="U733" s="136"/>
      <c r="V733" s="136"/>
      <c r="W733" s="136"/>
      <c r="X733" s="136"/>
      <c r="Y733" s="136"/>
      <c r="Z733" s="136"/>
      <c r="AA733" s="136"/>
    </row>
    <row r="734" spans="1:27" ht="12.75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36"/>
      <c r="T734" s="136"/>
      <c r="U734" s="136"/>
      <c r="V734" s="136"/>
      <c r="W734" s="136"/>
      <c r="X734" s="136"/>
      <c r="Y734" s="136"/>
      <c r="Z734" s="136"/>
      <c r="AA734" s="136"/>
    </row>
    <row r="735" spans="1:27" ht="12.7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36"/>
      <c r="T735" s="136"/>
      <c r="U735" s="136"/>
      <c r="V735" s="136"/>
      <c r="W735" s="136"/>
      <c r="X735" s="136"/>
      <c r="Y735" s="136"/>
      <c r="Z735" s="136"/>
      <c r="AA735" s="136"/>
    </row>
    <row r="736" spans="1:27" ht="12.75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36"/>
      <c r="T736" s="136"/>
      <c r="U736" s="136"/>
      <c r="V736" s="136"/>
      <c r="W736" s="136"/>
      <c r="X736" s="136"/>
      <c r="Y736" s="136"/>
      <c r="Z736" s="136"/>
      <c r="AA736" s="136"/>
    </row>
    <row r="737" spans="1:27" ht="12.75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36"/>
      <c r="T737" s="136"/>
      <c r="U737" s="136"/>
      <c r="V737" s="136"/>
      <c r="W737" s="136"/>
      <c r="X737" s="136"/>
      <c r="Y737" s="136"/>
      <c r="Z737" s="136"/>
      <c r="AA737" s="136"/>
    </row>
    <row r="738" spans="1:27" ht="12.75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36"/>
      <c r="T738" s="136"/>
      <c r="U738" s="136"/>
      <c r="V738" s="136"/>
      <c r="W738" s="136"/>
      <c r="X738" s="136"/>
      <c r="Y738" s="136"/>
      <c r="Z738" s="136"/>
      <c r="AA738" s="136"/>
    </row>
    <row r="739" spans="1:27" ht="12.75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36"/>
      <c r="T739" s="136"/>
      <c r="U739" s="136"/>
      <c r="V739" s="136"/>
      <c r="W739" s="136"/>
      <c r="X739" s="136"/>
      <c r="Y739" s="136"/>
      <c r="Z739" s="136"/>
      <c r="AA739" s="136"/>
    </row>
    <row r="740" spans="1:27" ht="12.75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36"/>
      <c r="T740" s="136"/>
      <c r="U740" s="136"/>
      <c r="V740" s="136"/>
      <c r="W740" s="136"/>
      <c r="X740" s="136"/>
      <c r="Y740" s="136"/>
      <c r="Z740" s="136"/>
      <c r="AA740" s="136"/>
    </row>
    <row r="741" spans="1:27" ht="12.75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36"/>
      <c r="T741" s="136"/>
      <c r="U741" s="136"/>
      <c r="V741" s="136"/>
      <c r="W741" s="136"/>
      <c r="X741" s="136"/>
      <c r="Y741" s="136"/>
      <c r="Z741" s="136"/>
      <c r="AA741" s="136"/>
    </row>
    <row r="742" spans="1:27" ht="12.75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36"/>
      <c r="T742" s="136"/>
      <c r="U742" s="136"/>
      <c r="V742" s="136"/>
      <c r="W742" s="136"/>
      <c r="X742" s="136"/>
      <c r="Y742" s="136"/>
      <c r="Z742" s="136"/>
      <c r="AA742" s="136"/>
    </row>
    <row r="743" spans="1:27" ht="12.75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36"/>
      <c r="T743" s="136"/>
      <c r="U743" s="136"/>
      <c r="V743" s="136"/>
      <c r="W743" s="136"/>
      <c r="X743" s="136"/>
      <c r="Y743" s="136"/>
      <c r="Z743" s="136"/>
      <c r="AA743" s="136"/>
    </row>
    <row r="744" spans="1:27" ht="12.75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36"/>
      <c r="T744" s="136"/>
      <c r="U744" s="136"/>
      <c r="V744" s="136"/>
      <c r="W744" s="136"/>
      <c r="X744" s="136"/>
      <c r="Y744" s="136"/>
      <c r="Z744" s="136"/>
      <c r="AA744" s="136"/>
    </row>
    <row r="745" spans="1:27" ht="12.7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36"/>
      <c r="T745" s="136"/>
      <c r="U745" s="136"/>
      <c r="V745" s="136"/>
      <c r="W745" s="136"/>
      <c r="X745" s="136"/>
      <c r="Y745" s="136"/>
      <c r="Z745" s="136"/>
      <c r="AA745" s="136"/>
    </row>
    <row r="746" spans="1:27" ht="12.75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36"/>
      <c r="T746" s="136"/>
      <c r="U746" s="136"/>
      <c r="V746" s="136"/>
      <c r="W746" s="136"/>
      <c r="X746" s="136"/>
      <c r="Y746" s="136"/>
      <c r="Z746" s="136"/>
      <c r="AA746" s="136"/>
    </row>
    <row r="747" spans="1:27" ht="12.75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36"/>
      <c r="T747" s="136"/>
      <c r="U747" s="136"/>
      <c r="V747" s="136"/>
      <c r="W747" s="136"/>
      <c r="X747" s="136"/>
      <c r="Y747" s="136"/>
      <c r="Z747" s="136"/>
      <c r="AA747" s="136"/>
    </row>
    <row r="748" spans="1:27" ht="12.75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36"/>
      <c r="T748" s="136"/>
      <c r="U748" s="136"/>
      <c r="V748" s="136"/>
      <c r="W748" s="136"/>
      <c r="X748" s="136"/>
      <c r="Y748" s="136"/>
      <c r="Z748" s="136"/>
      <c r="AA748" s="136"/>
    </row>
    <row r="749" spans="1:27" ht="12.75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36"/>
      <c r="T749" s="136"/>
      <c r="U749" s="136"/>
      <c r="V749" s="136"/>
      <c r="W749" s="136"/>
      <c r="X749" s="136"/>
      <c r="Y749" s="136"/>
      <c r="Z749" s="136"/>
      <c r="AA749" s="136"/>
    </row>
    <row r="750" spans="1:27" ht="12.75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36"/>
      <c r="T750" s="136"/>
      <c r="U750" s="136"/>
      <c r="V750" s="136"/>
      <c r="W750" s="136"/>
      <c r="X750" s="136"/>
      <c r="Y750" s="136"/>
      <c r="Z750" s="136"/>
      <c r="AA750" s="136"/>
    </row>
    <row r="751" spans="1:27" ht="12.75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36"/>
      <c r="T751" s="136"/>
      <c r="U751" s="136"/>
      <c r="V751" s="136"/>
      <c r="W751" s="136"/>
      <c r="X751" s="136"/>
      <c r="Y751" s="136"/>
      <c r="Z751" s="136"/>
      <c r="AA751" s="136"/>
    </row>
    <row r="752" spans="1:27" ht="12.75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36"/>
      <c r="T752" s="136"/>
      <c r="U752" s="136"/>
      <c r="V752" s="136"/>
      <c r="W752" s="136"/>
      <c r="X752" s="136"/>
      <c r="Y752" s="136"/>
      <c r="Z752" s="136"/>
      <c r="AA752" s="136"/>
    </row>
    <row r="753" spans="1:27" ht="12.75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36"/>
      <c r="T753" s="136"/>
      <c r="U753" s="136"/>
      <c r="V753" s="136"/>
      <c r="W753" s="136"/>
      <c r="X753" s="136"/>
      <c r="Y753" s="136"/>
      <c r="Z753" s="136"/>
      <c r="AA753" s="136"/>
    </row>
    <row r="754" spans="1:27" ht="12.75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36"/>
      <c r="T754" s="136"/>
      <c r="U754" s="136"/>
      <c r="V754" s="136"/>
      <c r="W754" s="136"/>
      <c r="X754" s="136"/>
      <c r="Y754" s="136"/>
      <c r="Z754" s="136"/>
      <c r="AA754" s="136"/>
    </row>
    <row r="755" spans="1:27" ht="12.7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36"/>
      <c r="T755" s="136"/>
      <c r="U755" s="136"/>
      <c r="V755" s="136"/>
      <c r="W755" s="136"/>
      <c r="X755" s="136"/>
      <c r="Y755" s="136"/>
      <c r="Z755" s="136"/>
      <c r="AA755" s="136"/>
    </row>
    <row r="756" spans="1:27" ht="12.75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36"/>
      <c r="T756" s="136"/>
      <c r="U756" s="136"/>
      <c r="V756" s="136"/>
      <c r="W756" s="136"/>
      <c r="X756" s="136"/>
      <c r="Y756" s="136"/>
      <c r="Z756" s="136"/>
      <c r="AA756" s="136"/>
    </row>
    <row r="757" spans="1:27" ht="12.75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36"/>
      <c r="T757" s="136"/>
      <c r="U757" s="136"/>
      <c r="V757" s="136"/>
      <c r="W757" s="136"/>
      <c r="X757" s="136"/>
      <c r="Y757" s="136"/>
      <c r="Z757" s="136"/>
      <c r="AA757" s="136"/>
    </row>
    <row r="758" spans="1:27" ht="12.75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36"/>
      <c r="T758" s="136"/>
      <c r="U758" s="136"/>
      <c r="V758" s="136"/>
      <c r="W758" s="136"/>
      <c r="X758" s="136"/>
      <c r="Y758" s="136"/>
      <c r="Z758" s="136"/>
      <c r="AA758" s="136"/>
    </row>
    <row r="759" spans="1:27" ht="12.75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36"/>
      <c r="T759" s="136"/>
      <c r="U759" s="136"/>
      <c r="V759" s="136"/>
      <c r="W759" s="136"/>
      <c r="X759" s="136"/>
      <c r="Y759" s="136"/>
      <c r="Z759" s="136"/>
      <c r="AA759" s="136"/>
    </row>
    <row r="760" spans="1:27" ht="12.75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36"/>
      <c r="T760" s="136"/>
      <c r="U760" s="136"/>
      <c r="V760" s="136"/>
      <c r="W760" s="136"/>
      <c r="X760" s="136"/>
      <c r="Y760" s="136"/>
      <c r="Z760" s="136"/>
      <c r="AA760" s="136"/>
    </row>
    <row r="761" spans="1:27" ht="12.75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36"/>
      <c r="T761" s="136"/>
      <c r="U761" s="136"/>
      <c r="V761" s="136"/>
      <c r="W761" s="136"/>
      <c r="X761" s="136"/>
      <c r="Y761" s="136"/>
      <c r="Z761" s="136"/>
      <c r="AA761" s="136"/>
    </row>
    <row r="762" spans="1:27" ht="12.75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36"/>
      <c r="T762" s="136"/>
      <c r="U762" s="136"/>
      <c r="V762" s="136"/>
      <c r="W762" s="136"/>
      <c r="X762" s="136"/>
      <c r="Y762" s="136"/>
      <c r="Z762" s="136"/>
      <c r="AA762" s="136"/>
    </row>
    <row r="763" spans="1:27" ht="12.75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36"/>
      <c r="T763" s="136"/>
      <c r="U763" s="136"/>
      <c r="V763" s="136"/>
      <c r="W763" s="136"/>
      <c r="X763" s="136"/>
      <c r="Y763" s="136"/>
      <c r="Z763" s="136"/>
      <c r="AA763" s="136"/>
    </row>
    <row r="764" spans="1:27" ht="12.75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36"/>
      <c r="T764" s="136"/>
      <c r="U764" s="136"/>
      <c r="V764" s="136"/>
      <c r="W764" s="136"/>
      <c r="X764" s="136"/>
      <c r="Y764" s="136"/>
      <c r="Z764" s="136"/>
      <c r="AA764" s="136"/>
    </row>
    <row r="765" spans="1:27" ht="12.7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36"/>
      <c r="T765" s="136"/>
      <c r="U765" s="136"/>
      <c r="V765" s="136"/>
      <c r="W765" s="136"/>
      <c r="X765" s="136"/>
      <c r="Y765" s="136"/>
      <c r="Z765" s="136"/>
      <c r="AA765" s="136"/>
    </row>
    <row r="766" spans="1:27" ht="12.75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36"/>
      <c r="T766" s="136"/>
      <c r="U766" s="136"/>
      <c r="V766" s="136"/>
      <c r="W766" s="136"/>
      <c r="X766" s="136"/>
      <c r="Y766" s="136"/>
      <c r="Z766" s="136"/>
      <c r="AA766" s="136"/>
    </row>
    <row r="767" spans="1:27" ht="12.75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36"/>
      <c r="T767" s="136"/>
      <c r="U767" s="136"/>
      <c r="V767" s="136"/>
      <c r="W767" s="136"/>
      <c r="X767" s="136"/>
      <c r="Y767" s="136"/>
      <c r="Z767" s="136"/>
      <c r="AA767" s="136"/>
    </row>
    <row r="768" spans="1:27" ht="12.75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36"/>
      <c r="T768" s="136"/>
      <c r="U768" s="136"/>
      <c r="V768" s="136"/>
      <c r="W768" s="136"/>
      <c r="X768" s="136"/>
      <c r="Y768" s="136"/>
      <c r="Z768" s="136"/>
      <c r="AA768" s="136"/>
    </row>
    <row r="769" spans="1:27" ht="12.75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36"/>
      <c r="T769" s="136"/>
      <c r="U769" s="136"/>
      <c r="V769" s="136"/>
      <c r="W769" s="136"/>
      <c r="X769" s="136"/>
      <c r="Y769" s="136"/>
      <c r="Z769" s="136"/>
      <c r="AA769" s="136"/>
    </row>
    <row r="770" spans="1:27" ht="12.75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36"/>
      <c r="T770" s="136"/>
      <c r="U770" s="136"/>
      <c r="V770" s="136"/>
      <c r="W770" s="136"/>
      <c r="X770" s="136"/>
      <c r="Y770" s="136"/>
      <c r="Z770" s="136"/>
      <c r="AA770" s="136"/>
    </row>
    <row r="771" spans="1:27" ht="12.75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36"/>
      <c r="T771" s="136"/>
      <c r="U771" s="136"/>
      <c r="V771" s="136"/>
      <c r="W771" s="136"/>
      <c r="X771" s="136"/>
      <c r="Y771" s="136"/>
      <c r="Z771" s="136"/>
      <c r="AA771" s="136"/>
    </row>
    <row r="772" spans="1:27" ht="12.75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36"/>
      <c r="T772" s="136"/>
      <c r="U772" s="136"/>
      <c r="V772" s="136"/>
      <c r="W772" s="136"/>
      <c r="X772" s="136"/>
      <c r="Y772" s="136"/>
      <c r="Z772" s="136"/>
      <c r="AA772" s="136"/>
    </row>
    <row r="773" spans="1:27" ht="12.75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36"/>
      <c r="T773" s="136"/>
      <c r="U773" s="136"/>
      <c r="V773" s="136"/>
      <c r="W773" s="136"/>
      <c r="X773" s="136"/>
      <c r="Y773" s="136"/>
      <c r="Z773" s="136"/>
      <c r="AA773" s="136"/>
    </row>
    <row r="774" spans="1:27" ht="12.75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36"/>
      <c r="T774" s="136"/>
      <c r="U774" s="136"/>
      <c r="V774" s="136"/>
      <c r="W774" s="136"/>
      <c r="X774" s="136"/>
      <c r="Y774" s="136"/>
      <c r="Z774" s="136"/>
      <c r="AA774" s="136"/>
    </row>
    <row r="775" spans="1:27" ht="12.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36"/>
      <c r="T775" s="136"/>
      <c r="U775" s="136"/>
      <c r="V775" s="136"/>
      <c r="W775" s="136"/>
      <c r="X775" s="136"/>
      <c r="Y775" s="136"/>
      <c r="Z775" s="136"/>
      <c r="AA775" s="136"/>
    </row>
    <row r="776" spans="1:27" ht="12.75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36"/>
      <c r="T776" s="136"/>
      <c r="U776" s="136"/>
      <c r="V776" s="136"/>
      <c r="W776" s="136"/>
      <c r="X776" s="136"/>
      <c r="Y776" s="136"/>
      <c r="Z776" s="136"/>
      <c r="AA776" s="136"/>
    </row>
    <row r="777" spans="1:27" ht="12.75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36"/>
      <c r="T777" s="136"/>
      <c r="U777" s="136"/>
      <c r="V777" s="136"/>
      <c r="W777" s="136"/>
      <c r="X777" s="136"/>
      <c r="Y777" s="136"/>
      <c r="Z777" s="136"/>
      <c r="AA777" s="136"/>
    </row>
    <row r="778" spans="1:27" ht="12.75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36"/>
      <c r="T778" s="136"/>
      <c r="U778" s="136"/>
      <c r="V778" s="136"/>
      <c r="W778" s="136"/>
      <c r="X778" s="136"/>
      <c r="Y778" s="136"/>
      <c r="Z778" s="136"/>
      <c r="AA778" s="136"/>
    </row>
    <row r="779" spans="1:27" ht="12.75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36"/>
      <c r="T779" s="136"/>
      <c r="U779" s="136"/>
      <c r="V779" s="136"/>
      <c r="W779" s="136"/>
      <c r="X779" s="136"/>
      <c r="Y779" s="136"/>
      <c r="Z779" s="136"/>
      <c r="AA779" s="136"/>
    </row>
    <row r="780" spans="1:27" ht="12.75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36"/>
      <c r="T780" s="136"/>
      <c r="U780" s="136"/>
      <c r="V780" s="136"/>
      <c r="W780" s="136"/>
      <c r="X780" s="136"/>
      <c r="Y780" s="136"/>
      <c r="Z780" s="136"/>
      <c r="AA780" s="136"/>
    </row>
    <row r="781" spans="1:27" ht="12.75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36"/>
      <c r="T781" s="136"/>
      <c r="U781" s="136"/>
      <c r="V781" s="136"/>
      <c r="W781" s="136"/>
      <c r="X781" s="136"/>
      <c r="Y781" s="136"/>
      <c r="Z781" s="136"/>
      <c r="AA781" s="136"/>
    </row>
    <row r="782" spans="1:27" ht="12.75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36"/>
      <c r="T782" s="136"/>
      <c r="U782" s="136"/>
      <c r="V782" s="136"/>
      <c r="W782" s="136"/>
      <c r="X782" s="136"/>
      <c r="Y782" s="136"/>
      <c r="Z782" s="136"/>
      <c r="AA782" s="136"/>
    </row>
    <row r="783" spans="1:27" ht="12.75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36"/>
      <c r="T783" s="136"/>
      <c r="U783" s="136"/>
      <c r="V783" s="136"/>
      <c r="W783" s="136"/>
      <c r="X783" s="136"/>
      <c r="Y783" s="136"/>
      <c r="Z783" s="136"/>
      <c r="AA783" s="136"/>
    </row>
    <row r="784" spans="1:27" ht="12.75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36"/>
      <c r="T784" s="136"/>
      <c r="U784" s="136"/>
      <c r="V784" s="136"/>
      <c r="W784" s="136"/>
      <c r="X784" s="136"/>
      <c r="Y784" s="136"/>
      <c r="Z784" s="136"/>
      <c r="AA784" s="136"/>
    </row>
    <row r="785" spans="1:27" ht="12.7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36"/>
      <c r="T785" s="136"/>
      <c r="U785" s="136"/>
      <c r="V785" s="136"/>
      <c r="W785" s="136"/>
      <c r="X785" s="136"/>
      <c r="Y785" s="136"/>
      <c r="Z785" s="136"/>
      <c r="AA785" s="136"/>
    </row>
    <row r="786" spans="1:27" ht="12.75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36"/>
      <c r="T786" s="136"/>
      <c r="U786" s="136"/>
      <c r="V786" s="136"/>
      <c r="W786" s="136"/>
      <c r="X786" s="136"/>
      <c r="Y786" s="136"/>
      <c r="Z786" s="136"/>
      <c r="AA786" s="136"/>
    </row>
    <row r="787" spans="1:27" ht="12.75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36"/>
      <c r="T787" s="136"/>
      <c r="U787" s="136"/>
      <c r="V787" s="136"/>
      <c r="W787" s="136"/>
      <c r="X787" s="136"/>
      <c r="Y787" s="136"/>
      <c r="Z787" s="136"/>
      <c r="AA787" s="136"/>
    </row>
    <row r="788" spans="1:27" ht="12.75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36"/>
      <c r="T788" s="136"/>
      <c r="U788" s="136"/>
      <c r="V788" s="136"/>
      <c r="W788" s="136"/>
      <c r="X788" s="136"/>
      <c r="Y788" s="136"/>
      <c r="Z788" s="136"/>
      <c r="AA788" s="136"/>
    </row>
    <row r="789" spans="1:27" ht="12.75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36"/>
      <c r="T789" s="136"/>
      <c r="U789" s="136"/>
      <c r="V789" s="136"/>
      <c r="W789" s="136"/>
      <c r="X789" s="136"/>
      <c r="Y789" s="136"/>
      <c r="Z789" s="136"/>
      <c r="AA789" s="136"/>
    </row>
    <row r="790" spans="1:27" ht="12.75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36"/>
      <c r="T790" s="136"/>
      <c r="U790" s="136"/>
      <c r="V790" s="136"/>
      <c r="W790" s="136"/>
      <c r="X790" s="136"/>
      <c r="Y790" s="136"/>
      <c r="Z790" s="136"/>
      <c r="AA790" s="136"/>
    </row>
    <row r="791" spans="1:27" ht="12.75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36"/>
      <c r="T791" s="136"/>
      <c r="U791" s="136"/>
      <c r="V791" s="136"/>
      <c r="W791" s="136"/>
      <c r="X791" s="136"/>
      <c r="Y791" s="136"/>
      <c r="Z791" s="136"/>
      <c r="AA791" s="136"/>
    </row>
    <row r="792" spans="1:27" ht="12.75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36"/>
      <c r="T792" s="136"/>
      <c r="U792" s="136"/>
      <c r="V792" s="136"/>
      <c r="W792" s="136"/>
      <c r="X792" s="136"/>
      <c r="Y792" s="136"/>
      <c r="Z792" s="136"/>
      <c r="AA792" s="136"/>
    </row>
    <row r="793" spans="1:27" ht="12.75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36"/>
      <c r="T793" s="136"/>
      <c r="U793" s="136"/>
      <c r="V793" s="136"/>
      <c r="W793" s="136"/>
      <c r="X793" s="136"/>
      <c r="Y793" s="136"/>
      <c r="Z793" s="136"/>
      <c r="AA793" s="136"/>
    </row>
    <row r="794" spans="1:27" ht="12.75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36"/>
      <c r="T794" s="136"/>
      <c r="U794" s="136"/>
      <c r="V794" s="136"/>
      <c r="W794" s="136"/>
      <c r="X794" s="136"/>
      <c r="Y794" s="136"/>
      <c r="Z794" s="136"/>
      <c r="AA794" s="136"/>
    </row>
    <row r="795" spans="1:27" ht="12.7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36"/>
      <c r="T795" s="136"/>
      <c r="U795" s="136"/>
      <c r="V795" s="136"/>
      <c r="W795" s="136"/>
      <c r="X795" s="136"/>
      <c r="Y795" s="136"/>
      <c r="Z795" s="136"/>
      <c r="AA795" s="136"/>
    </row>
    <row r="796" spans="1:27" ht="12.75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36"/>
      <c r="T796" s="136"/>
      <c r="U796" s="136"/>
      <c r="V796" s="136"/>
      <c r="W796" s="136"/>
      <c r="X796" s="136"/>
      <c r="Y796" s="136"/>
      <c r="Z796" s="136"/>
      <c r="AA796" s="136"/>
    </row>
    <row r="797" spans="1:27" ht="12.75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36"/>
      <c r="T797" s="136"/>
      <c r="U797" s="136"/>
      <c r="V797" s="136"/>
      <c r="W797" s="136"/>
      <c r="X797" s="136"/>
      <c r="Y797" s="136"/>
      <c r="Z797" s="136"/>
      <c r="AA797" s="136"/>
    </row>
    <row r="798" spans="1:27" ht="12.75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36"/>
      <c r="T798" s="136"/>
      <c r="U798" s="136"/>
      <c r="V798" s="136"/>
      <c r="W798" s="136"/>
      <c r="X798" s="136"/>
      <c r="Y798" s="136"/>
      <c r="Z798" s="136"/>
      <c r="AA798" s="136"/>
    </row>
    <row r="799" spans="1:27" ht="12.75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36"/>
      <c r="T799" s="136"/>
      <c r="U799" s="136"/>
      <c r="V799" s="136"/>
      <c r="W799" s="136"/>
      <c r="X799" s="136"/>
      <c r="Y799" s="136"/>
      <c r="Z799" s="136"/>
      <c r="AA799" s="136"/>
    </row>
    <row r="800" spans="1:27" ht="12.75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36"/>
      <c r="T800" s="136"/>
      <c r="U800" s="136"/>
      <c r="V800" s="136"/>
      <c r="W800" s="136"/>
      <c r="X800" s="136"/>
      <c r="Y800" s="136"/>
      <c r="Z800" s="136"/>
      <c r="AA800" s="136"/>
    </row>
    <row r="801" spans="1:27" ht="12.75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36"/>
      <c r="T801" s="136"/>
      <c r="U801" s="136"/>
      <c r="V801" s="136"/>
      <c r="W801" s="136"/>
      <c r="X801" s="136"/>
      <c r="Y801" s="136"/>
      <c r="Z801" s="136"/>
      <c r="AA801" s="136"/>
    </row>
    <row r="802" spans="1:27" ht="12.75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36"/>
      <c r="T802" s="136"/>
      <c r="U802" s="136"/>
      <c r="V802" s="136"/>
      <c r="W802" s="136"/>
      <c r="X802" s="136"/>
      <c r="Y802" s="136"/>
      <c r="Z802" s="136"/>
      <c r="AA802" s="136"/>
    </row>
    <row r="803" spans="1:27" ht="12.75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36"/>
      <c r="T803" s="136"/>
      <c r="U803" s="136"/>
      <c r="V803" s="136"/>
      <c r="W803" s="136"/>
      <c r="X803" s="136"/>
      <c r="Y803" s="136"/>
      <c r="Z803" s="136"/>
      <c r="AA803" s="136"/>
    </row>
    <row r="804" spans="1:27" ht="12.75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36"/>
      <c r="T804" s="136"/>
      <c r="U804" s="136"/>
      <c r="V804" s="136"/>
      <c r="W804" s="136"/>
      <c r="X804" s="136"/>
      <c r="Y804" s="136"/>
      <c r="Z804" s="136"/>
      <c r="AA804" s="136"/>
    </row>
    <row r="805" spans="1:27" ht="12.7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36"/>
      <c r="T805" s="136"/>
      <c r="U805" s="136"/>
      <c r="V805" s="136"/>
      <c r="W805" s="136"/>
      <c r="X805" s="136"/>
      <c r="Y805" s="136"/>
      <c r="Z805" s="136"/>
      <c r="AA805" s="136"/>
    </row>
    <row r="806" spans="1:27" ht="12.75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36"/>
      <c r="T806" s="136"/>
      <c r="U806" s="136"/>
      <c r="V806" s="136"/>
      <c r="W806" s="136"/>
      <c r="X806" s="136"/>
      <c r="Y806" s="136"/>
      <c r="Z806" s="136"/>
      <c r="AA806" s="136"/>
    </row>
    <row r="807" spans="1:27" ht="12.75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36"/>
      <c r="T807" s="136"/>
      <c r="U807" s="136"/>
      <c r="V807" s="136"/>
      <c r="W807" s="136"/>
      <c r="X807" s="136"/>
      <c r="Y807" s="136"/>
      <c r="Z807" s="136"/>
      <c r="AA807" s="136"/>
    </row>
    <row r="808" spans="1:27" ht="12.75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36"/>
      <c r="T808" s="136"/>
      <c r="U808" s="136"/>
      <c r="V808" s="136"/>
      <c r="W808" s="136"/>
      <c r="X808" s="136"/>
      <c r="Y808" s="136"/>
      <c r="Z808" s="136"/>
      <c r="AA808" s="136"/>
    </row>
    <row r="809" spans="1:27" ht="12.75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36"/>
      <c r="T809" s="136"/>
      <c r="U809" s="136"/>
      <c r="V809" s="136"/>
      <c r="W809" s="136"/>
      <c r="X809" s="136"/>
      <c r="Y809" s="136"/>
      <c r="Z809" s="136"/>
      <c r="AA809" s="136"/>
    </row>
    <row r="810" spans="1:27" ht="12.75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36"/>
      <c r="T810" s="136"/>
      <c r="U810" s="136"/>
      <c r="V810" s="136"/>
      <c r="W810" s="136"/>
      <c r="X810" s="136"/>
      <c r="Y810" s="136"/>
      <c r="Z810" s="136"/>
      <c r="AA810" s="136"/>
    </row>
    <row r="811" spans="1:27" ht="12.75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36"/>
      <c r="T811" s="136"/>
      <c r="U811" s="136"/>
      <c r="V811" s="136"/>
      <c r="W811" s="136"/>
      <c r="X811" s="136"/>
      <c r="Y811" s="136"/>
      <c r="Z811" s="136"/>
      <c r="AA811" s="136"/>
    </row>
    <row r="812" spans="1:27" ht="12.75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36"/>
      <c r="T812" s="136"/>
      <c r="U812" s="136"/>
      <c r="V812" s="136"/>
      <c r="W812" s="136"/>
      <c r="X812" s="136"/>
      <c r="Y812" s="136"/>
      <c r="Z812" s="136"/>
      <c r="AA812" s="136"/>
    </row>
    <row r="813" spans="1:27" ht="12.75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36"/>
      <c r="T813" s="136"/>
      <c r="U813" s="136"/>
      <c r="V813" s="136"/>
      <c r="W813" s="136"/>
      <c r="X813" s="136"/>
      <c r="Y813" s="136"/>
      <c r="Z813" s="136"/>
      <c r="AA813" s="136"/>
    </row>
    <row r="814" spans="1:27" ht="12.75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36"/>
      <c r="T814" s="136"/>
      <c r="U814" s="136"/>
      <c r="V814" s="136"/>
      <c r="W814" s="136"/>
      <c r="X814" s="136"/>
      <c r="Y814" s="136"/>
      <c r="Z814" s="136"/>
      <c r="AA814" s="136"/>
    </row>
    <row r="815" spans="1:27" ht="12.7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36"/>
      <c r="T815" s="136"/>
      <c r="U815" s="136"/>
      <c r="V815" s="136"/>
      <c r="W815" s="136"/>
      <c r="X815" s="136"/>
      <c r="Y815" s="136"/>
      <c r="Z815" s="136"/>
      <c r="AA815" s="136"/>
    </row>
    <row r="816" spans="1:27" ht="12.75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36"/>
      <c r="T816" s="136"/>
      <c r="U816" s="136"/>
      <c r="V816" s="136"/>
      <c r="W816" s="136"/>
      <c r="X816" s="136"/>
      <c r="Y816" s="136"/>
      <c r="Z816" s="136"/>
      <c r="AA816" s="136"/>
    </row>
    <row r="817" spans="1:27" ht="12.75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36"/>
      <c r="T817" s="136"/>
      <c r="U817" s="136"/>
      <c r="V817" s="136"/>
      <c r="W817" s="136"/>
      <c r="X817" s="136"/>
      <c r="Y817" s="136"/>
      <c r="Z817" s="136"/>
      <c r="AA817" s="136"/>
    </row>
    <row r="818" spans="1:27" ht="12.75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36"/>
      <c r="T818" s="136"/>
      <c r="U818" s="136"/>
      <c r="V818" s="136"/>
      <c r="W818" s="136"/>
      <c r="X818" s="136"/>
      <c r="Y818" s="136"/>
      <c r="Z818" s="136"/>
      <c r="AA818" s="136"/>
    </row>
    <row r="819" spans="1:27" ht="12.75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36"/>
      <c r="T819" s="136"/>
      <c r="U819" s="136"/>
      <c r="V819" s="136"/>
      <c r="W819" s="136"/>
      <c r="X819" s="136"/>
      <c r="Y819" s="136"/>
      <c r="Z819" s="136"/>
      <c r="AA819" s="136"/>
    </row>
    <row r="820" spans="1:27" ht="12.75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36"/>
      <c r="T820" s="136"/>
      <c r="U820" s="136"/>
      <c r="V820" s="136"/>
      <c r="W820" s="136"/>
      <c r="X820" s="136"/>
      <c r="Y820" s="136"/>
      <c r="Z820" s="136"/>
      <c r="AA820" s="136"/>
    </row>
    <row r="821" spans="1:27" ht="12.75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36"/>
      <c r="T821" s="136"/>
      <c r="U821" s="136"/>
      <c r="V821" s="136"/>
      <c r="W821" s="136"/>
      <c r="X821" s="136"/>
      <c r="Y821" s="136"/>
      <c r="Z821" s="136"/>
      <c r="AA821" s="136"/>
    </row>
    <row r="822" spans="1:27" ht="12.75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36"/>
      <c r="T822" s="136"/>
      <c r="U822" s="136"/>
      <c r="V822" s="136"/>
      <c r="W822" s="136"/>
      <c r="X822" s="136"/>
      <c r="Y822" s="136"/>
      <c r="Z822" s="136"/>
      <c r="AA822" s="136"/>
    </row>
    <row r="823" spans="1:27" ht="12.75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36"/>
      <c r="T823" s="136"/>
      <c r="U823" s="136"/>
      <c r="V823" s="136"/>
      <c r="W823" s="136"/>
      <c r="X823" s="136"/>
      <c r="Y823" s="136"/>
      <c r="Z823" s="136"/>
      <c r="AA823" s="136"/>
    </row>
    <row r="824" spans="1:27" ht="12.75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36"/>
      <c r="T824" s="136"/>
      <c r="U824" s="136"/>
      <c r="V824" s="136"/>
      <c r="W824" s="136"/>
      <c r="X824" s="136"/>
      <c r="Y824" s="136"/>
      <c r="Z824" s="136"/>
      <c r="AA824" s="136"/>
    </row>
    <row r="825" spans="1:27" ht="12.7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36"/>
      <c r="T825" s="136"/>
      <c r="U825" s="136"/>
      <c r="V825" s="136"/>
      <c r="W825" s="136"/>
      <c r="X825" s="136"/>
      <c r="Y825" s="136"/>
      <c r="Z825" s="136"/>
      <c r="AA825" s="136"/>
    </row>
    <row r="826" spans="1:27" ht="12.75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36"/>
      <c r="T826" s="136"/>
      <c r="U826" s="136"/>
      <c r="V826" s="136"/>
      <c r="W826" s="136"/>
      <c r="X826" s="136"/>
      <c r="Y826" s="136"/>
      <c r="Z826" s="136"/>
      <c r="AA826" s="136"/>
    </row>
    <row r="827" spans="1:27" ht="12.75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36"/>
      <c r="T827" s="136"/>
      <c r="U827" s="136"/>
      <c r="V827" s="136"/>
      <c r="W827" s="136"/>
      <c r="X827" s="136"/>
      <c r="Y827" s="136"/>
      <c r="Z827" s="136"/>
      <c r="AA827" s="136"/>
    </row>
    <row r="828" spans="1:27" ht="12.75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36"/>
      <c r="T828" s="136"/>
      <c r="U828" s="136"/>
      <c r="V828" s="136"/>
      <c r="W828" s="136"/>
      <c r="X828" s="136"/>
      <c r="Y828" s="136"/>
      <c r="Z828" s="136"/>
      <c r="AA828" s="136"/>
    </row>
    <row r="829" spans="1:27" ht="12.75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36"/>
      <c r="T829" s="136"/>
      <c r="U829" s="136"/>
      <c r="V829" s="136"/>
      <c r="W829" s="136"/>
      <c r="X829" s="136"/>
      <c r="Y829" s="136"/>
      <c r="Z829" s="136"/>
      <c r="AA829" s="136"/>
    </row>
    <row r="830" spans="1:27" ht="12.75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36"/>
      <c r="T830" s="136"/>
      <c r="U830" s="136"/>
      <c r="V830" s="136"/>
      <c r="W830" s="136"/>
      <c r="X830" s="136"/>
      <c r="Y830" s="136"/>
      <c r="Z830" s="136"/>
      <c r="AA830" s="136"/>
    </row>
    <row r="831" spans="1:27" ht="12.75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36"/>
      <c r="T831" s="136"/>
      <c r="U831" s="136"/>
      <c r="V831" s="136"/>
      <c r="W831" s="136"/>
      <c r="X831" s="136"/>
      <c r="Y831" s="136"/>
      <c r="Z831" s="136"/>
      <c r="AA831" s="136"/>
    </row>
    <row r="832" spans="1:27" ht="12.75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36"/>
      <c r="T832" s="136"/>
      <c r="U832" s="136"/>
      <c r="V832" s="136"/>
      <c r="W832" s="136"/>
      <c r="X832" s="136"/>
      <c r="Y832" s="136"/>
      <c r="Z832" s="136"/>
      <c r="AA832" s="136"/>
    </row>
    <row r="833" spans="1:27" ht="12.75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36"/>
      <c r="T833" s="136"/>
      <c r="U833" s="136"/>
      <c r="V833" s="136"/>
      <c r="W833" s="136"/>
      <c r="X833" s="136"/>
      <c r="Y833" s="136"/>
      <c r="Z833" s="136"/>
      <c r="AA833" s="136"/>
    </row>
    <row r="834" spans="1:27" ht="12.75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36"/>
      <c r="T834" s="136"/>
      <c r="U834" s="136"/>
      <c r="V834" s="136"/>
      <c r="W834" s="136"/>
      <c r="X834" s="136"/>
      <c r="Y834" s="136"/>
      <c r="Z834" s="136"/>
      <c r="AA834" s="136"/>
    </row>
    <row r="835" spans="1:27" ht="12.7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36"/>
      <c r="T835" s="136"/>
      <c r="U835" s="136"/>
      <c r="V835" s="136"/>
      <c r="W835" s="136"/>
      <c r="X835" s="136"/>
      <c r="Y835" s="136"/>
      <c r="Z835" s="136"/>
      <c r="AA835" s="136"/>
    </row>
    <row r="836" spans="1:27" ht="12.75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36"/>
      <c r="T836" s="136"/>
      <c r="U836" s="136"/>
      <c r="V836" s="136"/>
      <c r="W836" s="136"/>
      <c r="X836" s="136"/>
      <c r="Y836" s="136"/>
      <c r="Z836" s="136"/>
      <c r="AA836" s="136"/>
    </row>
    <row r="837" spans="1:27" ht="12.75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36"/>
      <c r="T837" s="136"/>
      <c r="U837" s="136"/>
      <c r="V837" s="136"/>
      <c r="W837" s="136"/>
      <c r="X837" s="136"/>
      <c r="Y837" s="136"/>
      <c r="Z837" s="136"/>
      <c r="AA837" s="136"/>
    </row>
    <row r="838" spans="1:27" ht="12.75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36"/>
      <c r="T838" s="136"/>
      <c r="U838" s="136"/>
      <c r="V838" s="136"/>
      <c r="W838" s="136"/>
      <c r="X838" s="136"/>
      <c r="Y838" s="136"/>
      <c r="Z838" s="136"/>
      <c r="AA838" s="136"/>
    </row>
    <row r="839" spans="1:27" ht="12.75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36"/>
      <c r="T839" s="136"/>
      <c r="U839" s="136"/>
      <c r="V839" s="136"/>
      <c r="W839" s="136"/>
      <c r="X839" s="136"/>
      <c r="Y839" s="136"/>
      <c r="Z839" s="136"/>
      <c r="AA839" s="136"/>
    </row>
    <row r="840" spans="1:27" ht="12.75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36"/>
      <c r="T840" s="136"/>
      <c r="U840" s="136"/>
      <c r="V840" s="136"/>
      <c r="W840" s="136"/>
      <c r="X840" s="136"/>
      <c r="Y840" s="136"/>
      <c r="Z840" s="136"/>
      <c r="AA840" s="136"/>
    </row>
    <row r="841" spans="1:27" ht="12.75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36"/>
      <c r="T841" s="136"/>
      <c r="U841" s="136"/>
      <c r="V841" s="136"/>
      <c r="W841" s="136"/>
      <c r="X841" s="136"/>
      <c r="Y841" s="136"/>
      <c r="Z841" s="136"/>
      <c r="AA841" s="136"/>
    </row>
    <row r="842" spans="1:27" ht="12.75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36"/>
      <c r="T842" s="136"/>
      <c r="U842" s="136"/>
      <c r="V842" s="136"/>
      <c r="W842" s="136"/>
      <c r="X842" s="136"/>
      <c r="Y842" s="136"/>
      <c r="Z842" s="136"/>
      <c r="AA842" s="136"/>
    </row>
    <row r="843" spans="1:27" ht="12.75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36"/>
      <c r="T843" s="136"/>
      <c r="U843" s="136"/>
      <c r="V843" s="136"/>
      <c r="W843" s="136"/>
      <c r="X843" s="136"/>
      <c r="Y843" s="136"/>
      <c r="Z843" s="136"/>
      <c r="AA843" s="136"/>
    </row>
    <row r="844" spans="1:27" ht="12.75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36"/>
      <c r="T844" s="136"/>
      <c r="U844" s="136"/>
      <c r="V844" s="136"/>
      <c r="W844" s="136"/>
      <c r="X844" s="136"/>
      <c r="Y844" s="136"/>
      <c r="Z844" s="136"/>
      <c r="AA844" s="136"/>
    </row>
    <row r="845" spans="1:27" ht="12.7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36"/>
      <c r="T845" s="136"/>
      <c r="U845" s="136"/>
      <c r="V845" s="136"/>
      <c r="W845" s="136"/>
      <c r="X845" s="136"/>
      <c r="Y845" s="136"/>
      <c r="Z845" s="136"/>
      <c r="AA845" s="136"/>
    </row>
    <row r="846" spans="1:27" ht="12.75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36"/>
      <c r="T846" s="136"/>
      <c r="U846" s="136"/>
      <c r="V846" s="136"/>
      <c r="W846" s="136"/>
      <c r="X846" s="136"/>
      <c r="Y846" s="136"/>
      <c r="Z846" s="136"/>
      <c r="AA846" s="136"/>
    </row>
    <row r="847" spans="1:27" ht="12.75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36"/>
      <c r="T847" s="136"/>
      <c r="U847" s="136"/>
      <c r="V847" s="136"/>
      <c r="W847" s="136"/>
      <c r="X847" s="136"/>
      <c r="Y847" s="136"/>
      <c r="Z847" s="136"/>
      <c r="AA847" s="136"/>
    </row>
    <row r="848" spans="1:27" ht="12.75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36"/>
      <c r="T848" s="136"/>
      <c r="U848" s="136"/>
      <c r="V848" s="136"/>
      <c r="W848" s="136"/>
      <c r="X848" s="136"/>
      <c r="Y848" s="136"/>
      <c r="Z848" s="136"/>
      <c r="AA848" s="136"/>
    </row>
    <row r="849" spans="1:27" ht="12.75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36"/>
      <c r="T849" s="136"/>
      <c r="U849" s="136"/>
      <c r="V849" s="136"/>
      <c r="W849" s="136"/>
      <c r="X849" s="136"/>
      <c r="Y849" s="136"/>
      <c r="Z849" s="136"/>
      <c r="AA849" s="136"/>
    </row>
    <row r="850" spans="1:27" ht="12.75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36"/>
      <c r="T850" s="136"/>
      <c r="U850" s="136"/>
      <c r="V850" s="136"/>
      <c r="W850" s="136"/>
      <c r="X850" s="136"/>
      <c r="Y850" s="136"/>
      <c r="Z850" s="136"/>
      <c r="AA850" s="136"/>
    </row>
    <row r="851" spans="1:27" ht="12.75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36"/>
      <c r="T851" s="136"/>
      <c r="U851" s="136"/>
      <c r="V851" s="136"/>
      <c r="W851" s="136"/>
      <c r="X851" s="136"/>
      <c r="Y851" s="136"/>
      <c r="Z851" s="136"/>
      <c r="AA851" s="136"/>
    </row>
    <row r="852" spans="1:27" ht="12.75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36"/>
      <c r="T852" s="136"/>
      <c r="U852" s="136"/>
      <c r="V852" s="136"/>
      <c r="W852" s="136"/>
      <c r="X852" s="136"/>
      <c r="Y852" s="136"/>
      <c r="Z852" s="136"/>
      <c r="AA852" s="136"/>
    </row>
    <row r="853" spans="1:27" ht="12.75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36"/>
      <c r="T853" s="136"/>
      <c r="U853" s="136"/>
      <c r="V853" s="136"/>
      <c r="W853" s="136"/>
      <c r="X853" s="136"/>
      <c r="Y853" s="136"/>
      <c r="Z853" s="136"/>
      <c r="AA853" s="136"/>
    </row>
    <row r="854" spans="1:27" ht="12.75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36"/>
      <c r="T854" s="136"/>
      <c r="U854" s="136"/>
      <c r="V854" s="136"/>
      <c r="W854" s="136"/>
      <c r="X854" s="136"/>
      <c r="Y854" s="136"/>
      <c r="Z854" s="136"/>
      <c r="AA854" s="136"/>
    </row>
    <row r="855" spans="1:27" ht="12.7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36"/>
      <c r="T855" s="136"/>
      <c r="U855" s="136"/>
      <c r="V855" s="136"/>
      <c r="W855" s="136"/>
      <c r="X855" s="136"/>
      <c r="Y855" s="136"/>
      <c r="Z855" s="136"/>
      <c r="AA855" s="136"/>
    </row>
    <row r="856" spans="1:27" ht="12.75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36"/>
      <c r="T856" s="136"/>
      <c r="U856" s="136"/>
      <c r="V856" s="136"/>
      <c r="W856" s="136"/>
      <c r="X856" s="136"/>
      <c r="Y856" s="136"/>
      <c r="Z856" s="136"/>
      <c r="AA856" s="136"/>
    </row>
    <row r="857" spans="1:27" ht="12.75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36"/>
      <c r="T857" s="136"/>
      <c r="U857" s="136"/>
      <c r="V857" s="136"/>
      <c r="W857" s="136"/>
      <c r="X857" s="136"/>
      <c r="Y857" s="136"/>
      <c r="Z857" s="136"/>
      <c r="AA857" s="136"/>
    </row>
    <row r="858" spans="1:27" ht="12.75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36"/>
      <c r="T858" s="136"/>
      <c r="U858" s="136"/>
      <c r="V858" s="136"/>
      <c r="W858" s="136"/>
      <c r="X858" s="136"/>
      <c r="Y858" s="136"/>
      <c r="Z858" s="136"/>
      <c r="AA858" s="136"/>
    </row>
    <row r="859" spans="1:27" ht="12.75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36"/>
      <c r="T859" s="136"/>
      <c r="U859" s="136"/>
      <c r="V859" s="136"/>
      <c r="W859" s="136"/>
      <c r="X859" s="136"/>
      <c r="Y859" s="136"/>
      <c r="Z859" s="136"/>
      <c r="AA859" s="136"/>
    </row>
    <row r="860" spans="1:27" ht="12.75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36"/>
      <c r="T860" s="136"/>
      <c r="U860" s="136"/>
      <c r="V860" s="136"/>
      <c r="W860" s="136"/>
      <c r="X860" s="136"/>
      <c r="Y860" s="136"/>
      <c r="Z860" s="136"/>
      <c r="AA860" s="136"/>
    </row>
    <row r="861" spans="1:27" ht="12.75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36"/>
      <c r="T861" s="136"/>
      <c r="U861" s="136"/>
      <c r="V861" s="136"/>
      <c r="W861" s="136"/>
      <c r="X861" s="136"/>
      <c r="Y861" s="136"/>
      <c r="Z861" s="136"/>
      <c r="AA861" s="136"/>
    </row>
    <row r="862" spans="1:27" ht="12.75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36"/>
      <c r="T862" s="136"/>
      <c r="U862" s="136"/>
      <c r="V862" s="136"/>
      <c r="W862" s="136"/>
      <c r="X862" s="136"/>
      <c r="Y862" s="136"/>
      <c r="Z862" s="136"/>
      <c r="AA862" s="136"/>
    </row>
    <row r="863" spans="1:27" ht="12.75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36"/>
      <c r="T863" s="136"/>
      <c r="U863" s="136"/>
      <c r="V863" s="136"/>
      <c r="W863" s="136"/>
      <c r="X863" s="136"/>
      <c r="Y863" s="136"/>
      <c r="Z863" s="136"/>
      <c r="AA863" s="136"/>
    </row>
    <row r="864" spans="1:27" ht="12.75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36"/>
      <c r="T864" s="136"/>
      <c r="U864" s="136"/>
      <c r="V864" s="136"/>
      <c r="W864" s="136"/>
      <c r="X864" s="136"/>
      <c r="Y864" s="136"/>
      <c r="Z864" s="136"/>
      <c r="AA864" s="136"/>
    </row>
    <row r="865" spans="1:27" ht="12.7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36"/>
      <c r="T865" s="136"/>
      <c r="U865" s="136"/>
      <c r="V865" s="136"/>
      <c r="W865" s="136"/>
      <c r="X865" s="136"/>
      <c r="Y865" s="136"/>
      <c r="Z865" s="136"/>
      <c r="AA865" s="136"/>
    </row>
    <row r="866" spans="1:27" ht="12.75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36"/>
      <c r="T866" s="136"/>
      <c r="U866" s="136"/>
      <c r="V866" s="136"/>
      <c r="W866" s="136"/>
      <c r="X866" s="136"/>
      <c r="Y866" s="136"/>
      <c r="Z866" s="136"/>
      <c r="AA866" s="136"/>
    </row>
    <row r="867" spans="1:27" ht="12.75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36"/>
      <c r="T867" s="136"/>
      <c r="U867" s="136"/>
      <c r="V867" s="136"/>
      <c r="W867" s="136"/>
      <c r="X867" s="136"/>
      <c r="Y867" s="136"/>
      <c r="Z867" s="136"/>
      <c r="AA867" s="136"/>
    </row>
    <row r="868" spans="1:27" ht="12.75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36"/>
      <c r="T868" s="136"/>
      <c r="U868" s="136"/>
      <c r="V868" s="136"/>
      <c r="W868" s="136"/>
      <c r="X868" s="136"/>
      <c r="Y868" s="136"/>
      <c r="Z868" s="136"/>
      <c r="AA868" s="136"/>
    </row>
    <row r="869" spans="1:27" ht="12.75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36"/>
      <c r="T869" s="136"/>
      <c r="U869" s="136"/>
      <c r="V869" s="136"/>
      <c r="W869" s="136"/>
      <c r="X869" s="136"/>
      <c r="Y869" s="136"/>
      <c r="Z869" s="136"/>
      <c r="AA869" s="136"/>
    </row>
    <row r="870" spans="1:27" ht="12.75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36"/>
      <c r="T870" s="136"/>
      <c r="U870" s="136"/>
      <c r="V870" s="136"/>
      <c r="W870" s="136"/>
      <c r="X870" s="136"/>
      <c r="Y870" s="136"/>
      <c r="Z870" s="136"/>
      <c r="AA870" s="136"/>
    </row>
    <row r="871" spans="1:27" ht="12.75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36"/>
      <c r="T871" s="136"/>
      <c r="U871" s="136"/>
      <c r="V871" s="136"/>
      <c r="W871" s="136"/>
      <c r="X871" s="136"/>
      <c r="Y871" s="136"/>
      <c r="Z871" s="136"/>
      <c r="AA871" s="136"/>
    </row>
    <row r="872" spans="1:27" ht="12.75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36"/>
      <c r="T872" s="136"/>
      <c r="U872" s="136"/>
      <c r="V872" s="136"/>
      <c r="W872" s="136"/>
      <c r="X872" s="136"/>
      <c r="Y872" s="136"/>
      <c r="Z872" s="136"/>
      <c r="AA872" s="136"/>
    </row>
    <row r="873" spans="1:27" ht="12.75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36"/>
      <c r="T873" s="136"/>
      <c r="U873" s="136"/>
      <c r="V873" s="136"/>
      <c r="W873" s="136"/>
      <c r="X873" s="136"/>
      <c r="Y873" s="136"/>
      <c r="Z873" s="136"/>
      <c r="AA873" s="136"/>
    </row>
    <row r="874" spans="1:27" ht="12.75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36"/>
      <c r="T874" s="136"/>
      <c r="U874" s="136"/>
      <c r="V874" s="136"/>
      <c r="W874" s="136"/>
      <c r="X874" s="136"/>
      <c r="Y874" s="136"/>
      <c r="Z874" s="136"/>
      <c r="AA874" s="136"/>
    </row>
    <row r="875" spans="1:27" ht="12.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36"/>
      <c r="T875" s="136"/>
      <c r="U875" s="136"/>
      <c r="V875" s="136"/>
      <c r="W875" s="136"/>
      <c r="X875" s="136"/>
      <c r="Y875" s="136"/>
      <c r="Z875" s="136"/>
      <c r="AA875" s="136"/>
    </row>
    <row r="876" spans="1:27" ht="12.75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36"/>
      <c r="T876" s="136"/>
      <c r="U876" s="136"/>
      <c r="V876" s="136"/>
      <c r="W876" s="136"/>
      <c r="X876" s="136"/>
      <c r="Y876" s="136"/>
      <c r="Z876" s="136"/>
      <c r="AA876" s="136"/>
    </row>
    <row r="877" spans="1:27" ht="12.75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36"/>
      <c r="T877" s="136"/>
      <c r="U877" s="136"/>
      <c r="V877" s="136"/>
      <c r="W877" s="136"/>
      <c r="X877" s="136"/>
      <c r="Y877" s="136"/>
      <c r="Z877" s="136"/>
      <c r="AA877" s="136"/>
    </row>
    <row r="878" spans="1:27" ht="12.75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36"/>
      <c r="T878" s="136"/>
      <c r="U878" s="136"/>
      <c r="V878" s="136"/>
      <c r="W878" s="136"/>
      <c r="X878" s="136"/>
      <c r="Y878" s="136"/>
      <c r="Z878" s="136"/>
      <c r="AA878" s="136"/>
    </row>
    <row r="879" spans="1:27" ht="12.75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36"/>
      <c r="T879" s="136"/>
      <c r="U879" s="136"/>
      <c r="V879" s="136"/>
      <c r="W879" s="136"/>
      <c r="X879" s="136"/>
      <c r="Y879" s="136"/>
      <c r="Z879" s="136"/>
      <c r="AA879" s="136"/>
    </row>
    <row r="880" spans="1:27" ht="12.75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36"/>
      <c r="T880" s="136"/>
      <c r="U880" s="136"/>
      <c r="V880" s="136"/>
      <c r="W880" s="136"/>
      <c r="X880" s="136"/>
      <c r="Y880" s="136"/>
      <c r="Z880" s="136"/>
      <c r="AA880" s="136"/>
    </row>
    <row r="881" spans="1:27" ht="12.75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36"/>
      <c r="T881" s="136"/>
      <c r="U881" s="136"/>
      <c r="V881" s="136"/>
      <c r="W881" s="136"/>
      <c r="X881" s="136"/>
      <c r="Y881" s="136"/>
      <c r="Z881" s="136"/>
      <c r="AA881" s="136"/>
    </row>
    <row r="882" spans="1:27" ht="12.75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36"/>
      <c r="T882" s="136"/>
      <c r="U882" s="136"/>
      <c r="V882" s="136"/>
      <c r="W882" s="136"/>
      <c r="X882" s="136"/>
      <c r="Y882" s="136"/>
      <c r="Z882" s="136"/>
      <c r="AA882" s="136"/>
    </row>
    <row r="883" spans="1:27" ht="12.75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36"/>
      <c r="T883" s="136"/>
      <c r="U883" s="136"/>
      <c r="V883" s="136"/>
      <c r="W883" s="136"/>
      <c r="X883" s="136"/>
      <c r="Y883" s="136"/>
      <c r="Z883" s="136"/>
      <c r="AA883" s="136"/>
    </row>
    <row r="884" spans="1:27" ht="12.75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36"/>
      <c r="T884" s="136"/>
      <c r="U884" s="136"/>
      <c r="V884" s="136"/>
      <c r="W884" s="136"/>
      <c r="X884" s="136"/>
      <c r="Y884" s="136"/>
      <c r="Z884" s="136"/>
      <c r="AA884" s="136"/>
    </row>
    <row r="885" spans="1:27" ht="12.7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36"/>
      <c r="T885" s="136"/>
      <c r="U885" s="136"/>
      <c r="V885" s="136"/>
      <c r="W885" s="136"/>
      <c r="X885" s="136"/>
      <c r="Y885" s="136"/>
      <c r="Z885" s="136"/>
      <c r="AA885" s="136"/>
    </row>
    <row r="886" spans="1:27" ht="12.75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36"/>
      <c r="T886" s="136"/>
      <c r="U886" s="136"/>
      <c r="V886" s="136"/>
      <c r="W886" s="136"/>
      <c r="X886" s="136"/>
      <c r="Y886" s="136"/>
      <c r="Z886" s="136"/>
      <c r="AA886" s="136"/>
    </row>
    <row r="887" spans="1:27" ht="12.75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36"/>
      <c r="T887" s="136"/>
      <c r="U887" s="136"/>
      <c r="V887" s="136"/>
      <c r="W887" s="136"/>
      <c r="X887" s="136"/>
      <c r="Y887" s="136"/>
      <c r="Z887" s="136"/>
      <c r="AA887" s="136"/>
    </row>
    <row r="888" spans="1:27" ht="12.75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36"/>
      <c r="T888" s="136"/>
      <c r="U888" s="136"/>
      <c r="V888" s="136"/>
      <c r="W888" s="136"/>
      <c r="X888" s="136"/>
      <c r="Y888" s="136"/>
      <c r="Z888" s="136"/>
      <c r="AA888" s="136"/>
    </row>
    <row r="889" spans="1:27" ht="12.75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36"/>
      <c r="T889" s="136"/>
      <c r="U889" s="136"/>
      <c r="V889" s="136"/>
      <c r="W889" s="136"/>
      <c r="X889" s="136"/>
      <c r="Y889" s="136"/>
      <c r="Z889" s="136"/>
      <c r="AA889" s="136"/>
    </row>
    <row r="890" spans="1:27" ht="12.75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36"/>
      <c r="T890" s="136"/>
      <c r="U890" s="136"/>
      <c r="V890" s="136"/>
      <c r="W890" s="136"/>
      <c r="X890" s="136"/>
      <c r="Y890" s="136"/>
      <c r="Z890" s="136"/>
      <c r="AA890" s="136"/>
    </row>
    <row r="891" spans="1:27" ht="12.75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36"/>
      <c r="T891" s="136"/>
      <c r="U891" s="136"/>
      <c r="V891" s="136"/>
      <c r="W891" s="136"/>
      <c r="X891" s="136"/>
      <c r="Y891" s="136"/>
      <c r="Z891" s="136"/>
      <c r="AA891" s="136"/>
    </row>
    <row r="892" spans="1:27" ht="12.75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36"/>
      <c r="T892" s="136"/>
      <c r="U892" s="136"/>
      <c r="V892" s="136"/>
      <c r="W892" s="136"/>
      <c r="X892" s="136"/>
      <c r="Y892" s="136"/>
      <c r="Z892" s="136"/>
      <c r="AA892" s="136"/>
    </row>
    <row r="893" spans="1:27" ht="12.75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36"/>
      <c r="T893" s="136"/>
      <c r="U893" s="136"/>
      <c r="V893" s="136"/>
      <c r="W893" s="136"/>
      <c r="X893" s="136"/>
      <c r="Y893" s="136"/>
      <c r="Z893" s="136"/>
      <c r="AA893" s="136"/>
    </row>
    <row r="894" spans="1:27" ht="12.75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36"/>
      <c r="T894" s="136"/>
      <c r="U894" s="136"/>
      <c r="V894" s="136"/>
      <c r="W894" s="136"/>
      <c r="X894" s="136"/>
      <c r="Y894" s="136"/>
      <c r="Z894" s="136"/>
      <c r="AA894" s="136"/>
    </row>
    <row r="895" spans="1:27" ht="12.7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36"/>
      <c r="T895" s="136"/>
      <c r="U895" s="136"/>
      <c r="V895" s="136"/>
      <c r="W895" s="136"/>
      <c r="X895" s="136"/>
      <c r="Y895" s="136"/>
      <c r="Z895" s="136"/>
      <c r="AA895" s="136"/>
    </row>
    <row r="896" spans="1:27" ht="12.75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36"/>
      <c r="T896" s="136"/>
      <c r="U896" s="136"/>
      <c r="V896" s="136"/>
      <c r="W896" s="136"/>
      <c r="X896" s="136"/>
      <c r="Y896" s="136"/>
      <c r="Z896" s="136"/>
      <c r="AA896" s="136"/>
    </row>
    <row r="897" spans="1:27" ht="12.75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36"/>
      <c r="T897" s="136"/>
      <c r="U897" s="136"/>
      <c r="V897" s="136"/>
      <c r="W897" s="136"/>
      <c r="X897" s="136"/>
      <c r="Y897" s="136"/>
      <c r="Z897" s="136"/>
      <c r="AA897" s="136"/>
    </row>
    <row r="898" spans="1:27" ht="12.75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36"/>
      <c r="T898" s="136"/>
      <c r="U898" s="136"/>
      <c r="V898" s="136"/>
      <c r="W898" s="136"/>
      <c r="X898" s="136"/>
      <c r="Y898" s="136"/>
      <c r="Z898" s="136"/>
      <c r="AA898" s="136"/>
    </row>
    <row r="899" spans="1:27" ht="12.75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36"/>
      <c r="T899" s="136"/>
      <c r="U899" s="136"/>
      <c r="V899" s="136"/>
      <c r="W899" s="136"/>
      <c r="X899" s="136"/>
      <c r="Y899" s="136"/>
      <c r="Z899" s="136"/>
      <c r="AA899" s="136"/>
    </row>
    <row r="900" spans="1:27" ht="12.75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36"/>
      <c r="T900" s="136"/>
      <c r="U900" s="136"/>
      <c r="V900" s="136"/>
      <c r="W900" s="136"/>
      <c r="X900" s="136"/>
      <c r="Y900" s="136"/>
      <c r="Z900" s="136"/>
      <c r="AA900" s="136"/>
    </row>
    <row r="901" spans="1:27" ht="12.75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36"/>
      <c r="T901" s="136"/>
      <c r="U901" s="136"/>
      <c r="V901" s="136"/>
      <c r="W901" s="136"/>
      <c r="X901" s="136"/>
      <c r="Y901" s="136"/>
      <c r="Z901" s="136"/>
      <c r="AA901" s="136"/>
    </row>
    <row r="902" spans="1:27" ht="12.75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36"/>
      <c r="T902" s="136"/>
      <c r="U902" s="136"/>
      <c r="V902" s="136"/>
      <c r="W902" s="136"/>
      <c r="X902" s="136"/>
      <c r="Y902" s="136"/>
      <c r="Z902" s="136"/>
      <c r="AA902" s="136"/>
    </row>
    <row r="903" spans="1:27" ht="12.75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36"/>
      <c r="T903" s="136"/>
      <c r="U903" s="136"/>
      <c r="V903" s="136"/>
      <c r="W903" s="136"/>
      <c r="X903" s="136"/>
      <c r="Y903" s="136"/>
      <c r="Z903" s="136"/>
      <c r="AA903" s="136"/>
    </row>
    <row r="904" spans="1:27" ht="12.75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36"/>
      <c r="T904" s="136"/>
      <c r="U904" s="136"/>
      <c r="V904" s="136"/>
      <c r="W904" s="136"/>
      <c r="X904" s="136"/>
      <c r="Y904" s="136"/>
      <c r="Z904" s="136"/>
      <c r="AA904" s="136"/>
    </row>
    <row r="905" spans="1:27" ht="12.7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36"/>
      <c r="T905" s="136"/>
      <c r="U905" s="136"/>
      <c r="V905" s="136"/>
      <c r="W905" s="136"/>
      <c r="X905" s="136"/>
      <c r="Y905" s="136"/>
      <c r="Z905" s="136"/>
      <c r="AA905" s="136"/>
    </row>
    <row r="906" spans="1:27" ht="12.75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36"/>
      <c r="T906" s="136"/>
      <c r="U906" s="136"/>
      <c r="V906" s="136"/>
      <c r="W906" s="136"/>
      <c r="X906" s="136"/>
      <c r="Y906" s="136"/>
      <c r="Z906" s="136"/>
      <c r="AA906" s="136"/>
    </row>
    <row r="907" spans="1:27" ht="12.75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36"/>
      <c r="T907" s="136"/>
      <c r="U907" s="136"/>
      <c r="V907" s="136"/>
      <c r="W907" s="136"/>
      <c r="X907" s="136"/>
      <c r="Y907" s="136"/>
      <c r="Z907" s="136"/>
      <c r="AA907" s="136"/>
    </row>
    <row r="908" spans="1:27" ht="12.75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36"/>
      <c r="T908" s="136"/>
      <c r="U908" s="136"/>
      <c r="V908" s="136"/>
      <c r="W908" s="136"/>
      <c r="X908" s="136"/>
      <c r="Y908" s="136"/>
      <c r="Z908" s="136"/>
      <c r="AA908" s="136"/>
    </row>
    <row r="909" spans="1:27" ht="12.75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36"/>
      <c r="T909" s="136"/>
      <c r="U909" s="136"/>
      <c r="V909" s="136"/>
      <c r="W909" s="136"/>
      <c r="X909" s="136"/>
      <c r="Y909" s="136"/>
      <c r="Z909" s="136"/>
      <c r="AA909" s="136"/>
    </row>
    <row r="910" spans="1:27" ht="12.75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36"/>
      <c r="T910" s="136"/>
      <c r="U910" s="136"/>
      <c r="V910" s="136"/>
      <c r="W910" s="136"/>
      <c r="X910" s="136"/>
      <c r="Y910" s="136"/>
      <c r="Z910" s="136"/>
      <c r="AA910" s="136"/>
    </row>
    <row r="911" spans="1:27" ht="12.75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36"/>
      <c r="T911" s="136"/>
      <c r="U911" s="136"/>
      <c r="V911" s="136"/>
      <c r="W911" s="136"/>
      <c r="X911" s="136"/>
      <c r="Y911" s="136"/>
      <c r="Z911" s="136"/>
      <c r="AA911" s="136"/>
    </row>
    <row r="912" spans="1:27" ht="12.75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36"/>
      <c r="T912" s="136"/>
      <c r="U912" s="136"/>
      <c r="V912" s="136"/>
      <c r="W912" s="136"/>
      <c r="X912" s="136"/>
      <c r="Y912" s="136"/>
      <c r="Z912" s="136"/>
      <c r="AA912" s="136"/>
    </row>
    <row r="913" spans="1:27" ht="12.75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36"/>
      <c r="T913" s="136"/>
      <c r="U913" s="136"/>
      <c r="V913" s="136"/>
      <c r="W913" s="136"/>
      <c r="X913" s="136"/>
      <c r="Y913" s="136"/>
      <c r="Z913" s="136"/>
      <c r="AA913" s="136"/>
    </row>
    <row r="914" spans="1:27" ht="12.75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36"/>
      <c r="T914" s="136"/>
      <c r="U914" s="136"/>
      <c r="V914" s="136"/>
      <c r="W914" s="136"/>
      <c r="X914" s="136"/>
      <c r="Y914" s="136"/>
      <c r="Z914" s="136"/>
      <c r="AA914" s="136"/>
    </row>
    <row r="915" spans="1:27" ht="12.7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36"/>
      <c r="T915" s="136"/>
      <c r="U915" s="136"/>
      <c r="V915" s="136"/>
      <c r="W915" s="136"/>
      <c r="X915" s="136"/>
      <c r="Y915" s="136"/>
      <c r="Z915" s="136"/>
      <c r="AA915" s="136"/>
    </row>
    <row r="916" spans="1:27" ht="12.75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36"/>
      <c r="T916" s="136"/>
      <c r="U916" s="136"/>
      <c r="V916" s="136"/>
      <c r="W916" s="136"/>
      <c r="X916" s="136"/>
      <c r="Y916" s="136"/>
      <c r="Z916" s="136"/>
      <c r="AA916" s="136"/>
    </row>
    <row r="917" spans="1:27" ht="12.75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36"/>
      <c r="T917" s="136"/>
      <c r="U917" s="136"/>
      <c r="V917" s="136"/>
      <c r="W917" s="136"/>
      <c r="X917" s="136"/>
      <c r="Y917" s="136"/>
      <c r="Z917" s="136"/>
      <c r="AA917" s="136"/>
    </row>
    <row r="918" spans="1:27" ht="12.75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36"/>
      <c r="T918" s="136"/>
      <c r="U918" s="136"/>
      <c r="V918" s="136"/>
      <c r="W918" s="136"/>
      <c r="X918" s="136"/>
      <c r="Y918" s="136"/>
      <c r="Z918" s="136"/>
      <c r="AA918" s="136"/>
    </row>
    <row r="919" spans="1:27" ht="12.75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36"/>
      <c r="T919" s="136"/>
      <c r="U919" s="136"/>
      <c r="V919" s="136"/>
      <c r="W919" s="136"/>
      <c r="X919" s="136"/>
      <c r="Y919" s="136"/>
      <c r="Z919" s="136"/>
      <c r="AA919" s="136"/>
    </row>
    <row r="920" spans="1:27" ht="12.75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36"/>
      <c r="T920" s="136"/>
      <c r="U920" s="136"/>
      <c r="V920" s="136"/>
      <c r="W920" s="136"/>
      <c r="X920" s="136"/>
      <c r="Y920" s="136"/>
      <c r="Z920" s="136"/>
      <c r="AA920" s="136"/>
    </row>
    <row r="921" spans="1:27" ht="12.75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36"/>
      <c r="T921" s="136"/>
      <c r="U921" s="136"/>
      <c r="V921" s="136"/>
      <c r="W921" s="136"/>
      <c r="X921" s="136"/>
      <c r="Y921" s="136"/>
      <c r="Z921" s="136"/>
      <c r="AA921" s="136"/>
    </row>
    <row r="922" spans="1:27" ht="12.75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36"/>
      <c r="T922" s="136"/>
      <c r="U922" s="136"/>
      <c r="V922" s="136"/>
      <c r="W922" s="136"/>
      <c r="X922" s="136"/>
      <c r="Y922" s="136"/>
      <c r="Z922" s="136"/>
      <c r="AA922" s="136"/>
    </row>
    <row r="923" spans="1:27" ht="12.75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36"/>
      <c r="T923" s="136"/>
      <c r="U923" s="136"/>
      <c r="V923" s="136"/>
      <c r="W923" s="136"/>
      <c r="X923" s="136"/>
      <c r="Y923" s="136"/>
      <c r="Z923" s="136"/>
      <c r="AA923" s="136"/>
    </row>
    <row r="924" spans="1:27" ht="12.75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36"/>
      <c r="T924" s="136"/>
      <c r="U924" s="136"/>
      <c r="V924" s="136"/>
      <c r="W924" s="136"/>
      <c r="X924" s="136"/>
      <c r="Y924" s="136"/>
      <c r="Z924" s="136"/>
      <c r="AA924" s="136"/>
    </row>
    <row r="925" spans="1:27" ht="12.7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36"/>
      <c r="T925" s="136"/>
      <c r="U925" s="136"/>
      <c r="V925" s="136"/>
      <c r="W925" s="136"/>
      <c r="X925" s="136"/>
      <c r="Y925" s="136"/>
      <c r="Z925" s="136"/>
      <c r="AA925" s="136"/>
    </row>
    <row r="926" spans="1:27" ht="12.75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36"/>
      <c r="T926" s="136"/>
      <c r="U926" s="136"/>
      <c r="V926" s="136"/>
      <c r="W926" s="136"/>
      <c r="X926" s="136"/>
      <c r="Y926" s="136"/>
      <c r="Z926" s="136"/>
      <c r="AA926" s="136"/>
    </row>
    <row r="927" spans="1:27" ht="12.75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36"/>
      <c r="T927" s="136"/>
      <c r="U927" s="136"/>
      <c r="V927" s="136"/>
      <c r="W927" s="136"/>
      <c r="X927" s="136"/>
      <c r="Y927" s="136"/>
      <c r="Z927" s="136"/>
      <c r="AA927" s="136"/>
    </row>
    <row r="928" spans="1:27" ht="12.75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36"/>
      <c r="T928" s="136"/>
      <c r="U928" s="136"/>
      <c r="V928" s="136"/>
      <c r="W928" s="136"/>
      <c r="X928" s="136"/>
      <c r="Y928" s="136"/>
      <c r="Z928" s="136"/>
      <c r="AA928" s="136"/>
    </row>
    <row r="929" spans="1:27" ht="12.75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36"/>
      <c r="T929" s="136"/>
      <c r="U929" s="136"/>
      <c r="V929" s="136"/>
      <c r="W929" s="136"/>
      <c r="X929" s="136"/>
      <c r="Y929" s="136"/>
      <c r="Z929" s="136"/>
      <c r="AA929" s="136"/>
    </row>
    <row r="930" spans="1:27" ht="12.75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36"/>
      <c r="T930" s="136"/>
      <c r="U930" s="136"/>
      <c r="V930" s="136"/>
      <c r="W930" s="136"/>
      <c r="X930" s="136"/>
      <c r="Y930" s="136"/>
      <c r="Z930" s="136"/>
      <c r="AA930" s="136"/>
    </row>
    <row r="931" spans="1:27" ht="12.75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36"/>
      <c r="T931" s="136"/>
      <c r="U931" s="136"/>
      <c r="V931" s="136"/>
      <c r="W931" s="136"/>
      <c r="X931" s="136"/>
      <c r="Y931" s="136"/>
      <c r="Z931" s="136"/>
      <c r="AA931" s="136"/>
    </row>
    <row r="932" spans="1:27" ht="12.75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36"/>
      <c r="T932" s="136"/>
      <c r="U932" s="136"/>
      <c r="V932" s="136"/>
      <c r="W932" s="136"/>
      <c r="X932" s="136"/>
      <c r="Y932" s="136"/>
      <c r="Z932" s="136"/>
      <c r="AA932" s="136"/>
    </row>
    <row r="933" spans="1:27" ht="12.75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36"/>
      <c r="T933" s="136"/>
      <c r="U933" s="136"/>
      <c r="V933" s="136"/>
      <c r="W933" s="136"/>
      <c r="X933" s="136"/>
      <c r="Y933" s="136"/>
      <c r="Z933" s="136"/>
      <c r="AA933" s="136"/>
    </row>
    <row r="934" spans="1:27" ht="12.75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36"/>
      <c r="T934" s="136"/>
      <c r="U934" s="136"/>
      <c r="V934" s="136"/>
      <c r="W934" s="136"/>
      <c r="X934" s="136"/>
      <c r="Y934" s="136"/>
      <c r="Z934" s="136"/>
      <c r="AA934" s="136"/>
    </row>
    <row r="935" spans="1:27" ht="12.7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36"/>
      <c r="T935" s="136"/>
      <c r="U935" s="136"/>
      <c r="V935" s="136"/>
      <c r="W935" s="136"/>
      <c r="X935" s="136"/>
      <c r="Y935" s="136"/>
      <c r="Z935" s="136"/>
      <c r="AA935" s="136"/>
    </row>
    <row r="936" spans="1:27" ht="12.75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36"/>
      <c r="T936" s="136"/>
      <c r="U936" s="136"/>
      <c r="V936" s="136"/>
      <c r="W936" s="136"/>
      <c r="X936" s="136"/>
      <c r="Y936" s="136"/>
      <c r="Z936" s="136"/>
      <c r="AA936" s="136"/>
    </row>
    <row r="937" spans="1:27" ht="12.75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36"/>
      <c r="T937" s="136"/>
      <c r="U937" s="136"/>
      <c r="V937" s="136"/>
      <c r="W937" s="136"/>
      <c r="X937" s="136"/>
      <c r="Y937" s="136"/>
      <c r="Z937" s="136"/>
      <c r="AA937" s="136"/>
    </row>
    <row r="938" spans="1:27" ht="12.75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36"/>
      <c r="T938" s="136"/>
      <c r="U938" s="136"/>
      <c r="V938" s="136"/>
      <c r="W938" s="136"/>
      <c r="X938" s="136"/>
      <c r="Y938" s="136"/>
      <c r="Z938" s="136"/>
      <c r="AA938" s="136"/>
    </row>
    <row r="939" spans="1:27" ht="12.75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36"/>
      <c r="T939" s="136"/>
      <c r="U939" s="136"/>
      <c r="V939" s="136"/>
      <c r="W939" s="136"/>
      <c r="X939" s="136"/>
      <c r="Y939" s="136"/>
      <c r="Z939" s="136"/>
      <c r="AA939" s="136"/>
    </row>
    <row r="940" spans="1:27" ht="12.75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36"/>
      <c r="T940" s="136"/>
      <c r="U940" s="136"/>
      <c r="V940" s="136"/>
      <c r="W940" s="136"/>
      <c r="X940" s="136"/>
      <c r="Y940" s="136"/>
      <c r="Z940" s="136"/>
      <c r="AA940" s="136"/>
    </row>
    <row r="941" spans="1:27" ht="12.75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36"/>
      <c r="T941" s="136"/>
      <c r="U941" s="136"/>
      <c r="V941" s="136"/>
      <c r="W941" s="136"/>
      <c r="X941" s="136"/>
      <c r="Y941" s="136"/>
      <c r="Z941" s="136"/>
      <c r="AA941" s="136"/>
    </row>
    <row r="942" spans="1:27" ht="12.75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36"/>
      <c r="T942" s="136"/>
      <c r="U942" s="136"/>
      <c r="V942" s="136"/>
      <c r="W942" s="136"/>
      <c r="X942" s="136"/>
      <c r="Y942" s="136"/>
      <c r="Z942" s="136"/>
      <c r="AA942" s="136"/>
    </row>
    <row r="943" spans="1:27" ht="12.75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36"/>
      <c r="T943" s="136"/>
      <c r="U943" s="136"/>
      <c r="V943" s="136"/>
      <c r="W943" s="136"/>
      <c r="X943" s="136"/>
      <c r="Y943" s="136"/>
      <c r="Z943" s="136"/>
      <c r="AA943" s="136"/>
    </row>
    <row r="944" spans="1:27" ht="12.75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36"/>
      <c r="T944" s="136"/>
      <c r="U944" s="136"/>
      <c r="V944" s="136"/>
      <c r="W944" s="136"/>
      <c r="X944" s="136"/>
      <c r="Y944" s="136"/>
      <c r="Z944" s="136"/>
      <c r="AA944" s="136"/>
    </row>
    <row r="945" spans="1:27" ht="12.7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36"/>
      <c r="T945" s="136"/>
      <c r="U945" s="136"/>
      <c r="V945" s="136"/>
      <c r="W945" s="136"/>
      <c r="X945" s="136"/>
      <c r="Y945" s="136"/>
      <c r="Z945" s="136"/>
      <c r="AA945" s="136"/>
    </row>
    <row r="946" spans="1:27" ht="12.75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36"/>
      <c r="T946" s="136"/>
      <c r="U946" s="136"/>
      <c r="V946" s="136"/>
      <c r="W946" s="136"/>
      <c r="X946" s="136"/>
      <c r="Y946" s="136"/>
      <c r="Z946" s="136"/>
      <c r="AA946" s="136"/>
    </row>
    <row r="947" spans="1:27" ht="12.75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36"/>
      <c r="T947" s="136"/>
      <c r="U947" s="136"/>
      <c r="V947" s="136"/>
      <c r="W947" s="136"/>
      <c r="X947" s="136"/>
      <c r="Y947" s="136"/>
      <c r="Z947" s="136"/>
      <c r="AA947" s="136"/>
    </row>
    <row r="948" spans="1:27" ht="12.75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36"/>
      <c r="T948" s="136"/>
      <c r="U948" s="136"/>
      <c r="V948" s="136"/>
      <c r="W948" s="136"/>
      <c r="X948" s="136"/>
      <c r="Y948" s="136"/>
      <c r="Z948" s="136"/>
      <c r="AA948" s="136"/>
    </row>
    <row r="949" spans="1:27" ht="12.75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36"/>
      <c r="T949" s="136"/>
      <c r="U949" s="136"/>
      <c r="V949" s="136"/>
      <c r="W949" s="136"/>
      <c r="X949" s="136"/>
      <c r="Y949" s="136"/>
      <c r="Z949" s="136"/>
      <c r="AA949" s="136"/>
    </row>
    <row r="950" spans="1:27" ht="12.75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36"/>
      <c r="T950" s="136"/>
      <c r="U950" s="136"/>
      <c r="V950" s="136"/>
      <c r="W950" s="136"/>
      <c r="X950" s="136"/>
      <c r="Y950" s="136"/>
      <c r="Z950" s="136"/>
      <c r="AA950" s="136"/>
    </row>
    <row r="951" spans="1:27" ht="12.75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36"/>
      <c r="T951" s="136"/>
      <c r="U951" s="136"/>
      <c r="V951" s="136"/>
      <c r="W951" s="136"/>
      <c r="X951" s="136"/>
      <c r="Y951" s="136"/>
      <c r="Z951" s="136"/>
      <c r="AA951" s="136"/>
    </row>
    <row r="952" spans="1:27" ht="12.75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36"/>
      <c r="T952" s="136"/>
      <c r="U952" s="136"/>
      <c r="V952" s="136"/>
      <c r="W952" s="136"/>
      <c r="X952" s="136"/>
      <c r="Y952" s="136"/>
      <c r="Z952" s="136"/>
      <c r="AA952" s="136"/>
    </row>
    <row r="953" spans="1:27" ht="12.75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36"/>
      <c r="T953" s="136"/>
      <c r="U953" s="136"/>
      <c r="V953" s="136"/>
      <c r="W953" s="136"/>
      <c r="X953" s="136"/>
      <c r="Y953" s="136"/>
      <c r="Z953" s="136"/>
      <c r="AA953" s="136"/>
    </row>
    <row r="954" spans="1:27" ht="12.75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36"/>
      <c r="T954" s="136"/>
      <c r="U954" s="136"/>
      <c r="V954" s="136"/>
      <c r="W954" s="136"/>
      <c r="X954" s="136"/>
      <c r="Y954" s="136"/>
      <c r="Z954" s="136"/>
      <c r="AA954" s="136"/>
    </row>
    <row r="955" spans="1:27" ht="12.7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36"/>
      <c r="T955" s="136"/>
      <c r="U955" s="136"/>
      <c r="V955" s="136"/>
      <c r="W955" s="136"/>
      <c r="X955" s="136"/>
      <c r="Y955" s="136"/>
      <c r="Z955" s="136"/>
      <c r="AA955" s="136"/>
    </row>
    <row r="956" spans="1:27" ht="12.75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36"/>
      <c r="T956" s="136"/>
      <c r="U956" s="136"/>
      <c r="V956" s="136"/>
      <c r="W956" s="136"/>
      <c r="X956" s="136"/>
      <c r="Y956" s="136"/>
      <c r="Z956" s="136"/>
      <c r="AA956" s="136"/>
    </row>
    <row r="957" spans="1:27" ht="12.75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36"/>
      <c r="T957" s="136"/>
      <c r="U957" s="136"/>
      <c r="V957" s="136"/>
      <c r="W957" s="136"/>
      <c r="X957" s="136"/>
      <c r="Y957" s="136"/>
      <c r="Z957" s="136"/>
      <c r="AA957" s="136"/>
    </row>
    <row r="958" spans="1:27" ht="12.75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36"/>
      <c r="T958" s="136"/>
      <c r="U958" s="136"/>
      <c r="V958" s="136"/>
      <c r="W958" s="136"/>
      <c r="X958" s="136"/>
      <c r="Y958" s="136"/>
      <c r="Z958" s="136"/>
      <c r="AA958" s="136"/>
    </row>
    <row r="959" spans="1:27" ht="12.75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36"/>
      <c r="T959" s="136"/>
      <c r="U959" s="136"/>
      <c r="V959" s="136"/>
      <c r="W959" s="136"/>
      <c r="X959" s="136"/>
      <c r="Y959" s="136"/>
      <c r="Z959" s="136"/>
      <c r="AA959" s="136"/>
    </row>
    <row r="960" spans="1:27" ht="12.75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36"/>
      <c r="T960" s="136"/>
      <c r="U960" s="136"/>
      <c r="V960" s="136"/>
      <c r="W960" s="136"/>
      <c r="X960" s="136"/>
      <c r="Y960" s="136"/>
      <c r="Z960" s="136"/>
      <c r="AA960" s="136"/>
    </row>
    <row r="961" spans="1:27" ht="12.75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36"/>
      <c r="T961" s="136"/>
      <c r="U961" s="136"/>
      <c r="V961" s="136"/>
      <c r="W961" s="136"/>
      <c r="X961" s="136"/>
      <c r="Y961" s="136"/>
      <c r="Z961" s="136"/>
      <c r="AA961" s="136"/>
    </row>
    <row r="962" spans="1:27" ht="12.75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36"/>
      <c r="T962" s="136"/>
      <c r="U962" s="136"/>
      <c r="V962" s="136"/>
      <c r="W962" s="136"/>
      <c r="X962" s="136"/>
      <c r="Y962" s="136"/>
      <c r="Z962" s="136"/>
      <c r="AA962" s="136"/>
    </row>
    <row r="963" spans="1:27" ht="12.75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36"/>
      <c r="T963" s="136"/>
      <c r="U963" s="136"/>
      <c r="V963" s="136"/>
      <c r="W963" s="136"/>
      <c r="X963" s="136"/>
      <c r="Y963" s="136"/>
      <c r="Z963" s="136"/>
      <c r="AA963" s="136"/>
    </row>
    <row r="964" spans="1:27" ht="12.75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36"/>
      <c r="T964" s="136"/>
      <c r="U964" s="136"/>
      <c r="V964" s="136"/>
      <c r="W964" s="136"/>
      <c r="X964" s="136"/>
      <c r="Y964" s="136"/>
      <c r="Z964" s="136"/>
      <c r="AA964" s="136"/>
    </row>
    <row r="965" spans="1:27" ht="12.7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36"/>
      <c r="T965" s="136"/>
      <c r="U965" s="136"/>
      <c r="V965" s="136"/>
      <c r="W965" s="136"/>
      <c r="X965" s="136"/>
      <c r="Y965" s="136"/>
      <c r="Z965" s="136"/>
      <c r="AA965" s="136"/>
    </row>
    <row r="966" spans="1:27" ht="12.75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36"/>
      <c r="T966" s="136"/>
      <c r="U966" s="136"/>
      <c r="V966" s="136"/>
      <c r="W966" s="136"/>
      <c r="X966" s="136"/>
      <c r="Y966" s="136"/>
      <c r="Z966" s="136"/>
      <c r="AA966" s="136"/>
    </row>
    <row r="967" spans="1:27" ht="12.75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36"/>
      <c r="T967" s="136"/>
      <c r="U967" s="136"/>
      <c r="V967" s="136"/>
      <c r="W967" s="136"/>
      <c r="X967" s="136"/>
      <c r="Y967" s="136"/>
      <c r="Z967" s="136"/>
      <c r="AA967" s="136"/>
    </row>
    <row r="968" spans="1:27" ht="12.75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36"/>
      <c r="T968" s="136"/>
      <c r="U968" s="136"/>
      <c r="V968" s="136"/>
      <c r="W968" s="136"/>
      <c r="X968" s="136"/>
      <c r="Y968" s="136"/>
      <c r="Z968" s="136"/>
      <c r="AA968" s="136"/>
    </row>
    <row r="969" spans="1:27" ht="12.75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36"/>
      <c r="T969" s="136"/>
      <c r="U969" s="136"/>
      <c r="V969" s="136"/>
      <c r="W969" s="136"/>
      <c r="X969" s="136"/>
      <c r="Y969" s="136"/>
      <c r="Z969" s="136"/>
      <c r="AA969" s="136"/>
    </row>
    <row r="970" spans="1:27" ht="12.75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36"/>
      <c r="T970" s="136"/>
      <c r="U970" s="136"/>
      <c r="V970" s="136"/>
      <c r="W970" s="136"/>
      <c r="X970" s="136"/>
      <c r="Y970" s="136"/>
      <c r="Z970" s="136"/>
      <c r="AA970" s="136"/>
    </row>
    <row r="971" spans="1:27" ht="12.75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36"/>
      <c r="T971" s="136"/>
      <c r="U971" s="136"/>
      <c r="V971" s="136"/>
      <c r="W971" s="136"/>
      <c r="X971" s="136"/>
      <c r="Y971" s="136"/>
      <c r="Z971" s="136"/>
      <c r="AA971" s="136"/>
    </row>
    <row r="972" spans="1:27" ht="12.75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36"/>
      <c r="T972" s="136"/>
      <c r="U972" s="136"/>
      <c r="V972" s="136"/>
      <c r="W972" s="136"/>
      <c r="X972" s="136"/>
      <c r="Y972" s="136"/>
      <c r="Z972" s="136"/>
      <c r="AA972" s="136"/>
    </row>
    <row r="973" spans="1:27" ht="12.75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36"/>
      <c r="T973" s="136"/>
      <c r="U973" s="136"/>
      <c r="V973" s="136"/>
      <c r="W973" s="136"/>
      <c r="X973" s="136"/>
      <c r="Y973" s="136"/>
      <c r="Z973" s="136"/>
      <c r="AA973" s="136"/>
    </row>
    <row r="974" spans="1:27" ht="12.75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36"/>
      <c r="T974" s="136"/>
      <c r="U974" s="136"/>
      <c r="V974" s="136"/>
      <c r="W974" s="136"/>
      <c r="X974" s="136"/>
      <c r="Y974" s="136"/>
      <c r="Z974" s="136"/>
      <c r="AA974" s="136"/>
    </row>
    <row r="975" spans="1:27" ht="12.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36"/>
      <c r="T975" s="136"/>
      <c r="U975" s="136"/>
      <c r="V975" s="136"/>
      <c r="W975" s="136"/>
      <c r="X975" s="136"/>
      <c r="Y975" s="136"/>
      <c r="Z975" s="136"/>
      <c r="AA975" s="136"/>
    </row>
    <row r="976" spans="1:27" ht="12.75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36"/>
      <c r="T976" s="136"/>
      <c r="U976" s="136"/>
      <c r="V976" s="136"/>
      <c r="W976" s="136"/>
      <c r="X976" s="136"/>
      <c r="Y976" s="136"/>
      <c r="Z976" s="136"/>
      <c r="AA976" s="136"/>
    </row>
    <row r="977" spans="1:27" ht="12.75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36"/>
      <c r="T977" s="136"/>
      <c r="U977" s="136"/>
      <c r="V977" s="136"/>
      <c r="W977" s="136"/>
      <c r="X977" s="136"/>
      <c r="Y977" s="136"/>
      <c r="Z977" s="136"/>
      <c r="AA977" s="136"/>
    </row>
    <row r="978" spans="1:27" ht="12.75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36"/>
      <c r="T978" s="136"/>
      <c r="U978" s="136"/>
      <c r="V978" s="136"/>
      <c r="W978" s="136"/>
      <c r="X978" s="136"/>
      <c r="Y978" s="136"/>
      <c r="Z978" s="136"/>
      <c r="AA978" s="136"/>
    </row>
    <row r="979" spans="1:27" ht="12.75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36"/>
      <c r="T979" s="136"/>
      <c r="U979" s="136"/>
      <c r="V979" s="136"/>
      <c r="W979" s="136"/>
      <c r="X979" s="136"/>
      <c r="Y979" s="136"/>
      <c r="Z979" s="136"/>
      <c r="AA979" s="136"/>
    </row>
    <row r="980" spans="1:27" ht="12.75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36"/>
      <c r="T980" s="136"/>
      <c r="U980" s="136"/>
      <c r="V980" s="136"/>
      <c r="W980" s="136"/>
      <c r="X980" s="136"/>
      <c r="Y980" s="136"/>
      <c r="Z980" s="136"/>
      <c r="AA980" s="136"/>
    </row>
    <row r="981" spans="1:27" ht="12.75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36"/>
      <c r="T981" s="136"/>
      <c r="U981" s="136"/>
      <c r="V981" s="136"/>
      <c r="W981" s="136"/>
      <c r="X981" s="136"/>
      <c r="Y981" s="136"/>
      <c r="Z981" s="136"/>
      <c r="AA981" s="136"/>
    </row>
    <row r="982" spans="1:27" ht="12.75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36"/>
      <c r="T982" s="136"/>
      <c r="U982" s="136"/>
      <c r="V982" s="136"/>
      <c r="W982" s="136"/>
      <c r="X982" s="136"/>
      <c r="Y982" s="136"/>
      <c r="Z982" s="136"/>
      <c r="AA982" s="136"/>
    </row>
    <row r="983" spans="1:27" ht="12.75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36"/>
      <c r="T983" s="136"/>
      <c r="U983" s="136"/>
      <c r="V983" s="136"/>
      <c r="W983" s="136"/>
      <c r="X983" s="136"/>
      <c r="Y983" s="136"/>
      <c r="Z983" s="136"/>
      <c r="AA983" s="136"/>
    </row>
    <row r="984" spans="1:27" ht="12.75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36"/>
      <c r="T984" s="136"/>
      <c r="U984" s="136"/>
      <c r="V984" s="136"/>
      <c r="W984" s="136"/>
      <c r="X984" s="136"/>
      <c r="Y984" s="136"/>
      <c r="Z984" s="136"/>
      <c r="AA984" s="136"/>
    </row>
    <row r="985" spans="1:27" ht="12.7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36"/>
      <c r="T985" s="136"/>
      <c r="U985" s="136"/>
      <c r="V985" s="136"/>
      <c r="W985" s="136"/>
      <c r="X985" s="136"/>
      <c r="Y985" s="136"/>
      <c r="Z985" s="136"/>
      <c r="AA985" s="136"/>
    </row>
    <row r="986" spans="1:27" ht="12.75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36"/>
      <c r="T986" s="136"/>
      <c r="U986" s="136"/>
      <c r="V986" s="136"/>
      <c r="W986" s="136"/>
      <c r="X986" s="136"/>
      <c r="Y986" s="136"/>
      <c r="Z986" s="136"/>
      <c r="AA986" s="136"/>
    </row>
    <row r="987" spans="1:27" ht="12.75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36"/>
      <c r="T987" s="136"/>
      <c r="U987" s="136"/>
      <c r="V987" s="136"/>
      <c r="W987" s="136"/>
      <c r="X987" s="136"/>
      <c r="Y987" s="136"/>
      <c r="Z987" s="136"/>
      <c r="AA987" s="136"/>
    </row>
    <row r="988" spans="1:27" ht="12.75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36"/>
      <c r="T988" s="136"/>
      <c r="U988" s="136"/>
      <c r="V988" s="136"/>
      <c r="W988" s="136"/>
      <c r="X988" s="136"/>
      <c r="Y988" s="136"/>
      <c r="Z988" s="136"/>
      <c r="AA988" s="136"/>
    </row>
    <row r="989" spans="1:27" ht="12.75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36"/>
      <c r="T989" s="136"/>
      <c r="U989" s="136"/>
      <c r="V989" s="136"/>
      <c r="W989" s="136"/>
      <c r="X989" s="136"/>
      <c r="Y989" s="136"/>
      <c r="Z989" s="136"/>
      <c r="AA989" s="136"/>
    </row>
    <row r="990" spans="1:27" ht="12.75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36"/>
      <c r="T990" s="136"/>
      <c r="U990" s="136"/>
      <c r="V990" s="136"/>
      <c r="W990" s="136"/>
      <c r="X990" s="136"/>
      <c r="Y990" s="136"/>
      <c r="Z990" s="136"/>
      <c r="AA990" s="136"/>
    </row>
    <row r="991" spans="1:27" ht="12.75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36"/>
      <c r="T991" s="136"/>
      <c r="U991" s="136"/>
      <c r="V991" s="136"/>
      <c r="W991" s="136"/>
      <c r="X991" s="136"/>
      <c r="Y991" s="136"/>
      <c r="Z991" s="136"/>
      <c r="AA991" s="136"/>
    </row>
    <row r="992" spans="1:27" ht="12.75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36"/>
      <c r="T992" s="136"/>
      <c r="U992" s="136"/>
      <c r="V992" s="136"/>
      <c r="W992" s="136"/>
      <c r="X992" s="136"/>
      <c r="Y992" s="136"/>
      <c r="Z992" s="136"/>
      <c r="AA992" s="136"/>
    </row>
    <row r="993" spans="1:27" ht="12.75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36"/>
      <c r="T993" s="136"/>
      <c r="U993" s="136"/>
      <c r="V993" s="136"/>
      <c r="W993" s="136"/>
      <c r="X993" s="136"/>
      <c r="Y993" s="136"/>
      <c r="Z993" s="136"/>
      <c r="AA993" s="136"/>
    </row>
    <row r="994" spans="1:27" ht="12.75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36"/>
      <c r="T994" s="136"/>
      <c r="U994" s="136"/>
      <c r="V994" s="136"/>
      <c r="W994" s="136"/>
      <c r="X994" s="136"/>
      <c r="Y994" s="136"/>
      <c r="Z994" s="136"/>
      <c r="AA994" s="136"/>
    </row>
    <row r="995" spans="1:27" ht="12.7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36"/>
      <c r="T995" s="136"/>
      <c r="U995" s="136"/>
      <c r="V995" s="136"/>
      <c r="W995" s="136"/>
      <c r="X995" s="136"/>
      <c r="Y995" s="136"/>
      <c r="Z995" s="136"/>
      <c r="AA995" s="136"/>
    </row>
    <row r="996" spans="1:27" ht="12.75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36"/>
      <c r="T996" s="136"/>
      <c r="U996" s="136"/>
      <c r="V996" s="136"/>
      <c r="W996" s="136"/>
      <c r="X996" s="136"/>
      <c r="Y996" s="136"/>
      <c r="Z996" s="136"/>
      <c r="AA996" s="136"/>
    </row>
    <row r="997" spans="1:27" ht="12.75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36"/>
      <c r="T997" s="136"/>
      <c r="U997" s="136"/>
      <c r="V997" s="136"/>
      <c r="W997" s="136"/>
      <c r="X997" s="136"/>
      <c r="Y997" s="136"/>
      <c r="Z997" s="136"/>
      <c r="AA997" s="136"/>
    </row>
    <row r="998" spans="1:27" ht="12.75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36"/>
      <c r="T998" s="136"/>
      <c r="U998" s="136"/>
      <c r="V998" s="136"/>
      <c r="W998" s="136"/>
      <c r="X998" s="136"/>
      <c r="Y998" s="136"/>
      <c r="Z998" s="136"/>
      <c r="AA998" s="136"/>
    </row>
    <row r="999" spans="1:27" ht="12.75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36"/>
      <c r="T999" s="136"/>
      <c r="U999" s="136"/>
      <c r="V999" s="136"/>
      <c r="W999" s="136"/>
      <c r="X999" s="136"/>
      <c r="Y999" s="136"/>
      <c r="Z999" s="136"/>
      <c r="AA999" s="136"/>
    </row>
    <row r="1000" spans="1:27" ht="12.75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36"/>
      <c r="T1000" s="136"/>
      <c r="U1000" s="136"/>
      <c r="V1000" s="136"/>
      <c r="W1000" s="136"/>
      <c r="X1000" s="136"/>
      <c r="Y1000" s="136"/>
      <c r="Z1000" s="136"/>
      <c r="AA1000" s="136"/>
    </row>
    <row r="1001" spans="1:27" ht="12.75">
      <c r="A1001" s="188"/>
      <c r="B1001" s="188"/>
      <c r="C1001" s="188"/>
      <c r="D1001" s="188"/>
      <c r="E1001" s="188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36"/>
      <c r="T1001" s="136"/>
      <c r="U1001" s="136"/>
      <c r="V1001" s="136"/>
      <c r="W1001" s="136"/>
      <c r="X1001" s="136"/>
      <c r="Y1001" s="136"/>
      <c r="Z1001" s="136"/>
      <c r="AA1001" s="136"/>
    </row>
  </sheetData>
  <customSheetViews>
    <customSheetView guid="{909237D5-7793-41BC-B7DD-027F874AA2EA}" filter="1" showAutoFilter="1">
      <pageMargins left="0.7" right="0.7" top="0.75" bottom="0.75" header="0.3" footer="0.3"/>
      <autoFilter ref="K4:R20" xr:uid="{873356B1-7E17-4EE1-89BF-4663E4A3F8E6}"/>
    </customSheetView>
  </customSheetViews>
  <conditionalFormatting sqref="J4:S19 J22:R22">
    <cfRule type="cellIs" dxfId="3" priority="1" operator="greaterThanOrEqual">
      <formula>0</formula>
    </cfRule>
  </conditionalFormatting>
  <conditionalFormatting sqref="J4:S19 J22:R22">
    <cfRule type="cellIs" dxfId="2" priority="2" operator="lessThan">
      <formula>0</formula>
    </cfRule>
  </conditionalFormatting>
  <conditionalFormatting sqref="D21">
    <cfRule type="cellIs" dxfId="1" priority="3" operator="greaterThan">
      <formula>0</formula>
    </cfRule>
  </conditionalFormatting>
  <conditionalFormatting sqref="D21"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002"/>
  <sheetViews>
    <sheetView workbookViewId="0"/>
  </sheetViews>
  <sheetFormatPr defaultColWidth="14.42578125" defaultRowHeight="15.75" customHeight="1"/>
  <cols>
    <col min="1" max="1" width="3.42578125" customWidth="1"/>
    <col min="2" max="10" width="18.140625" customWidth="1"/>
    <col min="11" max="11" width="23.42578125" customWidth="1"/>
    <col min="12" max="13" width="18.140625" customWidth="1"/>
    <col min="15" max="15" width="15.7109375" customWidth="1"/>
    <col min="18" max="18" width="2.85546875" customWidth="1"/>
    <col min="23" max="23" width="3.140625" customWidth="1"/>
    <col min="24" max="24" width="17.42578125" customWidth="1"/>
  </cols>
  <sheetData>
    <row r="1" spans="1:38" ht="15.75" customHeight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</row>
    <row r="2" spans="1:38" ht="15.75" customHeight="1">
      <c r="A2" s="190"/>
      <c r="B2" s="238" t="s">
        <v>95</v>
      </c>
      <c r="C2" s="239"/>
      <c r="D2" s="239"/>
      <c r="E2" s="239"/>
      <c r="F2" s="240"/>
      <c r="G2" s="192"/>
      <c r="H2" s="238" t="s">
        <v>96</v>
      </c>
      <c r="I2" s="239"/>
      <c r="J2" s="240"/>
      <c r="L2" s="192"/>
      <c r="M2" s="238" t="s">
        <v>97</v>
      </c>
      <c r="N2" s="239"/>
      <c r="O2" s="239"/>
      <c r="P2" s="239"/>
      <c r="Q2" s="240"/>
      <c r="R2" s="191"/>
      <c r="S2" s="238" t="s">
        <v>98</v>
      </c>
      <c r="T2" s="239"/>
      <c r="U2" s="239"/>
      <c r="V2" s="240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</row>
    <row r="3" spans="1:38" ht="15.75" customHeight="1">
      <c r="A3" s="191"/>
      <c r="B3" s="193"/>
      <c r="C3" s="191"/>
      <c r="D3" s="191"/>
      <c r="E3" s="191"/>
      <c r="F3" s="194"/>
      <c r="G3" s="191"/>
      <c r="H3" s="193"/>
      <c r="I3" s="191"/>
      <c r="J3" s="194"/>
      <c r="L3" s="191"/>
      <c r="M3" s="193"/>
      <c r="N3" s="191"/>
      <c r="O3" s="191"/>
      <c r="P3" s="191"/>
      <c r="Q3" s="194"/>
      <c r="R3" s="191"/>
      <c r="S3" s="193"/>
      <c r="T3" s="191"/>
      <c r="U3" s="191"/>
      <c r="V3" s="194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</row>
    <row r="4" spans="1:38" ht="15.75" customHeight="1">
      <c r="A4" s="191"/>
      <c r="B4" s="193"/>
      <c r="C4" s="190" t="s">
        <v>83</v>
      </c>
      <c r="D4" s="190" t="s">
        <v>99</v>
      </c>
      <c r="E4" s="190" t="s">
        <v>100</v>
      </c>
      <c r="F4" s="195" t="s">
        <v>101</v>
      </c>
      <c r="G4" s="196"/>
      <c r="H4" s="197" t="s">
        <v>83</v>
      </c>
      <c r="I4" s="196" t="s">
        <v>99</v>
      </c>
      <c r="J4" s="198" t="s">
        <v>100</v>
      </c>
      <c r="K4" s="192" t="s">
        <v>102</v>
      </c>
      <c r="L4" s="191"/>
      <c r="M4" s="193"/>
      <c r="N4" s="190" t="s">
        <v>83</v>
      </c>
      <c r="O4" s="190" t="s">
        <v>99</v>
      </c>
      <c r="P4" s="190" t="s">
        <v>100</v>
      </c>
      <c r="Q4" s="195" t="s">
        <v>101</v>
      </c>
      <c r="R4" s="191"/>
      <c r="S4" s="197" t="s">
        <v>83</v>
      </c>
      <c r="T4" s="196" t="s">
        <v>99</v>
      </c>
      <c r="U4" s="196" t="s">
        <v>100</v>
      </c>
      <c r="V4" s="198" t="s">
        <v>101</v>
      </c>
      <c r="W4" s="191"/>
      <c r="X4" s="190" t="s">
        <v>103</v>
      </c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</row>
    <row r="5" spans="1:38" ht="15">
      <c r="A5" s="190"/>
      <c r="B5" s="199" t="s">
        <v>104</v>
      </c>
      <c r="C5" s="200" t="s">
        <v>27</v>
      </c>
      <c r="D5" s="201">
        <v>12</v>
      </c>
      <c r="E5" s="202">
        <v>35.693100000000001</v>
      </c>
      <c r="F5" s="203">
        <f t="shared" ref="F5:F6" si="0">D5*E5</f>
        <v>428.31720000000001</v>
      </c>
      <c r="G5" s="196"/>
      <c r="H5" s="197" t="s">
        <v>27</v>
      </c>
      <c r="I5" s="196">
        <f>73-12</f>
        <v>61</v>
      </c>
      <c r="J5" s="204">
        <v>38.49</v>
      </c>
      <c r="K5" s="205">
        <f t="shared" ref="K5:K6" si="1">J5*(I5/(I5+D5))+E5*(D5/(D5+I5))</f>
        <v>38.030235616438354</v>
      </c>
      <c r="L5" s="190"/>
      <c r="M5" s="206" t="s">
        <v>104</v>
      </c>
      <c r="N5" s="190" t="s">
        <v>89</v>
      </c>
      <c r="O5" s="190">
        <v>77</v>
      </c>
      <c r="P5" s="207">
        <v>17.2347</v>
      </c>
      <c r="Q5" s="203">
        <f t="shared" ref="Q5:Q9" si="2">O5*P5</f>
        <v>1327.0718999999999</v>
      </c>
      <c r="R5" s="191"/>
      <c r="S5" s="197" t="s">
        <v>89</v>
      </c>
      <c r="T5" s="196">
        <v>78</v>
      </c>
      <c r="U5" s="208">
        <v>23.77</v>
      </c>
      <c r="V5" s="204">
        <f t="shared" ref="V5:V9" si="3">T5*U5</f>
        <v>1854.06</v>
      </c>
      <c r="W5" s="191"/>
      <c r="X5" s="205">
        <f t="shared" ref="X5:X9" si="4">(Q5+V5)/(O5+T5)</f>
        <v>20.523431612903224</v>
      </c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</row>
    <row r="6" spans="1:38" ht="15">
      <c r="A6" s="190"/>
      <c r="B6" s="199" t="s">
        <v>104</v>
      </c>
      <c r="C6" s="200" t="s">
        <v>36</v>
      </c>
      <c r="D6" s="201">
        <v>11</v>
      </c>
      <c r="E6" s="202">
        <v>33.917900000000003</v>
      </c>
      <c r="F6" s="203">
        <f t="shared" si="0"/>
        <v>373.09690000000001</v>
      </c>
      <c r="G6" s="196"/>
      <c r="H6" s="197" t="s">
        <v>36</v>
      </c>
      <c r="I6" s="209">
        <f>91-D6</f>
        <v>80</v>
      </c>
      <c r="J6" s="210">
        <v>29.738187499999999</v>
      </c>
      <c r="K6" s="205">
        <f t="shared" si="1"/>
        <v>30.243427472527472</v>
      </c>
      <c r="L6" s="190"/>
      <c r="M6" s="206" t="s">
        <v>104</v>
      </c>
      <c r="N6" s="190" t="s">
        <v>91</v>
      </c>
      <c r="O6" s="190">
        <v>13</v>
      </c>
      <c r="P6" s="207">
        <v>43.08</v>
      </c>
      <c r="Q6" s="203">
        <f t="shared" si="2"/>
        <v>560.04</v>
      </c>
      <c r="R6" s="191"/>
      <c r="S6" s="197" t="s">
        <v>91</v>
      </c>
      <c r="T6" s="196">
        <v>42</v>
      </c>
      <c r="U6" s="208">
        <v>51.68</v>
      </c>
      <c r="V6" s="204">
        <f t="shared" si="3"/>
        <v>2170.56</v>
      </c>
      <c r="W6" s="191"/>
      <c r="X6" s="205">
        <f t="shared" si="4"/>
        <v>49.647272727272728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</row>
    <row r="7" spans="1:38" ht="15.75" customHeight="1">
      <c r="A7" s="190"/>
      <c r="B7" s="211"/>
      <c r="E7" s="212"/>
      <c r="F7" s="213"/>
      <c r="G7" s="196"/>
      <c r="H7" s="197"/>
      <c r="I7" s="196"/>
      <c r="J7" s="198"/>
      <c r="K7" s="209"/>
      <c r="L7" s="190"/>
      <c r="M7" s="206" t="s">
        <v>104</v>
      </c>
      <c r="N7" s="190" t="s">
        <v>36</v>
      </c>
      <c r="O7" s="190">
        <v>31</v>
      </c>
      <c r="P7" s="207">
        <v>26.74</v>
      </c>
      <c r="Q7" s="203">
        <f t="shared" si="2"/>
        <v>828.93999999999994</v>
      </c>
      <c r="R7" s="191"/>
      <c r="S7" s="197" t="s">
        <v>36</v>
      </c>
      <c r="T7" s="196">
        <v>49</v>
      </c>
      <c r="U7" s="214">
        <v>31.635000000000002</v>
      </c>
      <c r="V7" s="204">
        <f t="shared" si="3"/>
        <v>1550.115</v>
      </c>
      <c r="W7" s="191"/>
      <c r="X7" s="205">
        <f t="shared" si="4"/>
        <v>29.738187499999999</v>
      </c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</row>
    <row r="8" spans="1:38" ht="15">
      <c r="A8" s="190"/>
      <c r="B8" s="199" t="s">
        <v>105</v>
      </c>
      <c r="C8" s="200" t="s">
        <v>39</v>
      </c>
      <c r="D8" s="201">
        <v>10</v>
      </c>
      <c r="E8" s="202">
        <v>11.795</v>
      </c>
      <c r="F8" s="203">
        <f t="shared" ref="F8:F10" si="5">D8*E8</f>
        <v>117.95</v>
      </c>
      <c r="G8" s="215"/>
      <c r="H8" s="216"/>
      <c r="I8" s="196"/>
      <c r="J8" s="198"/>
      <c r="K8" s="209"/>
      <c r="L8" s="190"/>
      <c r="M8" s="206" t="s">
        <v>104</v>
      </c>
      <c r="N8" s="217" t="s">
        <v>45</v>
      </c>
      <c r="O8" s="190">
        <v>54</v>
      </c>
      <c r="P8" s="207">
        <v>24.22</v>
      </c>
      <c r="Q8" s="203">
        <f t="shared" si="2"/>
        <v>1307.8799999999999</v>
      </c>
      <c r="R8" s="191"/>
      <c r="S8" s="216" t="s">
        <v>45</v>
      </c>
      <c r="T8" s="196">
        <v>42</v>
      </c>
      <c r="U8" s="214">
        <v>29.150000000000002</v>
      </c>
      <c r="V8" s="204">
        <f t="shared" si="3"/>
        <v>1224.3000000000002</v>
      </c>
      <c r="W8" s="191"/>
      <c r="X8" s="205">
        <f t="shared" si="4"/>
        <v>26.376875000000002</v>
      </c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</row>
    <row r="9" spans="1:38" ht="15">
      <c r="A9" s="191"/>
      <c r="B9" s="199" t="s">
        <v>105</v>
      </c>
      <c r="C9" s="200" t="s">
        <v>92</v>
      </c>
      <c r="D9" s="201">
        <v>10</v>
      </c>
      <c r="E9" s="202">
        <v>265.09969999999998</v>
      </c>
      <c r="F9" s="203">
        <f t="shared" si="5"/>
        <v>2650.9969999999998</v>
      </c>
      <c r="G9" s="217"/>
      <c r="H9" s="218"/>
      <c r="I9" s="219"/>
      <c r="J9" s="220"/>
      <c r="K9" s="209"/>
      <c r="L9" s="190"/>
      <c r="M9" s="206" t="s">
        <v>104</v>
      </c>
      <c r="N9" s="217" t="s">
        <v>39</v>
      </c>
      <c r="O9" s="190">
        <v>169</v>
      </c>
      <c r="P9" s="207">
        <v>9.11</v>
      </c>
      <c r="Q9" s="203">
        <f t="shared" si="2"/>
        <v>1539.59</v>
      </c>
      <c r="R9" s="191"/>
      <c r="S9" s="218" t="s">
        <v>39</v>
      </c>
      <c r="T9" s="219">
        <v>80</v>
      </c>
      <c r="U9" s="219">
        <v>11.02</v>
      </c>
      <c r="V9" s="221">
        <f t="shared" si="3"/>
        <v>881.59999999999991</v>
      </c>
      <c r="W9" s="191"/>
      <c r="X9" s="205">
        <f t="shared" si="4"/>
        <v>9.7236546184738941</v>
      </c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</row>
    <row r="10" spans="1:38" ht="15">
      <c r="A10" s="190"/>
      <c r="B10" s="199" t="s">
        <v>105</v>
      </c>
      <c r="C10" s="200" t="s">
        <v>45</v>
      </c>
      <c r="D10" s="201">
        <v>30</v>
      </c>
      <c r="E10" s="202">
        <v>29.315000000000001</v>
      </c>
      <c r="F10" s="203">
        <f t="shared" si="5"/>
        <v>879.45</v>
      </c>
      <c r="G10" s="190"/>
      <c r="H10" s="190"/>
      <c r="I10" s="190"/>
      <c r="J10" s="190"/>
      <c r="K10" s="190"/>
      <c r="L10" s="190"/>
      <c r="M10" s="206"/>
      <c r="N10" s="217"/>
      <c r="O10" s="190"/>
      <c r="P10" s="207"/>
      <c r="Q10" s="203"/>
      <c r="R10" s="191"/>
      <c r="S10" s="217"/>
      <c r="T10" s="190"/>
      <c r="U10" s="190"/>
      <c r="V10" s="190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</row>
    <row r="11" spans="1:38" ht="15.75" customHeight="1">
      <c r="A11" s="190"/>
      <c r="B11" s="211"/>
      <c r="E11" s="212"/>
      <c r="F11" s="213"/>
      <c r="G11" s="190"/>
      <c r="H11" s="190"/>
      <c r="I11" s="190"/>
      <c r="J11" s="190"/>
      <c r="K11" s="190"/>
      <c r="L11" s="190"/>
      <c r="M11" s="206" t="s">
        <v>105</v>
      </c>
      <c r="N11" s="217" t="s">
        <v>30</v>
      </c>
      <c r="O11" s="190">
        <v>80</v>
      </c>
      <c r="P11" s="207">
        <v>22.7</v>
      </c>
      <c r="Q11" s="203">
        <f t="shared" ref="Q11:Q14" si="6">O11*P11</f>
        <v>1816</v>
      </c>
      <c r="R11" s="191"/>
      <c r="S11" s="217"/>
      <c r="T11" s="190"/>
      <c r="U11" s="190"/>
      <c r="V11" s="190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</row>
    <row r="12" spans="1:38" ht="15">
      <c r="A12" s="190"/>
      <c r="B12" s="199" t="s">
        <v>106</v>
      </c>
      <c r="C12" s="200" t="s">
        <v>89</v>
      </c>
      <c r="D12" s="201">
        <v>155</v>
      </c>
      <c r="E12" s="202">
        <v>22.1999</v>
      </c>
      <c r="F12" s="203">
        <f t="shared" ref="F12:F13" si="7">D12*E12</f>
        <v>3440.9845</v>
      </c>
      <c r="G12" s="190"/>
      <c r="H12" s="190"/>
      <c r="I12" s="190"/>
      <c r="J12" s="190"/>
      <c r="K12" s="190"/>
      <c r="L12" s="190"/>
      <c r="M12" s="206" t="s">
        <v>105</v>
      </c>
      <c r="N12" s="190" t="s">
        <v>27</v>
      </c>
      <c r="O12" s="190">
        <v>38</v>
      </c>
      <c r="P12" s="207">
        <v>28.172499999999999</v>
      </c>
      <c r="Q12" s="203">
        <f t="shared" si="6"/>
        <v>1070.5550000000001</v>
      </c>
      <c r="R12" s="191"/>
      <c r="S12" s="190"/>
      <c r="T12" s="190"/>
      <c r="U12" s="190"/>
      <c r="V12" s="190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</row>
    <row r="13" spans="1:38" ht="15">
      <c r="A13" s="190"/>
      <c r="B13" s="222" t="s">
        <v>106</v>
      </c>
      <c r="C13" s="223" t="s">
        <v>91</v>
      </c>
      <c r="D13" s="224">
        <v>55</v>
      </c>
      <c r="E13" s="225">
        <v>33.272100000000002</v>
      </c>
      <c r="F13" s="226">
        <f t="shared" si="7"/>
        <v>1829.9655</v>
      </c>
      <c r="G13" s="190"/>
      <c r="H13" s="190"/>
      <c r="I13" s="190"/>
      <c r="J13" s="190"/>
      <c r="K13" s="190"/>
      <c r="L13" s="190"/>
      <c r="M13" s="206" t="s">
        <v>105</v>
      </c>
      <c r="N13" s="190" t="s">
        <v>87</v>
      </c>
      <c r="O13" s="190">
        <v>87</v>
      </c>
      <c r="P13" s="207">
        <v>11.649900000000001</v>
      </c>
      <c r="Q13" s="203">
        <f t="shared" si="6"/>
        <v>1013.5413000000001</v>
      </c>
      <c r="R13" s="191"/>
      <c r="S13" s="190"/>
      <c r="T13" s="190"/>
      <c r="U13" s="190"/>
      <c r="V13" s="190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</row>
    <row r="14" spans="1:38" ht="15">
      <c r="A14" s="190"/>
      <c r="B14" s="227"/>
      <c r="C14" s="200"/>
      <c r="D14" s="201"/>
      <c r="E14" s="201"/>
      <c r="F14" s="190"/>
      <c r="G14" s="190"/>
      <c r="H14" s="190"/>
      <c r="I14" s="190"/>
      <c r="J14" s="190"/>
      <c r="K14" s="190"/>
      <c r="L14" s="190"/>
      <c r="M14" s="206" t="s">
        <v>105</v>
      </c>
      <c r="N14" s="190" t="s">
        <v>74</v>
      </c>
      <c r="O14" s="190">
        <v>7</v>
      </c>
      <c r="P14" s="207">
        <v>177.59739999999999</v>
      </c>
      <c r="Q14" s="203">
        <f t="shared" si="6"/>
        <v>1243.1817999999998</v>
      </c>
      <c r="R14" s="191"/>
      <c r="S14" s="190"/>
      <c r="T14" s="190"/>
      <c r="U14" s="190"/>
      <c r="V14" s="190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</row>
    <row r="15" spans="1:38" ht="15.75" customHeight="1">
      <c r="A15" s="191"/>
      <c r="B15" s="241" t="s">
        <v>107</v>
      </c>
      <c r="C15" s="237"/>
      <c r="D15" s="237"/>
      <c r="E15" s="237"/>
      <c r="F15" s="237"/>
      <c r="G15" s="191"/>
      <c r="H15" s="191"/>
      <c r="I15" s="191"/>
      <c r="J15" s="191"/>
      <c r="K15" s="191"/>
      <c r="L15" s="191"/>
      <c r="M15" s="193"/>
      <c r="N15" s="191"/>
      <c r="O15" s="191"/>
      <c r="P15" s="205"/>
      <c r="Q15" s="203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</row>
    <row r="16" spans="1:38" ht="15.75" customHeight="1">
      <c r="A16" s="190"/>
      <c r="C16" s="190" t="s">
        <v>83</v>
      </c>
      <c r="D16" s="190" t="s">
        <v>99</v>
      </c>
      <c r="E16" s="190" t="s">
        <v>100</v>
      </c>
      <c r="F16" s="195" t="s">
        <v>101</v>
      </c>
      <c r="G16" s="190"/>
      <c r="H16" s="190"/>
      <c r="I16" s="190"/>
      <c r="J16" s="190"/>
      <c r="K16" s="190"/>
      <c r="L16" s="190"/>
      <c r="M16" s="206" t="s">
        <v>106</v>
      </c>
      <c r="N16" s="217" t="s">
        <v>108</v>
      </c>
      <c r="O16" s="190">
        <v>70</v>
      </c>
      <c r="P16" s="207">
        <v>28.99</v>
      </c>
      <c r="Q16" s="203">
        <f t="shared" ref="Q16:Q21" si="8">O16*P16</f>
        <v>2029.3</v>
      </c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</row>
    <row r="17" spans="1:38" ht="15.75" customHeight="1">
      <c r="A17" s="190"/>
      <c r="B17" s="122" t="s">
        <v>109</v>
      </c>
      <c r="C17" s="122" t="s">
        <v>90</v>
      </c>
      <c r="D17" s="122">
        <v>31</v>
      </c>
      <c r="E17" s="228">
        <v>26.23</v>
      </c>
      <c r="F17" s="229">
        <f>D17*E17</f>
        <v>813.13</v>
      </c>
      <c r="G17" s="190"/>
      <c r="H17" s="190"/>
      <c r="I17" s="190"/>
      <c r="J17" s="190"/>
      <c r="K17" s="190"/>
      <c r="L17" s="190"/>
      <c r="M17" s="206" t="s">
        <v>106</v>
      </c>
      <c r="N17" s="190" t="s">
        <v>110</v>
      </c>
      <c r="O17" s="190">
        <v>146</v>
      </c>
      <c r="P17" s="207">
        <v>15.03</v>
      </c>
      <c r="Q17" s="203">
        <f t="shared" si="8"/>
        <v>2194.38</v>
      </c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</row>
    <row r="18" spans="1:38" ht="15.75" customHeight="1">
      <c r="A18" s="190"/>
      <c r="G18" s="190"/>
      <c r="H18" s="190"/>
      <c r="I18" s="190"/>
      <c r="J18" s="190"/>
      <c r="K18" s="190"/>
      <c r="L18" s="190"/>
      <c r="M18" s="206" t="s">
        <v>106</v>
      </c>
      <c r="N18" s="217" t="s">
        <v>111</v>
      </c>
      <c r="O18" s="190">
        <v>61</v>
      </c>
      <c r="P18" s="207">
        <v>25.225000000000001</v>
      </c>
      <c r="Q18" s="203">
        <f t="shared" si="8"/>
        <v>1538.7250000000001</v>
      </c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</row>
    <row r="19" spans="1:38" ht="15.75" customHeight="1">
      <c r="A19" s="190"/>
      <c r="G19" s="190"/>
      <c r="H19" s="190"/>
      <c r="I19" s="190"/>
      <c r="J19" s="190"/>
      <c r="K19" s="190"/>
      <c r="L19" s="190"/>
      <c r="M19" s="206" t="s">
        <v>106</v>
      </c>
      <c r="N19" s="217" t="s">
        <v>112</v>
      </c>
      <c r="O19" s="190">
        <v>172</v>
      </c>
      <c r="P19" s="207">
        <v>19.37</v>
      </c>
      <c r="Q19" s="203">
        <f t="shared" si="8"/>
        <v>3331.6400000000003</v>
      </c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</row>
    <row r="20" spans="1:38" ht="15.75" customHeight="1">
      <c r="A20" s="191"/>
      <c r="G20" s="190"/>
      <c r="H20" s="190"/>
      <c r="I20" s="190"/>
      <c r="J20" s="190"/>
      <c r="K20" s="190"/>
      <c r="L20" s="190"/>
      <c r="M20" s="206" t="s">
        <v>106</v>
      </c>
      <c r="N20" s="190" t="s">
        <v>93</v>
      </c>
      <c r="O20" s="190">
        <v>46</v>
      </c>
      <c r="P20" s="190">
        <v>30.92</v>
      </c>
      <c r="Q20" s="194">
        <f t="shared" si="8"/>
        <v>1422.3200000000002</v>
      </c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</row>
    <row r="21" spans="1:38" ht="15.75" customHeight="1">
      <c r="A21" s="191"/>
      <c r="G21" s="190"/>
      <c r="H21" s="190"/>
      <c r="I21" s="190"/>
      <c r="J21" s="190"/>
      <c r="K21" s="190"/>
      <c r="L21" s="190"/>
      <c r="M21" s="230" t="s">
        <v>106</v>
      </c>
      <c r="N21" s="219" t="s">
        <v>87</v>
      </c>
      <c r="O21" s="219">
        <v>111</v>
      </c>
      <c r="P21" s="219">
        <v>11.42</v>
      </c>
      <c r="Q21" s="231">
        <f t="shared" si="8"/>
        <v>1267.6199999999999</v>
      </c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</row>
    <row r="22" spans="1:38" ht="15.75" customHeight="1">
      <c r="A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</row>
    <row r="23" spans="1:38" ht="15.75" customHeight="1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</row>
    <row r="24" spans="1:38" ht="15.75" customHeight="1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</row>
    <row r="25" spans="1:38" ht="15.75" customHeight="1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</row>
    <row r="26" spans="1:38" ht="15.75" customHeight="1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</row>
    <row r="27" spans="1:38" ht="15.75" customHeight="1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</row>
    <row r="28" spans="1:38" ht="15.75" customHeight="1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</row>
    <row r="29" spans="1:38" ht="15.75" customHeight="1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</row>
    <row r="30" spans="1:38" ht="15.7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</row>
    <row r="31" spans="1:38" ht="15.75" customHeight="1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</row>
    <row r="32" spans="1:38" ht="15.75" customHeight="1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</row>
    <row r="33" spans="1:38" ht="15.75" customHeight="1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</row>
    <row r="34" spans="1:38" ht="15.75" customHeight="1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</row>
    <row r="35" spans="1:38" ht="15.75" customHeight="1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</row>
    <row r="36" spans="1:38" ht="15.75" customHeight="1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</row>
    <row r="37" spans="1:38" ht="15.75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</row>
    <row r="38" spans="1:38" ht="15.75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</row>
    <row r="39" spans="1:38" ht="15.75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</row>
    <row r="40" spans="1:38" ht="15.75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</row>
    <row r="41" spans="1:38" ht="15.75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</row>
    <row r="42" spans="1:38" ht="15.75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</row>
    <row r="43" spans="1:38" ht="15.75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</row>
    <row r="44" spans="1:38" ht="15.75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</row>
    <row r="45" spans="1:38" ht="12.75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</row>
    <row r="46" spans="1:38" ht="12.75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</row>
    <row r="47" spans="1:38" ht="12.75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</row>
    <row r="48" spans="1:38" ht="12.75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</row>
    <row r="49" spans="1:38" ht="12.75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</row>
    <row r="50" spans="1:38" ht="12.75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</row>
    <row r="51" spans="1:38" ht="12.75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</row>
    <row r="52" spans="1:38" ht="12.75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</row>
    <row r="53" spans="1:38" ht="12.75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</row>
    <row r="54" spans="1:38" ht="12.75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</row>
    <row r="55" spans="1:38" ht="12.75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</row>
    <row r="56" spans="1:38" ht="12.75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</row>
    <row r="57" spans="1:38" ht="12.75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</row>
    <row r="58" spans="1:38" ht="12.75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</row>
    <row r="59" spans="1:38" ht="12.75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</row>
    <row r="60" spans="1:38" ht="12.75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</row>
    <row r="61" spans="1:38" ht="12.7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</row>
    <row r="62" spans="1:38" ht="12.7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</row>
    <row r="63" spans="1:38" ht="12.75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</row>
    <row r="64" spans="1:38" ht="12.75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</row>
    <row r="65" spans="1:38" ht="12.75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</row>
    <row r="66" spans="1:38" ht="12.75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</row>
    <row r="67" spans="1:38" ht="12.75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</row>
    <row r="68" spans="1:38" ht="12.75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</row>
    <row r="69" spans="1:38" ht="12.75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</row>
    <row r="70" spans="1:38" ht="12.75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</row>
    <row r="71" spans="1:38" ht="12.75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</row>
    <row r="72" spans="1:38" ht="12.75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</row>
    <row r="73" spans="1:38" ht="12.75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</row>
    <row r="74" spans="1:38" ht="12.75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</row>
    <row r="75" spans="1:38" ht="12.75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</row>
    <row r="76" spans="1:38" ht="12.75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</row>
    <row r="77" spans="1:38" ht="12.75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</row>
    <row r="78" spans="1:38" ht="12.75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</row>
    <row r="79" spans="1:38" ht="12.75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</row>
    <row r="80" spans="1:38" ht="12.75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</row>
    <row r="81" spans="1:38" ht="12.75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</row>
    <row r="82" spans="1:38" ht="12.75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</row>
    <row r="83" spans="1:38" ht="12.75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</row>
    <row r="84" spans="1:38" ht="12.75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</row>
    <row r="85" spans="1:38" ht="12.75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</row>
    <row r="86" spans="1:38" ht="12.75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</row>
    <row r="87" spans="1:38" ht="12.75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</row>
    <row r="88" spans="1:38" ht="12.75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</row>
    <row r="89" spans="1:38" ht="12.75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</row>
    <row r="90" spans="1:38" ht="12.75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</row>
    <row r="91" spans="1:38" ht="12.75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</row>
    <row r="92" spans="1:38" ht="12.75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</row>
    <row r="93" spans="1:38" ht="12.75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</row>
    <row r="94" spans="1:38" ht="12.75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</row>
    <row r="95" spans="1:38" ht="12.75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</row>
    <row r="96" spans="1:38" ht="12.75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</row>
    <row r="97" spans="1:38" ht="12.75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</row>
    <row r="98" spans="1:38" ht="12.75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</row>
    <row r="99" spans="1:38" ht="12.75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</row>
    <row r="100" spans="1:38" ht="12.75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</row>
    <row r="101" spans="1:38" ht="12.75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</row>
    <row r="102" spans="1:38" ht="12.75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</row>
    <row r="103" spans="1:38" ht="12.75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</row>
    <row r="104" spans="1:38" ht="12.75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</row>
    <row r="105" spans="1:38" ht="12.75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</row>
    <row r="106" spans="1:38" ht="12.75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</row>
    <row r="107" spans="1:38" ht="12.75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</row>
    <row r="108" spans="1:38" ht="12.75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</row>
    <row r="109" spans="1:38" ht="12.75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</row>
    <row r="110" spans="1:38" ht="12.75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</row>
    <row r="111" spans="1:38" ht="12.75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</row>
    <row r="112" spans="1:38" ht="12.75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</row>
    <row r="113" spans="1:38" ht="12.75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</row>
    <row r="114" spans="1:38" ht="12.75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</row>
    <row r="115" spans="1:38" ht="12.75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</row>
    <row r="116" spans="1:38" ht="12.75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</row>
    <row r="117" spans="1:38" ht="12.75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</row>
    <row r="118" spans="1:38" ht="12.75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</row>
    <row r="119" spans="1:38" ht="12.75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</row>
    <row r="120" spans="1:38" ht="12.75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</row>
    <row r="121" spans="1:38" ht="12.75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</row>
    <row r="122" spans="1:38" ht="12.75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</row>
    <row r="123" spans="1:38" ht="12.75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</row>
    <row r="124" spans="1:38" ht="12.75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</row>
    <row r="125" spans="1:38" ht="12.75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</row>
    <row r="126" spans="1:38" ht="12.75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</row>
    <row r="127" spans="1:38" ht="12.75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</row>
    <row r="128" spans="1:38" ht="12.75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</row>
    <row r="129" spans="1:38" ht="12.75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</row>
    <row r="130" spans="1:38" ht="12.75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</row>
    <row r="131" spans="1:38" ht="12.75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</row>
    <row r="132" spans="1:38" ht="12.75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</row>
    <row r="133" spans="1:38" ht="12.75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</row>
    <row r="134" spans="1:38" ht="12.75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</row>
    <row r="135" spans="1:38" ht="12.75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</row>
    <row r="136" spans="1:38" ht="12.75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</row>
    <row r="137" spans="1:38" ht="12.75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</row>
    <row r="138" spans="1:38" ht="12.75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</row>
    <row r="139" spans="1:38" ht="12.75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</row>
    <row r="140" spans="1:38" ht="12.75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</row>
    <row r="141" spans="1:38" ht="12.75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</row>
    <row r="142" spans="1:38" ht="12.75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</row>
    <row r="143" spans="1:38" ht="12.75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</row>
    <row r="144" spans="1:38" ht="12.75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</row>
    <row r="145" spans="1:38" ht="12.75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</row>
    <row r="146" spans="1:38" ht="12.75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</row>
    <row r="147" spans="1:38" ht="12.75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</row>
    <row r="148" spans="1:38" ht="12.75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</row>
    <row r="149" spans="1:38" ht="12.75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</row>
    <row r="150" spans="1:38" ht="12.75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</row>
    <row r="151" spans="1:38" ht="12.75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</row>
    <row r="152" spans="1:38" ht="12.75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</row>
    <row r="153" spans="1:38" ht="12.75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</row>
    <row r="154" spans="1:38" ht="12.75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</row>
    <row r="155" spans="1:38" ht="12.75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</row>
    <row r="156" spans="1:38" ht="12.75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</row>
    <row r="157" spans="1:38" ht="12.75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</row>
    <row r="158" spans="1:38" ht="12.75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</row>
    <row r="159" spans="1:38" ht="12.75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</row>
    <row r="160" spans="1:38" ht="12.75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  <c r="AI160" s="191"/>
      <c r="AJ160" s="191"/>
      <c r="AK160" s="191"/>
      <c r="AL160" s="191"/>
    </row>
    <row r="161" spans="1:38" ht="12.75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  <c r="AI161" s="191"/>
      <c r="AJ161" s="191"/>
      <c r="AK161" s="191"/>
      <c r="AL161" s="191"/>
    </row>
    <row r="162" spans="1:38" ht="12.75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</row>
    <row r="163" spans="1:38" ht="12.75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/>
      <c r="AH163" s="191"/>
      <c r="AI163" s="191"/>
      <c r="AJ163" s="191"/>
      <c r="AK163" s="191"/>
      <c r="AL163" s="191"/>
    </row>
    <row r="164" spans="1:38" ht="12.75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</row>
    <row r="165" spans="1:38" ht="12.75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</row>
    <row r="166" spans="1:38" ht="12.75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</row>
    <row r="167" spans="1:38" ht="12.75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</row>
    <row r="168" spans="1:38" ht="12.75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  <c r="AG168" s="191"/>
      <c r="AH168" s="191"/>
      <c r="AI168" s="191"/>
      <c r="AJ168" s="191"/>
      <c r="AK168" s="191"/>
      <c r="AL168" s="191"/>
    </row>
    <row r="169" spans="1:38" ht="12.75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  <c r="AI169" s="191"/>
      <c r="AJ169" s="191"/>
      <c r="AK169" s="191"/>
      <c r="AL169" s="191"/>
    </row>
    <row r="170" spans="1:38" ht="12.75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</row>
    <row r="171" spans="1:38" ht="12.75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</row>
    <row r="172" spans="1:38" ht="12.75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</row>
    <row r="173" spans="1:38" ht="12.75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</row>
    <row r="174" spans="1:38" ht="12.75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</row>
    <row r="175" spans="1:38" ht="12.75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</row>
    <row r="176" spans="1:38" ht="12.75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</row>
    <row r="177" spans="1:38" ht="12.75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</row>
    <row r="178" spans="1:38" ht="12.75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</row>
    <row r="179" spans="1:38" ht="12.75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  <c r="AI179" s="191"/>
      <c r="AJ179" s="191"/>
      <c r="AK179" s="191"/>
      <c r="AL179" s="191"/>
    </row>
    <row r="180" spans="1:38" ht="12.75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</row>
    <row r="181" spans="1:38" ht="12.75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191"/>
      <c r="AJ181" s="191"/>
      <c r="AK181" s="191"/>
      <c r="AL181" s="191"/>
    </row>
    <row r="182" spans="1:38" ht="12.75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</row>
    <row r="183" spans="1:38" ht="12.75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</row>
    <row r="184" spans="1:38" ht="12.75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  <c r="AI184" s="191"/>
      <c r="AJ184" s="191"/>
      <c r="AK184" s="191"/>
      <c r="AL184" s="191"/>
    </row>
    <row r="185" spans="1:38" ht="12.75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91"/>
      <c r="AF185" s="191"/>
      <c r="AG185" s="191"/>
      <c r="AH185" s="191"/>
      <c r="AI185" s="191"/>
      <c r="AJ185" s="191"/>
      <c r="AK185" s="191"/>
      <c r="AL185" s="191"/>
    </row>
    <row r="186" spans="1:38" ht="12.75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</row>
    <row r="187" spans="1:38" ht="12.75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</row>
    <row r="188" spans="1:38" ht="12.75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</row>
    <row r="189" spans="1:38" ht="12.75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</row>
    <row r="190" spans="1:38" ht="12.75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</row>
    <row r="191" spans="1:38" ht="12.75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</row>
    <row r="192" spans="1:38" ht="12.75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</row>
    <row r="193" spans="1:38" ht="12.75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</row>
    <row r="194" spans="1:38" ht="12.75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</row>
    <row r="195" spans="1:38" ht="12.75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  <c r="AI195" s="191"/>
      <c r="AJ195" s="191"/>
      <c r="AK195" s="191"/>
      <c r="AL195" s="191"/>
    </row>
    <row r="196" spans="1:38" ht="12.75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</row>
    <row r="197" spans="1:38" ht="12.75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/>
      <c r="AH197" s="191"/>
      <c r="AI197" s="191"/>
      <c r="AJ197" s="191"/>
      <c r="AK197" s="191"/>
      <c r="AL197" s="191"/>
    </row>
    <row r="198" spans="1:38" ht="12.75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  <c r="AI198" s="191"/>
      <c r="AJ198" s="191"/>
      <c r="AK198" s="191"/>
      <c r="AL198" s="191"/>
    </row>
    <row r="199" spans="1:38" ht="12.75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</row>
    <row r="200" spans="1:38" ht="12.75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  <c r="AG200" s="191"/>
      <c r="AH200" s="191"/>
      <c r="AI200" s="191"/>
      <c r="AJ200" s="191"/>
      <c r="AK200" s="191"/>
      <c r="AL200" s="191"/>
    </row>
    <row r="201" spans="1:38" ht="12.75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91"/>
      <c r="AF201" s="191"/>
      <c r="AG201" s="191"/>
      <c r="AH201" s="191"/>
      <c r="AI201" s="191"/>
      <c r="AJ201" s="191"/>
      <c r="AK201" s="191"/>
      <c r="AL201" s="191"/>
    </row>
    <row r="202" spans="1:38" ht="12.75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</row>
    <row r="203" spans="1:38" ht="12.75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91"/>
      <c r="AF203" s="191"/>
      <c r="AG203" s="191"/>
      <c r="AH203" s="191"/>
      <c r="AI203" s="191"/>
      <c r="AJ203" s="191"/>
      <c r="AK203" s="191"/>
      <c r="AL203" s="191"/>
    </row>
    <row r="204" spans="1:38" ht="12.75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</row>
    <row r="205" spans="1:38" ht="12.75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</row>
    <row r="206" spans="1:38" ht="12.75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</row>
    <row r="207" spans="1:38" ht="12.75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</row>
    <row r="208" spans="1:38" ht="12.75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</row>
    <row r="209" spans="1:38" ht="12.75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</row>
    <row r="210" spans="1:38" ht="12.75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</row>
    <row r="211" spans="1:38" ht="12.75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</row>
    <row r="212" spans="1:38" ht="12.75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</row>
    <row r="213" spans="1:38" ht="12.75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</row>
    <row r="214" spans="1:38" ht="12.75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</row>
    <row r="215" spans="1:38" ht="12.75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</row>
    <row r="216" spans="1:38" ht="12.75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</row>
    <row r="217" spans="1:38" ht="12.75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  <c r="AI217" s="191"/>
      <c r="AJ217" s="191"/>
      <c r="AK217" s="191"/>
      <c r="AL217" s="191"/>
    </row>
    <row r="218" spans="1:38" ht="12.75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</row>
    <row r="219" spans="1:38" ht="12.75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  <c r="AG219" s="191"/>
      <c r="AH219" s="191"/>
      <c r="AI219" s="191"/>
      <c r="AJ219" s="191"/>
      <c r="AK219" s="191"/>
      <c r="AL219" s="191"/>
    </row>
    <row r="220" spans="1:38" ht="12.75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91"/>
      <c r="AF220" s="191"/>
      <c r="AG220" s="191"/>
      <c r="AH220" s="191"/>
      <c r="AI220" s="191"/>
      <c r="AJ220" s="191"/>
      <c r="AK220" s="191"/>
      <c r="AL220" s="191"/>
    </row>
    <row r="221" spans="1:38" ht="12.75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  <c r="AA221" s="191"/>
      <c r="AB221" s="191"/>
      <c r="AC221" s="191"/>
      <c r="AD221" s="191"/>
      <c r="AE221" s="191"/>
      <c r="AF221" s="191"/>
      <c r="AG221" s="191"/>
      <c r="AH221" s="191"/>
      <c r="AI221" s="191"/>
      <c r="AJ221" s="191"/>
      <c r="AK221" s="191"/>
      <c r="AL221" s="191"/>
    </row>
    <row r="222" spans="1:38" ht="12.75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  <c r="AA222" s="191"/>
      <c r="AB222" s="191"/>
      <c r="AC222" s="191"/>
      <c r="AD222" s="191"/>
      <c r="AE222" s="191"/>
      <c r="AF222" s="191"/>
      <c r="AG222" s="191"/>
      <c r="AH222" s="191"/>
      <c r="AI222" s="191"/>
      <c r="AJ222" s="191"/>
      <c r="AK222" s="191"/>
      <c r="AL222" s="191"/>
    </row>
    <row r="223" spans="1:38" ht="12.75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91"/>
      <c r="AB223" s="191"/>
      <c r="AC223" s="191"/>
      <c r="AD223" s="191"/>
      <c r="AE223" s="191"/>
      <c r="AF223" s="191"/>
      <c r="AG223" s="191"/>
      <c r="AH223" s="191"/>
      <c r="AI223" s="191"/>
      <c r="AJ223" s="191"/>
      <c r="AK223" s="191"/>
      <c r="AL223" s="191"/>
    </row>
    <row r="224" spans="1:38" ht="12.75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</row>
    <row r="225" spans="1:38" ht="12.75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  <c r="AA225" s="191"/>
      <c r="AB225" s="191"/>
      <c r="AC225" s="191"/>
      <c r="AD225" s="191"/>
      <c r="AE225" s="191"/>
      <c r="AF225" s="191"/>
      <c r="AG225" s="191"/>
      <c r="AH225" s="191"/>
      <c r="AI225" s="191"/>
      <c r="AJ225" s="191"/>
      <c r="AK225" s="191"/>
      <c r="AL225" s="191"/>
    </row>
    <row r="226" spans="1:38" ht="12.75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</row>
    <row r="227" spans="1:38" ht="12.75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</row>
    <row r="228" spans="1:38" ht="12.75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</row>
    <row r="229" spans="1:38" ht="12.75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</row>
    <row r="230" spans="1:38" ht="12.75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</row>
    <row r="231" spans="1:38" ht="12.75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91"/>
      <c r="AF231" s="191"/>
      <c r="AG231" s="191"/>
      <c r="AH231" s="191"/>
      <c r="AI231" s="191"/>
      <c r="AJ231" s="191"/>
      <c r="AK231" s="191"/>
      <c r="AL231" s="191"/>
    </row>
    <row r="232" spans="1:38" ht="12.75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</row>
    <row r="233" spans="1:38" ht="12.75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91"/>
      <c r="AF233" s="191"/>
      <c r="AG233" s="191"/>
      <c r="AH233" s="191"/>
      <c r="AI233" s="191"/>
      <c r="AJ233" s="191"/>
      <c r="AK233" s="191"/>
      <c r="AL233" s="191"/>
    </row>
    <row r="234" spans="1:38" ht="12.75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</row>
    <row r="235" spans="1:38" ht="12.75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191"/>
      <c r="AF235" s="191"/>
      <c r="AG235" s="191"/>
      <c r="AH235" s="191"/>
      <c r="AI235" s="191"/>
      <c r="AJ235" s="191"/>
      <c r="AK235" s="191"/>
      <c r="AL235" s="191"/>
    </row>
    <row r="236" spans="1:38" ht="12.75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91"/>
      <c r="AF236" s="191"/>
      <c r="AG236" s="191"/>
      <c r="AH236" s="191"/>
      <c r="AI236" s="191"/>
      <c r="AJ236" s="191"/>
      <c r="AK236" s="191"/>
      <c r="AL236" s="191"/>
    </row>
    <row r="237" spans="1:38" ht="12.75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  <c r="AA237" s="191"/>
      <c r="AB237" s="191"/>
      <c r="AC237" s="191"/>
      <c r="AD237" s="191"/>
      <c r="AE237" s="191"/>
      <c r="AF237" s="191"/>
      <c r="AG237" s="191"/>
      <c r="AH237" s="191"/>
      <c r="AI237" s="191"/>
      <c r="AJ237" s="191"/>
      <c r="AK237" s="191"/>
      <c r="AL237" s="191"/>
    </row>
    <row r="238" spans="1:38" ht="12.75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91"/>
      <c r="AF238" s="191"/>
      <c r="AG238" s="191"/>
      <c r="AH238" s="191"/>
      <c r="AI238" s="191"/>
      <c r="AJ238" s="191"/>
      <c r="AK238" s="191"/>
      <c r="AL238" s="191"/>
    </row>
    <row r="239" spans="1:38" ht="12.75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191"/>
      <c r="AF239" s="191"/>
      <c r="AG239" s="191"/>
      <c r="AH239" s="191"/>
      <c r="AI239" s="191"/>
      <c r="AJ239" s="191"/>
      <c r="AK239" s="191"/>
      <c r="AL239" s="191"/>
    </row>
    <row r="240" spans="1:38" ht="12.75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91"/>
      <c r="AK240" s="191"/>
      <c r="AL240" s="191"/>
    </row>
    <row r="241" spans="1:38" ht="12.75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91"/>
      <c r="AH241" s="191"/>
      <c r="AI241" s="191"/>
      <c r="AJ241" s="191"/>
      <c r="AK241" s="191"/>
      <c r="AL241" s="191"/>
    </row>
    <row r="242" spans="1:38" ht="12.75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191"/>
      <c r="AH242" s="191"/>
      <c r="AI242" s="191"/>
      <c r="AJ242" s="191"/>
      <c r="AK242" s="191"/>
      <c r="AL242" s="191"/>
    </row>
    <row r="243" spans="1:38" ht="12.75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  <c r="AA243" s="191"/>
      <c r="AB243" s="191"/>
      <c r="AC243" s="191"/>
      <c r="AD243" s="191"/>
      <c r="AE243" s="191"/>
      <c r="AF243" s="191"/>
      <c r="AG243" s="191"/>
      <c r="AH243" s="191"/>
      <c r="AI243" s="191"/>
      <c r="AJ243" s="191"/>
      <c r="AK243" s="191"/>
      <c r="AL243" s="191"/>
    </row>
    <row r="244" spans="1:38" ht="12.75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</row>
    <row r="245" spans="1:38" ht="12.75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91"/>
      <c r="AF245" s="191"/>
      <c r="AG245" s="191"/>
      <c r="AH245" s="191"/>
      <c r="AI245" s="191"/>
      <c r="AJ245" s="191"/>
      <c r="AK245" s="191"/>
      <c r="AL245" s="191"/>
    </row>
    <row r="246" spans="1:38" ht="12.75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</row>
    <row r="247" spans="1:38" ht="12.75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</row>
    <row r="248" spans="1:38" ht="12.75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91"/>
      <c r="AF248" s="191"/>
      <c r="AG248" s="191"/>
      <c r="AH248" s="191"/>
      <c r="AI248" s="191"/>
      <c r="AJ248" s="191"/>
      <c r="AK248" s="191"/>
      <c r="AL248" s="191"/>
    </row>
    <row r="249" spans="1:38" ht="12.75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</row>
    <row r="250" spans="1:38" ht="12.75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</row>
    <row r="251" spans="1:38" ht="12.75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91"/>
      <c r="AF251" s="191"/>
      <c r="AG251" s="191"/>
      <c r="AH251" s="191"/>
      <c r="AI251" s="191"/>
      <c r="AJ251" s="191"/>
      <c r="AK251" s="191"/>
      <c r="AL251" s="191"/>
    </row>
    <row r="252" spans="1:38" ht="12.75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  <c r="AA252" s="191"/>
      <c r="AB252" s="191"/>
      <c r="AC252" s="191"/>
      <c r="AD252" s="191"/>
      <c r="AE252" s="191"/>
      <c r="AF252" s="191"/>
      <c r="AG252" s="191"/>
      <c r="AH252" s="191"/>
      <c r="AI252" s="191"/>
      <c r="AJ252" s="191"/>
      <c r="AK252" s="191"/>
      <c r="AL252" s="191"/>
    </row>
    <row r="253" spans="1:38" ht="12.75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</row>
    <row r="254" spans="1:38" ht="12.75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  <c r="AA254" s="191"/>
      <c r="AB254" s="191"/>
      <c r="AC254" s="191"/>
      <c r="AD254" s="191"/>
      <c r="AE254" s="191"/>
      <c r="AF254" s="191"/>
      <c r="AG254" s="191"/>
      <c r="AH254" s="191"/>
      <c r="AI254" s="191"/>
      <c r="AJ254" s="191"/>
      <c r="AK254" s="191"/>
      <c r="AL254" s="191"/>
    </row>
    <row r="255" spans="1:38" ht="12.75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  <c r="AA255" s="191"/>
      <c r="AB255" s="191"/>
      <c r="AC255" s="191"/>
      <c r="AD255" s="191"/>
      <c r="AE255" s="191"/>
      <c r="AF255" s="191"/>
      <c r="AG255" s="191"/>
      <c r="AH255" s="191"/>
      <c r="AI255" s="191"/>
      <c r="AJ255" s="191"/>
      <c r="AK255" s="191"/>
      <c r="AL255" s="191"/>
    </row>
    <row r="256" spans="1:38" ht="12.75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  <c r="AA256" s="191"/>
      <c r="AB256" s="191"/>
      <c r="AC256" s="191"/>
      <c r="AD256" s="191"/>
      <c r="AE256" s="191"/>
      <c r="AF256" s="191"/>
      <c r="AG256" s="191"/>
      <c r="AH256" s="191"/>
      <c r="AI256" s="191"/>
      <c r="AJ256" s="191"/>
      <c r="AK256" s="191"/>
      <c r="AL256" s="191"/>
    </row>
    <row r="257" spans="1:38" ht="12.75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  <c r="AA257" s="191"/>
      <c r="AB257" s="191"/>
      <c r="AC257" s="191"/>
      <c r="AD257" s="191"/>
      <c r="AE257" s="191"/>
      <c r="AF257" s="191"/>
      <c r="AG257" s="191"/>
      <c r="AH257" s="191"/>
      <c r="AI257" s="191"/>
      <c r="AJ257" s="191"/>
      <c r="AK257" s="191"/>
      <c r="AL257" s="191"/>
    </row>
    <row r="258" spans="1:38" ht="12.75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  <c r="AA258" s="191"/>
      <c r="AB258" s="191"/>
      <c r="AC258" s="191"/>
      <c r="AD258" s="191"/>
      <c r="AE258" s="191"/>
      <c r="AF258" s="191"/>
      <c r="AG258" s="191"/>
      <c r="AH258" s="191"/>
      <c r="AI258" s="191"/>
      <c r="AJ258" s="191"/>
      <c r="AK258" s="191"/>
      <c r="AL258" s="191"/>
    </row>
    <row r="259" spans="1:38" ht="12.75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  <c r="AA259" s="191"/>
      <c r="AB259" s="191"/>
      <c r="AC259" s="191"/>
      <c r="AD259" s="191"/>
      <c r="AE259" s="191"/>
      <c r="AF259" s="191"/>
      <c r="AG259" s="191"/>
      <c r="AH259" s="191"/>
      <c r="AI259" s="191"/>
      <c r="AJ259" s="191"/>
      <c r="AK259" s="191"/>
      <c r="AL259" s="191"/>
    </row>
    <row r="260" spans="1:38" ht="12.75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  <c r="AA260" s="191"/>
      <c r="AB260" s="191"/>
      <c r="AC260" s="191"/>
      <c r="AD260" s="191"/>
      <c r="AE260" s="191"/>
      <c r="AF260" s="191"/>
      <c r="AG260" s="191"/>
      <c r="AH260" s="191"/>
      <c r="AI260" s="191"/>
      <c r="AJ260" s="191"/>
      <c r="AK260" s="191"/>
      <c r="AL260" s="191"/>
    </row>
    <row r="261" spans="1:38" ht="12.75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</row>
    <row r="262" spans="1:38" ht="12.75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</row>
    <row r="263" spans="1:38" ht="12.75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</row>
    <row r="264" spans="1:38" ht="12.75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</row>
    <row r="265" spans="1:38" ht="12.75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</row>
    <row r="266" spans="1:38" ht="12.75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</row>
    <row r="267" spans="1:38" ht="12.75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</row>
    <row r="268" spans="1:38" ht="12.75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</row>
    <row r="269" spans="1:38" ht="12.75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  <c r="AA269" s="191"/>
      <c r="AB269" s="191"/>
      <c r="AC269" s="191"/>
      <c r="AD269" s="191"/>
      <c r="AE269" s="191"/>
      <c r="AF269" s="191"/>
      <c r="AG269" s="191"/>
      <c r="AH269" s="191"/>
      <c r="AI269" s="191"/>
      <c r="AJ269" s="191"/>
      <c r="AK269" s="191"/>
      <c r="AL269" s="191"/>
    </row>
    <row r="270" spans="1:38" ht="12.75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  <c r="AA270" s="191"/>
      <c r="AB270" s="191"/>
      <c r="AC270" s="191"/>
      <c r="AD270" s="191"/>
      <c r="AE270" s="191"/>
      <c r="AF270" s="191"/>
      <c r="AG270" s="191"/>
      <c r="AH270" s="191"/>
      <c r="AI270" s="191"/>
      <c r="AJ270" s="191"/>
      <c r="AK270" s="191"/>
      <c r="AL270" s="191"/>
    </row>
    <row r="271" spans="1:38" ht="12.75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  <c r="AA271" s="191"/>
      <c r="AB271" s="191"/>
      <c r="AC271" s="191"/>
      <c r="AD271" s="191"/>
      <c r="AE271" s="191"/>
      <c r="AF271" s="191"/>
      <c r="AG271" s="191"/>
      <c r="AH271" s="191"/>
      <c r="AI271" s="191"/>
      <c r="AJ271" s="191"/>
      <c r="AK271" s="191"/>
      <c r="AL271" s="191"/>
    </row>
    <row r="272" spans="1:38" ht="12.75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  <c r="AA272" s="191"/>
      <c r="AB272" s="191"/>
      <c r="AC272" s="191"/>
      <c r="AD272" s="191"/>
      <c r="AE272" s="191"/>
      <c r="AF272" s="191"/>
      <c r="AG272" s="191"/>
      <c r="AH272" s="191"/>
      <c r="AI272" s="191"/>
      <c r="AJ272" s="191"/>
      <c r="AK272" s="191"/>
      <c r="AL272" s="191"/>
    </row>
    <row r="273" spans="1:38" ht="12.75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  <c r="AA273" s="191"/>
      <c r="AB273" s="191"/>
      <c r="AC273" s="191"/>
      <c r="AD273" s="191"/>
      <c r="AE273" s="191"/>
      <c r="AF273" s="191"/>
      <c r="AG273" s="191"/>
      <c r="AH273" s="191"/>
      <c r="AI273" s="191"/>
      <c r="AJ273" s="191"/>
      <c r="AK273" s="191"/>
      <c r="AL273" s="191"/>
    </row>
    <row r="274" spans="1:38" ht="12.75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  <c r="AA274" s="191"/>
      <c r="AB274" s="191"/>
      <c r="AC274" s="191"/>
      <c r="AD274" s="191"/>
      <c r="AE274" s="191"/>
      <c r="AF274" s="191"/>
      <c r="AG274" s="191"/>
      <c r="AH274" s="191"/>
      <c r="AI274" s="191"/>
      <c r="AJ274" s="191"/>
      <c r="AK274" s="191"/>
      <c r="AL274" s="191"/>
    </row>
    <row r="275" spans="1:38" ht="12.75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  <c r="AA275" s="191"/>
      <c r="AB275" s="191"/>
      <c r="AC275" s="191"/>
      <c r="AD275" s="191"/>
      <c r="AE275" s="191"/>
      <c r="AF275" s="191"/>
      <c r="AG275" s="191"/>
      <c r="AH275" s="191"/>
      <c r="AI275" s="191"/>
      <c r="AJ275" s="191"/>
      <c r="AK275" s="191"/>
      <c r="AL275" s="191"/>
    </row>
    <row r="276" spans="1:38" ht="12.75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  <c r="AA276" s="191"/>
      <c r="AB276" s="191"/>
      <c r="AC276" s="191"/>
      <c r="AD276" s="191"/>
      <c r="AE276" s="191"/>
      <c r="AF276" s="191"/>
      <c r="AG276" s="191"/>
      <c r="AH276" s="191"/>
      <c r="AI276" s="191"/>
      <c r="AJ276" s="191"/>
      <c r="AK276" s="191"/>
      <c r="AL276" s="191"/>
    </row>
    <row r="277" spans="1:38" ht="12.75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  <c r="AA277" s="191"/>
      <c r="AB277" s="191"/>
      <c r="AC277" s="191"/>
      <c r="AD277" s="191"/>
      <c r="AE277" s="191"/>
      <c r="AF277" s="191"/>
      <c r="AG277" s="191"/>
      <c r="AH277" s="191"/>
      <c r="AI277" s="191"/>
      <c r="AJ277" s="191"/>
      <c r="AK277" s="191"/>
      <c r="AL277" s="191"/>
    </row>
    <row r="278" spans="1:38" ht="12.75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</row>
    <row r="279" spans="1:38" ht="12.75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</row>
    <row r="280" spans="1:38" ht="12.75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</row>
    <row r="281" spans="1:38" ht="12.75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91"/>
      <c r="AF281" s="191"/>
      <c r="AG281" s="191"/>
      <c r="AH281" s="191"/>
      <c r="AI281" s="191"/>
      <c r="AJ281" s="191"/>
      <c r="AK281" s="191"/>
      <c r="AL281" s="191"/>
    </row>
    <row r="282" spans="1:38" ht="12.75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</row>
    <row r="283" spans="1:38" ht="12.75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</row>
    <row r="284" spans="1:38" ht="12.75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91"/>
      <c r="AF284" s="191"/>
      <c r="AG284" s="191"/>
      <c r="AH284" s="191"/>
      <c r="AI284" s="191"/>
      <c r="AJ284" s="191"/>
      <c r="AK284" s="191"/>
      <c r="AL284" s="191"/>
    </row>
    <row r="285" spans="1:38" ht="12.75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</row>
    <row r="286" spans="1:38" ht="12.75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</row>
    <row r="287" spans="1:38" ht="12.75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  <c r="AA287" s="191"/>
      <c r="AB287" s="191"/>
      <c r="AC287" s="191"/>
      <c r="AD287" s="191"/>
      <c r="AE287" s="191"/>
      <c r="AF287" s="191"/>
      <c r="AG287" s="191"/>
      <c r="AH287" s="191"/>
      <c r="AI287" s="191"/>
      <c r="AJ287" s="191"/>
      <c r="AK287" s="191"/>
      <c r="AL287" s="191"/>
    </row>
    <row r="288" spans="1:38" ht="12.75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  <c r="AA288" s="191"/>
      <c r="AB288" s="191"/>
      <c r="AC288" s="191"/>
      <c r="AD288" s="191"/>
      <c r="AE288" s="191"/>
      <c r="AF288" s="191"/>
      <c r="AG288" s="191"/>
      <c r="AH288" s="191"/>
      <c r="AI288" s="191"/>
      <c r="AJ288" s="191"/>
      <c r="AK288" s="191"/>
      <c r="AL288" s="191"/>
    </row>
    <row r="289" spans="1:38" ht="12.75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  <c r="AA289" s="191"/>
      <c r="AB289" s="191"/>
      <c r="AC289" s="191"/>
      <c r="AD289" s="191"/>
      <c r="AE289" s="191"/>
      <c r="AF289" s="191"/>
      <c r="AG289" s="191"/>
      <c r="AH289" s="191"/>
      <c r="AI289" s="191"/>
      <c r="AJ289" s="191"/>
      <c r="AK289" s="191"/>
      <c r="AL289" s="191"/>
    </row>
    <row r="290" spans="1:38" ht="12.75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  <c r="AB290" s="191"/>
      <c r="AC290" s="191"/>
      <c r="AD290" s="191"/>
      <c r="AE290" s="191"/>
      <c r="AF290" s="191"/>
      <c r="AG290" s="191"/>
      <c r="AH290" s="191"/>
      <c r="AI290" s="191"/>
      <c r="AJ290" s="191"/>
      <c r="AK290" s="191"/>
      <c r="AL290" s="191"/>
    </row>
    <row r="291" spans="1:38" ht="12.75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  <c r="AA291" s="191"/>
      <c r="AB291" s="191"/>
      <c r="AC291" s="191"/>
      <c r="AD291" s="191"/>
      <c r="AE291" s="191"/>
      <c r="AF291" s="191"/>
      <c r="AG291" s="191"/>
      <c r="AH291" s="191"/>
      <c r="AI291" s="191"/>
      <c r="AJ291" s="191"/>
      <c r="AK291" s="191"/>
      <c r="AL291" s="191"/>
    </row>
    <row r="292" spans="1:38" ht="12.75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  <c r="AA292" s="191"/>
      <c r="AB292" s="191"/>
      <c r="AC292" s="191"/>
      <c r="AD292" s="191"/>
      <c r="AE292" s="191"/>
      <c r="AF292" s="191"/>
      <c r="AG292" s="191"/>
      <c r="AH292" s="191"/>
      <c r="AI292" s="191"/>
      <c r="AJ292" s="191"/>
      <c r="AK292" s="191"/>
      <c r="AL292" s="191"/>
    </row>
    <row r="293" spans="1:38" ht="12.75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191"/>
      <c r="AG293" s="191"/>
      <c r="AH293" s="191"/>
      <c r="AI293" s="191"/>
      <c r="AJ293" s="191"/>
      <c r="AK293" s="191"/>
      <c r="AL293" s="191"/>
    </row>
    <row r="294" spans="1:38" ht="12.75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  <c r="AA294" s="191"/>
      <c r="AB294" s="191"/>
      <c r="AC294" s="191"/>
      <c r="AD294" s="191"/>
      <c r="AE294" s="191"/>
      <c r="AF294" s="191"/>
      <c r="AG294" s="191"/>
      <c r="AH294" s="191"/>
      <c r="AI294" s="191"/>
      <c r="AJ294" s="191"/>
      <c r="AK294" s="191"/>
      <c r="AL294" s="191"/>
    </row>
    <row r="295" spans="1:38" ht="12.75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  <c r="AA295" s="191"/>
      <c r="AB295" s="191"/>
      <c r="AC295" s="191"/>
      <c r="AD295" s="191"/>
      <c r="AE295" s="191"/>
      <c r="AF295" s="191"/>
      <c r="AG295" s="191"/>
      <c r="AH295" s="191"/>
      <c r="AI295" s="191"/>
      <c r="AJ295" s="191"/>
      <c r="AK295" s="191"/>
      <c r="AL295" s="191"/>
    </row>
    <row r="296" spans="1:38" ht="12.75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  <c r="AA296" s="191"/>
      <c r="AB296" s="191"/>
      <c r="AC296" s="191"/>
      <c r="AD296" s="191"/>
      <c r="AE296" s="191"/>
      <c r="AF296" s="191"/>
      <c r="AG296" s="191"/>
      <c r="AH296" s="191"/>
      <c r="AI296" s="191"/>
      <c r="AJ296" s="191"/>
      <c r="AK296" s="191"/>
      <c r="AL296" s="191"/>
    </row>
    <row r="297" spans="1:38" ht="12.75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  <c r="AA297" s="191"/>
      <c r="AB297" s="191"/>
      <c r="AC297" s="191"/>
      <c r="AD297" s="191"/>
      <c r="AE297" s="191"/>
      <c r="AF297" s="191"/>
      <c r="AG297" s="191"/>
      <c r="AH297" s="191"/>
      <c r="AI297" s="191"/>
      <c r="AJ297" s="191"/>
      <c r="AK297" s="191"/>
      <c r="AL297" s="191"/>
    </row>
    <row r="298" spans="1:38" ht="12.75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191"/>
      <c r="AE298" s="191"/>
      <c r="AF298" s="191"/>
      <c r="AG298" s="191"/>
      <c r="AH298" s="191"/>
      <c r="AI298" s="191"/>
      <c r="AJ298" s="191"/>
      <c r="AK298" s="191"/>
      <c r="AL298" s="191"/>
    </row>
    <row r="299" spans="1:38" ht="12.75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  <c r="AB299" s="191"/>
      <c r="AC299" s="191"/>
      <c r="AD299" s="191"/>
      <c r="AE299" s="191"/>
      <c r="AF299" s="191"/>
      <c r="AG299" s="191"/>
      <c r="AH299" s="191"/>
      <c r="AI299" s="191"/>
      <c r="AJ299" s="191"/>
      <c r="AK299" s="191"/>
      <c r="AL299" s="191"/>
    </row>
    <row r="300" spans="1:38" ht="12.75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  <c r="AB300" s="191"/>
      <c r="AC300" s="191"/>
      <c r="AD300" s="191"/>
      <c r="AE300" s="191"/>
      <c r="AF300" s="191"/>
      <c r="AG300" s="191"/>
      <c r="AH300" s="191"/>
      <c r="AI300" s="191"/>
      <c r="AJ300" s="191"/>
      <c r="AK300" s="191"/>
      <c r="AL300" s="191"/>
    </row>
    <row r="301" spans="1:38" ht="12.75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  <c r="AA301" s="191"/>
      <c r="AB301" s="191"/>
      <c r="AC301" s="191"/>
      <c r="AD301" s="191"/>
      <c r="AE301" s="191"/>
      <c r="AF301" s="191"/>
      <c r="AG301" s="191"/>
      <c r="AH301" s="191"/>
      <c r="AI301" s="191"/>
      <c r="AJ301" s="191"/>
      <c r="AK301" s="191"/>
      <c r="AL301" s="191"/>
    </row>
    <row r="302" spans="1:38" ht="12.75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  <c r="AA302" s="191"/>
      <c r="AB302" s="191"/>
      <c r="AC302" s="191"/>
      <c r="AD302" s="191"/>
      <c r="AE302" s="191"/>
      <c r="AF302" s="191"/>
      <c r="AG302" s="191"/>
      <c r="AH302" s="191"/>
      <c r="AI302" s="191"/>
      <c r="AJ302" s="191"/>
      <c r="AK302" s="191"/>
      <c r="AL302" s="191"/>
    </row>
    <row r="303" spans="1:38" ht="12.75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  <c r="AA303" s="191"/>
      <c r="AB303" s="191"/>
      <c r="AC303" s="191"/>
      <c r="AD303" s="191"/>
      <c r="AE303" s="191"/>
      <c r="AF303" s="191"/>
      <c r="AG303" s="191"/>
      <c r="AH303" s="191"/>
      <c r="AI303" s="191"/>
      <c r="AJ303" s="191"/>
      <c r="AK303" s="191"/>
      <c r="AL303" s="191"/>
    </row>
    <row r="304" spans="1:38" ht="12.75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  <c r="AA304" s="191"/>
      <c r="AB304" s="191"/>
      <c r="AC304" s="191"/>
      <c r="AD304" s="191"/>
      <c r="AE304" s="191"/>
      <c r="AF304" s="191"/>
      <c r="AG304" s="191"/>
      <c r="AH304" s="191"/>
      <c r="AI304" s="191"/>
      <c r="AJ304" s="191"/>
      <c r="AK304" s="191"/>
      <c r="AL304" s="191"/>
    </row>
    <row r="305" spans="1:38" ht="12.75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  <c r="AA305" s="191"/>
      <c r="AB305" s="191"/>
      <c r="AC305" s="191"/>
      <c r="AD305" s="191"/>
      <c r="AE305" s="191"/>
      <c r="AF305" s="191"/>
      <c r="AG305" s="191"/>
      <c r="AH305" s="191"/>
      <c r="AI305" s="191"/>
      <c r="AJ305" s="191"/>
      <c r="AK305" s="191"/>
      <c r="AL305" s="191"/>
    </row>
    <row r="306" spans="1:38" ht="12.75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191"/>
      <c r="AE306" s="191"/>
      <c r="AF306" s="191"/>
      <c r="AG306" s="191"/>
      <c r="AH306" s="191"/>
      <c r="AI306" s="191"/>
      <c r="AJ306" s="191"/>
      <c r="AK306" s="191"/>
      <c r="AL306" s="191"/>
    </row>
    <row r="307" spans="1:38" ht="12.75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  <c r="AA307" s="191"/>
      <c r="AB307" s="191"/>
      <c r="AC307" s="191"/>
      <c r="AD307" s="191"/>
      <c r="AE307" s="191"/>
      <c r="AF307" s="191"/>
      <c r="AG307" s="191"/>
      <c r="AH307" s="191"/>
      <c r="AI307" s="191"/>
      <c r="AJ307" s="191"/>
      <c r="AK307" s="191"/>
      <c r="AL307" s="191"/>
    </row>
    <row r="308" spans="1:38" ht="12.75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  <c r="AA308" s="191"/>
      <c r="AB308" s="191"/>
      <c r="AC308" s="191"/>
      <c r="AD308" s="191"/>
      <c r="AE308" s="191"/>
      <c r="AF308" s="191"/>
      <c r="AG308" s="191"/>
      <c r="AH308" s="191"/>
      <c r="AI308" s="191"/>
      <c r="AJ308" s="191"/>
      <c r="AK308" s="191"/>
      <c r="AL308" s="191"/>
    </row>
    <row r="309" spans="1:38" ht="12.75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  <c r="AA309" s="191"/>
      <c r="AB309" s="191"/>
      <c r="AC309" s="191"/>
      <c r="AD309" s="191"/>
      <c r="AE309" s="191"/>
      <c r="AF309" s="191"/>
      <c r="AG309" s="191"/>
      <c r="AH309" s="191"/>
      <c r="AI309" s="191"/>
      <c r="AJ309" s="191"/>
      <c r="AK309" s="191"/>
      <c r="AL309" s="191"/>
    </row>
    <row r="310" spans="1:38" ht="12.75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  <c r="AA310" s="191"/>
      <c r="AB310" s="191"/>
      <c r="AC310" s="191"/>
      <c r="AD310" s="191"/>
      <c r="AE310" s="191"/>
      <c r="AF310" s="191"/>
      <c r="AG310" s="191"/>
      <c r="AH310" s="191"/>
      <c r="AI310" s="191"/>
      <c r="AJ310" s="191"/>
      <c r="AK310" s="191"/>
      <c r="AL310" s="191"/>
    </row>
    <row r="311" spans="1:38" ht="12.75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  <c r="AA311" s="191"/>
      <c r="AB311" s="191"/>
      <c r="AC311" s="191"/>
      <c r="AD311" s="191"/>
      <c r="AE311" s="191"/>
      <c r="AF311" s="191"/>
      <c r="AG311" s="191"/>
      <c r="AH311" s="191"/>
      <c r="AI311" s="191"/>
      <c r="AJ311" s="191"/>
      <c r="AK311" s="191"/>
      <c r="AL311" s="191"/>
    </row>
    <row r="312" spans="1:38" ht="12.75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  <c r="AA312" s="191"/>
      <c r="AB312" s="191"/>
      <c r="AC312" s="191"/>
      <c r="AD312" s="191"/>
      <c r="AE312" s="191"/>
      <c r="AF312" s="191"/>
      <c r="AG312" s="191"/>
      <c r="AH312" s="191"/>
      <c r="AI312" s="191"/>
      <c r="AJ312" s="191"/>
      <c r="AK312" s="191"/>
      <c r="AL312" s="191"/>
    </row>
    <row r="313" spans="1:38" ht="12.75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  <c r="AA313" s="191"/>
      <c r="AB313" s="191"/>
      <c r="AC313" s="191"/>
      <c r="AD313" s="191"/>
      <c r="AE313" s="191"/>
      <c r="AF313" s="191"/>
      <c r="AG313" s="191"/>
      <c r="AH313" s="191"/>
      <c r="AI313" s="191"/>
      <c r="AJ313" s="191"/>
      <c r="AK313" s="191"/>
      <c r="AL313" s="191"/>
    </row>
    <row r="314" spans="1:38" ht="12.75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  <c r="AA314" s="191"/>
      <c r="AB314" s="191"/>
      <c r="AC314" s="191"/>
      <c r="AD314" s="191"/>
      <c r="AE314" s="191"/>
      <c r="AF314" s="191"/>
      <c r="AG314" s="191"/>
      <c r="AH314" s="191"/>
      <c r="AI314" s="191"/>
      <c r="AJ314" s="191"/>
      <c r="AK314" s="191"/>
      <c r="AL314" s="191"/>
    </row>
    <row r="315" spans="1:38" ht="12.75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  <c r="AB315" s="191"/>
      <c r="AC315" s="191"/>
      <c r="AD315" s="191"/>
      <c r="AE315" s="191"/>
      <c r="AF315" s="191"/>
      <c r="AG315" s="191"/>
      <c r="AH315" s="191"/>
      <c r="AI315" s="191"/>
      <c r="AJ315" s="191"/>
      <c r="AK315" s="191"/>
      <c r="AL315" s="191"/>
    </row>
    <row r="316" spans="1:38" ht="12.75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  <c r="AB316" s="191"/>
      <c r="AC316" s="191"/>
      <c r="AD316" s="191"/>
      <c r="AE316" s="191"/>
      <c r="AF316" s="191"/>
      <c r="AG316" s="191"/>
      <c r="AH316" s="191"/>
      <c r="AI316" s="191"/>
      <c r="AJ316" s="191"/>
      <c r="AK316" s="191"/>
      <c r="AL316" s="191"/>
    </row>
    <row r="317" spans="1:38" ht="12.75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  <c r="AA317" s="191"/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1"/>
    </row>
    <row r="318" spans="1:38" ht="12.75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  <c r="AA318" s="191"/>
      <c r="AB318" s="191"/>
      <c r="AC318" s="191"/>
      <c r="AD318" s="191"/>
      <c r="AE318" s="191"/>
      <c r="AF318" s="191"/>
      <c r="AG318" s="191"/>
      <c r="AH318" s="191"/>
      <c r="AI318" s="191"/>
      <c r="AJ318" s="191"/>
      <c r="AK318" s="191"/>
      <c r="AL318" s="191"/>
    </row>
    <row r="319" spans="1:38" ht="12.75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  <c r="AA319" s="191"/>
      <c r="AB319" s="191"/>
      <c r="AC319" s="191"/>
      <c r="AD319" s="191"/>
      <c r="AE319" s="191"/>
      <c r="AF319" s="191"/>
      <c r="AG319" s="191"/>
      <c r="AH319" s="191"/>
      <c r="AI319" s="191"/>
      <c r="AJ319" s="191"/>
      <c r="AK319" s="191"/>
      <c r="AL319" s="191"/>
    </row>
    <row r="320" spans="1:38" ht="12.75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  <c r="AA320" s="191"/>
      <c r="AB320" s="191"/>
      <c r="AC320" s="191"/>
      <c r="AD320" s="191"/>
      <c r="AE320" s="191"/>
      <c r="AF320" s="191"/>
      <c r="AG320" s="191"/>
      <c r="AH320" s="191"/>
      <c r="AI320" s="191"/>
      <c r="AJ320" s="191"/>
      <c r="AK320" s="191"/>
      <c r="AL320" s="191"/>
    </row>
    <row r="321" spans="1:38" ht="12.75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  <c r="AA321" s="191"/>
      <c r="AB321" s="191"/>
      <c r="AC321" s="191"/>
      <c r="AD321" s="191"/>
      <c r="AE321" s="191"/>
      <c r="AF321" s="191"/>
      <c r="AG321" s="191"/>
      <c r="AH321" s="191"/>
      <c r="AI321" s="191"/>
      <c r="AJ321" s="191"/>
      <c r="AK321" s="191"/>
      <c r="AL321" s="191"/>
    </row>
    <row r="322" spans="1:38" ht="12.75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91"/>
      <c r="AF322" s="191"/>
      <c r="AG322" s="191"/>
      <c r="AH322" s="191"/>
      <c r="AI322" s="191"/>
      <c r="AJ322" s="191"/>
      <c r="AK322" s="191"/>
      <c r="AL322" s="191"/>
    </row>
    <row r="323" spans="1:38" ht="12.75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  <c r="AA323" s="191"/>
      <c r="AB323" s="191"/>
      <c r="AC323" s="191"/>
      <c r="AD323" s="191"/>
      <c r="AE323" s="191"/>
      <c r="AF323" s="191"/>
      <c r="AG323" s="191"/>
      <c r="AH323" s="191"/>
      <c r="AI323" s="191"/>
      <c r="AJ323" s="191"/>
      <c r="AK323" s="191"/>
      <c r="AL323" s="191"/>
    </row>
    <row r="324" spans="1:38" ht="12.75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  <c r="AA324" s="191"/>
      <c r="AB324" s="191"/>
      <c r="AC324" s="191"/>
      <c r="AD324" s="191"/>
      <c r="AE324" s="191"/>
      <c r="AF324" s="191"/>
      <c r="AG324" s="191"/>
      <c r="AH324" s="191"/>
      <c r="AI324" s="191"/>
      <c r="AJ324" s="191"/>
      <c r="AK324" s="191"/>
      <c r="AL324" s="191"/>
    </row>
    <row r="325" spans="1:38" ht="12.75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  <c r="AA325" s="191"/>
      <c r="AB325" s="191"/>
      <c r="AC325" s="191"/>
      <c r="AD325" s="191"/>
      <c r="AE325" s="191"/>
      <c r="AF325" s="191"/>
      <c r="AG325" s="191"/>
      <c r="AH325" s="191"/>
      <c r="AI325" s="191"/>
      <c r="AJ325" s="191"/>
      <c r="AK325" s="191"/>
      <c r="AL325" s="191"/>
    </row>
    <row r="326" spans="1:38" ht="12.75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  <c r="AA326" s="191"/>
      <c r="AB326" s="191"/>
      <c r="AC326" s="191"/>
      <c r="AD326" s="191"/>
      <c r="AE326" s="191"/>
      <c r="AF326" s="191"/>
      <c r="AG326" s="191"/>
      <c r="AH326" s="191"/>
      <c r="AI326" s="191"/>
      <c r="AJ326" s="191"/>
      <c r="AK326" s="191"/>
      <c r="AL326" s="191"/>
    </row>
    <row r="327" spans="1:38" ht="12.75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  <c r="AA327" s="191"/>
      <c r="AB327" s="191"/>
      <c r="AC327" s="191"/>
      <c r="AD327" s="191"/>
      <c r="AE327" s="191"/>
      <c r="AF327" s="191"/>
      <c r="AG327" s="191"/>
      <c r="AH327" s="191"/>
      <c r="AI327" s="191"/>
      <c r="AJ327" s="191"/>
      <c r="AK327" s="191"/>
      <c r="AL327" s="191"/>
    </row>
    <row r="328" spans="1:38" ht="12.75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  <c r="AA328" s="191"/>
      <c r="AB328" s="191"/>
      <c r="AC328" s="191"/>
      <c r="AD328" s="191"/>
      <c r="AE328" s="191"/>
      <c r="AF328" s="191"/>
      <c r="AG328" s="191"/>
      <c r="AH328" s="191"/>
      <c r="AI328" s="191"/>
      <c r="AJ328" s="191"/>
      <c r="AK328" s="191"/>
      <c r="AL328" s="191"/>
    </row>
    <row r="329" spans="1:38" ht="12.75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91"/>
      <c r="AF329" s="191"/>
      <c r="AG329" s="191"/>
      <c r="AH329" s="191"/>
      <c r="AI329" s="191"/>
      <c r="AJ329" s="191"/>
      <c r="AK329" s="191"/>
      <c r="AL329" s="191"/>
    </row>
    <row r="330" spans="1:38" ht="12.75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</row>
    <row r="331" spans="1:38" ht="12.75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</row>
    <row r="332" spans="1:38" ht="12.75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</row>
    <row r="333" spans="1:38" ht="12.75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</row>
    <row r="334" spans="1:38" ht="12.75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</row>
    <row r="335" spans="1:38" ht="12.75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</row>
    <row r="336" spans="1:38" ht="12.75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</row>
    <row r="337" spans="1:38" ht="12.75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1"/>
      <c r="AF337" s="191"/>
      <c r="AG337" s="191"/>
      <c r="AH337" s="191"/>
      <c r="AI337" s="191"/>
      <c r="AJ337" s="191"/>
      <c r="AK337" s="191"/>
      <c r="AL337" s="191"/>
    </row>
    <row r="338" spans="1:38" ht="12.75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91"/>
      <c r="AF338" s="191"/>
      <c r="AG338" s="191"/>
      <c r="AH338" s="191"/>
      <c r="AI338" s="191"/>
      <c r="AJ338" s="191"/>
      <c r="AK338" s="191"/>
      <c r="AL338" s="191"/>
    </row>
    <row r="339" spans="1:38" ht="12.75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  <c r="AA339" s="191"/>
      <c r="AB339" s="191"/>
      <c r="AC339" s="191"/>
      <c r="AD339" s="191"/>
      <c r="AE339" s="191"/>
      <c r="AF339" s="191"/>
      <c r="AG339" s="191"/>
      <c r="AH339" s="191"/>
      <c r="AI339" s="191"/>
      <c r="AJ339" s="191"/>
      <c r="AK339" s="191"/>
      <c r="AL339" s="191"/>
    </row>
    <row r="340" spans="1:38" ht="12.75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1"/>
      <c r="AC340" s="191"/>
      <c r="AD340" s="191"/>
      <c r="AE340" s="191"/>
      <c r="AF340" s="191"/>
      <c r="AG340" s="191"/>
      <c r="AH340" s="191"/>
      <c r="AI340" s="191"/>
      <c r="AJ340" s="191"/>
      <c r="AK340" s="191"/>
      <c r="AL340" s="191"/>
    </row>
    <row r="341" spans="1:38" ht="12.75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  <c r="AA341" s="191"/>
      <c r="AB341" s="191"/>
      <c r="AC341" s="191"/>
      <c r="AD341" s="191"/>
      <c r="AE341" s="191"/>
      <c r="AF341" s="191"/>
      <c r="AG341" s="191"/>
      <c r="AH341" s="191"/>
      <c r="AI341" s="191"/>
      <c r="AJ341" s="191"/>
      <c r="AK341" s="191"/>
      <c r="AL341" s="191"/>
    </row>
    <row r="342" spans="1:38" ht="12.75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  <c r="AA342" s="191"/>
      <c r="AB342" s="191"/>
      <c r="AC342" s="191"/>
      <c r="AD342" s="191"/>
      <c r="AE342" s="191"/>
      <c r="AF342" s="191"/>
      <c r="AG342" s="191"/>
      <c r="AH342" s="191"/>
      <c r="AI342" s="191"/>
      <c r="AJ342" s="191"/>
      <c r="AK342" s="191"/>
      <c r="AL342" s="191"/>
    </row>
    <row r="343" spans="1:38" ht="12.75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  <c r="AA343" s="191"/>
      <c r="AB343" s="191"/>
      <c r="AC343" s="191"/>
      <c r="AD343" s="191"/>
      <c r="AE343" s="191"/>
      <c r="AF343" s="191"/>
      <c r="AG343" s="191"/>
      <c r="AH343" s="191"/>
      <c r="AI343" s="191"/>
      <c r="AJ343" s="191"/>
      <c r="AK343" s="191"/>
      <c r="AL343" s="191"/>
    </row>
    <row r="344" spans="1:38" ht="12.75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  <c r="AA344" s="191"/>
      <c r="AB344" s="191"/>
      <c r="AC344" s="191"/>
      <c r="AD344" s="191"/>
      <c r="AE344" s="191"/>
      <c r="AF344" s="191"/>
      <c r="AG344" s="191"/>
      <c r="AH344" s="191"/>
      <c r="AI344" s="191"/>
      <c r="AJ344" s="191"/>
      <c r="AK344" s="191"/>
      <c r="AL344" s="191"/>
    </row>
    <row r="345" spans="1:38" ht="12.75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  <c r="AA345" s="191"/>
      <c r="AB345" s="191"/>
      <c r="AC345" s="191"/>
      <c r="AD345" s="191"/>
      <c r="AE345" s="191"/>
      <c r="AF345" s="191"/>
      <c r="AG345" s="191"/>
      <c r="AH345" s="191"/>
      <c r="AI345" s="191"/>
      <c r="AJ345" s="191"/>
      <c r="AK345" s="191"/>
      <c r="AL345" s="191"/>
    </row>
    <row r="346" spans="1:38" ht="12.75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191"/>
      <c r="AG346" s="191"/>
      <c r="AH346" s="191"/>
      <c r="AI346" s="191"/>
      <c r="AJ346" s="191"/>
      <c r="AK346" s="191"/>
      <c r="AL346" s="191"/>
    </row>
    <row r="347" spans="1:38" ht="12.75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/>
      <c r="AF347" s="191"/>
      <c r="AG347" s="191"/>
      <c r="AH347" s="191"/>
      <c r="AI347" s="191"/>
      <c r="AJ347" s="191"/>
      <c r="AK347" s="191"/>
      <c r="AL347" s="191"/>
    </row>
    <row r="348" spans="1:38" ht="12.75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</row>
    <row r="349" spans="1:38" ht="12.75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</row>
    <row r="350" spans="1:38" ht="12.75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</row>
    <row r="351" spans="1:38" ht="12.75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</row>
    <row r="352" spans="1:38" ht="12.75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</row>
    <row r="353" spans="1:38" ht="12.75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</row>
    <row r="354" spans="1:38" ht="12.75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191"/>
      <c r="AG354" s="191"/>
      <c r="AH354" s="191"/>
      <c r="AI354" s="191"/>
      <c r="AJ354" s="191"/>
      <c r="AK354" s="191"/>
      <c r="AL354" s="191"/>
    </row>
    <row r="355" spans="1:38" ht="12.75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  <c r="AA355" s="191"/>
      <c r="AB355" s="191"/>
      <c r="AC355" s="191"/>
      <c r="AD355" s="191"/>
      <c r="AE355" s="191"/>
      <c r="AF355" s="191"/>
      <c r="AG355" s="191"/>
      <c r="AH355" s="191"/>
      <c r="AI355" s="191"/>
      <c r="AJ355" s="191"/>
      <c r="AK355" s="191"/>
      <c r="AL355" s="191"/>
    </row>
    <row r="356" spans="1:38" ht="12.75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  <c r="AA356" s="191"/>
      <c r="AB356" s="191"/>
      <c r="AC356" s="191"/>
      <c r="AD356" s="191"/>
      <c r="AE356" s="191"/>
      <c r="AF356" s="191"/>
      <c r="AG356" s="191"/>
      <c r="AH356" s="191"/>
      <c r="AI356" s="191"/>
      <c r="AJ356" s="191"/>
      <c r="AK356" s="191"/>
      <c r="AL356" s="191"/>
    </row>
    <row r="357" spans="1:38" ht="12.75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  <c r="AA357" s="191"/>
      <c r="AB357" s="191"/>
      <c r="AC357" s="191"/>
      <c r="AD357" s="191"/>
      <c r="AE357" s="191"/>
      <c r="AF357" s="191"/>
      <c r="AG357" s="191"/>
      <c r="AH357" s="191"/>
      <c r="AI357" s="191"/>
      <c r="AJ357" s="191"/>
      <c r="AK357" s="191"/>
      <c r="AL357" s="191"/>
    </row>
    <row r="358" spans="1:38" ht="12.75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  <c r="AA358" s="191"/>
      <c r="AB358" s="191"/>
      <c r="AC358" s="191"/>
      <c r="AD358" s="191"/>
      <c r="AE358" s="191"/>
      <c r="AF358" s="191"/>
      <c r="AG358" s="191"/>
      <c r="AH358" s="191"/>
      <c r="AI358" s="191"/>
      <c r="AJ358" s="191"/>
      <c r="AK358" s="191"/>
      <c r="AL358" s="191"/>
    </row>
    <row r="359" spans="1:38" ht="12.75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  <c r="AA359" s="191"/>
      <c r="AB359" s="191"/>
      <c r="AC359" s="191"/>
      <c r="AD359" s="191"/>
      <c r="AE359" s="191"/>
      <c r="AF359" s="191"/>
      <c r="AG359" s="191"/>
      <c r="AH359" s="191"/>
      <c r="AI359" s="191"/>
      <c r="AJ359" s="191"/>
      <c r="AK359" s="191"/>
      <c r="AL359" s="191"/>
    </row>
    <row r="360" spans="1:38" ht="12.75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  <c r="AA360" s="191"/>
      <c r="AB360" s="191"/>
      <c r="AC360" s="191"/>
      <c r="AD360" s="191"/>
      <c r="AE360" s="191"/>
      <c r="AF360" s="191"/>
      <c r="AG360" s="191"/>
      <c r="AH360" s="191"/>
      <c r="AI360" s="191"/>
      <c r="AJ360" s="191"/>
      <c r="AK360" s="191"/>
      <c r="AL360" s="191"/>
    </row>
    <row r="361" spans="1:38" ht="12.75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  <c r="AA361" s="191"/>
      <c r="AB361" s="191"/>
      <c r="AC361" s="191"/>
      <c r="AD361" s="191"/>
      <c r="AE361" s="191"/>
      <c r="AF361" s="191"/>
      <c r="AG361" s="191"/>
      <c r="AH361" s="191"/>
      <c r="AI361" s="191"/>
      <c r="AJ361" s="191"/>
      <c r="AK361" s="191"/>
      <c r="AL361" s="191"/>
    </row>
    <row r="362" spans="1:38" ht="12.75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1"/>
      <c r="AF362" s="191"/>
      <c r="AG362" s="191"/>
      <c r="AH362" s="191"/>
      <c r="AI362" s="191"/>
      <c r="AJ362" s="191"/>
      <c r="AK362" s="191"/>
      <c r="AL362" s="191"/>
    </row>
    <row r="363" spans="1:38" ht="12.75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</row>
    <row r="364" spans="1:38" ht="12.75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</row>
    <row r="365" spans="1:38" ht="12.75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</row>
    <row r="366" spans="1:38" ht="12.75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</row>
    <row r="367" spans="1:38" ht="12.75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</row>
    <row r="368" spans="1:38" ht="12.75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</row>
    <row r="369" spans="1:38" ht="12.75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</row>
    <row r="370" spans="1:38" ht="12.75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</row>
    <row r="371" spans="1:38" ht="12.75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  <c r="AA371" s="191"/>
      <c r="AB371" s="191"/>
      <c r="AC371" s="191"/>
      <c r="AD371" s="191"/>
      <c r="AE371" s="191"/>
      <c r="AF371" s="191"/>
      <c r="AG371" s="191"/>
      <c r="AH371" s="191"/>
      <c r="AI371" s="191"/>
      <c r="AJ371" s="191"/>
      <c r="AK371" s="191"/>
      <c r="AL371" s="191"/>
    </row>
    <row r="372" spans="1:38" ht="12.75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  <c r="AA372" s="191"/>
      <c r="AB372" s="191"/>
      <c r="AC372" s="191"/>
      <c r="AD372" s="191"/>
      <c r="AE372" s="191"/>
      <c r="AF372" s="191"/>
      <c r="AG372" s="191"/>
      <c r="AH372" s="191"/>
      <c r="AI372" s="191"/>
      <c r="AJ372" s="191"/>
      <c r="AK372" s="191"/>
      <c r="AL372" s="191"/>
    </row>
    <row r="373" spans="1:38" ht="12.75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  <c r="AA373" s="191"/>
      <c r="AB373" s="191"/>
      <c r="AC373" s="191"/>
      <c r="AD373" s="191"/>
      <c r="AE373" s="191"/>
      <c r="AF373" s="191"/>
      <c r="AG373" s="191"/>
      <c r="AH373" s="191"/>
      <c r="AI373" s="191"/>
      <c r="AJ373" s="191"/>
      <c r="AK373" s="191"/>
      <c r="AL373" s="191"/>
    </row>
    <row r="374" spans="1:38" ht="12.75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  <c r="AA374" s="191"/>
      <c r="AB374" s="191"/>
      <c r="AC374" s="191"/>
      <c r="AD374" s="191"/>
      <c r="AE374" s="191"/>
      <c r="AF374" s="191"/>
      <c r="AG374" s="191"/>
      <c r="AH374" s="191"/>
      <c r="AI374" s="191"/>
      <c r="AJ374" s="191"/>
      <c r="AK374" s="191"/>
      <c r="AL374" s="191"/>
    </row>
    <row r="375" spans="1:38" ht="12.75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  <c r="AA375" s="191"/>
      <c r="AB375" s="191"/>
      <c r="AC375" s="191"/>
      <c r="AD375" s="191"/>
      <c r="AE375" s="191"/>
      <c r="AF375" s="191"/>
      <c r="AG375" s="191"/>
      <c r="AH375" s="191"/>
      <c r="AI375" s="191"/>
      <c r="AJ375" s="191"/>
      <c r="AK375" s="191"/>
      <c r="AL375" s="191"/>
    </row>
    <row r="376" spans="1:38" ht="12.75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  <c r="AA376" s="191"/>
      <c r="AB376" s="191"/>
      <c r="AC376" s="191"/>
      <c r="AD376" s="191"/>
      <c r="AE376" s="191"/>
      <c r="AF376" s="191"/>
      <c r="AG376" s="191"/>
      <c r="AH376" s="191"/>
      <c r="AI376" s="191"/>
      <c r="AJ376" s="191"/>
      <c r="AK376" s="191"/>
      <c r="AL376" s="191"/>
    </row>
    <row r="377" spans="1:38" ht="12.75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  <c r="AA377" s="191"/>
      <c r="AB377" s="191"/>
      <c r="AC377" s="191"/>
      <c r="AD377" s="191"/>
      <c r="AE377" s="191"/>
      <c r="AF377" s="191"/>
      <c r="AG377" s="191"/>
      <c r="AH377" s="191"/>
      <c r="AI377" s="191"/>
      <c r="AJ377" s="191"/>
      <c r="AK377" s="191"/>
      <c r="AL377" s="191"/>
    </row>
    <row r="378" spans="1:38" ht="12.75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1"/>
      <c r="AF378" s="191"/>
      <c r="AG378" s="191"/>
      <c r="AH378" s="191"/>
      <c r="AI378" s="191"/>
      <c r="AJ378" s="191"/>
      <c r="AK378" s="191"/>
      <c r="AL378" s="191"/>
    </row>
    <row r="379" spans="1:38" ht="12.75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  <c r="AA379" s="191"/>
      <c r="AB379" s="191"/>
      <c r="AC379" s="191"/>
      <c r="AD379" s="191"/>
      <c r="AE379" s="191"/>
      <c r="AF379" s="191"/>
      <c r="AG379" s="191"/>
      <c r="AH379" s="191"/>
      <c r="AI379" s="191"/>
      <c r="AJ379" s="191"/>
      <c r="AK379" s="191"/>
      <c r="AL379" s="191"/>
    </row>
    <row r="380" spans="1:38" ht="12.75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</row>
    <row r="381" spans="1:38" ht="12.75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</row>
    <row r="382" spans="1:38" ht="12.75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</row>
    <row r="383" spans="1:38" ht="12.75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</row>
    <row r="384" spans="1:38" ht="12.75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</row>
    <row r="385" spans="1:38" ht="12.75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</row>
    <row r="386" spans="1:38" ht="12.75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</row>
    <row r="387" spans="1:38" ht="12.75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</row>
    <row r="388" spans="1:38" ht="12.75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  <c r="AD388" s="191"/>
      <c r="AE388" s="191"/>
      <c r="AF388" s="191"/>
      <c r="AG388" s="191"/>
      <c r="AH388" s="191"/>
      <c r="AI388" s="191"/>
      <c r="AJ388" s="191"/>
      <c r="AK388" s="191"/>
      <c r="AL388" s="191"/>
    </row>
    <row r="389" spans="1:38" ht="12.75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91"/>
      <c r="AD389" s="191"/>
      <c r="AE389" s="191"/>
      <c r="AF389" s="191"/>
      <c r="AG389" s="191"/>
      <c r="AH389" s="191"/>
      <c r="AI389" s="191"/>
      <c r="AJ389" s="191"/>
      <c r="AK389" s="191"/>
      <c r="AL389" s="191"/>
    </row>
    <row r="390" spans="1:38" ht="12.75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91"/>
      <c r="AD390" s="191"/>
      <c r="AE390" s="191"/>
      <c r="AF390" s="191"/>
      <c r="AG390" s="191"/>
      <c r="AH390" s="191"/>
      <c r="AI390" s="191"/>
      <c r="AJ390" s="191"/>
      <c r="AK390" s="191"/>
      <c r="AL390" s="191"/>
    </row>
    <row r="391" spans="1:38" ht="12.75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  <c r="AD391" s="191"/>
      <c r="AE391" s="191"/>
      <c r="AF391" s="191"/>
      <c r="AG391" s="191"/>
      <c r="AH391" s="191"/>
      <c r="AI391" s="191"/>
      <c r="AJ391" s="191"/>
      <c r="AK391" s="191"/>
      <c r="AL391" s="191"/>
    </row>
    <row r="392" spans="1:38" ht="12.75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  <c r="AD392" s="191"/>
      <c r="AE392" s="191"/>
      <c r="AF392" s="191"/>
      <c r="AG392" s="191"/>
      <c r="AH392" s="191"/>
      <c r="AI392" s="191"/>
      <c r="AJ392" s="191"/>
      <c r="AK392" s="191"/>
      <c r="AL392" s="191"/>
    </row>
    <row r="393" spans="1:38" ht="12.75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  <c r="AD393" s="191"/>
      <c r="AE393" s="191"/>
      <c r="AF393" s="191"/>
      <c r="AG393" s="191"/>
      <c r="AH393" s="191"/>
      <c r="AI393" s="191"/>
      <c r="AJ393" s="191"/>
      <c r="AK393" s="191"/>
      <c r="AL393" s="191"/>
    </row>
    <row r="394" spans="1:38" ht="12.75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  <c r="AD394" s="191"/>
      <c r="AE394" s="191"/>
      <c r="AF394" s="191"/>
      <c r="AG394" s="191"/>
      <c r="AH394" s="191"/>
      <c r="AI394" s="191"/>
      <c r="AJ394" s="191"/>
      <c r="AK394" s="191"/>
      <c r="AL394" s="191"/>
    </row>
    <row r="395" spans="1:38" ht="12.75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  <c r="AD395" s="191"/>
      <c r="AE395" s="191"/>
      <c r="AF395" s="191"/>
      <c r="AG395" s="191"/>
      <c r="AH395" s="191"/>
      <c r="AI395" s="191"/>
      <c r="AJ395" s="191"/>
      <c r="AK395" s="191"/>
      <c r="AL395" s="191"/>
    </row>
    <row r="396" spans="1:38" ht="12.75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  <c r="AD396" s="191"/>
      <c r="AE396" s="191"/>
      <c r="AF396" s="191"/>
      <c r="AG396" s="191"/>
      <c r="AH396" s="191"/>
      <c r="AI396" s="191"/>
      <c r="AJ396" s="191"/>
      <c r="AK396" s="191"/>
      <c r="AL396" s="191"/>
    </row>
    <row r="397" spans="1:38" ht="12.75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</row>
    <row r="398" spans="1:38" ht="12.75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</row>
    <row r="399" spans="1:38" ht="12.75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</row>
    <row r="400" spans="1:38" ht="12.75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</row>
    <row r="401" spans="1:38" ht="12.75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</row>
    <row r="402" spans="1:38" ht="12.75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</row>
    <row r="403" spans="1:38" ht="12.75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</row>
    <row r="404" spans="1:38" ht="12.75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</row>
    <row r="405" spans="1:38" ht="12.75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  <c r="AD405" s="191"/>
      <c r="AE405" s="191"/>
      <c r="AF405" s="191"/>
      <c r="AG405" s="191"/>
      <c r="AH405" s="191"/>
      <c r="AI405" s="191"/>
      <c r="AJ405" s="191"/>
      <c r="AK405" s="191"/>
      <c r="AL405" s="191"/>
    </row>
    <row r="406" spans="1:38" ht="12.75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  <c r="AD406" s="191"/>
      <c r="AE406" s="191"/>
      <c r="AF406" s="191"/>
      <c r="AG406" s="191"/>
      <c r="AH406" s="191"/>
      <c r="AI406" s="191"/>
      <c r="AJ406" s="191"/>
      <c r="AK406" s="191"/>
      <c r="AL406" s="191"/>
    </row>
    <row r="407" spans="1:38" ht="12.75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  <c r="AD407" s="191"/>
      <c r="AE407" s="191"/>
      <c r="AF407" s="191"/>
      <c r="AG407" s="191"/>
      <c r="AH407" s="191"/>
      <c r="AI407" s="191"/>
      <c r="AJ407" s="191"/>
      <c r="AK407" s="191"/>
      <c r="AL407" s="191"/>
    </row>
    <row r="408" spans="1:38" ht="12.75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  <c r="AD408" s="191"/>
      <c r="AE408" s="191"/>
      <c r="AF408" s="191"/>
      <c r="AG408" s="191"/>
      <c r="AH408" s="191"/>
      <c r="AI408" s="191"/>
      <c r="AJ408" s="191"/>
      <c r="AK408" s="191"/>
      <c r="AL408" s="191"/>
    </row>
    <row r="409" spans="1:38" ht="12.75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  <c r="AD409" s="191"/>
      <c r="AE409" s="191"/>
      <c r="AF409" s="191"/>
      <c r="AG409" s="191"/>
      <c r="AH409" s="191"/>
      <c r="AI409" s="191"/>
      <c r="AJ409" s="191"/>
      <c r="AK409" s="191"/>
      <c r="AL409" s="191"/>
    </row>
    <row r="410" spans="1:38" ht="12.75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  <c r="AD410" s="191"/>
      <c r="AE410" s="191"/>
      <c r="AF410" s="191"/>
      <c r="AG410" s="191"/>
      <c r="AH410" s="191"/>
      <c r="AI410" s="191"/>
      <c r="AJ410" s="191"/>
      <c r="AK410" s="191"/>
      <c r="AL410" s="191"/>
    </row>
    <row r="411" spans="1:38" ht="12.75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  <c r="AA411" s="191"/>
      <c r="AB411" s="191"/>
      <c r="AC411" s="191"/>
      <c r="AD411" s="191"/>
      <c r="AE411" s="191"/>
      <c r="AF411" s="191"/>
      <c r="AG411" s="191"/>
      <c r="AH411" s="191"/>
      <c r="AI411" s="191"/>
      <c r="AJ411" s="191"/>
      <c r="AK411" s="191"/>
      <c r="AL411" s="191"/>
    </row>
    <row r="412" spans="1:38" ht="12.75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  <c r="AA412" s="191"/>
      <c r="AB412" s="191"/>
      <c r="AC412" s="191"/>
      <c r="AD412" s="191"/>
      <c r="AE412" s="191"/>
      <c r="AF412" s="191"/>
      <c r="AG412" s="191"/>
      <c r="AH412" s="191"/>
      <c r="AI412" s="191"/>
      <c r="AJ412" s="191"/>
      <c r="AK412" s="191"/>
      <c r="AL412" s="191"/>
    </row>
    <row r="413" spans="1:38" ht="12.75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  <c r="AA413" s="191"/>
      <c r="AB413" s="191"/>
      <c r="AC413" s="191"/>
      <c r="AD413" s="191"/>
      <c r="AE413" s="191"/>
      <c r="AF413" s="191"/>
      <c r="AG413" s="191"/>
      <c r="AH413" s="191"/>
      <c r="AI413" s="191"/>
      <c r="AJ413" s="191"/>
      <c r="AK413" s="191"/>
      <c r="AL413" s="191"/>
    </row>
    <row r="414" spans="1:38" ht="12.75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  <c r="AD414" s="191"/>
      <c r="AE414" s="191"/>
      <c r="AF414" s="191"/>
      <c r="AG414" s="191"/>
      <c r="AH414" s="191"/>
      <c r="AI414" s="191"/>
      <c r="AJ414" s="191"/>
      <c r="AK414" s="191"/>
      <c r="AL414" s="191"/>
    </row>
    <row r="415" spans="1:38" ht="12.75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  <c r="AD415" s="191"/>
      <c r="AE415" s="191"/>
      <c r="AF415" s="191"/>
      <c r="AG415" s="191"/>
      <c r="AH415" s="191"/>
      <c r="AI415" s="191"/>
      <c r="AJ415" s="191"/>
      <c r="AK415" s="191"/>
      <c r="AL415" s="191"/>
    </row>
    <row r="416" spans="1:38" ht="12.75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  <c r="AD416" s="191"/>
      <c r="AE416" s="191"/>
      <c r="AF416" s="191"/>
      <c r="AG416" s="191"/>
      <c r="AH416" s="191"/>
      <c r="AI416" s="191"/>
      <c r="AJ416" s="191"/>
      <c r="AK416" s="191"/>
      <c r="AL416" s="191"/>
    </row>
    <row r="417" spans="1:38" ht="12.75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  <c r="AA417" s="191"/>
      <c r="AB417" s="191"/>
      <c r="AC417" s="191"/>
      <c r="AD417" s="191"/>
      <c r="AE417" s="191"/>
      <c r="AF417" s="191"/>
      <c r="AG417" s="191"/>
      <c r="AH417" s="191"/>
      <c r="AI417" s="191"/>
      <c r="AJ417" s="191"/>
      <c r="AK417" s="191"/>
      <c r="AL417" s="191"/>
    </row>
    <row r="418" spans="1:38" ht="12.75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  <c r="AA418" s="191"/>
      <c r="AB418" s="191"/>
      <c r="AC418" s="191"/>
      <c r="AD418" s="191"/>
      <c r="AE418" s="191"/>
      <c r="AF418" s="191"/>
      <c r="AG418" s="191"/>
      <c r="AH418" s="191"/>
      <c r="AI418" s="191"/>
      <c r="AJ418" s="191"/>
      <c r="AK418" s="191"/>
      <c r="AL418" s="191"/>
    </row>
    <row r="419" spans="1:38" ht="12.75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  <c r="AA419" s="191"/>
      <c r="AB419" s="191"/>
      <c r="AC419" s="191"/>
      <c r="AD419" s="191"/>
      <c r="AE419" s="191"/>
      <c r="AF419" s="191"/>
      <c r="AG419" s="191"/>
      <c r="AH419" s="191"/>
      <c r="AI419" s="191"/>
      <c r="AJ419" s="191"/>
      <c r="AK419" s="191"/>
      <c r="AL419" s="191"/>
    </row>
    <row r="420" spans="1:38" ht="12.75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  <c r="AA420" s="191"/>
      <c r="AB420" s="191"/>
      <c r="AC420" s="191"/>
      <c r="AD420" s="191"/>
      <c r="AE420" s="191"/>
      <c r="AF420" s="191"/>
      <c r="AG420" s="191"/>
      <c r="AH420" s="191"/>
      <c r="AI420" s="191"/>
      <c r="AJ420" s="191"/>
      <c r="AK420" s="191"/>
      <c r="AL420" s="191"/>
    </row>
    <row r="421" spans="1:38" ht="12.75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91"/>
      <c r="AD421" s="191"/>
      <c r="AE421" s="191"/>
      <c r="AF421" s="191"/>
      <c r="AG421" s="191"/>
      <c r="AH421" s="191"/>
      <c r="AI421" s="191"/>
      <c r="AJ421" s="191"/>
      <c r="AK421" s="191"/>
      <c r="AL421" s="191"/>
    </row>
    <row r="422" spans="1:38" ht="12.75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  <c r="AA422" s="191"/>
      <c r="AB422" s="191"/>
      <c r="AC422" s="191"/>
      <c r="AD422" s="191"/>
      <c r="AE422" s="191"/>
      <c r="AF422" s="191"/>
      <c r="AG422" s="191"/>
      <c r="AH422" s="191"/>
      <c r="AI422" s="191"/>
      <c r="AJ422" s="191"/>
      <c r="AK422" s="191"/>
      <c r="AL422" s="191"/>
    </row>
    <row r="423" spans="1:38" ht="12.75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  <c r="AA423" s="191"/>
      <c r="AB423" s="191"/>
      <c r="AC423" s="191"/>
      <c r="AD423" s="191"/>
      <c r="AE423" s="191"/>
      <c r="AF423" s="191"/>
      <c r="AG423" s="191"/>
      <c r="AH423" s="191"/>
      <c r="AI423" s="191"/>
      <c r="AJ423" s="191"/>
      <c r="AK423" s="191"/>
      <c r="AL423" s="191"/>
    </row>
    <row r="424" spans="1:38" ht="12.75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  <c r="AA424" s="191"/>
      <c r="AB424" s="191"/>
      <c r="AC424" s="191"/>
      <c r="AD424" s="191"/>
      <c r="AE424" s="191"/>
      <c r="AF424" s="191"/>
      <c r="AG424" s="191"/>
      <c r="AH424" s="191"/>
      <c r="AI424" s="191"/>
      <c r="AJ424" s="191"/>
      <c r="AK424" s="191"/>
      <c r="AL424" s="191"/>
    </row>
    <row r="425" spans="1:38" ht="12.75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  <c r="AA425" s="191"/>
      <c r="AB425" s="191"/>
      <c r="AC425" s="191"/>
      <c r="AD425" s="191"/>
      <c r="AE425" s="191"/>
      <c r="AF425" s="191"/>
      <c r="AG425" s="191"/>
      <c r="AH425" s="191"/>
      <c r="AI425" s="191"/>
      <c r="AJ425" s="191"/>
      <c r="AK425" s="191"/>
      <c r="AL425" s="191"/>
    </row>
    <row r="426" spans="1:38" ht="12.75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  <c r="AA426" s="191"/>
      <c r="AB426" s="191"/>
      <c r="AC426" s="191"/>
      <c r="AD426" s="191"/>
      <c r="AE426" s="191"/>
      <c r="AF426" s="191"/>
      <c r="AG426" s="191"/>
      <c r="AH426" s="191"/>
      <c r="AI426" s="191"/>
      <c r="AJ426" s="191"/>
      <c r="AK426" s="191"/>
      <c r="AL426" s="191"/>
    </row>
    <row r="427" spans="1:38" ht="12.75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  <c r="AD427" s="191"/>
      <c r="AE427" s="191"/>
      <c r="AF427" s="191"/>
      <c r="AG427" s="191"/>
      <c r="AH427" s="191"/>
      <c r="AI427" s="191"/>
      <c r="AJ427" s="191"/>
      <c r="AK427" s="191"/>
      <c r="AL427" s="191"/>
    </row>
    <row r="428" spans="1:38" ht="12.75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  <c r="AA428" s="191"/>
      <c r="AB428" s="191"/>
      <c r="AC428" s="191"/>
      <c r="AD428" s="191"/>
      <c r="AE428" s="191"/>
      <c r="AF428" s="191"/>
      <c r="AG428" s="191"/>
      <c r="AH428" s="191"/>
      <c r="AI428" s="191"/>
      <c r="AJ428" s="191"/>
      <c r="AK428" s="191"/>
      <c r="AL428" s="191"/>
    </row>
    <row r="429" spans="1:38" ht="12.75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  <c r="AA429" s="191"/>
      <c r="AB429" s="191"/>
      <c r="AC429" s="191"/>
      <c r="AD429" s="191"/>
      <c r="AE429" s="191"/>
      <c r="AF429" s="191"/>
      <c r="AG429" s="191"/>
      <c r="AH429" s="191"/>
      <c r="AI429" s="191"/>
      <c r="AJ429" s="191"/>
      <c r="AK429" s="191"/>
      <c r="AL429" s="191"/>
    </row>
    <row r="430" spans="1:38" ht="12.75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  <c r="AA430" s="191"/>
      <c r="AB430" s="191"/>
      <c r="AC430" s="191"/>
      <c r="AD430" s="191"/>
      <c r="AE430" s="191"/>
      <c r="AF430" s="191"/>
      <c r="AG430" s="191"/>
      <c r="AH430" s="191"/>
      <c r="AI430" s="191"/>
      <c r="AJ430" s="191"/>
      <c r="AK430" s="191"/>
      <c r="AL430" s="191"/>
    </row>
    <row r="431" spans="1:38" ht="12.75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191"/>
      <c r="AF431" s="191"/>
      <c r="AG431" s="191"/>
      <c r="AH431" s="191"/>
      <c r="AI431" s="191"/>
      <c r="AJ431" s="191"/>
      <c r="AK431" s="191"/>
      <c r="AL431" s="191"/>
    </row>
    <row r="432" spans="1:38" ht="12.75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191"/>
      <c r="AF432" s="191"/>
      <c r="AG432" s="191"/>
      <c r="AH432" s="191"/>
      <c r="AI432" s="191"/>
      <c r="AJ432" s="191"/>
      <c r="AK432" s="191"/>
      <c r="AL432" s="191"/>
    </row>
    <row r="433" spans="1:38" ht="12.75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</row>
    <row r="434" spans="1:38" ht="12.75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191"/>
      <c r="AF434" s="191"/>
      <c r="AG434" s="191"/>
      <c r="AH434" s="191"/>
      <c r="AI434" s="191"/>
      <c r="AJ434" s="191"/>
      <c r="AK434" s="191"/>
      <c r="AL434" s="191"/>
    </row>
    <row r="435" spans="1:38" ht="12.75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  <c r="AA435" s="191"/>
      <c r="AB435" s="191"/>
      <c r="AC435" s="191"/>
      <c r="AD435" s="191"/>
      <c r="AE435" s="191"/>
      <c r="AF435" s="191"/>
      <c r="AG435" s="191"/>
      <c r="AH435" s="191"/>
      <c r="AI435" s="191"/>
      <c r="AJ435" s="191"/>
      <c r="AK435" s="191"/>
      <c r="AL435" s="191"/>
    </row>
    <row r="436" spans="1:38" ht="12.75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191"/>
      <c r="AF436" s="191"/>
      <c r="AG436" s="191"/>
      <c r="AH436" s="191"/>
      <c r="AI436" s="191"/>
      <c r="AJ436" s="191"/>
      <c r="AK436" s="191"/>
      <c r="AL436" s="191"/>
    </row>
    <row r="437" spans="1:38" ht="12.75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191"/>
      <c r="AF437" s="191"/>
      <c r="AG437" s="191"/>
      <c r="AH437" s="191"/>
      <c r="AI437" s="191"/>
      <c r="AJ437" s="191"/>
      <c r="AK437" s="191"/>
      <c r="AL437" s="191"/>
    </row>
    <row r="438" spans="1:38" ht="12.75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91"/>
      <c r="AF438" s="191"/>
      <c r="AG438" s="191"/>
      <c r="AH438" s="191"/>
      <c r="AI438" s="191"/>
      <c r="AJ438" s="191"/>
      <c r="AK438" s="191"/>
      <c r="AL438" s="191"/>
    </row>
    <row r="439" spans="1:38" ht="12.75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  <c r="AD439" s="191"/>
      <c r="AE439" s="191"/>
      <c r="AF439" s="191"/>
      <c r="AG439" s="191"/>
      <c r="AH439" s="191"/>
      <c r="AI439" s="191"/>
      <c r="AJ439" s="191"/>
      <c r="AK439" s="191"/>
      <c r="AL439" s="191"/>
    </row>
    <row r="440" spans="1:38" ht="12.75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  <c r="AD440" s="191"/>
      <c r="AE440" s="191"/>
      <c r="AF440" s="191"/>
      <c r="AG440" s="191"/>
      <c r="AH440" s="191"/>
      <c r="AI440" s="191"/>
      <c r="AJ440" s="191"/>
      <c r="AK440" s="191"/>
      <c r="AL440" s="191"/>
    </row>
    <row r="441" spans="1:38" ht="12.75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  <c r="AD441" s="191"/>
      <c r="AE441" s="191"/>
      <c r="AF441" s="191"/>
      <c r="AG441" s="191"/>
      <c r="AH441" s="191"/>
      <c r="AI441" s="191"/>
      <c r="AJ441" s="191"/>
      <c r="AK441" s="191"/>
      <c r="AL441" s="191"/>
    </row>
    <row r="442" spans="1:38" ht="12.75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  <c r="AD442" s="191"/>
      <c r="AE442" s="191"/>
      <c r="AF442" s="191"/>
      <c r="AG442" s="191"/>
      <c r="AH442" s="191"/>
      <c r="AI442" s="191"/>
      <c r="AJ442" s="191"/>
      <c r="AK442" s="191"/>
      <c r="AL442" s="191"/>
    </row>
    <row r="443" spans="1:38" ht="12.75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  <c r="AD443" s="191"/>
      <c r="AE443" s="191"/>
      <c r="AF443" s="191"/>
      <c r="AG443" s="191"/>
      <c r="AH443" s="191"/>
      <c r="AI443" s="191"/>
      <c r="AJ443" s="191"/>
      <c r="AK443" s="191"/>
      <c r="AL443" s="191"/>
    </row>
    <row r="444" spans="1:38" ht="12.75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  <c r="AD444" s="191"/>
      <c r="AE444" s="191"/>
      <c r="AF444" s="191"/>
      <c r="AG444" s="191"/>
      <c r="AH444" s="191"/>
      <c r="AI444" s="191"/>
      <c r="AJ444" s="191"/>
      <c r="AK444" s="191"/>
      <c r="AL444" s="191"/>
    </row>
    <row r="445" spans="1:38" ht="12.75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  <c r="AD445" s="191"/>
      <c r="AE445" s="191"/>
      <c r="AF445" s="191"/>
      <c r="AG445" s="191"/>
      <c r="AH445" s="191"/>
      <c r="AI445" s="191"/>
      <c r="AJ445" s="191"/>
      <c r="AK445" s="191"/>
      <c r="AL445" s="191"/>
    </row>
    <row r="446" spans="1:38" ht="12.75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  <c r="AD446" s="191"/>
      <c r="AE446" s="191"/>
      <c r="AF446" s="191"/>
      <c r="AG446" s="191"/>
      <c r="AH446" s="191"/>
      <c r="AI446" s="191"/>
      <c r="AJ446" s="191"/>
      <c r="AK446" s="191"/>
      <c r="AL446" s="191"/>
    </row>
    <row r="447" spans="1:38" ht="12.75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  <c r="AD447" s="191"/>
      <c r="AE447" s="191"/>
      <c r="AF447" s="191"/>
      <c r="AG447" s="191"/>
      <c r="AH447" s="191"/>
      <c r="AI447" s="191"/>
      <c r="AJ447" s="191"/>
      <c r="AK447" s="191"/>
      <c r="AL447" s="191"/>
    </row>
    <row r="448" spans="1:38" ht="12.75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  <c r="AD448" s="191"/>
      <c r="AE448" s="191"/>
      <c r="AF448" s="191"/>
      <c r="AG448" s="191"/>
      <c r="AH448" s="191"/>
      <c r="AI448" s="191"/>
      <c r="AJ448" s="191"/>
      <c r="AK448" s="191"/>
      <c r="AL448" s="191"/>
    </row>
    <row r="449" spans="1:38" ht="12.75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  <c r="AD449" s="191"/>
      <c r="AE449" s="191"/>
      <c r="AF449" s="191"/>
      <c r="AG449" s="191"/>
      <c r="AH449" s="191"/>
      <c r="AI449" s="191"/>
      <c r="AJ449" s="191"/>
      <c r="AK449" s="191"/>
      <c r="AL449" s="191"/>
    </row>
    <row r="450" spans="1:38" ht="12.75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  <c r="AD450" s="191"/>
      <c r="AE450" s="191"/>
      <c r="AF450" s="191"/>
      <c r="AG450" s="191"/>
      <c r="AH450" s="191"/>
      <c r="AI450" s="191"/>
      <c r="AJ450" s="191"/>
      <c r="AK450" s="191"/>
      <c r="AL450" s="191"/>
    </row>
    <row r="451" spans="1:38" ht="12.75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  <c r="AD451" s="191"/>
      <c r="AE451" s="191"/>
      <c r="AF451" s="191"/>
      <c r="AG451" s="191"/>
      <c r="AH451" s="191"/>
      <c r="AI451" s="191"/>
      <c r="AJ451" s="191"/>
      <c r="AK451" s="191"/>
      <c r="AL451" s="191"/>
    </row>
    <row r="452" spans="1:38" ht="12.75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  <c r="AD452" s="191"/>
      <c r="AE452" s="191"/>
      <c r="AF452" s="191"/>
      <c r="AG452" s="191"/>
      <c r="AH452" s="191"/>
      <c r="AI452" s="191"/>
      <c r="AJ452" s="191"/>
      <c r="AK452" s="191"/>
      <c r="AL452" s="191"/>
    </row>
    <row r="453" spans="1:38" ht="12.75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  <c r="AD453" s="191"/>
      <c r="AE453" s="191"/>
      <c r="AF453" s="191"/>
      <c r="AG453" s="191"/>
      <c r="AH453" s="191"/>
      <c r="AI453" s="191"/>
      <c r="AJ453" s="191"/>
      <c r="AK453" s="191"/>
      <c r="AL453" s="191"/>
    </row>
    <row r="454" spans="1:38" ht="12.75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  <c r="AD454" s="191"/>
      <c r="AE454" s="191"/>
      <c r="AF454" s="191"/>
      <c r="AG454" s="191"/>
      <c r="AH454" s="191"/>
      <c r="AI454" s="191"/>
      <c r="AJ454" s="191"/>
      <c r="AK454" s="191"/>
      <c r="AL454" s="191"/>
    </row>
    <row r="455" spans="1:38" ht="12.75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  <c r="AD455" s="191"/>
      <c r="AE455" s="191"/>
      <c r="AF455" s="191"/>
      <c r="AG455" s="191"/>
      <c r="AH455" s="191"/>
      <c r="AI455" s="191"/>
      <c r="AJ455" s="191"/>
      <c r="AK455" s="191"/>
      <c r="AL455" s="191"/>
    </row>
    <row r="456" spans="1:38" ht="12.75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1"/>
      <c r="AF456" s="191"/>
      <c r="AG456" s="191"/>
      <c r="AH456" s="191"/>
      <c r="AI456" s="191"/>
      <c r="AJ456" s="191"/>
      <c r="AK456" s="191"/>
      <c r="AL456" s="191"/>
    </row>
    <row r="457" spans="1:38" ht="12.75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1"/>
      <c r="AF457" s="191"/>
      <c r="AG457" s="191"/>
      <c r="AH457" s="191"/>
      <c r="AI457" s="191"/>
      <c r="AJ457" s="191"/>
      <c r="AK457" s="191"/>
      <c r="AL457" s="191"/>
    </row>
    <row r="458" spans="1:38" ht="12.75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1"/>
      <c r="AF458" s="191"/>
      <c r="AG458" s="191"/>
      <c r="AH458" s="191"/>
      <c r="AI458" s="191"/>
      <c r="AJ458" s="191"/>
      <c r="AK458" s="191"/>
      <c r="AL458" s="191"/>
    </row>
    <row r="459" spans="1:38" ht="12.75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1"/>
      <c r="AF459" s="191"/>
      <c r="AG459" s="191"/>
      <c r="AH459" s="191"/>
      <c r="AI459" s="191"/>
      <c r="AJ459" s="191"/>
      <c r="AK459" s="191"/>
      <c r="AL459" s="191"/>
    </row>
    <row r="460" spans="1:38" ht="12.75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1"/>
      <c r="AF460" s="191"/>
      <c r="AG460" s="191"/>
      <c r="AH460" s="191"/>
      <c r="AI460" s="191"/>
      <c r="AJ460" s="191"/>
      <c r="AK460" s="191"/>
      <c r="AL460" s="191"/>
    </row>
    <row r="461" spans="1:38" ht="12.75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1"/>
      <c r="AF461" s="191"/>
      <c r="AG461" s="191"/>
      <c r="AH461" s="191"/>
      <c r="AI461" s="191"/>
      <c r="AJ461" s="191"/>
      <c r="AK461" s="191"/>
      <c r="AL461" s="191"/>
    </row>
    <row r="462" spans="1:38" ht="12.75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1"/>
      <c r="AF462" s="191"/>
      <c r="AG462" s="191"/>
      <c r="AH462" s="191"/>
      <c r="AI462" s="191"/>
      <c r="AJ462" s="191"/>
      <c r="AK462" s="191"/>
      <c r="AL462" s="191"/>
    </row>
    <row r="463" spans="1:38" ht="12.75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</row>
    <row r="464" spans="1:38" ht="12.75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E464" s="191"/>
      <c r="AF464" s="191"/>
      <c r="AG464" s="191"/>
      <c r="AH464" s="191"/>
      <c r="AI464" s="191"/>
      <c r="AJ464" s="191"/>
      <c r="AK464" s="191"/>
      <c r="AL464" s="191"/>
    </row>
    <row r="465" spans="1:38" ht="12.75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</row>
    <row r="466" spans="1:38" ht="12.75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</row>
    <row r="467" spans="1:38" ht="12.75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</row>
    <row r="468" spans="1:38" ht="12.75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</row>
    <row r="469" spans="1:38" ht="12.75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</row>
    <row r="470" spans="1:38" ht="12.75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</row>
    <row r="471" spans="1:38" ht="12.75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</row>
    <row r="472" spans="1:38" ht="12.75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</row>
    <row r="473" spans="1:38" ht="12.75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E473" s="191"/>
      <c r="AF473" s="191"/>
      <c r="AG473" s="191"/>
      <c r="AH473" s="191"/>
      <c r="AI473" s="191"/>
      <c r="AJ473" s="191"/>
      <c r="AK473" s="191"/>
      <c r="AL473" s="191"/>
    </row>
    <row r="474" spans="1:38" ht="12.75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</row>
    <row r="475" spans="1:38" ht="12.75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</row>
    <row r="476" spans="1:38" ht="12.75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</row>
    <row r="477" spans="1:38" ht="12.75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</row>
    <row r="478" spans="1:38" ht="12.75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</row>
    <row r="479" spans="1:38" ht="12.75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</row>
    <row r="480" spans="1:38" ht="12.75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</row>
    <row r="481" spans="1:38" ht="12.75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</row>
    <row r="482" spans="1:38" ht="12.75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91"/>
      <c r="AF482" s="191"/>
      <c r="AG482" s="191"/>
      <c r="AH482" s="191"/>
      <c r="AI482" s="191"/>
      <c r="AJ482" s="191"/>
      <c r="AK482" s="191"/>
      <c r="AL482" s="191"/>
    </row>
    <row r="483" spans="1:38" ht="12.75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91"/>
      <c r="AF483" s="191"/>
      <c r="AG483" s="191"/>
      <c r="AH483" s="191"/>
      <c r="AI483" s="191"/>
      <c r="AJ483" s="191"/>
      <c r="AK483" s="191"/>
      <c r="AL483" s="191"/>
    </row>
    <row r="484" spans="1:38" ht="12.75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91"/>
      <c r="AF484" s="191"/>
      <c r="AG484" s="191"/>
      <c r="AH484" s="191"/>
      <c r="AI484" s="191"/>
      <c r="AJ484" s="191"/>
      <c r="AK484" s="191"/>
      <c r="AL484" s="191"/>
    </row>
    <row r="485" spans="1:38" ht="12.75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91"/>
      <c r="AF485" s="191"/>
      <c r="AG485" s="191"/>
      <c r="AH485" s="191"/>
      <c r="AI485" s="191"/>
      <c r="AJ485" s="191"/>
      <c r="AK485" s="191"/>
      <c r="AL485" s="191"/>
    </row>
    <row r="486" spans="1:38" ht="12.75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91"/>
      <c r="AF486" s="191"/>
      <c r="AG486" s="191"/>
      <c r="AH486" s="191"/>
      <c r="AI486" s="191"/>
      <c r="AJ486" s="191"/>
      <c r="AK486" s="191"/>
      <c r="AL486" s="191"/>
    </row>
    <row r="487" spans="1:38" ht="12.75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91"/>
      <c r="AF487" s="191"/>
      <c r="AG487" s="191"/>
      <c r="AH487" s="191"/>
      <c r="AI487" s="191"/>
      <c r="AJ487" s="191"/>
      <c r="AK487" s="191"/>
      <c r="AL487" s="191"/>
    </row>
    <row r="488" spans="1:38" ht="12.75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91"/>
      <c r="AF488" s="191"/>
      <c r="AG488" s="191"/>
      <c r="AH488" s="191"/>
      <c r="AI488" s="191"/>
      <c r="AJ488" s="191"/>
      <c r="AK488" s="191"/>
      <c r="AL488" s="191"/>
    </row>
    <row r="489" spans="1:38" ht="12.75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91"/>
      <c r="AF489" s="191"/>
      <c r="AG489" s="191"/>
      <c r="AH489" s="191"/>
      <c r="AI489" s="191"/>
      <c r="AJ489" s="191"/>
      <c r="AK489" s="191"/>
      <c r="AL489" s="191"/>
    </row>
    <row r="490" spans="1:38" ht="12.75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E490" s="191"/>
      <c r="AF490" s="191"/>
      <c r="AG490" s="191"/>
      <c r="AH490" s="191"/>
      <c r="AI490" s="191"/>
      <c r="AJ490" s="191"/>
      <c r="AK490" s="191"/>
      <c r="AL490" s="191"/>
    </row>
    <row r="491" spans="1:38" ht="12.75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E491" s="191"/>
      <c r="AF491" s="191"/>
      <c r="AG491" s="191"/>
      <c r="AH491" s="191"/>
      <c r="AI491" s="191"/>
      <c r="AJ491" s="191"/>
      <c r="AK491" s="191"/>
      <c r="AL491" s="191"/>
    </row>
    <row r="492" spans="1:38" ht="12.75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1"/>
      <c r="AF492" s="191"/>
      <c r="AG492" s="191"/>
      <c r="AH492" s="191"/>
      <c r="AI492" s="191"/>
      <c r="AJ492" s="191"/>
      <c r="AK492" s="191"/>
      <c r="AL492" s="191"/>
    </row>
    <row r="493" spans="1:38" ht="12.75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1"/>
      <c r="AF493" s="191"/>
      <c r="AG493" s="191"/>
      <c r="AH493" s="191"/>
      <c r="AI493" s="191"/>
      <c r="AJ493" s="191"/>
      <c r="AK493" s="191"/>
      <c r="AL493" s="191"/>
    </row>
    <row r="494" spans="1:38" ht="12.75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1"/>
      <c r="AF494" s="191"/>
      <c r="AG494" s="191"/>
      <c r="AH494" s="191"/>
      <c r="AI494" s="191"/>
      <c r="AJ494" s="191"/>
      <c r="AK494" s="191"/>
      <c r="AL494" s="191"/>
    </row>
    <row r="495" spans="1:38" ht="12.75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1"/>
      <c r="AF495" s="191"/>
      <c r="AG495" s="191"/>
      <c r="AH495" s="191"/>
      <c r="AI495" s="191"/>
      <c r="AJ495" s="191"/>
      <c r="AK495" s="191"/>
      <c r="AL495" s="191"/>
    </row>
    <row r="496" spans="1:38" ht="12.75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1"/>
      <c r="AF496" s="191"/>
      <c r="AG496" s="191"/>
      <c r="AH496" s="191"/>
      <c r="AI496" s="191"/>
      <c r="AJ496" s="191"/>
      <c r="AK496" s="191"/>
      <c r="AL496" s="191"/>
    </row>
    <row r="497" spans="1:38" ht="12.75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1"/>
      <c r="AF497" s="191"/>
      <c r="AG497" s="191"/>
      <c r="AH497" s="191"/>
      <c r="AI497" s="191"/>
      <c r="AJ497" s="191"/>
      <c r="AK497" s="191"/>
      <c r="AL497" s="191"/>
    </row>
    <row r="498" spans="1:38" ht="12.75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1"/>
      <c r="AF498" s="191"/>
      <c r="AG498" s="191"/>
      <c r="AH498" s="191"/>
      <c r="AI498" s="191"/>
      <c r="AJ498" s="191"/>
      <c r="AK498" s="191"/>
      <c r="AL498" s="191"/>
    </row>
    <row r="499" spans="1:38" ht="12.75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</row>
    <row r="500" spans="1:38" ht="12.75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1"/>
      <c r="AF500" s="191"/>
      <c r="AG500" s="191"/>
      <c r="AH500" s="191"/>
      <c r="AI500" s="191"/>
      <c r="AJ500" s="191"/>
      <c r="AK500" s="191"/>
      <c r="AL500" s="191"/>
    </row>
    <row r="501" spans="1:38" ht="12.75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91"/>
      <c r="AF501" s="191"/>
      <c r="AG501" s="191"/>
      <c r="AH501" s="191"/>
      <c r="AI501" s="191"/>
      <c r="AJ501" s="191"/>
      <c r="AK501" s="191"/>
      <c r="AL501" s="191"/>
    </row>
    <row r="502" spans="1:38" ht="12.75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91"/>
      <c r="AF502" s="191"/>
      <c r="AG502" s="191"/>
      <c r="AH502" s="191"/>
      <c r="AI502" s="191"/>
      <c r="AJ502" s="191"/>
      <c r="AK502" s="191"/>
      <c r="AL502" s="191"/>
    </row>
    <row r="503" spans="1:38" ht="12.75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91"/>
      <c r="AF503" s="191"/>
      <c r="AG503" s="191"/>
      <c r="AH503" s="191"/>
      <c r="AI503" s="191"/>
      <c r="AJ503" s="191"/>
      <c r="AK503" s="191"/>
      <c r="AL503" s="191"/>
    </row>
    <row r="504" spans="1:38" ht="12.75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91"/>
      <c r="AF504" s="191"/>
      <c r="AG504" s="191"/>
      <c r="AH504" s="191"/>
      <c r="AI504" s="191"/>
      <c r="AJ504" s="191"/>
      <c r="AK504" s="191"/>
      <c r="AL504" s="191"/>
    </row>
    <row r="505" spans="1:38" ht="12.75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91"/>
      <c r="AF505" s="191"/>
      <c r="AG505" s="191"/>
      <c r="AH505" s="191"/>
      <c r="AI505" s="191"/>
      <c r="AJ505" s="191"/>
      <c r="AK505" s="191"/>
      <c r="AL505" s="191"/>
    </row>
    <row r="506" spans="1:38" ht="12.75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</row>
    <row r="507" spans="1:38" ht="12.75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91"/>
      <c r="AF507" s="191"/>
      <c r="AG507" s="191"/>
      <c r="AH507" s="191"/>
      <c r="AI507" s="191"/>
      <c r="AJ507" s="191"/>
      <c r="AK507" s="191"/>
      <c r="AL507" s="191"/>
    </row>
    <row r="508" spans="1:38" ht="12.75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91"/>
      <c r="AF508" s="191"/>
      <c r="AG508" s="191"/>
      <c r="AH508" s="191"/>
      <c r="AI508" s="191"/>
      <c r="AJ508" s="191"/>
      <c r="AK508" s="191"/>
      <c r="AL508" s="191"/>
    </row>
    <row r="509" spans="1:38" ht="12.75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91"/>
      <c r="AF509" s="191"/>
      <c r="AG509" s="191"/>
      <c r="AH509" s="191"/>
      <c r="AI509" s="191"/>
      <c r="AJ509" s="191"/>
      <c r="AK509" s="191"/>
      <c r="AL509" s="191"/>
    </row>
    <row r="510" spans="1:38" ht="12.75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</row>
    <row r="511" spans="1:38" ht="12.75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</row>
    <row r="512" spans="1:38" ht="12.75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</row>
    <row r="513" spans="1:38" ht="12.75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</row>
    <row r="514" spans="1:38" ht="12.75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</row>
    <row r="515" spans="1:38" ht="12.75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</row>
    <row r="516" spans="1:38" ht="12.75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</row>
    <row r="517" spans="1:38" ht="12.75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</row>
    <row r="518" spans="1:38" ht="12.75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</row>
    <row r="519" spans="1:38" ht="12.75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91"/>
      <c r="AF519" s="191"/>
      <c r="AG519" s="191"/>
      <c r="AH519" s="191"/>
      <c r="AI519" s="191"/>
      <c r="AJ519" s="191"/>
      <c r="AK519" s="191"/>
      <c r="AL519" s="191"/>
    </row>
    <row r="520" spans="1:38" ht="12.75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91"/>
      <c r="AF520" s="191"/>
      <c r="AG520" s="191"/>
      <c r="AH520" s="191"/>
      <c r="AI520" s="191"/>
      <c r="AJ520" s="191"/>
      <c r="AK520" s="191"/>
      <c r="AL520" s="191"/>
    </row>
    <row r="521" spans="1:38" ht="12.75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91"/>
      <c r="AF521" s="191"/>
      <c r="AG521" s="191"/>
      <c r="AH521" s="191"/>
      <c r="AI521" s="191"/>
      <c r="AJ521" s="191"/>
      <c r="AK521" s="191"/>
      <c r="AL521" s="191"/>
    </row>
    <row r="522" spans="1:38" ht="12.75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91"/>
      <c r="AF522" s="191"/>
      <c r="AG522" s="191"/>
      <c r="AH522" s="191"/>
      <c r="AI522" s="191"/>
      <c r="AJ522" s="191"/>
      <c r="AK522" s="191"/>
      <c r="AL522" s="191"/>
    </row>
    <row r="523" spans="1:38" ht="12.75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91"/>
      <c r="AF523" s="191"/>
      <c r="AG523" s="191"/>
      <c r="AH523" s="191"/>
      <c r="AI523" s="191"/>
      <c r="AJ523" s="191"/>
      <c r="AK523" s="191"/>
      <c r="AL523" s="191"/>
    </row>
    <row r="524" spans="1:38" ht="12.75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  <c r="AD524" s="191"/>
      <c r="AE524" s="191"/>
      <c r="AF524" s="191"/>
      <c r="AG524" s="191"/>
      <c r="AH524" s="191"/>
      <c r="AI524" s="191"/>
      <c r="AJ524" s="191"/>
      <c r="AK524" s="191"/>
      <c r="AL524" s="191"/>
    </row>
    <row r="525" spans="1:38" ht="12.75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  <c r="AD525" s="191"/>
      <c r="AE525" s="191"/>
      <c r="AF525" s="191"/>
      <c r="AG525" s="191"/>
      <c r="AH525" s="191"/>
      <c r="AI525" s="191"/>
      <c r="AJ525" s="191"/>
      <c r="AK525" s="191"/>
      <c r="AL525" s="191"/>
    </row>
    <row r="526" spans="1:38" ht="12.75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  <c r="AD526" s="191"/>
      <c r="AE526" s="191"/>
      <c r="AF526" s="191"/>
      <c r="AG526" s="191"/>
      <c r="AH526" s="191"/>
      <c r="AI526" s="191"/>
      <c r="AJ526" s="191"/>
      <c r="AK526" s="191"/>
      <c r="AL526" s="191"/>
    </row>
    <row r="527" spans="1:38" ht="12.75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  <c r="AD527" s="191"/>
      <c r="AE527" s="191"/>
      <c r="AF527" s="191"/>
      <c r="AG527" s="191"/>
      <c r="AH527" s="191"/>
      <c r="AI527" s="191"/>
      <c r="AJ527" s="191"/>
      <c r="AK527" s="191"/>
      <c r="AL527" s="191"/>
    </row>
    <row r="528" spans="1:38" ht="12.75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  <c r="AD528" s="191"/>
      <c r="AE528" s="191"/>
      <c r="AF528" s="191"/>
      <c r="AG528" s="191"/>
      <c r="AH528" s="191"/>
      <c r="AI528" s="191"/>
      <c r="AJ528" s="191"/>
      <c r="AK528" s="191"/>
      <c r="AL528" s="191"/>
    </row>
    <row r="529" spans="1:38" ht="12.75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  <c r="AD529" s="191"/>
      <c r="AE529" s="191"/>
      <c r="AF529" s="191"/>
      <c r="AG529" s="191"/>
      <c r="AH529" s="191"/>
      <c r="AI529" s="191"/>
      <c r="AJ529" s="191"/>
      <c r="AK529" s="191"/>
      <c r="AL529" s="191"/>
    </row>
    <row r="530" spans="1:38" ht="12.75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  <c r="AD530" s="191"/>
      <c r="AE530" s="191"/>
      <c r="AF530" s="191"/>
      <c r="AG530" s="191"/>
      <c r="AH530" s="191"/>
      <c r="AI530" s="191"/>
      <c r="AJ530" s="191"/>
      <c r="AK530" s="191"/>
      <c r="AL530" s="191"/>
    </row>
    <row r="531" spans="1:38" ht="12.75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  <c r="AD531" s="191"/>
      <c r="AE531" s="191"/>
      <c r="AF531" s="191"/>
      <c r="AG531" s="191"/>
      <c r="AH531" s="191"/>
      <c r="AI531" s="191"/>
      <c r="AJ531" s="191"/>
      <c r="AK531" s="191"/>
      <c r="AL531" s="191"/>
    </row>
    <row r="532" spans="1:38" ht="12.75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  <c r="AD532" s="191"/>
      <c r="AE532" s="191"/>
      <c r="AF532" s="191"/>
      <c r="AG532" s="191"/>
      <c r="AH532" s="191"/>
      <c r="AI532" s="191"/>
      <c r="AJ532" s="191"/>
      <c r="AK532" s="191"/>
      <c r="AL532" s="191"/>
    </row>
    <row r="533" spans="1:38" ht="12.75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91"/>
      <c r="AF533" s="191"/>
      <c r="AG533" s="191"/>
      <c r="AH533" s="191"/>
      <c r="AI533" s="191"/>
      <c r="AJ533" s="191"/>
      <c r="AK533" s="191"/>
      <c r="AL533" s="191"/>
    </row>
    <row r="534" spans="1:38" ht="12.75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1"/>
      <c r="AF534" s="191"/>
      <c r="AG534" s="191"/>
      <c r="AH534" s="191"/>
      <c r="AI534" s="191"/>
      <c r="AJ534" s="191"/>
      <c r="AK534" s="191"/>
      <c r="AL534" s="191"/>
    </row>
    <row r="535" spans="1:38" ht="12.75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</row>
    <row r="536" spans="1:38" ht="12.75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1"/>
      <c r="AF536" s="191"/>
      <c r="AG536" s="191"/>
      <c r="AH536" s="191"/>
      <c r="AI536" s="191"/>
      <c r="AJ536" s="191"/>
      <c r="AK536" s="191"/>
      <c r="AL536" s="191"/>
    </row>
    <row r="537" spans="1:38" ht="12.75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1"/>
      <c r="AF537" s="191"/>
      <c r="AG537" s="191"/>
      <c r="AH537" s="191"/>
      <c r="AI537" s="191"/>
      <c r="AJ537" s="191"/>
      <c r="AK537" s="191"/>
      <c r="AL537" s="191"/>
    </row>
    <row r="538" spans="1:38" ht="12.75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1"/>
      <c r="AF538" s="191"/>
      <c r="AG538" s="191"/>
      <c r="AH538" s="191"/>
      <c r="AI538" s="191"/>
      <c r="AJ538" s="191"/>
      <c r="AK538" s="191"/>
      <c r="AL538" s="191"/>
    </row>
    <row r="539" spans="1:38" ht="12.75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1"/>
      <c r="AF539" s="191"/>
      <c r="AG539" s="191"/>
      <c r="AH539" s="191"/>
      <c r="AI539" s="191"/>
      <c r="AJ539" s="191"/>
      <c r="AK539" s="191"/>
      <c r="AL539" s="191"/>
    </row>
    <row r="540" spans="1:38" ht="12.75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1"/>
      <c r="AF540" s="191"/>
      <c r="AG540" s="191"/>
      <c r="AH540" s="191"/>
      <c r="AI540" s="191"/>
      <c r="AJ540" s="191"/>
      <c r="AK540" s="191"/>
      <c r="AL540" s="191"/>
    </row>
    <row r="541" spans="1:38" ht="12.75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  <c r="AD541" s="191"/>
      <c r="AE541" s="191"/>
      <c r="AF541" s="191"/>
      <c r="AG541" s="191"/>
      <c r="AH541" s="191"/>
      <c r="AI541" s="191"/>
      <c r="AJ541" s="191"/>
      <c r="AK541" s="191"/>
      <c r="AL541" s="191"/>
    </row>
    <row r="542" spans="1:38" ht="12.75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  <c r="AD542" s="191"/>
      <c r="AE542" s="191"/>
      <c r="AF542" s="191"/>
      <c r="AG542" s="191"/>
      <c r="AH542" s="191"/>
      <c r="AI542" s="191"/>
      <c r="AJ542" s="191"/>
      <c r="AK542" s="191"/>
      <c r="AL542" s="191"/>
    </row>
    <row r="543" spans="1:38" ht="12.75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  <c r="AD543" s="191"/>
      <c r="AE543" s="191"/>
      <c r="AF543" s="191"/>
      <c r="AG543" s="191"/>
      <c r="AH543" s="191"/>
      <c r="AI543" s="191"/>
      <c r="AJ543" s="191"/>
      <c r="AK543" s="191"/>
      <c r="AL543" s="191"/>
    </row>
    <row r="544" spans="1:38" ht="12.75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  <c r="AD544" s="191"/>
      <c r="AE544" s="191"/>
      <c r="AF544" s="191"/>
      <c r="AG544" s="191"/>
      <c r="AH544" s="191"/>
      <c r="AI544" s="191"/>
      <c r="AJ544" s="191"/>
      <c r="AK544" s="191"/>
      <c r="AL544" s="191"/>
    </row>
    <row r="545" spans="1:38" ht="12.75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  <c r="AD545" s="191"/>
      <c r="AE545" s="191"/>
      <c r="AF545" s="191"/>
      <c r="AG545" s="191"/>
      <c r="AH545" s="191"/>
      <c r="AI545" s="191"/>
      <c r="AJ545" s="191"/>
      <c r="AK545" s="191"/>
      <c r="AL545" s="191"/>
    </row>
    <row r="546" spans="1:38" ht="12.75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  <c r="AD546" s="191"/>
      <c r="AE546" s="191"/>
      <c r="AF546" s="191"/>
      <c r="AG546" s="191"/>
      <c r="AH546" s="191"/>
      <c r="AI546" s="191"/>
      <c r="AJ546" s="191"/>
      <c r="AK546" s="191"/>
      <c r="AL546" s="191"/>
    </row>
    <row r="547" spans="1:38" ht="12.75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  <c r="AD547" s="191"/>
      <c r="AE547" s="191"/>
      <c r="AF547" s="191"/>
      <c r="AG547" s="191"/>
      <c r="AH547" s="191"/>
      <c r="AI547" s="191"/>
      <c r="AJ547" s="191"/>
      <c r="AK547" s="191"/>
      <c r="AL547" s="191"/>
    </row>
    <row r="548" spans="1:38" ht="12.75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  <c r="AD548" s="191"/>
      <c r="AE548" s="191"/>
      <c r="AF548" s="191"/>
      <c r="AG548" s="191"/>
      <c r="AH548" s="191"/>
      <c r="AI548" s="191"/>
      <c r="AJ548" s="191"/>
      <c r="AK548" s="191"/>
      <c r="AL548" s="191"/>
    </row>
    <row r="549" spans="1:38" ht="12.75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1"/>
      <c r="AF549" s="191"/>
      <c r="AG549" s="191"/>
      <c r="AH549" s="191"/>
      <c r="AI549" s="191"/>
      <c r="AJ549" s="191"/>
      <c r="AK549" s="191"/>
      <c r="AL549" s="191"/>
    </row>
    <row r="550" spans="1:38" ht="12.75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</row>
    <row r="551" spans="1:38" ht="12.75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</row>
    <row r="552" spans="1:38" ht="12.75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</row>
    <row r="553" spans="1:38" ht="12.75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</row>
    <row r="554" spans="1:38" ht="12.75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</row>
    <row r="555" spans="1:38" ht="12.75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</row>
    <row r="556" spans="1:38" ht="12.75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</row>
    <row r="557" spans="1:38" ht="12.75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</row>
    <row r="558" spans="1:38" ht="12.75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191"/>
      <c r="AF558" s="191"/>
      <c r="AG558" s="191"/>
      <c r="AH558" s="191"/>
      <c r="AI558" s="191"/>
      <c r="AJ558" s="191"/>
      <c r="AK558" s="191"/>
      <c r="AL558" s="191"/>
    </row>
    <row r="559" spans="1:38" ht="12.75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191"/>
      <c r="AF559" s="191"/>
      <c r="AG559" s="191"/>
      <c r="AH559" s="191"/>
      <c r="AI559" s="191"/>
      <c r="AJ559" s="191"/>
      <c r="AK559" s="191"/>
      <c r="AL559" s="191"/>
    </row>
    <row r="560" spans="1:38" ht="12.75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  <c r="AA560" s="191"/>
      <c r="AB560" s="191"/>
      <c r="AC560" s="191"/>
      <c r="AD560" s="191"/>
      <c r="AE560" s="191"/>
      <c r="AF560" s="191"/>
      <c r="AG560" s="191"/>
      <c r="AH560" s="191"/>
      <c r="AI560" s="191"/>
      <c r="AJ560" s="191"/>
      <c r="AK560" s="191"/>
      <c r="AL560" s="191"/>
    </row>
    <row r="561" spans="1:38" ht="12.75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  <c r="AA561" s="191"/>
      <c r="AB561" s="191"/>
      <c r="AC561" s="191"/>
      <c r="AD561" s="191"/>
      <c r="AE561" s="191"/>
      <c r="AF561" s="191"/>
      <c r="AG561" s="191"/>
      <c r="AH561" s="191"/>
      <c r="AI561" s="191"/>
      <c r="AJ561" s="191"/>
      <c r="AK561" s="191"/>
      <c r="AL561" s="191"/>
    </row>
    <row r="562" spans="1:38" ht="12.75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  <c r="AD562" s="191"/>
      <c r="AE562" s="191"/>
      <c r="AF562" s="191"/>
      <c r="AG562" s="191"/>
      <c r="AH562" s="191"/>
      <c r="AI562" s="191"/>
      <c r="AJ562" s="191"/>
      <c r="AK562" s="191"/>
      <c r="AL562" s="191"/>
    </row>
    <row r="563" spans="1:38" ht="12.75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  <c r="AD563" s="191"/>
      <c r="AE563" s="191"/>
      <c r="AF563" s="191"/>
      <c r="AG563" s="191"/>
      <c r="AH563" s="191"/>
      <c r="AI563" s="191"/>
      <c r="AJ563" s="191"/>
      <c r="AK563" s="191"/>
      <c r="AL563" s="191"/>
    </row>
    <row r="564" spans="1:38" ht="12.75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91"/>
      <c r="AF564" s="191"/>
      <c r="AG564" s="191"/>
      <c r="AH564" s="191"/>
      <c r="AI564" s="191"/>
      <c r="AJ564" s="191"/>
      <c r="AK564" s="191"/>
      <c r="AL564" s="191"/>
    </row>
    <row r="565" spans="1:38" ht="12.75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91"/>
      <c r="AF565" s="191"/>
      <c r="AG565" s="191"/>
      <c r="AH565" s="191"/>
      <c r="AI565" s="191"/>
      <c r="AJ565" s="191"/>
      <c r="AK565" s="191"/>
      <c r="AL565" s="191"/>
    </row>
    <row r="566" spans="1:38" ht="12.75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91"/>
      <c r="AF566" s="191"/>
      <c r="AG566" s="191"/>
      <c r="AH566" s="191"/>
      <c r="AI566" s="191"/>
      <c r="AJ566" s="191"/>
      <c r="AK566" s="191"/>
      <c r="AL566" s="191"/>
    </row>
    <row r="567" spans="1:38" ht="12.75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91"/>
      <c r="AF567" s="191"/>
      <c r="AG567" s="191"/>
      <c r="AH567" s="191"/>
      <c r="AI567" s="191"/>
      <c r="AJ567" s="191"/>
      <c r="AK567" s="191"/>
      <c r="AL567" s="191"/>
    </row>
    <row r="568" spans="1:38" ht="12.75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91"/>
      <c r="AF568" s="191"/>
      <c r="AG568" s="191"/>
      <c r="AH568" s="191"/>
      <c r="AI568" s="191"/>
      <c r="AJ568" s="191"/>
      <c r="AK568" s="191"/>
      <c r="AL568" s="191"/>
    </row>
    <row r="569" spans="1:38" ht="12.75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91"/>
      <c r="AF569" s="191"/>
      <c r="AG569" s="191"/>
      <c r="AH569" s="191"/>
      <c r="AI569" s="191"/>
      <c r="AJ569" s="191"/>
      <c r="AK569" s="191"/>
      <c r="AL569" s="191"/>
    </row>
    <row r="570" spans="1:38" ht="12.75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91"/>
      <c r="AF570" s="191"/>
      <c r="AG570" s="191"/>
      <c r="AH570" s="191"/>
      <c r="AI570" s="191"/>
      <c r="AJ570" s="191"/>
      <c r="AK570" s="191"/>
      <c r="AL570" s="191"/>
    </row>
    <row r="571" spans="1:38" ht="12.75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</row>
    <row r="572" spans="1:38" ht="12.75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191"/>
      <c r="AF572" s="191"/>
      <c r="AG572" s="191"/>
      <c r="AH572" s="191"/>
      <c r="AI572" s="191"/>
      <c r="AJ572" s="191"/>
      <c r="AK572" s="191"/>
      <c r="AL572" s="191"/>
    </row>
    <row r="573" spans="1:38" ht="12.75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  <c r="AA573" s="191"/>
      <c r="AB573" s="191"/>
      <c r="AC573" s="191"/>
      <c r="AD573" s="191"/>
      <c r="AE573" s="191"/>
      <c r="AF573" s="191"/>
      <c r="AG573" s="191"/>
      <c r="AH573" s="191"/>
      <c r="AI573" s="191"/>
      <c r="AJ573" s="191"/>
      <c r="AK573" s="191"/>
      <c r="AL573" s="191"/>
    </row>
    <row r="574" spans="1:38" ht="12.75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  <c r="AD574" s="191"/>
      <c r="AE574" s="191"/>
      <c r="AF574" s="191"/>
      <c r="AG574" s="191"/>
      <c r="AH574" s="191"/>
      <c r="AI574" s="191"/>
      <c r="AJ574" s="191"/>
      <c r="AK574" s="191"/>
      <c r="AL574" s="191"/>
    </row>
    <row r="575" spans="1:38" ht="12.75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  <c r="AD575" s="191"/>
      <c r="AE575" s="191"/>
      <c r="AF575" s="191"/>
      <c r="AG575" s="191"/>
      <c r="AH575" s="191"/>
      <c r="AI575" s="191"/>
      <c r="AJ575" s="191"/>
      <c r="AK575" s="191"/>
      <c r="AL575" s="191"/>
    </row>
    <row r="576" spans="1:38" ht="12.75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  <c r="AD576" s="191"/>
      <c r="AE576" s="191"/>
      <c r="AF576" s="191"/>
      <c r="AG576" s="191"/>
      <c r="AH576" s="191"/>
      <c r="AI576" s="191"/>
      <c r="AJ576" s="191"/>
      <c r="AK576" s="191"/>
      <c r="AL576" s="191"/>
    </row>
    <row r="577" spans="1:38" ht="12.75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  <c r="AD577" s="191"/>
      <c r="AE577" s="191"/>
      <c r="AF577" s="191"/>
      <c r="AG577" s="191"/>
      <c r="AH577" s="191"/>
      <c r="AI577" s="191"/>
      <c r="AJ577" s="191"/>
      <c r="AK577" s="191"/>
      <c r="AL577" s="191"/>
    </row>
    <row r="578" spans="1:38" ht="12.75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  <c r="AA578" s="191"/>
      <c r="AB578" s="191"/>
      <c r="AC578" s="191"/>
      <c r="AD578" s="191"/>
      <c r="AE578" s="191"/>
      <c r="AF578" s="191"/>
      <c r="AG578" s="191"/>
      <c r="AH578" s="191"/>
      <c r="AI578" s="191"/>
      <c r="AJ578" s="191"/>
      <c r="AK578" s="191"/>
      <c r="AL578" s="191"/>
    </row>
    <row r="579" spans="1:38" ht="12.75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  <c r="AD579" s="191"/>
      <c r="AE579" s="191"/>
      <c r="AF579" s="191"/>
      <c r="AG579" s="191"/>
      <c r="AH579" s="191"/>
      <c r="AI579" s="191"/>
      <c r="AJ579" s="191"/>
      <c r="AK579" s="191"/>
      <c r="AL579" s="191"/>
    </row>
    <row r="580" spans="1:38" ht="12.75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  <c r="AD580" s="191"/>
      <c r="AE580" s="191"/>
      <c r="AF580" s="191"/>
      <c r="AG580" s="191"/>
      <c r="AH580" s="191"/>
      <c r="AI580" s="191"/>
      <c r="AJ580" s="191"/>
      <c r="AK580" s="191"/>
      <c r="AL580" s="191"/>
    </row>
    <row r="581" spans="1:38" ht="12.75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  <c r="AD581" s="191"/>
      <c r="AE581" s="191"/>
      <c r="AF581" s="191"/>
      <c r="AG581" s="191"/>
      <c r="AH581" s="191"/>
      <c r="AI581" s="191"/>
      <c r="AJ581" s="191"/>
      <c r="AK581" s="191"/>
      <c r="AL581" s="191"/>
    </row>
    <row r="582" spans="1:38" ht="12.75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</row>
    <row r="583" spans="1:38" ht="12.75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</row>
    <row r="584" spans="1:38" ht="12.75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</row>
    <row r="585" spans="1:38" ht="12.75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</row>
    <row r="586" spans="1:38" ht="12.75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</row>
    <row r="587" spans="1:38" ht="12.75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</row>
    <row r="588" spans="1:38" ht="12.75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</row>
    <row r="589" spans="1:38" ht="12.75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</row>
    <row r="590" spans="1:38" ht="12.75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  <c r="AD590" s="191"/>
      <c r="AE590" s="191"/>
      <c r="AF590" s="191"/>
      <c r="AG590" s="191"/>
      <c r="AH590" s="191"/>
      <c r="AI590" s="191"/>
      <c r="AJ590" s="191"/>
      <c r="AK590" s="191"/>
      <c r="AL590" s="191"/>
    </row>
    <row r="591" spans="1:38" ht="12.75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  <c r="AD591" s="191"/>
      <c r="AE591" s="191"/>
      <c r="AF591" s="191"/>
      <c r="AG591" s="191"/>
      <c r="AH591" s="191"/>
      <c r="AI591" s="191"/>
      <c r="AJ591" s="191"/>
      <c r="AK591" s="191"/>
      <c r="AL591" s="191"/>
    </row>
    <row r="592" spans="1:38" ht="12.75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  <c r="AD592" s="191"/>
      <c r="AE592" s="191"/>
      <c r="AF592" s="191"/>
      <c r="AG592" s="191"/>
      <c r="AH592" s="191"/>
      <c r="AI592" s="191"/>
      <c r="AJ592" s="191"/>
      <c r="AK592" s="191"/>
      <c r="AL592" s="191"/>
    </row>
    <row r="593" spans="1:38" ht="12.75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  <c r="AA593" s="191"/>
      <c r="AB593" s="191"/>
      <c r="AC593" s="191"/>
      <c r="AD593" s="191"/>
      <c r="AE593" s="191"/>
      <c r="AF593" s="191"/>
      <c r="AG593" s="191"/>
      <c r="AH593" s="191"/>
      <c r="AI593" s="191"/>
      <c r="AJ593" s="191"/>
      <c r="AK593" s="191"/>
      <c r="AL593" s="191"/>
    </row>
    <row r="594" spans="1:38" ht="12.75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  <c r="AD594" s="191"/>
      <c r="AE594" s="191"/>
      <c r="AF594" s="191"/>
      <c r="AG594" s="191"/>
      <c r="AH594" s="191"/>
      <c r="AI594" s="191"/>
      <c r="AJ594" s="191"/>
      <c r="AK594" s="191"/>
      <c r="AL594" s="191"/>
    </row>
    <row r="595" spans="1:38" ht="12.75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  <c r="AD595" s="191"/>
      <c r="AE595" s="191"/>
      <c r="AF595" s="191"/>
      <c r="AG595" s="191"/>
      <c r="AH595" s="191"/>
      <c r="AI595" s="191"/>
      <c r="AJ595" s="191"/>
      <c r="AK595" s="191"/>
      <c r="AL595" s="191"/>
    </row>
    <row r="596" spans="1:38" ht="12.75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  <c r="AA596" s="191"/>
      <c r="AB596" s="191"/>
      <c r="AC596" s="191"/>
      <c r="AD596" s="191"/>
      <c r="AE596" s="191"/>
      <c r="AF596" s="191"/>
      <c r="AG596" s="191"/>
      <c r="AH596" s="191"/>
      <c r="AI596" s="191"/>
      <c r="AJ596" s="191"/>
      <c r="AK596" s="191"/>
      <c r="AL596" s="191"/>
    </row>
    <row r="597" spans="1:38" ht="12.75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  <c r="AA597" s="191"/>
      <c r="AB597" s="191"/>
      <c r="AC597" s="191"/>
      <c r="AD597" s="191"/>
      <c r="AE597" s="191"/>
      <c r="AF597" s="191"/>
      <c r="AG597" s="191"/>
      <c r="AH597" s="191"/>
      <c r="AI597" s="191"/>
      <c r="AJ597" s="191"/>
      <c r="AK597" s="191"/>
      <c r="AL597" s="191"/>
    </row>
    <row r="598" spans="1:38" ht="12.75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  <c r="AA598" s="191"/>
      <c r="AB598" s="191"/>
      <c r="AC598" s="191"/>
      <c r="AD598" s="191"/>
      <c r="AE598" s="191"/>
      <c r="AF598" s="191"/>
      <c r="AG598" s="191"/>
      <c r="AH598" s="191"/>
      <c r="AI598" s="191"/>
      <c r="AJ598" s="191"/>
      <c r="AK598" s="191"/>
      <c r="AL598" s="191"/>
    </row>
    <row r="599" spans="1:38" ht="12.75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  <c r="AA599" s="191"/>
      <c r="AB599" s="191"/>
      <c r="AC599" s="191"/>
      <c r="AD599" s="191"/>
      <c r="AE599" s="191"/>
      <c r="AF599" s="191"/>
      <c r="AG599" s="191"/>
      <c r="AH599" s="191"/>
      <c r="AI599" s="191"/>
      <c r="AJ599" s="191"/>
      <c r="AK599" s="191"/>
      <c r="AL599" s="191"/>
    </row>
    <row r="600" spans="1:38" ht="12.75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</row>
    <row r="601" spans="1:38" ht="12.75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</row>
    <row r="602" spans="1:38" ht="12.75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</row>
    <row r="603" spans="1:38" ht="12.75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</row>
    <row r="604" spans="1:38" ht="12.75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</row>
    <row r="605" spans="1:38" ht="12.75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</row>
    <row r="606" spans="1:38" ht="12.75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</row>
    <row r="607" spans="1:38" ht="12.75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</row>
    <row r="608" spans="1:38" ht="12.75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</row>
    <row r="609" spans="1:38" ht="12.75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91"/>
      <c r="AF609" s="191"/>
      <c r="AG609" s="191"/>
      <c r="AH609" s="191"/>
      <c r="AI609" s="191"/>
      <c r="AJ609" s="191"/>
      <c r="AK609" s="191"/>
      <c r="AL609" s="191"/>
    </row>
    <row r="610" spans="1:38" ht="12.75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91"/>
      <c r="AF610" s="191"/>
      <c r="AG610" s="191"/>
      <c r="AH610" s="191"/>
      <c r="AI610" s="191"/>
      <c r="AJ610" s="191"/>
      <c r="AK610" s="191"/>
      <c r="AL610" s="191"/>
    </row>
    <row r="611" spans="1:38" ht="12.75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91"/>
      <c r="AF611" s="191"/>
      <c r="AG611" s="191"/>
      <c r="AH611" s="191"/>
      <c r="AI611" s="191"/>
      <c r="AJ611" s="191"/>
      <c r="AK611" s="191"/>
      <c r="AL611" s="191"/>
    </row>
    <row r="612" spans="1:38" ht="12.75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  <c r="AD612" s="191"/>
      <c r="AE612" s="191"/>
      <c r="AF612" s="191"/>
      <c r="AG612" s="191"/>
      <c r="AH612" s="191"/>
      <c r="AI612" s="191"/>
      <c r="AJ612" s="191"/>
      <c r="AK612" s="191"/>
      <c r="AL612" s="191"/>
    </row>
    <row r="613" spans="1:38" ht="12.75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  <c r="AD613" s="191"/>
      <c r="AE613" s="191"/>
      <c r="AF613" s="191"/>
      <c r="AG613" s="191"/>
      <c r="AH613" s="191"/>
      <c r="AI613" s="191"/>
      <c r="AJ613" s="191"/>
      <c r="AK613" s="191"/>
      <c r="AL613" s="191"/>
    </row>
    <row r="614" spans="1:38" ht="12.75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  <c r="AD614" s="191"/>
      <c r="AE614" s="191"/>
      <c r="AF614" s="191"/>
      <c r="AG614" s="191"/>
      <c r="AH614" s="191"/>
      <c r="AI614" s="191"/>
      <c r="AJ614" s="191"/>
      <c r="AK614" s="191"/>
      <c r="AL614" s="191"/>
    </row>
    <row r="615" spans="1:38" ht="12.75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  <c r="AD615" s="191"/>
      <c r="AE615" s="191"/>
      <c r="AF615" s="191"/>
      <c r="AG615" s="191"/>
      <c r="AH615" s="191"/>
      <c r="AI615" s="191"/>
      <c r="AJ615" s="191"/>
      <c r="AK615" s="191"/>
      <c r="AL615" s="191"/>
    </row>
    <row r="616" spans="1:38" ht="12.75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  <c r="AD616" s="191"/>
      <c r="AE616" s="191"/>
      <c r="AF616" s="191"/>
      <c r="AG616" s="191"/>
      <c r="AH616" s="191"/>
      <c r="AI616" s="191"/>
      <c r="AJ616" s="191"/>
      <c r="AK616" s="191"/>
      <c r="AL616" s="191"/>
    </row>
    <row r="617" spans="1:38" ht="12.75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  <c r="AD617" s="191"/>
      <c r="AE617" s="191"/>
      <c r="AF617" s="191"/>
      <c r="AG617" s="191"/>
      <c r="AH617" s="191"/>
      <c r="AI617" s="191"/>
      <c r="AJ617" s="191"/>
      <c r="AK617" s="191"/>
      <c r="AL617" s="191"/>
    </row>
    <row r="618" spans="1:38" ht="12.75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</row>
    <row r="619" spans="1:38" ht="12.75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</row>
    <row r="620" spans="1:38" ht="12.75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</row>
    <row r="621" spans="1:38" ht="12.75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</row>
    <row r="622" spans="1:38" ht="12.75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</row>
    <row r="623" spans="1:38" ht="12.75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</row>
    <row r="624" spans="1:38" ht="12.75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</row>
    <row r="625" spans="1:38" ht="12.75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</row>
    <row r="626" spans="1:38" ht="12.75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91"/>
      <c r="AF626" s="191"/>
      <c r="AG626" s="191"/>
      <c r="AH626" s="191"/>
      <c r="AI626" s="191"/>
      <c r="AJ626" s="191"/>
      <c r="AK626" s="191"/>
      <c r="AL626" s="191"/>
    </row>
    <row r="627" spans="1:38" ht="12.75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1"/>
      <c r="AF627" s="191"/>
      <c r="AG627" s="191"/>
      <c r="AH627" s="191"/>
      <c r="AI627" s="191"/>
      <c r="AJ627" s="191"/>
      <c r="AK627" s="191"/>
      <c r="AL627" s="191"/>
    </row>
    <row r="628" spans="1:38" ht="12.75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191"/>
      <c r="AF628" s="191"/>
      <c r="AG628" s="191"/>
      <c r="AH628" s="191"/>
      <c r="AI628" s="191"/>
      <c r="AJ628" s="191"/>
      <c r="AK628" s="191"/>
      <c r="AL628" s="191"/>
    </row>
    <row r="629" spans="1:38" ht="12.75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191"/>
      <c r="AF629" s="191"/>
      <c r="AG629" s="191"/>
      <c r="AH629" s="191"/>
      <c r="AI629" s="191"/>
      <c r="AJ629" s="191"/>
      <c r="AK629" s="191"/>
      <c r="AL629" s="191"/>
    </row>
    <row r="630" spans="1:38" ht="12.75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191"/>
      <c r="AF630" s="191"/>
      <c r="AG630" s="191"/>
      <c r="AH630" s="191"/>
      <c r="AI630" s="191"/>
      <c r="AJ630" s="191"/>
      <c r="AK630" s="191"/>
      <c r="AL630" s="191"/>
    </row>
    <row r="631" spans="1:38" ht="12.75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91"/>
      <c r="AF631" s="191"/>
      <c r="AG631" s="191"/>
      <c r="AH631" s="191"/>
      <c r="AI631" s="191"/>
      <c r="AJ631" s="191"/>
      <c r="AK631" s="191"/>
      <c r="AL631" s="191"/>
    </row>
    <row r="632" spans="1:38" ht="12.75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91"/>
      <c r="AF632" s="191"/>
      <c r="AG632" s="191"/>
      <c r="AH632" s="191"/>
      <c r="AI632" s="191"/>
      <c r="AJ632" s="191"/>
      <c r="AK632" s="191"/>
      <c r="AL632" s="191"/>
    </row>
    <row r="633" spans="1:38" ht="12.75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  <c r="AD633" s="191"/>
      <c r="AE633" s="191"/>
      <c r="AF633" s="191"/>
      <c r="AG633" s="191"/>
      <c r="AH633" s="191"/>
      <c r="AI633" s="191"/>
      <c r="AJ633" s="191"/>
      <c r="AK633" s="191"/>
      <c r="AL633" s="191"/>
    </row>
    <row r="634" spans="1:38" ht="12.75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  <c r="AD634" s="191"/>
      <c r="AE634" s="191"/>
      <c r="AF634" s="191"/>
      <c r="AG634" s="191"/>
      <c r="AH634" s="191"/>
      <c r="AI634" s="191"/>
      <c r="AJ634" s="191"/>
      <c r="AK634" s="191"/>
      <c r="AL634" s="191"/>
    </row>
    <row r="635" spans="1:38" ht="12.75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  <c r="AD635" s="191"/>
      <c r="AE635" s="191"/>
      <c r="AF635" s="191"/>
      <c r="AG635" s="191"/>
      <c r="AH635" s="191"/>
      <c r="AI635" s="191"/>
      <c r="AJ635" s="191"/>
      <c r="AK635" s="191"/>
      <c r="AL635" s="191"/>
    </row>
    <row r="636" spans="1:38" ht="12.75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</row>
    <row r="637" spans="1:38" ht="12.75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</row>
    <row r="638" spans="1:38" ht="12.75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</row>
    <row r="639" spans="1:38" ht="12.75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</row>
    <row r="640" spans="1:38" ht="12.75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</row>
    <row r="641" spans="1:38" ht="12.75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</row>
    <row r="642" spans="1:38" ht="12.75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</row>
    <row r="643" spans="1:38" ht="12.75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</row>
    <row r="644" spans="1:38" ht="12.75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91"/>
      <c r="AF644" s="191"/>
      <c r="AG644" s="191"/>
      <c r="AH644" s="191"/>
      <c r="AI644" s="191"/>
      <c r="AJ644" s="191"/>
      <c r="AK644" s="191"/>
      <c r="AL644" s="191"/>
    </row>
    <row r="645" spans="1:38" ht="12.75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  <c r="AA645" s="191"/>
      <c r="AB645" s="191"/>
      <c r="AC645" s="191"/>
      <c r="AD645" s="191"/>
      <c r="AE645" s="191"/>
      <c r="AF645" s="191"/>
      <c r="AG645" s="191"/>
      <c r="AH645" s="191"/>
      <c r="AI645" s="191"/>
      <c r="AJ645" s="191"/>
      <c r="AK645" s="191"/>
      <c r="AL645" s="191"/>
    </row>
    <row r="646" spans="1:38" ht="12.75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  <c r="AA646" s="191"/>
      <c r="AB646" s="191"/>
      <c r="AC646" s="191"/>
      <c r="AD646" s="191"/>
      <c r="AE646" s="191"/>
      <c r="AF646" s="191"/>
      <c r="AG646" s="191"/>
      <c r="AH646" s="191"/>
      <c r="AI646" s="191"/>
      <c r="AJ646" s="191"/>
      <c r="AK646" s="191"/>
      <c r="AL646" s="191"/>
    </row>
    <row r="647" spans="1:38" ht="12.75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  <c r="AA647" s="191"/>
      <c r="AB647" s="191"/>
      <c r="AC647" s="191"/>
      <c r="AD647" s="191"/>
      <c r="AE647" s="191"/>
      <c r="AF647" s="191"/>
      <c r="AG647" s="191"/>
      <c r="AH647" s="191"/>
      <c r="AI647" s="191"/>
      <c r="AJ647" s="191"/>
      <c r="AK647" s="191"/>
      <c r="AL647" s="191"/>
    </row>
    <row r="648" spans="1:38" ht="12.75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  <c r="AA648" s="191"/>
      <c r="AB648" s="191"/>
      <c r="AC648" s="191"/>
      <c r="AD648" s="191"/>
      <c r="AE648" s="191"/>
      <c r="AF648" s="191"/>
      <c r="AG648" s="191"/>
      <c r="AH648" s="191"/>
      <c r="AI648" s="191"/>
      <c r="AJ648" s="191"/>
      <c r="AK648" s="191"/>
      <c r="AL648" s="191"/>
    </row>
    <row r="649" spans="1:38" ht="12.75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  <c r="AA649" s="191"/>
      <c r="AB649" s="191"/>
      <c r="AC649" s="191"/>
      <c r="AD649" s="191"/>
      <c r="AE649" s="191"/>
      <c r="AF649" s="191"/>
      <c r="AG649" s="191"/>
      <c r="AH649" s="191"/>
      <c r="AI649" s="191"/>
      <c r="AJ649" s="191"/>
      <c r="AK649" s="191"/>
      <c r="AL649" s="191"/>
    </row>
    <row r="650" spans="1:38" ht="12.75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  <c r="AA650" s="191"/>
      <c r="AB650" s="191"/>
      <c r="AC650" s="191"/>
      <c r="AD650" s="191"/>
      <c r="AE650" s="191"/>
      <c r="AF650" s="191"/>
      <c r="AG650" s="191"/>
      <c r="AH650" s="191"/>
      <c r="AI650" s="191"/>
      <c r="AJ650" s="191"/>
      <c r="AK650" s="191"/>
      <c r="AL650" s="191"/>
    </row>
    <row r="651" spans="1:38" ht="12.75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  <c r="AA651" s="191"/>
      <c r="AB651" s="191"/>
      <c r="AC651" s="191"/>
      <c r="AD651" s="191"/>
      <c r="AE651" s="191"/>
      <c r="AF651" s="191"/>
      <c r="AG651" s="191"/>
      <c r="AH651" s="191"/>
      <c r="AI651" s="191"/>
      <c r="AJ651" s="191"/>
      <c r="AK651" s="191"/>
      <c r="AL651" s="191"/>
    </row>
    <row r="652" spans="1:38" ht="12.75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91"/>
      <c r="AF652" s="191"/>
      <c r="AG652" s="191"/>
      <c r="AH652" s="191"/>
      <c r="AI652" s="191"/>
      <c r="AJ652" s="191"/>
      <c r="AK652" s="191"/>
      <c r="AL652" s="191"/>
    </row>
    <row r="653" spans="1:38" ht="12.75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91"/>
      <c r="AF653" s="191"/>
      <c r="AG653" s="191"/>
      <c r="AH653" s="191"/>
      <c r="AI653" s="191"/>
      <c r="AJ653" s="191"/>
      <c r="AK653" s="191"/>
      <c r="AL653" s="191"/>
    </row>
    <row r="654" spans="1:38" ht="12.75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</row>
    <row r="655" spans="1:38" ht="12.75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</row>
    <row r="656" spans="1:38" ht="12.75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</row>
    <row r="657" spans="1:38" ht="12.75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</row>
    <row r="658" spans="1:38" ht="12.75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</row>
    <row r="659" spans="1:38" ht="12.75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</row>
    <row r="660" spans="1:38" ht="12.75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1"/>
      <c r="AF660" s="191"/>
      <c r="AG660" s="191"/>
      <c r="AH660" s="191"/>
      <c r="AI660" s="191"/>
      <c r="AJ660" s="191"/>
      <c r="AK660" s="191"/>
      <c r="AL660" s="191"/>
    </row>
    <row r="661" spans="1:38" ht="12.75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1"/>
      <c r="AF661" s="191"/>
      <c r="AG661" s="191"/>
      <c r="AH661" s="191"/>
      <c r="AI661" s="191"/>
      <c r="AJ661" s="191"/>
      <c r="AK661" s="191"/>
      <c r="AL661" s="191"/>
    </row>
    <row r="662" spans="1:38" ht="12.75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  <c r="AA662" s="191"/>
      <c r="AB662" s="191"/>
      <c r="AC662" s="191"/>
      <c r="AD662" s="191"/>
      <c r="AE662" s="191"/>
      <c r="AF662" s="191"/>
      <c r="AG662" s="191"/>
      <c r="AH662" s="191"/>
      <c r="AI662" s="191"/>
      <c r="AJ662" s="191"/>
      <c r="AK662" s="191"/>
      <c r="AL662" s="191"/>
    </row>
    <row r="663" spans="1:38" ht="12.75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  <c r="AA663" s="191"/>
      <c r="AB663" s="191"/>
      <c r="AC663" s="191"/>
      <c r="AD663" s="191"/>
      <c r="AE663" s="191"/>
      <c r="AF663" s="191"/>
      <c r="AG663" s="191"/>
      <c r="AH663" s="191"/>
      <c r="AI663" s="191"/>
      <c r="AJ663" s="191"/>
      <c r="AK663" s="191"/>
      <c r="AL663" s="191"/>
    </row>
    <row r="664" spans="1:38" ht="12.75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  <c r="AA664" s="191"/>
      <c r="AB664" s="191"/>
      <c r="AC664" s="191"/>
      <c r="AD664" s="191"/>
      <c r="AE664" s="191"/>
      <c r="AF664" s="191"/>
      <c r="AG664" s="191"/>
      <c r="AH664" s="191"/>
      <c r="AI664" s="191"/>
      <c r="AJ664" s="191"/>
      <c r="AK664" s="191"/>
      <c r="AL664" s="191"/>
    </row>
    <row r="665" spans="1:38" ht="12.75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  <c r="AA665" s="191"/>
      <c r="AB665" s="191"/>
      <c r="AC665" s="191"/>
      <c r="AD665" s="191"/>
      <c r="AE665" s="191"/>
      <c r="AF665" s="191"/>
      <c r="AG665" s="191"/>
      <c r="AH665" s="191"/>
      <c r="AI665" s="191"/>
      <c r="AJ665" s="191"/>
      <c r="AK665" s="191"/>
      <c r="AL665" s="191"/>
    </row>
    <row r="666" spans="1:38" ht="12.75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  <c r="AA666" s="191"/>
      <c r="AB666" s="191"/>
      <c r="AC666" s="191"/>
      <c r="AD666" s="191"/>
      <c r="AE666" s="191"/>
      <c r="AF666" s="191"/>
      <c r="AG666" s="191"/>
      <c r="AH666" s="191"/>
      <c r="AI666" s="191"/>
      <c r="AJ666" s="191"/>
      <c r="AK666" s="191"/>
      <c r="AL666" s="191"/>
    </row>
    <row r="667" spans="1:38" ht="12.75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  <c r="AA667" s="191"/>
      <c r="AB667" s="191"/>
      <c r="AC667" s="191"/>
      <c r="AD667" s="191"/>
      <c r="AE667" s="191"/>
      <c r="AF667" s="191"/>
      <c r="AG667" s="191"/>
      <c r="AH667" s="191"/>
      <c r="AI667" s="191"/>
      <c r="AJ667" s="191"/>
      <c r="AK667" s="191"/>
      <c r="AL667" s="191"/>
    </row>
    <row r="668" spans="1:38" ht="12.75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  <c r="AA668" s="191"/>
      <c r="AB668" s="191"/>
      <c r="AC668" s="191"/>
      <c r="AD668" s="191"/>
      <c r="AE668" s="191"/>
      <c r="AF668" s="191"/>
      <c r="AG668" s="191"/>
      <c r="AH668" s="191"/>
      <c r="AI668" s="191"/>
      <c r="AJ668" s="191"/>
      <c r="AK668" s="191"/>
      <c r="AL668" s="191"/>
    </row>
    <row r="669" spans="1:38" ht="12.75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91"/>
      <c r="AF669" s="191"/>
      <c r="AG669" s="191"/>
      <c r="AH669" s="191"/>
      <c r="AI669" s="191"/>
      <c r="AJ669" s="191"/>
      <c r="AK669" s="191"/>
      <c r="AL669" s="191"/>
    </row>
    <row r="670" spans="1:38" ht="12.75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91"/>
      <c r="AF670" s="191"/>
      <c r="AG670" s="191"/>
      <c r="AH670" s="191"/>
      <c r="AI670" s="191"/>
      <c r="AJ670" s="191"/>
      <c r="AK670" s="191"/>
      <c r="AL670" s="191"/>
    </row>
    <row r="671" spans="1:38" ht="12.75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91"/>
      <c r="AF671" s="191"/>
      <c r="AG671" s="191"/>
      <c r="AH671" s="191"/>
      <c r="AI671" s="191"/>
      <c r="AJ671" s="191"/>
      <c r="AK671" s="191"/>
      <c r="AL671" s="191"/>
    </row>
    <row r="672" spans="1:38" ht="12.75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</row>
    <row r="673" spans="1:38" ht="12.75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</row>
    <row r="674" spans="1:38" ht="12.75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</row>
    <row r="675" spans="1:38" ht="12.75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1"/>
      <c r="AF675" s="191"/>
      <c r="AG675" s="191"/>
      <c r="AH675" s="191"/>
      <c r="AI675" s="191"/>
      <c r="AJ675" s="191"/>
      <c r="AK675" s="191"/>
      <c r="AL675" s="191"/>
    </row>
    <row r="676" spans="1:38" ht="12.75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1"/>
      <c r="AF676" s="191"/>
      <c r="AG676" s="191"/>
      <c r="AH676" s="191"/>
      <c r="AI676" s="191"/>
      <c r="AJ676" s="191"/>
      <c r="AK676" s="191"/>
      <c r="AL676" s="191"/>
    </row>
    <row r="677" spans="1:38" ht="12.75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91"/>
      <c r="AF677" s="191"/>
      <c r="AG677" s="191"/>
      <c r="AH677" s="191"/>
      <c r="AI677" s="191"/>
      <c r="AJ677" s="191"/>
      <c r="AK677" s="191"/>
      <c r="AL677" s="191"/>
    </row>
    <row r="678" spans="1:38" ht="12.75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</row>
    <row r="679" spans="1:38" ht="12.75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91"/>
      <c r="AF679" s="191"/>
      <c r="AG679" s="191"/>
      <c r="AH679" s="191"/>
      <c r="AI679" s="191"/>
      <c r="AJ679" s="191"/>
      <c r="AK679" s="191"/>
      <c r="AL679" s="191"/>
    </row>
    <row r="680" spans="1:38" ht="12.75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</row>
    <row r="681" spans="1:38" ht="12.75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  <c r="AD681" s="191"/>
      <c r="AE681" s="191"/>
      <c r="AF681" s="191"/>
      <c r="AG681" s="191"/>
      <c r="AH681" s="191"/>
      <c r="AI681" s="191"/>
      <c r="AJ681" s="191"/>
      <c r="AK681" s="191"/>
      <c r="AL681" s="191"/>
    </row>
    <row r="682" spans="1:38" ht="12.75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  <c r="AD682" s="191"/>
      <c r="AE682" s="191"/>
      <c r="AF682" s="191"/>
      <c r="AG682" s="191"/>
      <c r="AH682" s="191"/>
      <c r="AI682" s="191"/>
      <c r="AJ682" s="191"/>
      <c r="AK682" s="191"/>
      <c r="AL682" s="191"/>
    </row>
    <row r="683" spans="1:38" ht="12.75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  <c r="AD683" s="191"/>
      <c r="AE683" s="191"/>
      <c r="AF683" s="191"/>
      <c r="AG683" s="191"/>
      <c r="AH683" s="191"/>
      <c r="AI683" s="191"/>
      <c r="AJ683" s="191"/>
      <c r="AK683" s="191"/>
      <c r="AL683" s="191"/>
    </row>
    <row r="684" spans="1:38" ht="12.75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  <c r="AD684" s="191"/>
      <c r="AE684" s="191"/>
      <c r="AF684" s="191"/>
      <c r="AG684" s="191"/>
      <c r="AH684" s="191"/>
      <c r="AI684" s="191"/>
      <c r="AJ684" s="191"/>
      <c r="AK684" s="191"/>
      <c r="AL684" s="191"/>
    </row>
    <row r="685" spans="1:38" ht="12.75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  <c r="AD685" s="191"/>
      <c r="AE685" s="191"/>
      <c r="AF685" s="191"/>
      <c r="AG685" s="191"/>
      <c r="AH685" s="191"/>
      <c r="AI685" s="191"/>
      <c r="AJ685" s="191"/>
      <c r="AK685" s="191"/>
      <c r="AL685" s="191"/>
    </row>
    <row r="686" spans="1:38" ht="12.75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</row>
    <row r="687" spans="1:38" ht="12.75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91"/>
      <c r="AF687" s="191"/>
      <c r="AG687" s="191"/>
      <c r="AH687" s="191"/>
      <c r="AI687" s="191"/>
      <c r="AJ687" s="191"/>
      <c r="AK687" s="191"/>
      <c r="AL687" s="191"/>
    </row>
    <row r="688" spans="1:38" ht="12.75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91"/>
      <c r="AF688" s="191"/>
      <c r="AG688" s="191"/>
      <c r="AH688" s="191"/>
      <c r="AI688" s="191"/>
      <c r="AJ688" s="191"/>
      <c r="AK688" s="191"/>
      <c r="AL688" s="191"/>
    </row>
    <row r="689" spans="1:38" ht="12.75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91"/>
      <c r="AF689" s="191"/>
      <c r="AG689" s="191"/>
      <c r="AH689" s="191"/>
      <c r="AI689" s="191"/>
      <c r="AJ689" s="191"/>
      <c r="AK689" s="191"/>
      <c r="AL689" s="191"/>
    </row>
    <row r="690" spans="1:38" ht="12.75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91"/>
      <c r="AF690" s="191"/>
      <c r="AG690" s="191"/>
      <c r="AH690" s="191"/>
      <c r="AI690" s="191"/>
      <c r="AJ690" s="191"/>
      <c r="AK690" s="191"/>
      <c r="AL690" s="191"/>
    </row>
    <row r="691" spans="1:38" ht="12.75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91"/>
      <c r="AF691" s="191"/>
      <c r="AG691" s="191"/>
      <c r="AH691" s="191"/>
      <c r="AI691" s="191"/>
      <c r="AJ691" s="191"/>
      <c r="AK691" s="191"/>
      <c r="AL691" s="191"/>
    </row>
    <row r="692" spans="1:38" ht="12.75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91"/>
      <c r="AF692" s="191"/>
      <c r="AG692" s="191"/>
      <c r="AH692" s="191"/>
      <c r="AI692" s="191"/>
      <c r="AJ692" s="191"/>
      <c r="AK692" s="191"/>
      <c r="AL692" s="191"/>
    </row>
    <row r="693" spans="1:38" ht="12.75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91"/>
      <c r="AF693" s="191"/>
      <c r="AG693" s="191"/>
      <c r="AH693" s="191"/>
      <c r="AI693" s="191"/>
      <c r="AJ693" s="191"/>
      <c r="AK693" s="191"/>
      <c r="AL693" s="191"/>
    </row>
    <row r="694" spans="1:38" ht="12.75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  <c r="AA694" s="191"/>
      <c r="AB694" s="191"/>
      <c r="AC694" s="191"/>
      <c r="AD694" s="191"/>
      <c r="AE694" s="191"/>
      <c r="AF694" s="191"/>
      <c r="AG694" s="191"/>
      <c r="AH694" s="191"/>
      <c r="AI694" s="191"/>
      <c r="AJ694" s="191"/>
      <c r="AK694" s="191"/>
      <c r="AL694" s="191"/>
    </row>
    <row r="695" spans="1:38" ht="12.75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  <c r="AA695" s="191"/>
      <c r="AB695" s="191"/>
      <c r="AC695" s="191"/>
      <c r="AD695" s="191"/>
      <c r="AE695" s="191"/>
      <c r="AF695" s="191"/>
      <c r="AG695" s="191"/>
      <c r="AH695" s="191"/>
      <c r="AI695" s="191"/>
      <c r="AJ695" s="191"/>
      <c r="AK695" s="191"/>
      <c r="AL695" s="191"/>
    </row>
    <row r="696" spans="1:38" ht="12.75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  <c r="AA696" s="191"/>
      <c r="AB696" s="191"/>
      <c r="AC696" s="191"/>
      <c r="AD696" s="191"/>
      <c r="AE696" s="191"/>
      <c r="AF696" s="191"/>
      <c r="AG696" s="191"/>
      <c r="AH696" s="191"/>
      <c r="AI696" s="191"/>
      <c r="AJ696" s="191"/>
      <c r="AK696" s="191"/>
      <c r="AL696" s="191"/>
    </row>
    <row r="697" spans="1:38" ht="12.75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  <c r="AA697" s="191"/>
      <c r="AB697" s="191"/>
      <c r="AC697" s="191"/>
      <c r="AD697" s="191"/>
      <c r="AE697" s="191"/>
      <c r="AF697" s="191"/>
      <c r="AG697" s="191"/>
      <c r="AH697" s="191"/>
      <c r="AI697" s="191"/>
      <c r="AJ697" s="191"/>
      <c r="AK697" s="191"/>
      <c r="AL697" s="191"/>
    </row>
    <row r="698" spans="1:38" ht="12.75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  <c r="AA698" s="191"/>
      <c r="AB698" s="191"/>
      <c r="AC698" s="191"/>
      <c r="AD698" s="191"/>
      <c r="AE698" s="191"/>
      <c r="AF698" s="191"/>
      <c r="AG698" s="191"/>
      <c r="AH698" s="191"/>
      <c r="AI698" s="191"/>
      <c r="AJ698" s="191"/>
      <c r="AK698" s="191"/>
      <c r="AL698" s="191"/>
    </row>
    <row r="699" spans="1:38" ht="12.75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  <c r="AA699" s="191"/>
      <c r="AB699" s="191"/>
      <c r="AC699" s="191"/>
      <c r="AD699" s="191"/>
      <c r="AE699" s="191"/>
      <c r="AF699" s="191"/>
      <c r="AG699" s="191"/>
      <c r="AH699" s="191"/>
      <c r="AI699" s="191"/>
      <c r="AJ699" s="191"/>
      <c r="AK699" s="191"/>
      <c r="AL699" s="191"/>
    </row>
    <row r="700" spans="1:38" ht="12.75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  <c r="AA700" s="191"/>
      <c r="AB700" s="191"/>
      <c r="AC700" s="191"/>
      <c r="AD700" s="191"/>
      <c r="AE700" s="191"/>
      <c r="AF700" s="191"/>
      <c r="AG700" s="191"/>
      <c r="AH700" s="191"/>
      <c r="AI700" s="191"/>
      <c r="AJ700" s="191"/>
      <c r="AK700" s="191"/>
      <c r="AL700" s="191"/>
    </row>
    <row r="701" spans="1:38" ht="12.75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  <c r="AA701" s="191"/>
      <c r="AB701" s="191"/>
      <c r="AC701" s="191"/>
      <c r="AD701" s="191"/>
      <c r="AE701" s="191"/>
      <c r="AF701" s="191"/>
      <c r="AG701" s="191"/>
      <c r="AH701" s="191"/>
      <c r="AI701" s="191"/>
      <c r="AJ701" s="191"/>
      <c r="AK701" s="191"/>
      <c r="AL701" s="191"/>
    </row>
    <row r="702" spans="1:38" ht="12.75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  <c r="AA702" s="191"/>
      <c r="AB702" s="191"/>
      <c r="AC702" s="191"/>
      <c r="AD702" s="191"/>
      <c r="AE702" s="191"/>
      <c r="AF702" s="191"/>
      <c r="AG702" s="191"/>
      <c r="AH702" s="191"/>
      <c r="AI702" s="191"/>
      <c r="AJ702" s="191"/>
      <c r="AK702" s="191"/>
      <c r="AL702" s="191"/>
    </row>
    <row r="703" spans="1:38" ht="12.75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  <c r="AA703" s="191"/>
      <c r="AB703" s="191"/>
      <c r="AC703" s="191"/>
      <c r="AD703" s="191"/>
      <c r="AE703" s="191"/>
      <c r="AF703" s="191"/>
      <c r="AG703" s="191"/>
      <c r="AH703" s="191"/>
      <c r="AI703" s="191"/>
      <c r="AJ703" s="191"/>
      <c r="AK703" s="191"/>
      <c r="AL703" s="191"/>
    </row>
    <row r="704" spans="1:38" ht="12.75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  <c r="AD704" s="191"/>
      <c r="AE704" s="191"/>
      <c r="AF704" s="191"/>
      <c r="AG704" s="191"/>
      <c r="AH704" s="191"/>
      <c r="AI704" s="191"/>
      <c r="AJ704" s="191"/>
      <c r="AK704" s="191"/>
      <c r="AL704" s="191"/>
    </row>
    <row r="705" spans="1:38" ht="12.75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  <c r="AD705" s="191"/>
      <c r="AE705" s="191"/>
      <c r="AF705" s="191"/>
      <c r="AG705" s="191"/>
      <c r="AH705" s="191"/>
      <c r="AI705" s="191"/>
      <c r="AJ705" s="191"/>
      <c r="AK705" s="191"/>
      <c r="AL705" s="191"/>
    </row>
    <row r="706" spans="1:38" ht="12.75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  <c r="AD706" s="191"/>
      <c r="AE706" s="191"/>
      <c r="AF706" s="191"/>
      <c r="AG706" s="191"/>
      <c r="AH706" s="191"/>
      <c r="AI706" s="191"/>
      <c r="AJ706" s="191"/>
      <c r="AK706" s="191"/>
      <c r="AL706" s="191"/>
    </row>
    <row r="707" spans="1:38" ht="12.75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  <c r="AD707" s="191"/>
      <c r="AE707" s="191"/>
      <c r="AF707" s="191"/>
      <c r="AG707" s="191"/>
      <c r="AH707" s="191"/>
      <c r="AI707" s="191"/>
      <c r="AJ707" s="191"/>
      <c r="AK707" s="191"/>
      <c r="AL707" s="191"/>
    </row>
    <row r="708" spans="1:38" ht="12.75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</row>
    <row r="709" spans="1:38" ht="12.75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</row>
    <row r="710" spans="1:38" ht="12.75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</row>
    <row r="711" spans="1:38" ht="12.75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1"/>
    </row>
    <row r="712" spans="1:38" ht="12.75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91"/>
      <c r="AF712" s="191"/>
      <c r="AG712" s="191"/>
      <c r="AH712" s="191"/>
      <c r="AI712" s="191"/>
      <c r="AJ712" s="191"/>
      <c r="AK712" s="191"/>
      <c r="AL712" s="191"/>
    </row>
    <row r="713" spans="1:38" ht="12.75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91"/>
      <c r="AF713" s="191"/>
      <c r="AG713" s="191"/>
      <c r="AH713" s="191"/>
      <c r="AI713" s="191"/>
      <c r="AJ713" s="191"/>
      <c r="AK713" s="191"/>
      <c r="AL713" s="191"/>
    </row>
    <row r="714" spans="1:38" ht="12.75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91"/>
      <c r="AF714" s="191"/>
      <c r="AG714" s="191"/>
      <c r="AH714" s="191"/>
      <c r="AI714" s="191"/>
      <c r="AJ714" s="191"/>
      <c r="AK714" s="191"/>
      <c r="AL714" s="191"/>
    </row>
    <row r="715" spans="1:38" ht="12.75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91"/>
      <c r="AF715" s="191"/>
      <c r="AG715" s="191"/>
      <c r="AH715" s="191"/>
      <c r="AI715" s="191"/>
      <c r="AJ715" s="191"/>
      <c r="AK715" s="191"/>
      <c r="AL715" s="191"/>
    </row>
    <row r="716" spans="1:38" ht="12.75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  <c r="AA716" s="191"/>
      <c r="AB716" s="191"/>
      <c r="AC716" s="191"/>
      <c r="AD716" s="191"/>
      <c r="AE716" s="191"/>
      <c r="AF716" s="191"/>
      <c r="AG716" s="191"/>
      <c r="AH716" s="191"/>
      <c r="AI716" s="191"/>
      <c r="AJ716" s="191"/>
      <c r="AK716" s="191"/>
      <c r="AL716" s="191"/>
    </row>
    <row r="717" spans="1:38" ht="12.75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  <c r="AA717" s="191"/>
      <c r="AB717" s="191"/>
      <c r="AC717" s="191"/>
      <c r="AD717" s="191"/>
      <c r="AE717" s="191"/>
      <c r="AF717" s="191"/>
      <c r="AG717" s="191"/>
      <c r="AH717" s="191"/>
      <c r="AI717" s="191"/>
      <c r="AJ717" s="191"/>
      <c r="AK717" s="191"/>
      <c r="AL717" s="191"/>
    </row>
    <row r="718" spans="1:38" ht="12.75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  <c r="AA718" s="191"/>
      <c r="AB718" s="191"/>
      <c r="AC718" s="191"/>
      <c r="AD718" s="191"/>
      <c r="AE718" s="191"/>
      <c r="AF718" s="191"/>
      <c r="AG718" s="191"/>
      <c r="AH718" s="191"/>
      <c r="AI718" s="191"/>
      <c r="AJ718" s="191"/>
      <c r="AK718" s="191"/>
      <c r="AL718" s="191"/>
    </row>
    <row r="719" spans="1:38" ht="12.75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  <c r="AA719" s="191"/>
      <c r="AB719" s="191"/>
      <c r="AC719" s="191"/>
      <c r="AD719" s="191"/>
      <c r="AE719" s="191"/>
      <c r="AF719" s="191"/>
      <c r="AG719" s="191"/>
      <c r="AH719" s="191"/>
      <c r="AI719" s="191"/>
      <c r="AJ719" s="191"/>
      <c r="AK719" s="191"/>
      <c r="AL719" s="191"/>
    </row>
    <row r="720" spans="1:38" ht="12.75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  <c r="AA720" s="191"/>
      <c r="AB720" s="191"/>
      <c r="AC720" s="191"/>
      <c r="AD720" s="191"/>
      <c r="AE720" s="191"/>
      <c r="AF720" s="191"/>
      <c r="AG720" s="191"/>
      <c r="AH720" s="191"/>
      <c r="AI720" s="191"/>
      <c r="AJ720" s="191"/>
      <c r="AK720" s="191"/>
      <c r="AL720" s="191"/>
    </row>
    <row r="721" spans="1:38" ht="12.75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  <c r="AA721" s="191"/>
      <c r="AB721" s="191"/>
      <c r="AC721" s="191"/>
      <c r="AD721" s="191"/>
      <c r="AE721" s="191"/>
      <c r="AF721" s="191"/>
      <c r="AG721" s="191"/>
      <c r="AH721" s="191"/>
      <c r="AI721" s="191"/>
      <c r="AJ721" s="191"/>
      <c r="AK721" s="191"/>
      <c r="AL721" s="191"/>
    </row>
    <row r="722" spans="1:38" ht="12.75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  <c r="AA722" s="191"/>
      <c r="AB722" s="191"/>
      <c r="AC722" s="191"/>
      <c r="AD722" s="191"/>
      <c r="AE722" s="191"/>
      <c r="AF722" s="191"/>
      <c r="AG722" s="191"/>
      <c r="AH722" s="191"/>
      <c r="AI722" s="191"/>
      <c r="AJ722" s="191"/>
      <c r="AK722" s="191"/>
      <c r="AL722" s="191"/>
    </row>
    <row r="723" spans="1:38" ht="12.75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  <c r="AA723" s="191"/>
      <c r="AB723" s="191"/>
      <c r="AC723" s="191"/>
      <c r="AD723" s="191"/>
      <c r="AE723" s="191"/>
      <c r="AF723" s="191"/>
      <c r="AG723" s="191"/>
      <c r="AH723" s="191"/>
      <c r="AI723" s="191"/>
      <c r="AJ723" s="191"/>
      <c r="AK723" s="191"/>
      <c r="AL723" s="191"/>
    </row>
    <row r="724" spans="1:38" ht="12.75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  <c r="AA724" s="191"/>
      <c r="AB724" s="191"/>
      <c r="AC724" s="191"/>
      <c r="AD724" s="191"/>
      <c r="AE724" s="191"/>
      <c r="AF724" s="191"/>
      <c r="AG724" s="191"/>
      <c r="AH724" s="191"/>
      <c r="AI724" s="191"/>
      <c r="AJ724" s="191"/>
      <c r="AK724" s="191"/>
      <c r="AL724" s="191"/>
    </row>
    <row r="725" spans="1:38" ht="12.75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  <c r="AA725" s="191"/>
      <c r="AB725" s="191"/>
      <c r="AC725" s="191"/>
      <c r="AD725" s="191"/>
      <c r="AE725" s="191"/>
      <c r="AF725" s="191"/>
      <c r="AG725" s="191"/>
      <c r="AH725" s="191"/>
      <c r="AI725" s="191"/>
      <c r="AJ725" s="191"/>
      <c r="AK725" s="191"/>
      <c r="AL725" s="191"/>
    </row>
    <row r="726" spans="1:38" ht="12.75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  <c r="AA726" s="191"/>
      <c r="AB726" s="191"/>
      <c r="AC726" s="191"/>
      <c r="AD726" s="191"/>
      <c r="AE726" s="191"/>
      <c r="AF726" s="191"/>
      <c r="AG726" s="191"/>
      <c r="AH726" s="191"/>
      <c r="AI726" s="191"/>
      <c r="AJ726" s="191"/>
      <c r="AK726" s="191"/>
      <c r="AL726" s="191"/>
    </row>
    <row r="727" spans="1:38" ht="12.75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  <c r="AA727" s="191"/>
      <c r="AB727" s="191"/>
      <c r="AC727" s="191"/>
      <c r="AD727" s="191"/>
      <c r="AE727" s="191"/>
      <c r="AF727" s="191"/>
      <c r="AG727" s="191"/>
      <c r="AH727" s="191"/>
      <c r="AI727" s="191"/>
      <c r="AJ727" s="191"/>
      <c r="AK727" s="191"/>
      <c r="AL727" s="191"/>
    </row>
    <row r="728" spans="1:38" ht="12.75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  <c r="AA728" s="191"/>
      <c r="AB728" s="191"/>
      <c r="AC728" s="191"/>
      <c r="AD728" s="191"/>
      <c r="AE728" s="191"/>
      <c r="AF728" s="191"/>
      <c r="AG728" s="191"/>
      <c r="AH728" s="191"/>
      <c r="AI728" s="191"/>
      <c r="AJ728" s="191"/>
      <c r="AK728" s="191"/>
      <c r="AL728" s="191"/>
    </row>
    <row r="729" spans="1:38" ht="12.75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  <c r="AA729" s="191"/>
      <c r="AB729" s="191"/>
      <c r="AC729" s="191"/>
      <c r="AD729" s="191"/>
      <c r="AE729" s="191"/>
      <c r="AF729" s="191"/>
      <c r="AG729" s="191"/>
      <c r="AH729" s="191"/>
      <c r="AI729" s="191"/>
      <c r="AJ729" s="191"/>
      <c r="AK729" s="191"/>
      <c r="AL729" s="191"/>
    </row>
    <row r="730" spans="1:38" ht="12.75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191"/>
      <c r="AD730" s="191"/>
      <c r="AE730" s="191"/>
      <c r="AF730" s="191"/>
      <c r="AG730" s="191"/>
      <c r="AH730" s="191"/>
      <c r="AI730" s="191"/>
      <c r="AJ730" s="191"/>
      <c r="AK730" s="191"/>
      <c r="AL730" s="191"/>
    </row>
    <row r="731" spans="1:38" ht="12.75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191"/>
      <c r="AF731" s="191"/>
      <c r="AG731" s="191"/>
      <c r="AH731" s="191"/>
      <c r="AI731" s="191"/>
      <c r="AJ731" s="191"/>
      <c r="AK731" s="191"/>
      <c r="AL731" s="191"/>
    </row>
    <row r="732" spans="1:38" ht="12.75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191"/>
      <c r="AF732" s="191"/>
      <c r="AG732" s="191"/>
      <c r="AH732" s="191"/>
      <c r="AI732" s="191"/>
      <c r="AJ732" s="191"/>
      <c r="AK732" s="191"/>
      <c r="AL732" s="191"/>
    </row>
    <row r="733" spans="1:38" ht="12.75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191"/>
      <c r="AF733" s="191"/>
      <c r="AG733" s="191"/>
      <c r="AH733" s="191"/>
      <c r="AI733" s="191"/>
      <c r="AJ733" s="191"/>
      <c r="AK733" s="191"/>
      <c r="AL733" s="191"/>
    </row>
    <row r="734" spans="1:38" ht="12.75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191"/>
      <c r="AF734" s="191"/>
      <c r="AG734" s="191"/>
      <c r="AH734" s="191"/>
      <c r="AI734" s="191"/>
      <c r="AJ734" s="191"/>
      <c r="AK734" s="191"/>
      <c r="AL734" s="191"/>
    </row>
    <row r="735" spans="1:38" ht="12.75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191"/>
      <c r="AF735" s="191"/>
      <c r="AG735" s="191"/>
      <c r="AH735" s="191"/>
      <c r="AI735" s="191"/>
      <c r="AJ735" s="191"/>
      <c r="AK735" s="191"/>
      <c r="AL735" s="191"/>
    </row>
    <row r="736" spans="1:38" ht="12.75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191"/>
      <c r="AF736" s="191"/>
      <c r="AG736" s="191"/>
      <c r="AH736" s="191"/>
      <c r="AI736" s="191"/>
      <c r="AJ736" s="191"/>
      <c r="AK736" s="191"/>
      <c r="AL736" s="191"/>
    </row>
    <row r="737" spans="1:38" ht="12.75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191"/>
      <c r="AF737" s="191"/>
      <c r="AG737" s="191"/>
      <c r="AH737" s="191"/>
      <c r="AI737" s="191"/>
      <c r="AJ737" s="191"/>
      <c r="AK737" s="191"/>
      <c r="AL737" s="191"/>
    </row>
    <row r="738" spans="1:38" ht="12.75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  <c r="AA738" s="191"/>
      <c r="AB738" s="191"/>
      <c r="AC738" s="191"/>
      <c r="AD738" s="191"/>
      <c r="AE738" s="191"/>
      <c r="AF738" s="191"/>
      <c r="AG738" s="191"/>
      <c r="AH738" s="191"/>
      <c r="AI738" s="191"/>
      <c r="AJ738" s="191"/>
      <c r="AK738" s="191"/>
      <c r="AL738" s="191"/>
    </row>
    <row r="739" spans="1:38" ht="12.75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  <c r="AA739" s="191"/>
      <c r="AB739" s="191"/>
      <c r="AC739" s="191"/>
      <c r="AD739" s="191"/>
      <c r="AE739" s="191"/>
      <c r="AF739" s="191"/>
      <c r="AG739" s="191"/>
      <c r="AH739" s="191"/>
      <c r="AI739" s="191"/>
      <c r="AJ739" s="191"/>
      <c r="AK739" s="191"/>
      <c r="AL739" s="191"/>
    </row>
    <row r="740" spans="1:38" ht="12.75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  <c r="AA740" s="191"/>
      <c r="AB740" s="191"/>
      <c r="AC740" s="191"/>
      <c r="AD740" s="191"/>
      <c r="AE740" s="191"/>
      <c r="AF740" s="191"/>
      <c r="AG740" s="191"/>
      <c r="AH740" s="191"/>
      <c r="AI740" s="191"/>
      <c r="AJ740" s="191"/>
      <c r="AK740" s="191"/>
      <c r="AL740" s="191"/>
    </row>
    <row r="741" spans="1:38" ht="12.75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  <c r="AD741" s="191"/>
      <c r="AE741" s="191"/>
      <c r="AF741" s="191"/>
      <c r="AG741" s="191"/>
      <c r="AH741" s="191"/>
      <c r="AI741" s="191"/>
      <c r="AJ741" s="191"/>
      <c r="AK741" s="191"/>
      <c r="AL741" s="191"/>
    </row>
    <row r="742" spans="1:38" ht="12.75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  <c r="AD742" s="191"/>
      <c r="AE742" s="191"/>
      <c r="AF742" s="191"/>
      <c r="AG742" s="191"/>
      <c r="AH742" s="191"/>
      <c r="AI742" s="191"/>
      <c r="AJ742" s="191"/>
      <c r="AK742" s="191"/>
      <c r="AL742" s="191"/>
    </row>
    <row r="743" spans="1:38" ht="12.75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  <c r="AD743" s="191"/>
      <c r="AE743" s="191"/>
      <c r="AF743" s="191"/>
      <c r="AG743" s="191"/>
      <c r="AH743" s="191"/>
      <c r="AI743" s="191"/>
      <c r="AJ743" s="191"/>
      <c r="AK743" s="191"/>
      <c r="AL743" s="191"/>
    </row>
    <row r="744" spans="1:38" ht="12.75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1"/>
      <c r="AF744" s="191"/>
      <c r="AG744" s="191"/>
      <c r="AH744" s="191"/>
      <c r="AI744" s="191"/>
      <c r="AJ744" s="191"/>
      <c r="AK744" s="191"/>
      <c r="AL744" s="191"/>
    </row>
    <row r="745" spans="1:38" ht="12.75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1"/>
      <c r="AF745" s="191"/>
      <c r="AG745" s="191"/>
      <c r="AH745" s="191"/>
      <c r="AI745" s="191"/>
      <c r="AJ745" s="191"/>
      <c r="AK745" s="191"/>
      <c r="AL745" s="191"/>
    </row>
    <row r="746" spans="1:38" ht="12.75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1"/>
      <c r="AF746" s="191"/>
      <c r="AG746" s="191"/>
      <c r="AH746" s="191"/>
      <c r="AI746" s="191"/>
      <c r="AJ746" s="191"/>
      <c r="AK746" s="191"/>
      <c r="AL746" s="191"/>
    </row>
    <row r="747" spans="1:38" ht="12.75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91"/>
      <c r="AF747" s="191"/>
      <c r="AG747" s="191"/>
      <c r="AH747" s="191"/>
      <c r="AI747" s="191"/>
      <c r="AJ747" s="191"/>
      <c r="AK747" s="191"/>
      <c r="AL747" s="191"/>
    </row>
    <row r="748" spans="1:38" ht="12.75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91"/>
      <c r="AF748" s="191"/>
      <c r="AG748" s="191"/>
      <c r="AH748" s="191"/>
      <c r="AI748" s="191"/>
      <c r="AJ748" s="191"/>
      <c r="AK748" s="191"/>
      <c r="AL748" s="191"/>
    </row>
    <row r="749" spans="1:38" ht="12.75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91"/>
      <c r="AF749" s="191"/>
      <c r="AG749" s="191"/>
      <c r="AH749" s="191"/>
      <c r="AI749" s="191"/>
      <c r="AJ749" s="191"/>
      <c r="AK749" s="191"/>
      <c r="AL749" s="191"/>
    </row>
    <row r="750" spans="1:38" ht="12.75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91"/>
      <c r="AF750" s="191"/>
      <c r="AG750" s="191"/>
      <c r="AH750" s="191"/>
      <c r="AI750" s="191"/>
      <c r="AJ750" s="191"/>
      <c r="AK750" s="191"/>
      <c r="AL750" s="191"/>
    </row>
    <row r="751" spans="1:38" ht="12.75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91"/>
      <c r="AF751" s="191"/>
      <c r="AG751" s="191"/>
      <c r="AH751" s="191"/>
      <c r="AI751" s="191"/>
      <c r="AJ751" s="191"/>
      <c r="AK751" s="191"/>
      <c r="AL751" s="191"/>
    </row>
    <row r="752" spans="1:38" ht="12.75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91"/>
      <c r="AF752" s="191"/>
      <c r="AG752" s="191"/>
      <c r="AH752" s="191"/>
      <c r="AI752" s="191"/>
      <c r="AJ752" s="191"/>
      <c r="AK752" s="191"/>
      <c r="AL752" s="191"/>
    </row>
    <row r="753" spans="1:38" ht="12.75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  <c r="AD753" s="191"/>
      <c r="AE753" s="191"/>
      <c r="AF753" s="191"/>
      <c r="AG753" s="191"/>
      <c r="AH753" s="191"/>
      <c r="AI753" s="191"/>
      <c r="AJ753" s="191"/>
      <c r="AK753" s="191"/>
      <c r="AL753" s="191"/>
    </row>
    <row r="754" spans="1:38" ht="12.75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  <c r="AD754" s="191"/>
      <c r="AE754" s="191"/>
      <c r="AF754" s="191"/>
      <c r="AG754" s="191"/>
      <c r="AH754" s="191"/>
      <c r="AI754" s="191"/>
      <c r="AJ754" s="191"/>
      <c r="AK754" s="191"/>
      <c r="AL754" s="191"/>
    </row>
    <row r="755" spans="1:38" ht="12.75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  <c r="AD755" s="191"/>
      <c r="AE755" s="191"/>
      <c r="AF755" s="191"/>
      <c r="AG755" s="191"/>
      <c r="AH755" s="191"/>
      <c r="AI755" s="191"/>
      <c r="AJ755" s="191"/>
      <c r="AK755" s="191"/>
      <c r="AL755" s="191"/>
    </row>
    <row r="756" spans="1:38" ht="12.75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91"/>
      <c r="AF756" s="191"/>
      <c r="AG756" s="191"/>
      <c r="AH756" s="191"/>
      <c r="AI756" s="191"/>
      <c r="AJ756" s="191"/>
      <c r="AK756" s="191"/>
      <c r="AL756" s="191"/>
    </row>
    <row r="757" spans="1:38" ht="12.75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91"/>
      <c r="AF757" s="191"/>
      <c r="AG757" s="191"/>
      <c r="AH757" s="191"/>
      <c r="AI757" s="191"/>
      <c r="AJ757" s="191"/>
      <c r="AK757" s="191"/>
      <c r="AL757" s="191"/>
    </row>
    <row r="758" spans="1:38" ht="12.75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91"/>
      <c r="AF758" s="191"/>
      <c r="AG758" s="191"/>
      <c r="AH758" s="191"/>
      <c r="AI758" s="191"/>
      <c r="AJ758" s="191"/>
      <c r="AK758" s="191"/>
      <c r="AL758" s="191"/>
    </row>
    <row r="759" spans="1:38" ht="12.75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91"/>
      <c r="AF759" s="191"/>
      <c r="AG759" s="191"/>
      <c r="AH759" s="191"/>
      <c r="AI759" s="191"/>
      <c r="AJ759" s="191"/>
      <c r="AK759" s="191"/>
      <c r="AL759" s="191"/>
    </row>
    <row r="760" spans="1:38" ht="12.75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  <c r="AD760" s="191"/>
      <c r="AE760" s="191"/>
      <c r="AF760" s="191"/>
      <c r="AG760" s="191"/>
      <c r="AH760" s="191"/>
      <c r="AI760" s="191"/>
      <c r="AJ760" s="191"/>
      <c r="AK760" s="191"/>
      <c r="AL760" s="191"/>
    </row>
    <row r="761" spans="1:38" ht="12.75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  <c r="AD761" s="191"/>
      <c r="AE761" s="191"/>
      <c r="AF761" s="191"/>
      <c r="AG761" s="191"/>
      <c r="AH761" s="191"/>
      <c r="AI761" s="191"/>
      <c r="AJ761" s="191"/>
      <c r="AK761" s="191"/>
      <c r="AL761" s="191"/>
    </row>
    <row r="762" spans="1:38" ht="12.75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91"/>
      <c r="AF762" s="191"/>
      <c r="AG762" s="191"/>
      <c r="AH762" s="191"/>
      <c r="AI762" s="191"/>
      <c r="AJ762" s="191"/>
      <c r="AK762" s="191"/>
      <c r="AL762" s="191"/>
    </row>
    <row r="763" spans="1:38" ht="12.75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91"/>
      <c r="AF763" s="191"/>
      <c r="AG763" s="191"/>
      <c r="AH763" s="191"/>
      <c r="AI763" s="191"/>
      <c r="AJ763" s="191"/>
      <c r="AK763" s="191"/>
      <c r="AL763" s="191"/>
    </row>
    <row r="764" spans="1:38" ht="12.75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91"/>
      <c r="AF764" s="191"/>
      <c r="AG764" s="191"/>
      <c r="AH764" s="191"/>
      <c r="AI764" s="191"/>
      <c r="AJ764" s="191"/>
      <c r="AK764" s="191"/>
      <c r="AL764" s="191"/>
    </row>
    <row r="765" spans="1:38" ht="12.75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91"/>
      <c r="AF765" s="191"/>
      <c r="AG765" s="191"/>
      <c r="AH765" s="191"/>
      <c r="AI765" s="191"/>
      <c r="AJ765" s="191"/>
      <c r="AK765" s="191"/>
      <c r="AL765" s="191"/>
    </row>
    <row r="766" spans="1:38" ht="12.75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91"/>
      <c r="AF766" s="191"/>
      <c r="AG766" s="191"/>
      <c r="AH766" s="191"/>
      <c r="AI766" s="191"/>
      <c r="AJ766" s="191"/>
      <c r="AK766" s="191"/>
      <c r="AL766" s="191"/>
    </row>
    <row r="767" spans="1:38" ht="12.75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91"/>
      <c r="AF767" s="191"/>
      <c r="AG767" s="191"/>
      <c r="AH767" s="191"/>
      <c r="AI767" s="191"/>
      <c r="AJ767" s="191"/>
      <c r="AK767" s="191"/>
      <c r="AL767" s="191"/>
    </row>
    <row r="768" spans="1:38" ht="12.75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91"/>
      <c r="AF768" s="191"/>
      <c r="AG768" s="191"/>
      <c r="AH768" s="191"/>
      <c r="AI768" s="191"/>
      <c r="AJ768" s="191"/>
      <c r="AK768" s="191"/>
      <c r="AL768" s="191"/>
    </row>
    <row r="769" spans="1:38" ht="12.75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91"/>
      <c r="AF769" s="191"/>
      <c r="AG769" s="191"/>
      <c r="AH769" s="191"/>
      <c r="AI769" s="191"/>
      <c r="AJ769" s="191"/>
      <c r="AK769" s="191"/>
      <c r="AL769" s="191"/>
    </row>
    <row r="770" spans="1:38" ht="12.75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91"/>
      <c r="AF770" s="191"/>
      <c r="AG770" s="191"/>
      <c r="AH770" s="191"/>
      <c r="AI770" s="191"/>
      <c r="AJ770" s="191"/>
      <c r="AK770" s="191"/>
      <c r="AL770" s="191"/>
    </row>
    <row r="771" spans="1:38" ht="12.75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91"/>
      <c r="AF771" s="191"/>
      <c r="AG771" s="191"/>
      <c r="AH771" s="191"/>
      <c r="AI771" s="191"/>
      <c r="AJ771" s="191"/>
      <c r="AK771" s="191"/>
      <c r="AL771" s="191"/>
    </row>
    <row r="772" spans="1:38" ht="12.75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91"/>
      <c r="AF772" s="191"/>
      <c r="AG772" s="191"/>
      <c r="AH772" s="191"/>
      <c r="AI772" s="191"/>
      <c r="AJ772" s="191"/>
      <c r="AK772" s="191"/>
      <c r="AL772" s="191"/>
    </row>
    <row r="773" spans="1:38" ht="12.75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91"/>
      <c r="AF773" s="191"/>
      <c r="AG773" s="191"/>
      <c r="AH773" s="191"/>
      <c r="AI773" s="191"/>
      <c r="AJ773" s="191"/>
      <c r="AK773" s="191"/>
      <c r="AL773" s="191"/>
    </row>
    <row r="774" spans="1:38" ht="12.75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91"/>
      <c r="AF774" s="191"/>
      <c r="AG774" s="191"/>
      <c r="AH774" s="191"/>
      <c r="AI774" s="191"/>
      <c r="AJ774" s="191"/>
      <c r="AK774" s="191"/>
      <c r="AL774" s="191"/>
    </row>
    <row r="775" spans="1:38" ht="12.75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  <c r="AA775" s="191"/>
      <c r="AB775" s="191"/>
      <c r="AC775" s="191"/>
      <c r="AD775" s="191"/>
      <c r="AE775" s="191"/>
      <c r="AF775" s="191"/>
      <c r="AG775" s="191"/>
      <c r="AH775" s="191"/>
      <c r="AI775" s="191"/>
      <c r="AJ775" s="191"/>
      <c r="AK775" s="191"/>
      <c r="AL775" s="191"/>
    </row>
    <row r="776" spans="1:38" ht="12.75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  <c r="AA776" s="191"/>
      <c r="AB776" s="191"/>
      <c r="AC776" s="191"/>
      <c r="AD776" s="191"/>
      <c r="AE776" s="191"/>
      <c r="AF776" s="191"/>
      <c r="AG776" s="191"/>
      <c r="AH776" s="191"/>
      <c r="AI776" s="191"/>
      <c r="AJ776" s="191"/>
      <c r="AK776" s="191"/>
      <c r="AL776" s="191"/>
    </row>
    <row r="777" spans="1:38" ht="12.75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  <c r="AA777" s="191"/>
      <c r="AB777" s="191"/>
      <c r="AC777" s="191"/>
      <c r="AD777" s="191"/>
      <c r="AE777" s="191"/>
      <c r="AF777" s="191"/>
      <c r="AG777" s="191"/>
      <c r="AH777" s="191"/>
      <c r="AI777" s="191"/>
      <c r="AJ777" s="191"/>
      <c r="AK777" s="191"/>
      <c r="AL777" s="191"/>
    </row>
    <row r="778" spans="1:38" ht="12.75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  <c r="AA778" s="191"/>
      <c r="AB778" s="191"/>
      <c r="AC778" s="191"/>
      <c r="AD778" s="191"/>
      <c r="AE778" s="191"/>
      <c r="AF778" s="191"/>
      <c r="AG778" s="191"/>
      <c r="AH778" s="191"/>
      <c r="AI778" s="191"/>
      <c r="AJ778" s="191"/>
      <c r="AK778" s="191"/>
      <c r="AL778" s="191"/>
    </row>
    <row r="779" spans="1:38" ht="12.75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  <c r="AA779" s="191"/>
      <c r="AB779" s="191"/>
      <c r="AC779" s="191"/>
      <c r="AD779" s="191"/>
      <c r="AE779" s="191"/>
      <c r="AF779" s="191"/>
      <c r="AG779" s="191"/>
      <c r="AH779" s="191"/>
      <c r="AI779" s="191"/>
      <c r="AJ779" s="191"/>
      <c r="AK779" s="191"/>
      <c r="AL779" s="191"/>
    </row>
    <row r="780" spans="1:38" ht="12.75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  <c r="AD780" s="191"/>
      <c r="AE780" s="191"/>
      <c r="AF780" s="191"/>
      <c r="AG780" s="191"/>
      <c r="AH780" s="191"/>
      <c r="AI780" s="191"/>
      <c r="AJ780" s="191"/>
      <c r="AK780" s="191"/>
      <c r="AL780" s="191"/>
    </row>
    <row r="781" spans="1:38" ht="12.75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  <c r="AD781" s="191"/>
      <c r="AE781" s="191"/>
      <c r="AF781" s="191"/>
      <c r="AG781" s="191"/>
      <c r="AH781" s="191"/>
      <c r="AI781" s="191"/>
      <c r="AJ781" s="191"/>
      <c r="AK781" s="191"/>
      <c r="AL781" s="191"/>
    </row>
    <row r="782" spans="1:38" ht="12.75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  <c r="AD782" s="191"/>
      <c r="AE782" s="191"/>
      <c r="AF782" s="191"/>
      <c r="AG782" s="191"/>
      <c r="AH782" s="191"/>
      <c r="AI782" s="191"/>
      <c r="AJ782" s="191"/>
      <c r="AK782" s="191"/>
      <c r="AL782" s="191"/>
    </row>
    <row r="783" spans="1:38" ht="12.75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  <c r="AD783" s="191"/>
      <c r="AE783" s="191"/>
      <c r="AF783" s="191"/>
      <c r="AG783" s="191"/>
      <c r="AH783" s="191"/>
      <c r="AI783" s="191"/>
      <c r="AJ783" s="191"/>
      <c r="AK783" s="191"/>
      <c r="AL783" s="191"/>
    </row>
    <row r="784" spans="1:38" ht="12.75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  <c r="AD784" s="191"/>
      <c r="AE784" s="191"/>
      <c r="AF784" s="191"/>
      <c r="AG784" s="191"/>
      <c r="AH784" s="191"/>
      <c r="AI784" s="191"/>
      <c r="AJ784" s="191"/>
      <c r="AK784" s="191"/>
      <c r="AL784" s="191"/>
    </row>
    <row r="785" spans="1:38" ht="12.75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  <c r="AD785" s="191"/>
      <c r="AE785" s="191"/>
      <c r="AF785" s="191"/>
      <c r="AG785" s="191"/>
      <c r="AH785" s="191"/>
      <c r="AI785" s="191"/>
      <c r="AJ785" s="191"/>
      <c r="AK785" s="191"/>
      <c r="AL785" s="191"/>
    </row>
    <row r="786" spans="1:38" ht="12.75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  <c r="AD786" s="191"/>
      <c r="AE786" s="191"/>
      <c r="AF786" s="191"/>
      <c r="AG786" s="191"/>
      <c r="AH786" s="191"/>
      <c r="AI786" s="191"/>
      <c r="AJ786" s="191"/>
      <c r="AK786" s="191"/>
      <c r="AL786" s="191"/>
    </row>
    <row r="787" spans="1:38" ht="12.75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  <c r="AD787" s="191"/>
      <c r="AE787" s="191"/>
      <c r="AF787" s="191"/>
      <c r="AG787" s="191"/>
      <c r="AH787" s="191"/>
      <c r="AI787" s="191"/>
      <c r="AJ787" s="191"/>
      <c r="AK787" s="191"/>
      <c r="AL787" s="191"/>
    </row>
    <row r="788" spans="1:38" ht="12.75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91"/>
      <c r="AF788" s="191"/>
      <c r="AG788" s="191"/>
      <c r="AH788" s="191"/>
      <c r="AI788" s="191"/>
      <c r="AJ788" s="191"/>
      <c r="AK788" s="191"/>
      <c r="AL788" s="191"/>
    </row>
    <row r="789" spans="1:38" ht="12.75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  <c r="AA789" s="191"/>
      <c r="AB789" s="191"/>
      <c r="AC789" s="191"/>
      <c r="AD789" s="191"/>
      <c r="AE789" s="191"/>
      <c r="AF789" s="191"/>
      <c r="AG789" s="191"/>
      <c r="AH789" s="191"/>
      <c r="AI789" s="191"/>
      <c r="AJ789" s="191"/>
      <c r="AK789" s="191"/>
      <c r="AL789" s="191"/>
    </row>
    <row r="790" spans="1:38" ht="12.75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  <c r="AA790" s="191"/>
      <c r="AB790" s="191"/>
      <c r="AC790" s="191"/>
      <c r="AD790" s="191"/>
      <c r="AE790" s="191"/>
      <c r="AF790" s="191"/>
      <c r="AG790" s="191"/>
      <c r="AH790" s="191"/>
      <c r="AI790" s="191"/>
      <c r="AJ790" s="191"/>
      <c r="AK790" s="191"/>
      <c r="AL790" s="191"/>
    </row>
    <row r="791" spans="1:38" ht="12.75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  <c r="AA791" s="191"/>
      <c r="AB791" s="191"/>
      <c r="AC791" s="191"/>
      <c r="AD791" s="191"/>
      <c r="AE791" s="191"/>
      <c r="AF791" s="191"/>
      <c r="AG791" s="191"/>
      <c r="AH791" s="191"/>
      <c r="AI791" s="191"/>
      <c r="AJ791" s="191"/>
      <c r="AK791" s="191"/>
      <c r="AL791" s="191"/>
    </row>
    <row r="792" spans="1:38" ht="12.75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  <c r="AA792" s="191"/>
      <c r="AB792" s="191"/>
      <c r="AC792" s="191"/>
      <c r="AD792" s="191"/>
      <c r="AE792" s="191"/>
      <c r="AF792" s="191"/>
      <c r="AG792" s="191"/>
      <c r="AH792" s="191"/>
      <c r="AI792" s="191"/>
      <c r="AJ792" s="191"/>
      <c r="AK792" s="191"/>
      <c r="AL792" s="191"/>
    </row>
    <row r="793" spans="1:38" ht="12.75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  <c r="AA793" s="191"/>
      <c r="AB793" s="191"/>
      <c r="AC793" s="191"/>
      <c r="AD793" s="191"/>
      <c r="AE793" s="191"/>
      <c r="AF793" s="191"/>
      <c r="AG793" s="191"/>
      <c r="AH793" s="191"/>
      <c r="AI793" s="191"/>
      <c r="AJ793" s="191"/>
      <c r="AK793" s="191"/>
      <c r="AL793" s="191"/>
    </row>
    <row r="794" spans="1:38" ht="12.75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  <c r="AA794" s="191"/>
      <c r="AB794" s="191"/>
      <c r="AC794" s="191"/>
      <c r="AD794" s="191"/>
      <c r="AE794" s="191"/>
      <c r="AF794" s="191"/>
      <c r="AG794" s="191"/>
      <c r="AH794" s="191"/>
      <c r="AI794" s="191"/>
      <c r="AJ794" s="191"/>
      <c r="AK794" s="191"/>
      <c r="AL794" s="191"/>
    </row>
    <row r="795" spans="1:38" ht="12.75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  <c r="AA795" s="191"/>
      <c r="AB795" s="191"/>
      <c r="AC795" s="191"/>
      <c r="AD795" s="191"/>
      <c r="AE795" s="191"/>
      <c r="AF795" s="191"/>
      <c r="AG795" s="191"/>
      <c r="AH795" s="191"/>
      <c r="AI795" s="191"/>
      <c r="AJ795" s="191"/>
      <c r="AK795" s="191"/>
      <c r="AL795" s="191"/>
    </row>
    <row r="796" spans="1:38" ht="12.75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  <c r="AA796" s="191"/>
      <c r="AB796" s="191"/>
      <c r="AC796" s="191"/>
      <c r="AD796" s="191"/>
      <c r="AE796" s="191"/>
      <c r="AF796" s="191"/>
      <c r="AG796" s="191"/>
      <c r="AH796" s="191"/>
      <c r="AI796" s="191"/>
      <c r="AJ796" s="191"/>
      <c r="AK796" s="191"/>
      <c r="AL796" s="191"/>
    </row>
    <row r="797" spans="1:38" ht="12.75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  <c r="AA797" s="191"/>
      <c r="AB797" s="191"/>
      <c r="AC797" s="191"/>
      <c r="AD797" s="191"/>
      <c r="AE797" s="191"/>
      <c r="AF797" s="191"/>
      <c r="AG797" s="191"/>
      <c r="AH797" s="191"/>
      <c r="AI797" s="191"/>
      <c r="AJ797" s="191"/>
      <c r="AK797" s="191"/>
      <c r="AL797" s="191"/>
    </row>
    <row r="798" spans="1:38" ht="12.75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91"/>
      <c r="AF798" s="191"/>
      <c r="AG798" s="191"/>
      <c r="AH798" s="191"/>
      <c r="AI798" s="191"/>
      <c r="AJ798" s="191"/>
      <c r="AK798" s="191"/>
      <c r="AL798" s="191"/>
    </row>
    <row r="799" spans="1:38" ht="12.75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91"/>
      <c r="AF799" s="191"/>
      <c r="AG799" s="191"/>
      <c r="AH799" s="191"/>
      <c r="AI799" s="191"/>
      <c r="AJ799" s="191"/>
      <c r="AK799" s="191"/>
      <c r="AL799" s="191"/>
    </row>
    <row r="800" spans="1:38" ht="12.75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91"/>
      <c r="AF800" s="191"/>
      <c r="AG800" s="191"/>
      <c r="AH800" s="191"/>
      <c r="AI800" s="191"/>
      <c r="AJ800" s="191"/>
      <c r="AK800" s="191"/>
      <c r="AL800" s="191"/>
    </row>
    <row r="801" spans="1:38" ht="12.75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91"/>
      <c r="AF801" s="191"/>
      <c r="AG801" s="191"/>
      <c r="AH801" s="191"/>
      <c r="AI801" s="191"/>
      <c r="AJ801" s="191"/>
      <c r="AK801" s="191"/>
      <c r="AL801" s="191"/>
    </row>
    <row r="802" spans="1:38" ht="12.75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91"/>
      <c r="AF802" s="191"/>
      <c r="AG802" s="191"/>
      <c r="AH802" s="191"/>
      <c r="AI802" s="191"/>
      <c r="AJ802" s="191"/>
      <c r="AK802" s="191"/>
      <c r="AL802" s="191"/>
    </row>
    <row r="803" spans="1:38" ht="12.75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91"/>
      <c r="AF803" s="191"/>
      <c r="AG803" s="191"/>
      <c r="AH803" s="191"/>
      <c r="AI803" s="191"/>
      <c r="AJ803" s="191"/>
      <c r="AK803" s="191"/>
      <c r="AL803" s="191"/>
    </row>
    <row r="804" spans="1:38" ht="12.75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91"/>
      <c r="AF804" s="191"/>
      <c r="AG804" s="191"/>
      <c r="AH804" s="191"/>
      <c r="AI804" s="191"/>
      <c r="AJ804" s="191"/>
      <c r="AK804" s="191"/>
      <c r="AL804" s="191"/>
    </row>
    <row r="805" spans="1:38" ht="12.75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1"/>
      <c r="AF805" s="191"/>
      <c r="AG805" s="191"/>
      <c r="AH805" s="191"/>
      <c r="AI805" s="191"/>
      <c r="AJ805" s="191"/>
      <c r="AK805" s="191"/>
      <c r="AL805" s="191"/>
    </row>
    <row r="806" spans="1:38" ht="12.75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91"/>
      <c r="AF806" s="191"/>
      <c r="AG806" s="191"/>
      <c r="AH806" s="191"/>
      <c r="AI806" s="191"/>
      <c r="AJ806" s="191"/>
      <c r="AK806" s="191"/>
      <c r="AL806" s="191"/>
    </row>
    <row r="807" spans="1:38" ht="12.75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91"/>
      <c r="AF807" s="191"/>
      <c r="AG807" s="191"/>
      <c r="AH807" s="191"/>
      <c r="AI807" s="191"/>
      <c r="AJ807" s="191"/>
      <c r="AK807" s="191"/>
      <c r="AL807" s="191"/>
    </row>
    <row r="808" spans="1:38" ht="12.75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91"/>
      <c r="AF808" s="191"/>
      <c r="AG808" s="191"/>
      <c r="AH808" s="191"/>
      <c r="AI808" s="191"/>
      <c r="AJ808" s="191"/>
      <c r="AK808" s="191"/>
      <c r="AL808" s="191"/>
    </row>
    <row r="809" spans="1:38" ht="12.75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91"/>
      <c r="AF809" s="191"/>
      <c r="AG809" s="191"/>
      <c r="AH809" s="191"/>
      <c r="AI809" s="191"/>
      <c r="AJ809" s="191"/>
      <c r="AK809" s="191"/>
      <c r="AL809" s="191"/>
    </row>
    <row r="810" spans="1:38" ht="12.75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91"/>
      <c r="AF810" s="191"/>
      <c r="AG810" s="191"/>
      <c r="AH810" s="191"/>
      <c r="AI810" s="191"/>
      <c r="AJ810" s="191"/>
      <c r="AK810" s="191"/>
      <c r="AL810" s="191"/>
    </row>
    <row r="811" spans="1:38" ht="12.75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91"/>
      <c r="AF811" s="191"/>
      <c r="AG811" s="191"/>
      <c r="AH811" s="191"/>
      <c r="AI811" s="191"/>
      <c r="AJ811" s="191"/>
      <c r="AK811" s="191"/>
      <c r="AL811" s="191"/>
    </row>
    <row r="812" spans="1:38" ht="12.75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91"/>
      <c r="AF812" s="191"/>
      <c r="AG812" s="191"/>
      <c r="AH812" s="191"/>
      <c r="AI812" s="191"/>
      <c r="AJ812" s="191"/>
      <c r="AK812" s="191"/>
      <c r="AL812" s="191"/>
    </row>
    <row r="813" spans="1:38" ht="12.75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  <c r="AA813" s="191"/>
      <c r="AB813" s="191"/>
      <c r="AC813" s="191"/>
      <c r="AD813" s="191"/>
      <c r="AE813" s="191"/>
      <c r="AF813" s="191"/>
      <c r="AG813" s="191"/>
      <c r="AH813" s="191"/>
      <c r="AI813" s="191"/>
      <c r="AJ813" s="191"/>
      <c r="AK813" s="191"/>
      <c r="AL813" s="191"/>
    </row>
    <row r="814" spans="1:38" ht="12.75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  <c r="AA814" s="191"/>
      <c r="AB814" s="191"/>
      <c r="AC814" s="191"/>
      <c r="AD814" s="191"/>
      <c r="AE814" s="191"/>
      <c r="AF814" s="191"/>
      <c r="AG814" s="191"/>
      <c r="AH814" s="191"/>
      <c r="AI814" s="191"/>
      <c r="AJ814" s="191"/>
      <c r="AK814" s="191"/>
      <c r="AL814" s="191"/>
    </row>
    <row r="815" spans="1:38" ht="12.75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  <c r="AA815" s="191"/>
      <c r="AB815" s="191"/>
      <c r="AC815" s="191"/>
      <c r="AD815" s="191"/>
      <c r="AE815" s="191"/>
      <c r="AF815" s="191"/>
      <c r="AG815" s="191"/>
      <c r="AH815" s="191"/>
      <c r="AI815" s="191"/>
      <c r="AJ815" s="191"/>
      <c r="AK815" s="191"/>
      <c r="AL815" s="191"/>
    </row>
    <row r="816" spans="1:38" ht="12.75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91"/>
      <c r="AF816" s="191"/>
      <c r="AG816" s="191"/>
      <c r="AH816" s="191"/>
      <c r="AI816" s="191"/>
      <c r="AJ816" s="191"/>
      <c r="AK816" s="191"/>
      <c r="AL816" s="191"/>
    </row>
    <row r="817" spans="1:38" ht="12.75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91"/>
      <c r="AF817" s="191"/>
      <c r="AG817" s="191"/>
      <c r="AH817" s="191"/>
      <c r="AI817" s="191"/>
      <c r="AJ817" s="191"/>
      <c r="AK817" s="191"/>
      <c r="AL817" s="191"/>
    </row>
    <row r="818" spans="1:38" ht="12.75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91"/>
      <c r="AF818" s="191"/>
      <c r="AG818" s="191"/>
      <c r="AH818" s="191"/>
      <c r="AI818" s="191"/>
      <c r="AJ818" s="191"/>
      <c r="AK818" s="191"/>
      <c r="AL818" s="191"/>
    </row>
    <row r="819" spans="1:38" ht="12.75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91"/>
      <c r="AF819" s="191"/>
      <c r="AG819" s="191"/>
      <c r="AH819" s="191"/>
      <c r="AI819" s="191"/>
      <c r="AJ819" s="191"/>
      <c r="AK819" s="191"/>
      <c r="AL819" s="191"/>
    </row>
    <row r="820" spans="1:38" ht="12.75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91"/>
      <c r="AF820" s="191"/>
      <c r="AG820" s="191"/>
      <c r="AH820" s="191"/>
      <c r="AI820" s="191"/>
      <c r="AJ820" s="191"/>
      <c r="AK820" s="191"/>
      <c r="AL820" s="191"/>
    </row>
    <row r="821" spans="1:38" ht="12.75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91"/>
      <c r="AF821" s="191"/>
      <c r="AG821" s="191"/>
      <c r="AH821" s="191"/>
      <c r="AI821" s="191"/>
      <c r="AJ821" s="191"/>
      <c r="AK821" s="191"/>
      <c r="AL821" s="191"/>
    </row>
    <row r="822" spans="1:38" ht="12.75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</row>
    <row r="823" spans="1:38" ht="12.75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</row>
    <row r="824" spans="1:38" ht="12.75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</row>
    <row r="825" spans="1:38" ht="12.75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1"/>
      <c r="AF825" s="191"/>
      <c r="AG825" s="191"/>
      <c r="AH825" s="191"/>
      <c r="AI825" s="191"/>
      <c r="AJ825" s="191"/>
      <c r="AK825" s="191"/>
      <c r="AL825" s="191"/>
    </row>
    <row r="826" spans="1:38" ht="12.75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1"/>
      <c r="AF826" s="191"/>
      <c r="AG826" s="191"/>
      <c r="AH826" s="191"/>
      <c r="AI826" s="191"/>
      <c r="AJ826" s="191"/>
      <c r="AK826" s="191"/>
      <c r="AL826" s="191"/>
    </row>
    <row r="827" spans="1:38" ht="12.75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1"/>
      <c r="AF827" s="191"/>
      <c r="AG827" s="191"/>
      <c r="AH827" s="191"/>
      <c r="AI827" s="191"/>
      <c r="AJ827" s="191"/>
      <c r="AK827" s="191"/>
      <c r="AL827" s="191"/>
    </row>
    <row r="828" spans="1:38" ht="12.75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1"/>
      <c r="AF828" s="191"/>
      <c r="AG828" s="191"/>
      <c r="AH828" s="191"/>
      <c r="AI828" s="191"/>
      <c r="AJ828" s="191"/>
      <c r="AK828" s="191"/>
      <c r="AL828" s="191"/>
    </row>
    <row r="829" spans="1:38" ht="12.75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1"/>
      <c r="AF829" s="191"/>
      <c r="AG829" s="191"/>
      <c r="AH829" s="191"/>
      <c r="AI829" s="191"/>
      <c r="AJ829" s="191"/>
      <c r="AK829" s="191"/>
      <c r="AL829" s="191"/>
    </row>
    <row r="830" spans="1:38" ht="12.75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  <c r="AA830" s="191"/>
      <c r="AB830" s="191"/>
      <c r="AC830" s="191"/>
      <c r="AD830" s="191"/>
      <c r="AE830" s="191"/>
      <c r="AF830" s="191"/>
      <c r="AG830" s="191"/>
      <c r="AH830" s="191"/>
      <c r="AI830" s="191"/>
      <c r="AJ830" s="191"/>
      <c r="AK830" s="191"/>
      <c r="AL830" s="191"/>
    </row>
    <row r="831" spans="1:38" ht="12.75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  <c r="AA831" s="191"/>
      <c r="AB831" s="191"/>
      <c r="AC831" s="191"/>
      <c r="AD831" s="191"/>
      <c r="AE831" s="191"/>
      <c r="AF831" s="191"/>
      <c r="AG831" s="191"/>
      <c r="AH831" s="191"/>
      <c r="AI831" s="191"/>
      <c r="AJ831" s="191"/>
      <c r="AK831" s="191"/>
      <c r="AL831" s="191"/>
    </row>
    <row r="832" spans="1:38" ht="12.75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  <c r="AA832" s="191"/>
      <c r="AB832" s="191"/>
      <c r="AC832" s="191"/>
      <c r="AD832" s="191"/>
      <c r="AE832" s="191"/>
      <c r="AF832" s="191"/>
      <c r="AG832" s="191"/>
      <c r="AH832" s="191"/>
      <c r="AI832" s="191"/>
      <c r="AJ832" s="191"/>
      <c r="AK832" s="191"/>
      <c r="AL832" s="191"/>
    </row>
    <row r="833" spans="1:38" ht="12.75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  <c r="AA833" s="191"/>
      <c r="AB833" s="191"/>
      <c r="AC833" s="191"/>
      <c r="AD833" s="191"/>
      <c r="AE833" s="191"/>
      <c r="AF833" s="191"/>
      <c r="AG833" s="191"/>
      <c r="AH833" s="191"/>
      <c r="AI833" s="191"/>
      <c r="AJ833" s="191"/>
      <c r="AK833" s="191"/>
      <c r="AL833" s="191"/>
    </row>
    <row r="834" spans="1:38" ht="12.75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91"/>
      <c r="AF834" s="191"/>
      <c r="AG834" s="191"/>
      <c r="AH834" s="191"/>
      <c r="AI834" s="191"/>
      <c r="AJ834" s="191"/>
      <c r="AK834" s="191"/>
      <c r="AL834" s="191"/>
    </row>
    <row r="835" spans="1:38" ht="12.75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91"/>
      <c r="AF835" s="191"/>
      <c r="AG835" s="191"/>
      <c r="AH835" s="191"/>
      <c r="AI835" s="191"/>
      <c r="AJ835" s="191"/>
      <c r="AK835" s="191"/>
      <c r="AL835" s="191"/>
    </row>
    <row r="836" spans="1:38" ht="12.75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</row>
    <row r="837" spans="1:38" ht="12.75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</row>
    <row r="838" spans="1:38" ht="12.75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91"/>
      <c r="AF838" s="191"/>
      <c r="AG838" s="191"/>
      <c r="AH838" s="191"/>
      <c r="AI838" s="191"/>
      <c r="AJ838" s="191"/>
      <c r="AK838" s="191"/>
      <c r="AL838" s="191"/>
    </row>
    <row r="839" spans="1:38" ht="12.75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</row>
    <row r="840" spans="1:38" ht="12.75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</row>
    <row r="841" spans="1:38" ht="12.75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</row>
    <row r="842" spans="1:38" ht="12.75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</row>
    <row r="843" spans="1:38" ht="12.75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1"/>
      <c r="AF843" s="191"/>
      <c r="AG843" s="191"/>
      <c r="AH843" s="191"/>
      <c r="AI843" s="191"/>
      <c r="AJ843" s="191"/>
      <c r="AK843" s="191"/>
      <c r="AL843" s="191"/>
    </row>
    <row r="844" spans="1:38" ht="12.75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</row>
    <row r="845" spans="1:38" ht="12.75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</row>
    <row r="846" spans="1:38" ht="12.75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1"/>
      <c r="AF846" s="191"/>
      <c r="AG846" s="191"/>
      <c r="AH846" s="191"/>
      <c r="AI846" s="191"/>
      <c r="AJ846" s="191"/>
      <c r="AK846" s="191"/>
      <c r="AL846" s="191"/>
    </row>
    <row r="847" spans="1:38" ht="12.75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  <c r="AA847" s="191"/>
      <c r="AB847" s="191"/>
      <c r="AC847" s="191"/>
      <c r="AD847" s="191"/>
      <c r="AE847" s="191"/>
      <c r="AF847" s="191"/>
      <c r="AG847" s="191"/>
      <c r="AH847" s="191"/>
      <c r="AI847" s="191"/>
      <c r="AJ847" s="191"/>
      <c r="AK847" s="191"/>
      <c r="AL847" s="191"/>
    </row>
    <row r="848" spans="1:38" ht="12.75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  <c r="AA848" s="191"/>
      <c r="AB848" s="191"/>
      <c r="AC848" s="191"/>
      <c r="AD848" s="191"/>
      <c r="AE848" s="191"/>
      <c r="AF848" s="191"/>
      <c r="AG848" s="191"/>
      <c r="AH848" s="191"/>
      <c r="AI848" s="191"/>
      <c r="AJ848" s="191"/>
      <c r="AK848" s="191"/>
      <c r="AL848" s="191"/>
    </row>
    <row r="849" spans="1:38" ht="12.75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  <c r="AA849" s="191"/>
      <c r="AB849" s="191"/>
      <c r="AC849" s="191"/>
      <c r="AD849" s="191"/>
      <c r="AE849" s="191"/>
      <c r="AF849" s="191"/>
      <c r="AG849" s="191"/>
      <c r="AH849" s="191"/>
      <c r="AI849" s="191"/>
      <c r="AJ849" s="191"/>
      <c r="AK849" s="191"/>
      <c r="AL849" s="191"/>
    </row>
    <row r="850" spans="1:38" ht="12.75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  <c r="AA850" s="191"/>
      <c r="AB850" s="191"/>
      <c r="AC850" s="191"/>
      <c r="AD850" s="191"/>
      <c r="AE850" s="191"/>
      <c r="AF850" s="191"/>
      <c r="AG850" s="191"/>
      <c r="AH850" s="191"/>
      <c r="AI850" s="191"/>
      <c r="AJ850" s="191"/>
      <c r="AK850" s="191"/>
      <c r="AL850" s="191"/>
    </row>
    <row r="851" spans="1:38" ht="12.75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  <c r="AA851" s="191"/>
      <c r="AB851" s="191"/>
      <c r="AC851" s="191"/>
      <c r="AD851" s="191"/>
      <c r="AE851" s="191"/>
      <c r="AF851" s="191"/>
      <c r="AG851" s="191"/>
      <c r="AH851" s="191"/>
      <c r="AI851" s="191"/>
      <c r="AJ851" s="191"/>
      <c r="AK851" s="191"/>
      <c r="AL851" s="191"/>
    </row>
    <row r="852" spans="1:38" ht="12.75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  <c r="AA852" s="191"/>
      <c r="AB852" s="191"/>
      <c r="AC852" s="191"/>
      <c r="AD852" s="191"/>
      <c r="AE852" s="191"/>
      <c r="AF852" s="191"/>
      <c r="AG852" s="191"/>
      <c r="AH852" s="191"/>
      <c r="AI852" s="191"/>
      <c r="AJ852" s="191"/>
      <c r="AK852" s="191"/>
      <c r="AL852" s="191"/>
    </row>
    <row r="853" spans="1:38" ht="12.75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  <c r="AA853" s="191"/>
      <c r="AB853" s="191"/>
      <c r="AC853" s="191"/>
      <c r="AD853" s="191"/>
      <c r="AE853" s="191"/>
      <c r="AF853" s="191"/>
      <c r="AG853" s="191"/>
      <c r="AH853" s="191"/>
      <c r="AI853" s="191"/>
      <c r="AJ853" s="191"/>
      <c r="AK853" s="191"/>
      <c r="AL853" s="191"/>
    </row>
    <row r="854" spans="1:38" ht="12.75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  <c r="AA854" s="191"/>
      <c r="AB854" s="191"/>
      <c r="AC854" s="191"/>
      <c r="AD854" s="191"/>
      <c r="AE854" s="191"/>
      <c r="AF854" s="191"/>
      <c r="AG854" s="191"/>
      <c r="AH854" s="191"/>
      <c r="AI854" s="191"/>
      <c r="AJ854" s="191"/>
      <c r="AK854" s="191"/>
      <c r="AL854" s="191"/>
    </row>
    <row r="855" spans="1:38" ht="12.75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  <c r="AA855" s="191"/>
      <c r="AB855" s="191"/>
      <c r="AC855" s="191"/>
      <c r="AD855" s="191"/>
      <c r="AE855" s="191"/>
      <c r="AF855" s="191"/>
      <c r="AG855" s="191"/>
      <c r="AH855" s="191"/>
      <c r="AI855" s="191"/>
      <c r="AJ855" s="191"/>
      <c r="AK855" s="191"/>
      <c r="AL855" s="191"/>
    </row>
    <row r="856" spans="1:38" ht="12.75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</row>
    <row r="857" spans="1:38" ht="12.75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</row>
    <row r="858" spans="1:38" ht="12.75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</row>
    <row r="859" spans="1:38" ht="12.75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</row>
    <row r="860" spans="1:38" ht="12.75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91"/>
      <c r="AF860" s="191"/>
      <c r="AG860" s="191"/>
      <c r="AH860" s="191"/>
      <c r="AI860" s="191"/>
      <c r="AJ860" s="191"/>
      <c r="AK860" s="191"/>
      <c r="AL860" s="191"/>
    </row>
    <row r="861" spans="1:38" ht="12.75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91"/>
      <c r="AF861" s="191"/>
      <c r="AG861" s="191"/>
      <c r="AH861" s="191"/>
      <c r="AI861" s="191"/>
      <c r="AJ861" s="191"/>
      <c r="AK861" s="191"/>
      <c r="AL861" s="191"/>
    </row>
    <row r="862" spans="1:38" ht="12.75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91"/>
      <c r="AF862" s="191"/>
      <c r="AG862" s="191"/>
      <c r="AH862" s="191"/>
      <c r="AI862" s="191"/>
      <c r="AJ862" s="191"/>
      <c r="AK862" s="191"/>
      <c r="AL862" s="191"/>
    </row>
    <row r="863" spans="1:38" ht="12.75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91"/>
      <c r="AF863" s="191"/>
      <c r="AG863" s="191"/>
      <c r="AH863" s="191"/>
      <c r="AI863" s="191"/>
      <c r="AJ863" s="191"/>
      <c r="AK863" s="191"/>
      <c r="AL863" s="191"/>
    </row>
    <row r="864" spans="1:38" ht="12.75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  <c r="AA864" s="191"/>
      <c r="AB864" s="191"/>
      <c r="AC864" s="191"/>
      <c r="AD864" s="191"/>
      <c r="AE864" s="191"/>
      <c r="AF864" s="191"/>
      <c r="AG864" s="191"/>
      <c r="AH864" s="191"/>
      <c r="AI864" s="191"/>
      <c r="AJ864" s="191"/>
      <c r="AK864" s="191"/>
      <c r="AL864" s="191"/>
    </row>
    <row r="865" spans="1:38" ht="12.75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  <c r="AA865" s="191"/>
      <c r="AB865" s="191"/>
      <c r="AC865" s="191"/>
      <c r="AD865" s="191"/>
      <c r="AE865" s="191"/>
      <c r="AF865" s="191"/>
      <c r="AG865" s="191"/>
      <c r="AH865" s="191"/>
      <c r="AI865" s="191"/>
      <c r="AJ865" s="191"/>
      <c r="AK865" s="191"/>
      <c r="AL865" s="191"/>
    </row>
    <row r="866" spans="1:38" ht="12.75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  <c r="AA866" s="191"/>
      <c r="AB866" s="191"/>
      <c r="AC866" s="191"/>
      <c r="AD866" s="191"/>
      <c r="AE866" s="191"/>
      <c r="AF866" s="191"/>
      <c r="AG866" s="191"/>
      <c r="AH866" s="191"/>
      <c r="AI866" s="191"/>
      <c r="AJ866" s="191"/>
      <c r="AK866" s="191"/>
      <c r="AL866" s="191"/>
    </row>
    <row r="867" spans="1:38" ht="12.75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  <c r="AA867" s="191"/>
      <c r="AB867" s="191"/>
      <c r="AC867" s="191"/>
      <c r="AD867" s="191"/>
      <c r="AE867" s="191"/>
      <c r="AF867" s="191"/>
      <c r="AG867" s="191"/>
      <c r="AH867" s="191"/>
      <c r="AI867" s="191"/>
      <c r="AJ867" s="191"/>
      <c r="AK867" s="191"/>
      <c r="AL867" s="191"/>
    </row>
    <row r="868" spans="1:38" ht="12.75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  <c r="AA868" s="191"/>
      <c r="AB868" s="191"/>
      <c r="AC868" s="191"/>
      <c r="AD868" s="191"/>
      <c r="AE868" s="191"/>
      <c r="AF868" s="191"/>
      <c r="AG868" s="191"/>
      <c r="AH868" s="191"/>
      <c r="AI868" s="191"/>
      <c r="AJ868" s="191"/>
      <c r="AK868" s="191"/>
      <c r="AL868" s="191"/>
    </row>
    <row r="869" spans="1:38" ht="12.75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  <c r="AA869" s="191"/>
      <c r="AB869" s="191"/>
      <c r="AC869" s="191"/>
      <c r="AD869" s="191"/>
      <c r="AE869" s="191"/>
      <c r="AF869" s="191"/>
      <c r="AG869" s="191"/>
      <c r="AH869" s="191"/>
      <c r="AI869" s="191"/>
      <c r="AJ869" s="191"/>
      <c r="AK869" s="191"/>
      <c r="AL869" s="191"/>
    </row>
    <row r="870" spans="1:38" ht="12.75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  <c r="AA870" s="191"/>
      <c r="AB870" s="191"/>
      <c r="AC870" s="191"/>
      <c r="AD870" s="191"/>
      <c r="AE870" s="191"/>
      <c r="AF870" s="191"/>
      <c r="AG870" s="191"/>
      <c r="AH870" s="191"/>
      <c r="AI870" s="191"/>
      <c r="AJ870" s="191"/>
      <c r="AK870" s="191"/>
      <c r="AL870" s="191"/>
    </row>
    <row r="871" spans="1:38" ht="12.75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  <c r="AA871" s="191"/>
      <c r="AB871" s="191"/>
      <c r="AC871" s="191"/>
      <c r="AD871" s="191"/>
      <c r="AE871" s="191"/>
      <c r="AF871" s="191"/>
      <c r="AG871" s="191"/>
      <c r="AH871" s="191"/>
      <c r="AI871" s="191"/>
      <c r="AJ871" s="191"/>
      <c r="AK871" s="191"/>
      <c r="AL871" s="191"/>
    </row>
    <row r="872" spans="1:38" ht="12.75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  <c r="AA872" s="191"/>
      <c r="AB872" s="191"/>
      <c r="AC872" s="191"/>
      <c r="AD872" s="191"/>
      <c r="AE872" s="191"/>
      <c r="AF872" s="191"/>
      <c r="AG872" s="191"/>
      <c r="AH872" s="191"/>
      <c r="AI872" s="191"/>
      <c r="AJ872" s="191"/>
      <c r="AK872" s="191"/>
      <c r="AL872" s="191"/>
    </row>
    <row r="873" spans="1:38" ht="12.75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</row>
    <row r="874" spans="1:38" ht="12.75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</row>
    <row r="875" spans="1:38" ht="12.75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</row>
    <row r="876" spans="1:38" ht="12.75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</row>
    <row r="877" spans="1:38" ht="12.75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</row>
    <row r="878" spans="1:38" ht="12.75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91"/>
      <c r="AF878" s="191"/>
      <c r="AG878" s="191"/>
      <c r="AH878" s="191"/>
      <c r="AI878" s="191"/>
      <c r="AJ878" s="191"/>
      <c r="AK878" s="191"/>
      <c r="AL878" s="191"/>
    </row>
    <row r="879" spans="1:38" ht="12.75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91"/>
      <c r="AF879" s="191"/>
      <c r="AG879" s="191"/>
      <c r="AH879" s="191"/>
      <c r="AI879" s="191"/>
      <c r="AJ879" s="191"/>
      <c r="AK879" s="191"/>
      <c r="AL879" s="191"/>
    </row>
    <row r="880" spans="1:38" ht="12.75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91"/>
      <c r="AF880" s="191"/>
      <c r="AG880" s="191"/>
      <c r="AH880" s="191"/>
      <c r="AI880" s="191"/>
      <c r="AJ880" s="191"/>
      <c r="AK880" s="191"/>
      <c r="AL880" s="191"/>
    </row>
    <row r="881" spans="1:38" ht="12.75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  <c r="AA881" s="191"/>
      <c r="AB881" s="191"/>
      <c r="AC881" s="191"/>
      <c r="AD881" s="191"/>
      <c r="AE881" s="191"/>
      <c r="AF881" s="191"/>
      <c r="AG881" s="191"/>
      <c r="AH881" s="191"/>
      <c r="AI881" s="191"/>
      <c r="AJ881" s="191"/>
      <c r="AK881" s="191"/>
      <c r="AL881" s="191"/>
    </row>
    <row r="882" spans="1:38" ht="12.75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  <c r="AA882" s="191"/>
      <c r="AB882" s="191"/>
      <c r="AC882" s="191"/>
      <c r="AD882" s="191"/>
      <c r="AE882" s="191"/>
      <c r="AF882" s="191"/>
      <c r="AG882" s="191"/>
      <c r="AH882" s="191"/>
      <c r="AI882" s="191"/>
      <c r="AJ882" s="191"/>
      <c r="AK882" s="191"/>
      <c r="AL882" s="191"/>
    </row>
    <row r="883" spans="1:38" ht="12.75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  <c r="AA883" s="191"/>
      <c r="AB883" s="191"/>
      <c r="AC883" s="191"/>
      <c r="AD883" s="191"/>
      <c r="AE883" s="191"/>
      <c r="AF883" s="191"/>
      <c r="AG883" s="191"/>
      <c r="AH883" s="191"/>
      <c r="AI883" s="191"/>
      <c r="AJ883" s="191"/>
      <c r="AK883" s="191"/>
      <c r="AL883" s="191"/>
    </row>
    <row r="884" spans="1:38" ht="12.75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  <c r="AA884" s="191"/>
      <c r="AB884" s="191"/>
      <c r="AC884" s="191"/>
      <c r="AD884" s="191"/>
      <c r="AE884" s="191"/>
      <c r="AF884" s="191"/>
      <c r="AG884" s="191"/>
      <c r="AH884" s="191"/>
      <c r="AI884" s="191"/>
      <c r="AJ884" s="191"/>
      <c r="AK884" s="191"/>
      <c r="AL884" s="191"/>
    </row>
    <row r="885" spans="1:38" ht="12.75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  <c r="AA885" s="191"/>
      <c r="AB885" s="191"/>
      <c r="AC885" s="191"/>
      <c r="AD885" s="191"/>
      <c r="AE885" s="191"/>
      <c r="AF885" s="191"/>
      <c r="AG885" s="191"/>
      <c r="AH885" s="191"/>
      <c r="AI885" s="191"/>
      <c r="AJ885" s="191"/>
      <c r="AK885" s="191"/>
      <c r="AL885" s="191"/>
    </row>
    <row r="886" spans="1:38" ht="12.75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  <c r="AA886" s="191"/>
      <c r="AB886" s="191"/>
      <c r="AC886" s="191"/>
      <c r="AD886" s="191"/>
      <c r="AE886" s="191"/>
      <c r="AF886" s="191"/>
      <c r="AG886" s="191"/>
      <c r="AH886" s="191"/>
      <c r="AI886" s="191"/>
      <c r="AJ886" s="191"/>
      <c r="AK886" s="191"/>
      <c r="AL886" s="191"/>
    </row>
    <row r="887" spans="1:38" ht="12.75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  <c r="AA887" s="191"/>
      <c r="AB887" s="191"/>
      <c r="AC887" s="191"/>
      <c r="AD887" s="191"/>
      <c r="AE887" s="191"/>
      <c r="AF887" s="191"/>
      <c r="AG887" s="191"/>
      <c r="AH887" s="191"/>
      <c r="AI887" s="191"/>
      <c r="AJ887" s="191"/>
      <c r="AK887" s="191"/>
      <c r="AL887" s="191"/>
    </row>
    <row r="888" spans="1:38" ht="12.75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  <c r="AA888" s="191"/>
      <c r="AB888" s="191"/>
      <c r="AC888" s="191"/>
      <c r="AD888" s="191"/>
      <c r="AE888" s="191"/>
      <c r="AF888" s="191"/>
      <c r="AG888" s="191"/>
      <c r="AH888" s="191"/>
      <c r="AI888" s="191"/>
      <c r="AJ888" s="191"/>
      <c r="AK888" s="191"/>
      <c r="AL888" s="191"/>
    </row>
    <row r="889" spans="1:38" ht="12.75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  <c r="AA889" s="191"/>
      <c r="AB889" s="191"/>
      <c r="AC889" s="191"/>
      <c r="AD889" s="191"/>
      <c r="AE889" s="191"/>
      <c r="AF889" s="191"/>
      <c r="AG889" s="191"/>
      <c r="AH889" s="191"/>
      <c r="AI889" s="191"/>
      <c r="AJ889" s="191"/>
      <c r="AK889" s="191"/>
      <c r="AL889" s="191"/>
    </row>
    <row r="890" spans="1:38" ht="12.75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</row>
    <row r="891" spans="1:38" ht="12.75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</row>
    <row r="892" spans="1:38" ht="12.75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</row>
    <row r="893" spans="1:38" ht="12.75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</row>
    <row r="894" spans="1:38" ht="12.75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</row>
    <row r="895" spans="1:38" ht="12.75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</row>
    <row r="896" spans="1:38" ht="12.75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</row>
    <row r="897" spans="1:38" ht="12.75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1"/>
      <c r="AF897" s="191"/>
      <c r="AG897" s="191"/>
      <c r="AH897" s="191"/>
      <c r="AI897" s="191"/>
      <c r="AJ897" s="191"/>
      <c r="AK897" s="191"/>
      <c r="AL897" s="191"/>
    </row>
    <row r="898" spans="1:38" ht="12.75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  <c r="AA898" s="191"/>
      <c r="AB898" s="191"/>
      <c r="AC898" s="191"/>
      <c r="AD898" s="191"/>
      <c r="AE898" s="191"/>
      <c r="AF898" s="191"/>
      <c r="AG898" s="191"/>
      <c r="AH898" s="191"/>
      <c r="AI898" s="191"/>
      <c r="AJ898" s="191"/>
      <c r="AK898" s="191"/>
      <c r="AL898" s="191"/>
    </row>
    <row r="899" spans="1:38" ht="12.75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  <c r="AA899" s="191"/>
      <c r="AB899" s="191"/>
      <c r="AC899" s="191"/>
      <c r="AD899" s="191"/>
      <c r="AE899" s="191"/>
      <c r="AF899" s="191"/>
      <c r="AG899" s="191"/>
      <c r="AH899" s="191"/>
      <c r="AI899" s="191"/>
      <c r="AJ899" s="191"/>
      <c r="AK899" s="191"/>
      <c r="AL899" s="191"/>
    </row>
    <row r="900" spans="1:38" ht="12.75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  <c r="AA900" s="191"/>
      <c r="AB900" s="191"/>
      <c r="AC900" s="191"/>
      <c r="AD900" s="191"/>
      <c r="AE900" s="191"/>
      <c r="AF900" s="191"/>
      <c r="AG900" s="191"/>
      <c r="AH900" s="191"/>
      <c r="AI900" s="191"/>
      <c r="AJ900" s="191"/>
      <c r="AK900" s="191"/>
      <c r="AL900" s="191"/>
    </row>
    <row r="901" spans="1:38" ht="12.75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  <c r="AA901" s="191"/>
      <c r="AB901" s="191"/>
      <c r="AC901" s="191"/>
      <c r="AD901" s="191"/>
      <c r="AE901" s="191"/>
      <c r="AF901" s="191"/>
      <c r="AG901" s="191"/>
      <c r="AH901" s="191"/>
      <c r="AI901" s="191"/>
      <c r="AJ901" s="191"/>
      <c r="AK901" s="191"/>
      <c r="AL901" s="191"/>
    </row>
    <row r="902" spans="1:38" ht="12.75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  <c r="AA902" s="191"/>
      <c r="AB902" s="191"/>
      <c r="AC902" s="191"/>
      <c r="AD902" s="191"/>
      <c r="AE902" s="191"/>
      <c r="AF902" s="191"/>
      <c r="AG902" s="191"/>
      <c r="AH902" s="191"/>
      <c r="AI902" s="191"/>
      <c r="AJ902" s="191"/>
      <c r="AK902" s="191"/>
      <c r="AL902" s="191"/>
    </row>
    <row r="903" spans="1:38" ht="12.75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  <c r="AA903" s="191"/>
      <c r="AB903" s="191"/>
      <c r="AC903" s="191"/>
      <c r="AD903" s="191"/>
      <c r="AE903" s="191"/>
      <c r="AF903" s="191"/>
      <c r="AG903" s="191"/>
      <c r="AH903" s="191"/>
      <c r="AI903" s="191"/>
      <c r="AJ903" s="191"/>
      <c r="AK903" s="191"/>
      <c r="AL903" s="191"/>
    </row>
    <row r="904" spans="1:38" ht="12.75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  <c r="AA904" s="191"/>
      <c r="AB904" s="191"/>
      <c r="AC904" s="191"/>
      <c r="AD904" s="191"/>
      <c r="AE904" s="191"/>
      <c r="AF904" s="191"/>
      <c r="AG904" s="191"/>
      <c r="AH904" s="191"/>
      <c r="AI904" s="191"/>
      <c r="AJ904" s="191"/>
      <c r="AK904" s="191"/>
      <c r="AL904" s="191"/>
    </row>
    <row r="905" spans="1:38" ht="12.75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  <c r="AA905" s="191"/>
      <c r="AB905" s="191"/>
      <c r="AC905" s="191"/>
      <c r="AD905" s="191"/>
      <c r="AE905" s="191"/>
      <c r="AF905" s="191"/>
      <c r="AG905" s="191"/>
      <c r="AH905" s="191"/>
      <c r="AI905" s="191"/>
      <c r="AJ905" s="191"/>
      <c r="AK905" s="191"/>
      <c r="AL905" s="191"/>
    </row>
    <row r="906" spans="1:38" ht="12.75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</row>
    <row r="907" spans="1:38" ht="12.75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</row>
    <row r="908" spans="1:38" ht="12.75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</row>
    <row r="909" spans="1:38" ht="12.75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</row>
    <row r="910" spans="1:38" ht="12.75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</row>
    <row r="911" spans="1:38" ht="12.75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</row>
    <row r="912" spans="1:38" ht="12.75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</row>
    <row r="913" spans="1:38" ht="12.75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</row>
    <row r="914" spans="1:38" ht="12.75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91"/>
      <c r="AF914" s="191"/>
      <c r="AG914" s="191"/>
      <c r="AH914" s="191"/>
      <c r="AI914" s="191"/>
      <c r="AJ914" s="191"/>
      <c r="AK914" s="191"/>
      <c r="AL914" s="191"/>
    </row>
    <row r="915" spans="1:38" ht="12.75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  <c r="AA915" s="191"/>
      <c r="AB915" s="191"/>
      <c r="AC915" s="191"/>
      <c r="AD915" s="191"/>
      <c r="AE915" s="191"/>
      <c r="AF915" s="191"/>
      <c r="AG915" s="191"/>
      <c r="AH915" s="191"/>
      <c r="AI915" s="191"/>
      <c r="AJ915" s="191"/>
      <c r="AK915" s="191"/>
      <c r="AL915" s="191"/>
    </row>
    <row r="916" spans="1:38" ht="12.75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  <c r="AA916" s="191"/>
      <c r="AB916" s="191"/>
      <c r="AC916" s="191"/>
      <c r="AD916" s="191"/>
      <c r="AE916" s="191"/>
      <c r="AF916" s="191"/>
      <c r="AG916" s="191"/>
      <c r="AH916" s="191"/>
      <c r="AI916" s="191"/>
      <c r="AJ916" s="191"/>
      <c r="AK916" s="191"/>
      <c r="AL916" s="191"/>
    </row>
    <row r="917" spans="1:38" ht="12.75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  <c r="AA917" s="191"/>
      <c r="AB917" s="191"/>
      <c r="AC917" s="191"/>
      <c r="AD917" s="191"/>
      <c r="AE917" s="191"/>
      <c r="AF917" s="191"/>
      <c r="AG917" s="191"/>
      <c r="AH917" s="191"/>
      <c r="AI917" s="191"/>
      <c r="AJ917" s="191"/>
      <c r="AK917" s="191"/>
      <c r="AL917" s="191"/>
    </row>
    <row r="918" spans="1:38" ht="12.75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  <c r="AA918" s="191"/>
      <c r="AB918" s="191"/>
      <c r="AC918" s="191"/>
      <c r="AD918" s="191"/>
      <c r="AE918" s="191"/>
      <c r="AF918" s="191"/>
      <c r="AG918" s="191"/>
      <c r="AH918" s="191"/>
      <c r="AI918" s="191"/>
      <c r="AJ918" s="191"/>
      <c r="AK918" s="191"/>
      <c r="AL918" s="191"/>
    </row>
    <row r="919" spans="1:38" ht="12.75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  <c r="AA919" s="191"/>
      <c r="AB919" s="191"/>
      <c r="AC919" s="191"/>
      <c r="AD919" s="191"/>
      <c r="AE919" s="191"/>
      <c r="AF919" s="191"/>
      <c r="AG919" s="191"/>
      <c r="AH919" s="191"/>
      <c r="AI919" s="191"/>
      <c r="AJ919" s="191"/>
      <c r="AK919" s="191"/>
      <c r="AL919" s="191"/>
    </row>
    <row r="920" spans="1:38" ht="12.75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  <c r="AA920" s="191"/>
      <c r="AB920" s="191"/>
      <c r="AC920" s="191"/>
      <c r="AD920" s="191"/>
      <c r="AE920" s="191"/>
      <c r="AF920" s="191"/>
      <c r="AG920" s="191"/>
      <c r="AH920" s="191"/>
      <c r="AI920" s="191"/>
      <c r="AJ920" s="191"/>
      <c r="AK920" s="191"/>
      <c r="AL920" s="191"/>
    </row>
    <row r="921" spans="1:38" ht="12.75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  <c r="AA921" s="191"/>
      <c r="AB921" s="191"/>
      <c r="AC921" s="191"/>
      <c r="AD921" s="191"/>
      <c r="AE921" s="191"/>
      <c r="AF921" s="191"/>
      <c r="AG921" s="191"/>
      <c r="AH921" s="191"/>
      <c r="AI921" s="191"/>
      <c r="AJ921" s="191"/>
      <c r="AK921" s="191"/>
      <c r="AL921" s="191"/>
    </row>
    <row r="922" spans="1:38" ht="12.75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  <c r="AA922" s="191"/>
      <c r="AB922" s="191"/>
      <c r="AC922" s="191"/>
      <c r="AD922" s="191"/>
      <c r="AE922" s="191"/>
      <c r="AF922" s="191"/>
      <c r="AG922" s="191"/>
      <c r="AH922" s="191"/>
      <c r="AI922" s="191"/>
      <c r="AJ922" s="191"/>
      <c r="AK922" s="191"/>
      <c r="AL922" s="191"/>
    </row>
    <row r="923" spans="1:38" ht="12.75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  <c r="AA923" s="191"/>
      <c r="AB923" s="191"/>
      <c r="AC923" s="191"/>
      <c r="AD923" s="191"/>
      <c r="AE923" s="191"/>
      <c r="AF923" s="191"/>
      <c r="AG923" s="191"/>
      <c r="AH923" s="191"/>
      <c r="AI923" s="191"/>
      <c r="AJ923" s="191"/>
      <c r="AK923" s="191"/>
      <c r="AL923" s="191"/>
    </row>
    <row r="924" spans="1:38" ht="12.75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</row>
    <row r="925" spans="1:38" ht="12.75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</row>
    <row r="926" spans="1:38" ht="12.75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</row>
    <row r="927" spans="1:38" ht="12.75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</row>
    <row r="928" spans="1:38" ht="12.75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</row>
    <row r="929" spans="1:38" ht="12.75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</row>
    <row r="930" spans="1:38" ht="12.75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</row>
    <row r="931" spans="1:38" ht="12.75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1"/>
      <c r="AF931" s="191"/>
      <c r="AG931" s="191"/>
      <c r="AH931" s="191"/>
      <c r="AI931" s="191"/>
      <c r="AJ931" s="191"/>
      <c r="AK931" s="191"/>
      <c r="AL931" s="191"/>
    </row>
    <row r="932" spans="1:38" ht="12.75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  <c r="AA932" s="191"/>
      <c r="AB932" s="191"/>
      <c r="AC932" s="191"/>
      <c r="AD932" s="191"/>
      <c r="AE932" s="191"/>
      <c r="AF932" s="191"/>
      <c r="AG932" s="191"/>
      <c r="AH932" s="191"/>
      <c r="AI932" s="191"/>
      <c r="AJ932" s="191"/>
      <c r="AK932" s="191"/>
      <c r="AL932" s="191"/>
    </row>
    <row r="933" spans="1:38" ht="12.75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  <c r="AA933" s="191"/>
      <c r="AB933" s="191"/>
      <c r="AC933" s="191"/>
      <c r="AD933" s="191"/>
      <c r="AE933" s="191"/>
      <c r="AF933" s="191"/>
      <c r="AG933" s="191"/>
      <c r="AH933" s="191"/>
      <c r="AI933" s="191"/>
      <c r="AJ933" s="191"/>
      <c r="AK933" s="191"/>
      <c r="AL933" s="191"/>
    </row>
    <row r="934" spans="1:38" ht="12.75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  <c r="AA934" s="191"/>
      <c r="AB934" s="191"/>
      <c r="AC934" s="191"/>
      <c r="AD934" s="191"/>
      <c r="AE934" s="191"/>
      <c r="AF934" s="191"/>
      <c r="AG934" s="191"/>
      <c r="AH934" s="191"/>
      <c r="AI934" s="191"/>
      <c r="AJ934" s="191"/>
      <c r="AK934" s="191"/>
      <c r="AL934" s="191"/>
    </row>
    <row r="935" spans="1:38" ht="12.75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  <c r="AA935" s="191"/>
      <c r="AB935" s="191"/>
      <c r="AC935" s="191"/>
      <c r="AD935" s="191"/>
      <c r="AE935" s="191"/>
      <c r="AF935" s="191"/>
      <c r="AG935" s="191"/>
      <c r="AH935" s="191"/>
      <c r="AI935" s="191"/>
      <c r="AJ935" s="191"/>
      <c r="AK935" s="191"/>
      <c r="AL935" s="191"/>
    </row>
    <row r="936" spans="1:38" ht="12.75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  <c r="AA936" s="191"/>
      <c r="AB936" s="191"/>
      <c r="AC936" s="191"/>
      <c r="AD936" s="191"/>
      <c r="AE936" s="191"/>
      <c r="AF936" s="191"/>
      <c r="AG936" s="191"/>
      <c r="AH936" s="191"/>
      <c r="AI936" s="191"/>
      <c r="AJ936" s="191"/>
      <c r="AK936" s="191"/>
      <c r="AL936" s="191"/>
    </row>
    <row r="937" spans="1:38" ht="12.75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  <c r="AA937" s="191"/>
      <c r="AB937" s="191"/>
      <c r="AC937" s="191"/>
      <c r="AD937" s="191"/>
      <c r="AE937" s="191"/>
      <c r="AF937" s="191"/>
      <c r="AG937" s="191"/>
      <c r="AH937" s="191"/>
      <c r="AI937" s="191"/>
      <c r="AJ937" s="191"/>
      <c r="AK937" s="191"/>
      <c r="AL937" s="191"/>
    </row>
    <row r="938" spans="1:38" ht="12.75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  <c r="AA938" s="191"/>
      <c r="AB938" s="191"/>
      <c r="AC938" s="191"/>
      <c r="AD938" s="191"/>
      <c r="AE938" s="191"/>
      <c r="AF938" s="191"/>
      <c r="AG938" s="191"/>
      <c r="AH938" s="191"/>
      <c r="AI938" s="191"/>
      <c r="AJ938" s="191"/>
      <c r="AK938" s="191"/>
      <c r="AL938" s="191"/>
    </row>
    <row r="939" spans="1:38" ht="12.75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  <c r="AA939" s="191"/>
      <c r="AB939" s="191"/>
      <c r="AC939" s="191"/>
      <c r="AD939" s="191"/>
      <c r="AE939" s="191"/>
      <c r="AF939" s="191"/>
      <c r="AG939" s="191"/>
      <c r="AH939" s="191"/>
      <c r="AI939" s="191"/>
      <c r="AJ939" s="191"/>
      <c r="AK939" s="191"/>
      <c r="AL939" s="191"/>
    </row>
    <row r="940" spans="1:38" ht="12.75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  <c r="AA940" s="191"/>
      <c r="AB940" s="191"/>
      <c r="AC940" s="191"/>
      <c r="AD940" s="191"/>
      <c r="AE940" s="191"/>
      <c r="AF940" s="191"/>
      <c r="AG940" s="191"/>
      <c r="AH940" s="191"/>
      <c r="AI940" s="191"/>
      <c r="AJ940" s="191"/>
      <c r="AK940" s="191"/>
      <c r="AL940" s="191"/>
    </row>
    <row r="941" spans="1:38" ht="12.75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  <c r="AA941" s="191"/>
      <c r="AB941" s="191"/>
      <c r="AC941" s="191"/>
      <c r="AD941" s="191"/>
      <c r="AE941" s="191"/>
      <c r="AF941" s="191"/>
      <c r="AG941" s="191"/>
      <c r="AH941" s="191"/>
      <c r="AI941" s="191"/>
      <c r="AJ941" s="191"/>
      <c r="AK941" s="191"/>
      <c r="AL941" s="191"/>
    </row>
    <row r="942" spans="1:38" ht="12.75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91"/>
      <c r="AF942" s="191"/>
      <c r="AG942" s="191"/>
      <c r="AH942" s="191"/>
      <c r="AI942" s="191"/>
      <c r="AJ942" s="191"/>
      <c r="AK942" s="191"/>
      <c r="AL942" s="191"/>
    </row>
    <row r="943" spans="1:38" ht="12.75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91"/>
      <c r="AF943" s="191"/>
      <c r="AG943" s="191"/>
      <c r="AH943" s="191"/>
      <c r="AI943" s="191"/>
      <c r="AJ943" s="191"/>
      <c r="AK943" s="191"/>
      <c r="AL943" s="191"/>
    </row>
    <row r="944" spans="1:38" ht="12.75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91"/>
      <c r="AF944" s="191"/>
      <c r="AG944" s="191"/>
      <c r="AH944" s="191"/>
      <c r="AI944" s="191"/>
      <c r="AJ944" s="191"/>
      <c r="AK944" s="191"/>
      <c r="AL944" s="191"/>
    </row>
    <row r="945" spans="1:38" ht="12.75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91"/>
      <c r="AF945" s="191"/>
      <c r="AG945" s="191"/>
      <c r="AH945" s="191"/>
      <c r="AI945" s="191"/>
      <c r="AJ945" s="191"/>
      <c r="AK945" s="191"/>
      <c r="AL945" s="191"/>
    </row>
    <row r="946" spans="1:38" ht="12.75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91"/>
      <c r="AF946" s="191"/>
      <c r="AG946" s="191"/>
      <c r="AH946" s="191"/>
      <c r="AI946" s="191"/>
      <c r="AJ946" s="191"/>
      <c r="AK946" s="191"/>
      <c r="AL946" s="191"/>
    </row>
    <row r="947" spans="1:38" ht="12.75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91"/>
      <c r="AF947" s="191"/>
      <c r="AG947" s="191"/>
      <c r="AH947" s="191"/>
      <c r="AI947" s="191"/>
      <c r="AJ947" s="191"/>
      <c r="AK947" s="191"/>
      <c r="AL947" s="191"/>
    </row>
    <row r="948" spans="1:38" ht="12.75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91"/>
      <c r="AF948" s="191"/>
      <c r="AG948" s="191"/>
      <c r="AH948" s="191"/>
      <c r="AI948" s="191"/>
      <c r="AJ948" s="191"/>
      <c r="AK948" s="191"/>
      <c r="AL948" s="191"/>
    </row>
    <row r="949" spans="1:38" ht="12.75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91"/>
      <c r="AF949" s="191"/>
      <c r="AG949" s="191"/>
      <c r="AH949" s="191"/>
      <c r="AI949" s="191"/>
      <c r="AJ949" s="191"/>
      <c r="AK949" s="191"/>
      <c r="AL949" s="191"/>
    </row>
    <row r="950" spans="1:38" ht="12.75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  <c r="AA950" s="191"/>
      <c r="AB950" s="191"/>
      <c r="AC950" s="191"/>
      <c r="AD950" s="191"/>
      <c r="AE950" s="191"/>
      <c r="AF950" s="191"/>
      <c r="AG950" s="191"/>
      <c r="AH950" s="191"/>
      <c r="AI950" s="191"/>
      <c r="AJ950" s="191"/>
      <c r="AK950" s="191"/>
      <c r="AL950" s="191"/>
    </row>
    <row r="951" spans="1:38" ht="12.75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  <c r="AA951" s="191"/>
      <c r="AB951" s="191"/>
      <c r="AC951" s="191"/>
      <c r="AD951" s="191"/>
      <c r="AE951" s="191"/>
      <c r="AF951" s="191"/>
      <c r="AG951" s="191"/>
      <c r="AH951" s="191"/>
      <c r="AI951" s="191"/>
      <c r="AJ951" s="191"/>
      <c r="AK951" s="191"/>
      <c r="AL951" s="191"/>
    </row>
    <row r="952" spans="1:38" ht="12.75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  <c r="AA952" s="191"/>
      <c r="AB952" s="191"/>
      <c r="AC952" s="191"/>
      <c r="AD952" s="191"/>
      <c r="AE952" s="191"/>
      <c r="AF952" s="191"/>
      <c r="AG952" s="191"/>
      <c r="AH952" s="191"/>
      <c r="AI952" s="191"/>
      <c r="AJ952" s="191"/>
      <c r="AK952" s="191"/>
      <c r="AL952" s="191"/>
    </row>
    <row r="953" spans="1:38" ht="12.75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  <c r="AA953" s="191"/>
      <c r="AB953" s="191"/>
      <c r="AC953" s="191"/>
      <c r="AD953" s="191"/>
      <c r="AE953" s="191"/>
      <c r="AF953" s="191"/>
      <c r="AG953" s="191"/>
      <c r="AH953" s="191"/>
      <c r="AI953" s="191"/>
      <c r="AJ953" s="191"/>
      <c r="AK953" s="191"/>
      <c r="AL953" s="191"/>
    </row>
    <row r="954" spans="1:38" ht="12.75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  <c r="AA954" s="191"/>
      <c r="AB954" s="191"/>
      <c r="AC954" s="191"/>
      <c r="AD954" s="191"/>
      <c r="AE954" s="191"/>
      <c r="AF954" s="191"/>
      <c r="AG954" s="191"/>
      <c r="AH954" s="191"/>
      <c r="AI954" s="191"/>
      <c r="AJ954" s="191"/>
      <c r="AK954" s="191"/>
      <c r="AL954" s="191"/>
    </row>
    <row r="955" spans="1:38" ht="12.75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  <c r="AA955" s="191"/>
      <c r="AB955" s="191"/>
      <c r="AC955" s="191"/>
      <c r="AD955" s="191"/>
      <c r="AE955" s="191"/>
      <c r="AF955" s="191"/>
      <c r="AG955" s="191"/>
      <c r="AH955" s="191"/>
      <c r="AI955" s="191"/>
      <c r="AJ955" s="191"/>
      <c r="AK955" s="191"/>
      <c r="AL955" s="191"/>
    </row>
    <row r="956" spans="1:38" ht="12.75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  <c r="AA956" s="191"/>
      <c r="AB956" s="191"/>
      <c r="AC956" s="191"/>
      <c r="AD956" s="191"/>
      <c r="AE956" s="191"/>
      <c r="AF956" s="191"/>
      <c r="AG956" s="191"/>
      <c r="AH956" s="191"/>
      <c r="AI956" s="191"/>
      <c r="AJ956" s="191"/>
      <c r="AK956" s="191"/>
      <c r="AL956" s="191"/>
    </row>
    <row r="957" spans="1:38" ht="12.75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  <c r="AA957" s="191"/>
      <c r="AB957" s="191"/>
      <c r="AC957" s="191"/>
      <c r="AD957" s="191"/>
      <c r="AE957" s="191"/>
      <c r="AF957" s="191"/>
      <c r="AG957" s="191"/>
      <c r="AH957" s="191"/>
      <c r="AI957" s="191"/>
      <c r="AJ957" s="191"/>
      <c r="AK957" s="191"/>
      <c r="AL957" s="191"/>
    </row>
    <row r="958" spans="1:38" ht="12.75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  <c r="AA958" s="191"/>
      <c r="AB958" s="191"/>
      <c r="AC958" s="191"/>
      <c r="AD958" s="191"/>
      <c r="AE958" s="191"/>
      <c r="AF958" s="191"/>
      <c r="AG958" s="191"/>
      <c r="AH958" s="191"/>
      <c r="AI958" s="191"/>
      <c r="AJ958" s="191"/>
      <c r="AK958" s="191"/>
      <c r="AL958" s="191"/>
    </row>
    <row r="959" spans="1:38" ht="12.75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  <c r="AA959" s="191"/>
      <c r="AB959" s="191"/>
      <c r="AC959" s="191"/>
      <c r="AD959" s="191"/>
      <c r="AE959" s="191"/>
      <c r="AF959" s="191"/>
      <c r="AG959" s="191"/>
      <c r="AH959" s="191"/>
      <c r="AI959" s="191"/>
      <c r="AJ959" s="191"/>
      <c r="AK959" s="191"/>
      <c r="AL959" s="191"/>
    </row>
    <row r="960" spans="1:38" ht="12.75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  <c r="AA960" s="191"/>
      <c r="AB960" s="191"/>
      <c r="AC960" s="191"/>
      <c r="AD960" s="191"/>
      <c r="AE960" s="191"/>
      <c r="AF960" s="191"/>
      <c r="AG960" s="191"/>
      <c r="AH960" s="191"/>
      <c r="AI960" s="191"/>
      <c r="AJ960" s="191"/>
      <c r="AK960" s="191"/>
      <c r="AL960" s="191"/>
    </row>
    <row r="961" spans="1:38" ht="12.75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  <c r="AA961" s="191"/>
      <c r="AB961" s="191"/>
      <c r="AC961" s="191"/>
      <c r="AD961" s="191"/>
      <c r="AE961" s="191"/>
      <c r="AF961" s="191"/>
      <c r="AG961" s="191"/>
      <c r="AH961" s="191"/>
      <c r="AI961" s="191"/>
      <c r="AJ961" s="191"/>
      <c r="AK961" s="191"/>
      <c r="AL961" s="191"/>
    </row>
    <row r="962" spans="1:38" ht="12.75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  <c r="AA962" s="191"/>
      <c r="AB962" s="191"/>
      <c r="AC962" s="191"/>
      <c r="AD962" s="191"/>
      <c r="AE962" s="191"/>
      <c r="AF962" s="191"/>
      <c r="AG962" s="191"/>
      <c r="AH962" s="191"/>
      <c r="AI962" s="191"/>
      <c r="AJ962" s="191"/>
      <c r="AK962" s="191"/>
      <c r="AL962" s="191"/>
    </row>
    <row r="963" spans="1:38" ht="12.75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  <c r="AA963" s="191"/>
      <c r="AB963" s="191"/>
      <c r="AC963" s="191"/>
      <c r="AD963" s="191"/>
      <c r="AE963" s="191"/>
      <c r="AF963" s="191"/>
      <c r="AG963" s="191"/>
      <c r="AH963" s="191"/>
      <c r="AI963" s="191"/>
      <c r="AJ963" s="191"/>
      <c r="AK963" s="191"/>
      <c r="AL963" s="191"/>
    </row>
    <row r="964" spans="1:38" ht="12.75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  <c r="AA964" s="191"/>
      <c r="AB964" s="191"/>
      <c r="AC964" s="191"/>
      <c r="AD964" s="191"/>
      <c r="AE964" s="191"/>
      <c r="AF964" s="191"/>
      <c r="AG964" s="191"/>
      <c r="AH964" s="191"/>
      <c r="AI964" s="191"/>
      <c r="AJ964" s="191"/>
      <c r="AK964" s="191"/>
      <c r="AL964" s="191"/>
    </row>
    <row r="965" spans="1:38" ht="12.75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  <c r="AA965" s="191"/>
      <c r="AB965" s="191"/>
      <c r="AC965" s="191"/>
      <c r="AD965" s="191"/>
      <c r="AE965" s="191"/>
      <c r="AF965" s="191"/>
      <c r="AG965" s="191"/>
      <c r="AH965" s="191"/>
      <c r="AI965" s="191"/>
      <c r="AJ965" s="191"/>
      <c r="AK965" s="191"/>
      <c r="AL965" s="191"/>
    </row>
    <row r="966" spans="1:38" ht="12.75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  <c r="AA966" s="191"/>
      <c r="AB966" s="191"/>
      <c r="AC966" s="191"/>
      <c r="AD966" s="191"/>
      <c r="AE966" s="191"/>
      <c r="AF966" s="191"/>
      <c r="AG966" s="191"/>
      <c r="AH966" s="191"/>
      <c r="AI966" s="191"/>
      <c r="AJ966" s="191"/>
      <c r="AK966" s="191"/>
      <c r="AL966" s="191"/>
    </row>
    <row r="967" spans="1:38" ht="12.75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  <c r="AA967" s="191"/>
      <c r="AB967" s="191"/>
      <c r="AC967" s="191"/>
      <c r="AD967" s="191"/>
      <c r="AE967" s="191"/>
      <c r="AF967" s="191"/>
      <c r="AG967" s="191"/>
      <c r="AH967" s="191"/>
      <c r="AI967" s="191"/>
      <c r="AJ967" s="191"/>
      <c r="AK967" s="191"/>
      <c r="AL967" s="191"/>
    </row>
    <row r="968" spans="1:38" ht="12.75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  <c r="AA968" s="191"/>
      <c r="AB968" s="191"/>
      <c r="AC968" s="191"/>
      <c r="AD968" s="191"/>
      <c r="AE968" s="191"/>
      <c r="AF968" s="191"/>
      <c r="AG968" s="191"/>
      <c r="AH968" s="191"/>
      <c r="AI968" s="191"/>
      <c r="AJ968" s="191"/>
      <c r="AK968" s="191"/>
      <c r="AL968" s="191"/>
    </row>
    <row r="969" spans="1:38" ht="12.75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  <c r="AA969" s="191"/>
      <c r="AB969" s="191"/>
      <c r="AC969" s="191"/>
      <c r="AD969" s="191"/>
      <c r="AE969" s="191"/>
      <c r="AF969" s="191"/>
      <c r="AG969" s="191"/>
      <c r="AH969" s="191"/>
      <c r="AI969" s="191"/>
      <c r="AJ969" s="191"/>
      <c r="AK969" s="191"/>
      <c r="AL969" s="191"/>
    </row>
    <row r="970" spans="1:38" ht="12.75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  <c r="AA970" s="191"/>
      <c r="AB970" s="191"/>
      <c r="AC970" s="191"/>
      <c r="AD970" s="191"/>
      <c r="AE970" s="191"/>
      <c r="AF970" s="191"/>
      <c r="AG970" s="191"/>
      <c r="AH970" s="191"/>
      <c r="AI970" s="191"/>
      <c r="AJ970" s="191"/>
      <c r="AK970" s="191"/>
      <c r="AL970" s="191"/>
    </row>
    <row r="971" spans="1:38" ht="12.75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  <c r="AA971" s="191"/>
      <c r="AB971" s="191"/>
      <c r="AC971" s="191"/>
      <c r="AD971" s="191"/>
      <c r="AE971" s="191"/>
      <c r="AF971" s="191"/>
      <c r="AG971" s="191"/>
      <c r="AH971" s="191"/>
      <c r="AI971" s="191"/>
      <c r="AJ971" s="191"/>
      <c r="AK971" s="191"/>
      <c r="AL971" s="191"/>
    </row>
    <row r="972" spans="1:38" ht="12.75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  <c r="AA972" s="191"/>
      <c r="AB972" s="191"/>
      <c r="AC972" s="191"/>
      <c r="AD972" s="191"/>
      <c r="AE972" s="191"/>
      <c r="AF972" s="191"/>
      <c r="AG972" s="191"/>
      <c r="AH972" s="191"/>
      <c r="AI972" s="191"/>
      <c r="AJ972" s="191"/>
      <c r="AK972" s="191"/>
      <c r="AL972" s="191"/>
    </row>
    <row r="973" spans="1:38" ht="12.75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  <c r="AA973" s="191"/>
      <c r="AB973" s="191"/>
      <c r="AC973" s="191"/>
      <c r="AD973" s="191"/>
      <c r="AE973" s="191"/>
      <c r="AF973" s="191"/>
      <c r="AG973" s="191"/>
      <c r="AH973" s="191"/>
      <c r="AI973" s="191"/>
      <c r="AJ973" s="191"/>
      <c r="AK973" s="191"/>
      <c r="AL973" s="191"/>
    </row>
    <row r="974" spans="1:38" ht="12.75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  <c r="AA974" s="191"/>
      <c r="AB974" s="191"/>
      <c r="AC974" s="191"/>
      <c r="AD974" s="191"/>
      <c r="AE974" s="191"/>
      <c r="AF974" s="191"/>
      <c r="AG974" s="191"/>
      <c r="AH974" s="191"/>
      <c r="AI974" s="191"/>
      <c r="AJ974" s="191"/>
      <c r="AK974" s="191"/>
      <c r="AL974" s="191"/>
    </row>
    <row r="975" spans="1:38" ht="12.75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  <c r="AA975" s="191"/>
      <c r="AB975" s="191"/>
      <c r="AC975" s="191"/>
      <c r="AD975" s="191"/>
      <c r="AE975" s="191"/>
      <c r="AF975" s="191"/>
      <c r="AG975" s="191"/>
      <c r="AH975" s="191"/>
      <c r="AI975" s="191"/>
      <c r="AJ975" s="191"/>
      <c r="AK975" s="191"/>
      <c r="AL975" s="191"/>
    </row>
    <row r="976" spans="1:38" ht="12.75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  <c r="AA976" s="191"/>
      <c r="AB976" s="191"/>
      <c r="AC976" s="191"/>
      <c r="AD976" s="191"/>
      <c r="AE976" s="191"/>
      <c r="AF976" s="191"/>
      <c r="AG976" s="191"/>
      <c r="AH976" s="191"/>
      <c r="AI976" s="191"/>
      <c r="AJ976" s="191"/>
      <c r="AK976" s="191"/>
      <c r="AL976" s="191"/>
    </row>
    <row r="977" spans="1:38" ht="12.75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  <c r="AA977" s="191"/>
      <c r="AB977" s="191"/>
      <c r="AC977" s="191"/>
      <c r="AD977" s="191"/>
      <c r="AE977" s="191"/>
      <c r="AF977" s="191"/>
      <c r="AG977" s="191"/>
      <c r="AH977" s="191"/>
      <c r="AI977" s="191"/>
      <c r="AJ977" s="191"/>
      <c r="AK977" s="191"/>
      <c r="AL977" s="191"/>
    </row>
    <row r="978" spans="1:38" ht="12.75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  <c r="AA978" s="191"/>
      <c r="AB978" s="191"/>
      <c r="AC978" s="191"/>
      <c r="AD978" s="191"/>
      <c r="AE978" s="191"/>
      <c r="AF978" s="191"/>
      <c r="AG978" s="191"/>
      <c r="AH978" s="191"/>
      <c r="AI978" s="191"/>
      <c r="AJ978" s="191"/>
      <c r="AK978" s="191"/>
      <c r="AL978" s="191"/>
    </row>
    <row r="979" spans="1:38" ht="12.75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  <c r="AA979" s="191"/>
      <c r="AB979" s="191"/>
      <c r="AC979" s="191"/>
      <c r="AD979" s="191"/>
      <c r="AE979" s="191"/>
      <c r="AF979" s="191"/>
      <c r="AG979" s="191"/>
      <c r="AH979" s="191"/>
      <c r="AI979" s="191"/>
      <c r="AJ979" s="191"/>
      <c r="AK979" s="191"/>
      <c r="AL979" s="191"/>
    </row>
    <row r="980" spans="1:38" ht="12.75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  <c r="AA980" s="191"/>
      <c r="AB980" s="191"/>
      <c r="AC980" s="191"/>
      <c r="AD980" s="191"/>
      <c r="AE980" s="191"/>
      <c r="AF980" s="191"/>
      <c r="AG980" s="191"/>
      <c r="AH980" s="191"/>
      <c r="AI980" s="191"/>
      <c r="AJ980" s="191"/>
      <c r="AK980" s="191"/>
      <c r="AL980" s="191"/>
    </row>
    <row r="981" spans="1:38" ht="12.75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  <c r="AA981" s="191"/>
      <c r="AB981" s="191"/>
      <c r="AC981" s="191"/>
      <c r="AD981" s="191"/>
      <c r="AE981" s="191"/>
      <c r="AF981" s="191"/>
      <c r="AG981" s="191"/>
      <c r="AH981" s="191"/>
      <c r="AI981" s="191"/>
      <c r="AJ981" s="191"/>
      <c r="AK981" s="191"/>
      <c r="AL981" s="191"/>
    </row>
    <row r="982" spans="1:38" ht="12.75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  <c r="AA982" s="191"/>
      <c r="AB982" s="191"/>
      <c r="AC982" s="191"/>
      <c r="AD982" s="191"/>
      <c r="AE982" s="191"/>
      <c r="AF982" s="191"/>
      <c r="AG982" s="191"/>
      <c r="AH982" s="191"/>
      <c r="AI982" s="191"/>
      <c r="AJ982" s="191"/>
      <c r="AK982" s="191"/>
      <c r="AL982" s="191"/>
    </row>
    <row r="983" spans="1:38" ht="12.75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  <c r="AA983" s="191"/>
      <c r="AB983" s="191"/>
      <c r="AC983" s="191"/>
      <c r="AD983" s="191"/>
      <c r="AE983" s="191"/>
      <c r="AF983" s="191"/>
      <c r="AG983" s="191"/>
      <c r="AH983" s="191"/>
      <c r="AI983" s="191"/>
      <c r="AJ983" s="191"/>
      <c r="AK983" s="191"/>
      <c r="AL983" s="191"/>
    </row>
    <row r="984" spans="1:38" ht="12.75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  <c r="AA984" s="191"/>
      <c r="AB984" s="191"/>
      <c r="AC984" s="191"/>
      <c r="AD984" s="191"/>
      <c r="AE984" s="191"/>
      <c r="AF984" s="191"/>
      <c r="AG984" s="191"/>
      <c r="AH984" s="191"/>
      <c r="AI984" s="191"/>
      <c r="AJ984" s="191"/>
      <c r="AK984" s="191"/>
      <c r="AL984" s="191"/>
    </row>
    <row r="985" spans="1:38" ht="12.75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  <c r="AA985" s="191"/>
      <c r="AB985" s="191"/>
      <c r="AC985" s="191"/>
      <c r="AD985" s="191"/>
      <c r="AE985" s="191"/>
      <c r="AF985" s="191"/>
      <c r="AG985" s="191"/>
      <c r="AH985" s="191"/>
      <c r="AI985" s="191"/>
      <c r="AJ985" s="191"/>
      <c r="AK985" s="191"/>
      <c r="AL985" s="191"/>
    </row>
    <row r="986" spans="1:38" ht="12.75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  <c r="AA986" s="191"/>
      <c r="AB986" s="191"/>
      <c r="AC986" s="191"/>
      <c r="AD986" s="191"/>
      <c r="AE986" s="191"/>
      <c r="AF986" s="191"/>
      <c r="AG986" s="191"/>
      <c r="AH986" s="191"/>
      <c r="AI986" s="191"/>
      <c r="AJ986" s="191"/>
      <c r="AK986" s="191"/>
      <c r="AL986" s="191"/>
    </row>
    <row r="987" spans="1:38" ht="12.75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  <c r="AA987" s="191"/>
      <c r="AB987" s="191"/>
      <c r="AC987" s="191"/>
      <c r="AD987" s="191"/>
      <c r="AE987" s="191"/>
      <c r="AF987" s="191"/>
      <c r="AG987" s="191"/>
      <c r="AH987" s="191"/>
      <c r="AI987" s="191"/>
      <c r="AJ987" s="191"/>
      <c r="AK987" s="191"/>
      <c r="AL987" s="191"/>
    </row>
    <row r="988" spans="1:38" ht="12.75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  <c r="AA988" s="191"/>
      <c r="AB988" s="191"/>
      <c r="AC988" s="191"/>
      <c r="AD988" s="191"/>
      <c r="AE988" s="191"/>
      <c r="AF988" s="191"/>
      <c r="AG988" s="191"/>
      <c r="AH988" s="191"/>
      <c r="AI988" s="191"/>
      <c r="AJ988" s="191"/>
      <c r="AK988" s="191"/>
      <c r="AL988" s="191"/>
    </row>
    <row r="989" spans="1:38" ht="12.75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  <c r="AA989" s="191"/>
      <c r="AB989" s="191"/>
      <c r="AC989" s="191"/>
      <c r="AD989" s="191"/>
      <c r="AE989" s="191"/>
      <c r="AF989" s="191"/>
      <c r="AG989" s="191"/>
      <c r="AH989" s="191"/>
      <c r="AI989" s="191"/>
      <c r="AJ989" s="191"/>
      <c r="AK989" s="191"/>
      <c r="AL989" s="191"/>
    </row>
    <row r="990" spans="1:38" ht="12.75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  <c r="AA990" s="191"/>
      <c r="AB990" s="191"/>
      <c r="AC990" s="191"/>
      <c r="AD990" s="191"/>
      <c r="AE990" s="191"/>
      <c r="AF990" s="191"/>
      <c r="AG990" s="191"/>
      <c r="AH990" s="191"/>
      <c r="AI990" s="191"/>
      <c r="AJ990" s="191"/>
      <c r="AK990" s="191"/>
      <c r="AL990" s="191"/>
    </row>
    <row r="991" spans="1:38" ht="12.75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  <c r="AA991" s="191"/>
      <c r="AB991" s="191"/>
      <c r="AC991" s="191"/>
      <c r="AD991" s="191"/>
      <c r="AE991" s="191"/>
      <c r="AF991" s="191"/>
      <c r="AG991" s="191"/>
      <c r="AH991" s="191"/>
      <c r="AI991" s="191"/>
      <c r="AJ991" s="191"/>
      <c r="AK991" s="191"/>
      <c r="AL991" s="191"/>
    </row>
    <row r="992" spans="1:38" ht="12.75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191"/>
      <c r="AF992" s="191"/>
      <c r="AG992" s="191"/>
      <c r="AH992" s="191"/>
      <c r="AI992" s="191"/>
      <c r="AJ992" s="191"/>
      <c r="AK992" s="191"/>
      <c r="AL992" s="191"/>
    </row>
    <row r="993" spans="1:38" ht="12.75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  <c r="AA993" s="191"/>
      <c r="AB993" s="191"/>
      <c r="AC993" s="191"/>
      <c r="AD993" s="191"/>
      <c r="AE993" s="191"/>
      <c r="AF993" s="191"/>
      <c r="AG993" s="191"/>
      <c r="AH993" s="191"/>
      <c r="AI993" s="191"/>
      <c r="AJ993" s="191"/>
      <c r="AK993" s="191"/>
      <c r="AL993" s="191"/>
    </row>
    <row r="994" spans="1:38" ht="12.75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191"/>
      <c r="AF994" s="191"/>
      <c r="AG994" s="191"/>
      <c r="AH994" s="191"/>
      <c r="AI994" s="191"/>
      <c r="AJ994" s="191"/>
      <c r="AK994" s="191"/>
      <c r="AL994" s="191"/>
    </row>
    <row r="995" spans="1:38" ht="12.75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191"/>
      <c r="AF995" s="191"/>
      <c r="AG995" s="191"/>
      <c r="AH995" s="191"/>
      <c r="AI995" s="191"/>
      <c r="AJ995" s="191"/>
      <c r="AK995" s="191"/>
      <c r="AL995" s="191"/>
    </row>
    <row r="996" spans="1:38" ht="12.75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91"/>
      <c r="AF996" s="191"/>
      <c r="AG996" s="191"/>
      <c r="AH996" s="191"/>
      <c r="AI996" s="191"/>
      <c r="AJ996" s="191"/>
      <c r="AK996" s="191"/>
      <c r="AL996" s="191"/>
    </row>
    <row r="997" spans="1:38" ht="12.75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91"/>
      <c r="AF997" s="191"/>
      <c r="AG997" s="191"/>
      <c r="AH997" s="191"/>
      <c r="AI997" s="191"/>
      <c r="AJ997" s="191"/>
      <c r="AK997" s="191"/>
      <c r="AL997" s="191"/>
    </row>
    <row r="998" spans="1:38" ht="12.75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91"/>
      <c r="AF998" s="191"/>
      <c r="AG998" s="191"/>
      <c r="AH998" s="191"/>
      <c r="AI998" s="191"/>
      <c r="AJ998" s="191"/>
      <c r="AK998" s="191"/>
      <c r="AL998" s="191"/>
    </row>
    <row r="999" spans="1:38" ht="12.75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91"/>
      <c r="AF999" s="191"/>
      <c r="AG999" s="191"/>
      <c r="AH999" s="191"/>
      <c r="AI999" s="191"/>
      <c r="AJ999" s="191"/>
      <c r="AK999" s="191"/>
      <c r="AL999" s="191"/>
    </row>
    <row r="1000" spans="1:38" ht="12.75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  <c r="AD1000" s="191"/>
      <c r="AE1000" s="191"/>
      <c r="AF1000" s="191"/>
      <c r="AG1000" s="191"/>
      <c r="AH1000" s="191"/>
      <c r="AI1000" s="191"/>
      <c r="AJ1000" s="191"/>
      <c r="AK1000" s="191"/>
      <c r="AL1000" s="191"/>
    </row>
    <row r="1001" spans="1:38" ht="12.75">
      <c r="A1001" s="191"/>
      <c r="B1001" s="191"/>
      <c r="C1001" s="191"/>
      <c r="D1001" s="191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  <c r="AA1001" s="191"/>
      <c r="AB1001" s="191"/>
      <c r="AC1001" s="191"/>
      <c r="AD1001" s="191"/>
      <c r="AE1001" s="191"/>
      <c r="AF1001" s="191"/>
      <c r="AG1001" s="191"/>
      <c r="AH1001" s="191"/>
      <c r="AI1001" s="191"/>
      <c r="AJ1001" s="191"/>
      <c r="AK1001" s="191"/>
      <c r="AL1001" s="191"/>
    </row>
    <row r="1002" spans="1:38" ht="12.75">
      <c r="A1002" s="191"/>
      <c r="B1002" s="191"/>
      <c r="C1002" s="191"/>
      <c r="D1002" s="191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  <c r="AA1002" s="191"/>
      <c r="AB1002" s="191"/>
      <c r="AC1002" s="191"/>
      <c r="AD1002" s="191"/>
      <c r="AE1002" s="191"/>
      <c r="AF1002" s="191"/>
      <c r="AG1002" s="191"/>
      <c r="AH1002" s="191"/>
      <c r="AI1002" s="191"/>
      <c r="AJ1002" s="191"/>
      <c r="AK1002" s="191"/>
      <c r="AL1002" s="191"/>
    </row>
  </sheetData>
  <mergeCells count="5">
    <mergeCell ref="B2:F2"/>
    <mergeCell ref="H2:J2"/>
    <mergeCell ref="M2:Q2"/>
    <mergeCell ref="S2:V2"/>
    <mergeCell ref="B15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6"/>
  <sheetViews>
    <sheetView workbookViewId="0"/>
  </sheetViews>
  <sheetFormatPr defaultColWidth="14.42578125" defaultRowHeight="15.75" customHeight="1"/>
  <sheetData>
    <row r="2" spans="1:1" ht="15.75" customHeight="1">
      <c r="A2" s="122" t="s">
        <v>113</v>
      </c>
    </row>
    <row r="3" spans="1:1" ht="15.75" customHeight="1">
      <c r="A3" s="122" t="s">
        <v>114</v>
      </c>
    </row>
    <row r="5" spans="1:1" ht="15.75" customHeight="1">
      <c r="A5" s="122" t="s">
        <v>115</v>
      </c>
    </row>
    <row r="6" spans="1:1" ht="15.75" customHeight="1">
      <c r="A6" s="122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9"/>
  <sheetViews>
    <sheetView workbookViewId="0"/>
  </sheetViews>
  <sheetFormatPr defaultColWidth="14.42578125" defaultRowHeight="15.75" customHeight="1"/>
  <sheetData>
    <row r="1" spans="1:13" ht="15.75" customHeight="1">
      <c r="A1" s="232">
        <v>20.18</v>
      </c>
      <c r="B1" s="122"/>
      <c r="C1" s="122"/>
      <c r="D1" s="122"/>
      <c r="F1" s="232">
        <v>20.190000000000001</v>
      </c>
      <c r="G1" s="122"/>
      <c r="H1" s="122"/>
    </row>
    <row r="2" spans="1:13" ht="15.75" customHeight="1">
      <c r="A2" s="232"/>
      <c r="B2" s="122"/>
      <c r="C2" s="122" t="s">
        <v>117</v>
      </c>
      <c r="D2" s="122" t="s">
        <v>118</v>
      </c>
      <c r="F2" s="232"/>
      <c r="G2" s="122"/>
      <c r="H2" s="122" t="s">
        <v>117</v>
      </c>
      <c r="I2" s="122" t="s">
        <v>77</v>
      </c>
      <c r="J2" s="122" t="s">
        <v>119</v>
      </c>
      <c r="K2" s="122" t="s">
        <v>120</v>
      </c>
    </row>
    <row r="3" spans="1:13" ht="15.75" customHeight="1">
      <c r="A3" s="232">
        <v>0.3</v>
      </c>
      <c r="B3" s="122" t="s">
        <v>26</v>
      </c>
      <c r="C3" s="232">
        <v>0.25</v>
      </c>
      <c r="D3" s="232">
        <v>0.05</v>
      </c>
      <c r="F3" s="233">
        <v>0.378</v>
      </c>
      <c r="G3" s="122" t="s">
        <v>26</v>
      </c>
      <c r="H3" s="233">
        <v>0.378</v>
      </c>
      <c r="I3" s="233">
        <v>0.57999999999999996</v>
      </c>
      <c r="J3" s="122">
        <v>1</v>
      </c>
      <c r="K3" s="122" t="s">
        <v>121</v>
      </c>
      <c r="L3" s="122">
        <v>40</v>
      </c>
      <c r="M3" s="122">
        <v>45</v>
      </c>
    </row>
    <row r="4" spans="1:13" ht="15.75" customHeight="1">
      <c r="A4" s="232">
        <v>0.15</v>
      </c>
      <c r="B4" s="122" t="s">
        <v>122</v>
      </c>
      <c r="C4" s="232">
        <v>0.15</v>
      </c>
      <c r="D4" s="232">
        <v>0</v>
      </c>
      <c r="F4" s="233">
        <v>0.1076</v>
      </c>
      <c r="G4" s="122" t="s">
        <v>122</v>
      </c>
      <c r="H4" s="233">
        <v>0.1076</v>
      </c>
      <c r="I4" s="233">
        <v>0.01</v>
      </c>
      <c r="J4" s="122">
        <v>4</v>
      </c>
      <c r="K4" s="233">
        <v>0.05</v>
      </c>
      <c r="L4" s="122">
        <v>5</v>
      </c>
      <c r="M4" s="122">
        <v>5</v>
      </c>
    </row>
    <row r="5" spans="1:13" ht="15.75" customHeight="1">
      <c r="A5" s="232">
        <v>0.25</v>
      </c>
      <c r="B5" s="122" t="s">
        <v>25</v>
      </c>
      <c r="C5" s="232">
        <v>0.25</v>
      </c>
      <c r="D5" s="232">
        <v>0</v>
      </c>
      <c r="F5" s="233">
        <v>0.16320000000000001</v>
      </c>
      <c r="G5" s="122" t="s">
        <v>25</v>
      </c>
      <c r="H5" s="233">
        <v>0.16320000000000001</v>
      </c>
      <c r="I5" s="234">
        <v>0.21</v>
      </c>
      <c r="J5" s="235">
        <v>2</v>
      </c>
      <c r="K5" s="122" t="s">
        <v>123</v>
      </c>
      <c r="L5" s="122">
        <v>16</v>
      </c>
      <c r="M5" s="122">
        <v>21</v>
      </c>
    </row>
    <row r="6" spans="1:13" ht="15.75" customHeight="1">
      <c r="A6" s="232">
        <v>0.3</v>
      </c>
      <c r="B6" s="122" t="s">
        <v>22</v>
      </c>
      <c r="C6" s="232">
        <v>0.3</v>
      </c>
      <c r="D6" s="232">
        <v>0</v>
      </c>
      <c r="F6" s="233">
        <v>0.16769999999999999</v>
      </c>
      <c r="G6" s="122" t="s">
        <v>22</v>
      </c>
      <c r="H6" s="233">
        <v>0.16769999999999999</v>
      </c>
      <c r="I6" s="233">
        <v>0.19</v>
      </c>
      <c r="J6" s="122">
        <v>3</v>
      </c>
      <c r="K6" s="122" t="s">
        <v>124</v>
      </c>
      <c r="L6" s="122">
        <v>17</v>
      </c>
      <c r="M6" s="122">
        <v>23</v>
      </c>
    </row>
    <row r="7" spans="1:13" ht="15.75" customHeight="1">
      <c r="C7" s="232">
        <v>0.95</v>
      </c>
      <c r="D7" s="232">
        <v>0.05</v>
      </c>
      <c r="G7" s="122" t="s">
        <v>39</v>
      </c>
      <c r="H7" s="233">
        <v>0.09</v>
      </c>
      <c r="K7" s="233">
        <v>0.09</v>
      </c>
      <c r="L7" s="122">
        <v>9</v>
      </c>
      <c r="M7" s="122">
        <v>9</v>
      </c>
    </row>
    <row r="8" spans="1:13" ht="15.75" customHeight="1">
      <c r="G8" s="122" t="s">
        <v>125</v>
      </c>
      <c r="H8" s="233">
        <v>0.1</v>
      </c>
      <c r="I8" s="233">
        <v>0.01</v>
      </c>
      <c r="K8" s="122" t="s">
        <v>126</v>
      </c>
    </row>
    <row r="9" spans="1:13" ht="15.75" customHeight="1">
      <c r="H9" s="232">
        <f>SUM(H3:H8)</f>
        <v>1.0065</v>
      </c>
      <c r="I9" s="2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URETF Portfolio</vt:lpstr>
      <vt:lpstr>Sheet5</vt:lpstr>
      <vt:lpstr>Performance since 2016</vt:lpstr>
      <vt:lpstr>Performance B</vt:lpstr>
      <vt:lpstr>Wt Price</vt:lpstr>
      <vt:lpstr>Notes</vt:lpstr>
      <vt:lpstr>Region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Gasgarth</cp:lastModifiedBy>
  <dcterms:modified xsi:type="dcterms:W3CDTF">2022-01-13T03:30:51Z</dcterms:modified>
</cp:coreProperties>
</file>