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91eefa2be72323c/Desktop/Gambling/"/>
    </mc:Choice>
  </mc:AlternateContent>
  <xr:revisionPtr revIDLastSave="311" documentId="13_ncr:1_{7C7BB9EA-CB5E-4AE3-A93F-419ED14D7E90}" xr6:coauthVersionLast="47" xr6:coauthVersionMax="47" xr10:uidLastSave="{55C845C8-11D0-43AB-BA83-61B2A1B1D96B}"/>
  <bookViews>
    <workbookView xWindow="-108" yWindow="-108" windowWidth="23256" windowHeight="12456" activeTab="1" xr2:uid="{00000000-000D-0000-FFFF-FFFF00000000}"/>
  </bookViews>
  <sheets>
    <sheet name="Sheet2 - Match predictions" sheetId="7" r:id="rId1"/>
    <sheet name="Ducthing" sheetId="14" r:id="rId2"/>
    <sheet name="Betting Log" sheetId="16" r:id="rId3"/>
    <sheet name="Daily Prediction %" sheetId="17" r:id="rId4"/>
    <sheet name="Compound" sheetId="18" r:id="rId5"/>
  </sheets>
  <definedNames>
    <definedName name="_xlnm._FilterDatabase" localSheetId="0" hidden="1">'Sheet2 - Match predictions'!$J$6:$T$16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4" l="1"/>
  <c r="D8" i="14" s="1"/>
  <c r="C7" i="14"/>
  <c r="D7" i="14" s="1"/>
  <c r="B1" i="14"/>
  <c r="F2" i="14" s="1"/>
  <c r="B20" i="14"/>
  <c r="C5" i="14"/>
  <c r="C4" i="14"/>
  <c r="D18" i="7"/>
  <c r="D17" i="7"/>
  <c r="C6" i="14"/>
  <c r="D16" i="7"/>
  <c r="D15" i="7"/>
  <c r="D14" i="7"/>
  <c r="D13" i="7"/>
  <c r="B2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C2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D67" i="18"/>
  <c r="D65" i="18"/>
  <c r="D66" i="18"/>
  <c r="C3" i="17"/>
  <c r="F2" i="16"/>
  <c r="F3" i="16"/>
  <c r="F4" i="16"/>
  <c r="F5" i="16"/>
  <c r="F6" i="16"/>
  <c r="F7" i="16"/>
  <c r="F8" i="16"/>
  <c r="F9" i="16"/>
  <c r="H9" i="16" s="1"/>
  <c r="F10" i="16"/>
  <c r="H10" i="16" s="1"/>
  <c r="F11" i="16"/>
  <c r="F12" i="16"/>
  <c r="F13" i="16"/>
  <c r="F14" i="16"/>
  <c r="F15" i="16"/>
  <c r="F16" i="16"/>
  <c r="H15" i="16"/>
  <c r="H16" i="16"/>
  <c r="H14" i="16"/>
  <c r="H13" i="16"/>
  <c r="H12" i="16"/>
  <c r="H11" i="16"/>
  <c r="H2" i="16"/>
  <c r="H3" i="16"/>
  <c r="H4" i="16"/>
  <c r="H5" i="16"/>
  <c r="H6" i="16"/>
  <c r="H7" i="16"/>
  <c r="H8" i="16"/>
  <c r="B9" i="14" l="1"/>
  <c r="C9" i="14"/>
  <c r="E7" i="14" s="1"/>
  <c r="F7" i="14" s="1"/>
  <c r="E67" i="18"/>
  <c r="D3" i="18"/>
  <c r="D2" i="18"/>
  <c r="I2" i="18" s="1"/>
  <c r="J2" i="18" s="1"/>
  <c r="L1" i="16"/>
  <c r="L2" i="16"/>
  <c r="D4" i="14"/>
  <c r="D5" i="14"/>
  <c r="D6" i="14"/>
  <c r="D7" i="7"/>
  <c r="E7" i="7"/>
  <c r="D8" i="7"/>
  <c r="E8" i="7"/>
  <c r="E8" i="14" l="1"/>
  <c r="F8" i="14" s="1"/>
  <c r="K7" i="14"/>
  <c r="E6" i="14"/>
  <c r="F6" i="14" s="1"/>
  <c r="E5" i="14"/>
  <c r="F5" i="14" s="1"/>
  <c r="E4" i="14"/>
  <c r="F8" i="7"/>
  <c r="F7" i="7"/>
  <c r="E66" i="18"/>
  <c r="E3" i="18"/>
  <c r="E2" i="18"/>
  <c r="D4" i="18"/>
  <c r="E4" i="18" s="1"/>
  <c r="G6" i="14" l="1" a="1"/>
  <c r="G6" i="14" s="1"/>
  <c r="H6" i="14" s="1"/>
  <c r="J6" i="14" s="1"/>
  <c r="G8" i="14" a="1"/>
  <c r="G8" i="14" s="1"/>
  <c r="H8" i="14" s="1"/>
  <c r="G5" i="14" a="1"/>
  <c r="G5" i="14" s="1"/>
  <c r="G7" i="14" a="1"/>
  <c r="G7" i="14" s="1"/>
  <c r="H7" i="14" s="1"/>
  <c r="K8" i="14"/>
  <c r="K5" i="14"/>
  <c r="F4" i="14"/>
  <c r="G4" i="14" s="1" a="1"/>
  <c r="G4" i="14" s="1"/>
  <c r="E9" i="14"/>
  <c r="K6" i="14"/>
  <c r="D5" i="18"/>
  <c r="E5" i="18" s="1"/>
  <c r="K16" i="7"/>
  <c r="M14" i="7"/>
  <c r="M7" i="7"/>
  <c r="M8" i="7"/>
  <c r="J6" i="7"/>
  <c r="Q9" i="7"/>
  <c r="T11" i="7"/>
  <c r="J11" i="7"/>
  <c r="O8" i="7"/>
  <c r="Q11" i="7"/>
  <c r="R6" i="7"/>
  <c r="O10" i="7"/>
  <c r="K8" i="7"/>
  <c r="R12" i="7"/>
  <c r="T14" i="7"/>
  <c r="L13" i="7"/>
  <c r="J16" i="7"/>
  <c r="Q10" i="7"/>
  <c r="S10" i="7"/>
  <c r="M6" i="7"/>
  <c r="S11" i="7"/>
  <c r="K13" i="7"/>
  <c r="J10" i="7"/>
  <c r="J14" i="7"/>
  <c r="L14" i="7"/>
  <c r="N9" i="7"/>
  <c r="K15" i="7"/>
  <c r="P8" i="7"/>
  <c r="P10" i="7"/>
  <c r="L16" i="7"/>
  <c r="R9" i="7"/>
  <c r="R11" i="7"/>
  <c r="K6" i="7"/>
  <c r="T10" i="7"/>
  <c r="S12" i="7"/>
  <c r="N8" i="7"/>
  <c r="K12" i="7"/>
  <c r="J15" i="7"/>
  <c r="P9" i="7"/>
  <c r="N7" i="7"/>
  <c r="T12" i="7"/>
  <c r="J12" i="7"/>
  <c r="N15" i="7"/>
  <c r="O16" i="7"/>
  <c r="M9" i="7"/>
  <c r="T13" i="7"/>
  <c r="O6" i="7"/>
  <c r="M15" i="7"/>
  <c r="S13" i="7"/>
  <c r="N6" i="7"/>
  <c r="L7" i="7"/>
  <c r="N16" i="7"/>
  <c r="Q6" i="7"/>
  <c r="L8" i="7"/>
  <c r="O9" i="7"/>
  <c r="R10" i="7"/>
  <c r="J13" i="7"/>
  <c r="K14" i="7"/>
  <c r="L15" i="7"/>
  <c r="M16" i="7"/>
  <c r="P6" i="7"/>
  <c r="R8" i="7"/>
  <c r="L11" i="7"/>
  <c r="N13" i="7"/>
  <c r="P15" i="7"/>
  <c r="T6" i="7"/>
  <c r="Q7" i="7"/>
  <c r="K10" i="7"/>
  <c r="M11" i="7"/>
  <c r="O13" i="7"/>
  <c r="Q15" i="7"/>
  <c r="J7" i="7"/>
  <c r="R7" i="7"/>
  <c r="T8" i="7"/>
  <c r="L10" i="7"/>
  <c r="N11" i="7"/>
  <c r="O12" i="7"/>
  <c r="P13" i="7"/>
  <c r="Q14" i="7"/>
  <c r="R15" i="7"/>
  <c r="S16" i="7"/>
  <c r="K7" i="7"/>
  <c r="S7" i="7"/>
  <c r="K9" i="7"/>
  <c r="M10" i="7"/>
  <c r="O11" i="7"/>
  <c r="P12" i="7"/>
  <c r="R14" i="7"/>
  <c r="S15" i="7"/>
  <c r="T16" i="7"/>
  <c r="O7" i="7"/>
  <c r="Q8" i="7"/>
  <c r="S9" i="7"/>
  <c r="K11" i="7"/>
  <c r="L12" i="7"/>
  <c r="M13" i="7"/>
  <c r="N14" i="7"/>
  <c r="O15" i="7"/>
  <c r="P16" i="7"/>
  <c r="S6" i="7"/>
  <c r="P7" i="7"/>
  <c r="T9" i="7"/>
  <c r="M12" i="7"/>
  <c r="O14" i="7"/>
  <c r="Q16" i="7"/>
  <c r="S8" i="7"/>
  <c r="N12" i="7"/>
  <c r="P14" i="7"/>
  <c r="R16" i="7"/>
  <c r="Q13" i="7"/>
  <c r="T7" i="7"/>
  <c r="L9" i="7"/>
  <c r="N10" i="7"/>
  <c r="P11" i="7"/>
  <c r="Q12" i="7"/>
  <c r="R13" i="7"/>
  <c r="S14" i="7"/>
  <c r="T15" i="7"/>
  <c r="L6" i="7"/>
  <c r="J8" i="7"/>
  <c r="J9" i="7"/>
  <c r="I7" i="14" l="1"/>
  <c r="J7" i="14"/>
  <c r="I8" i="14"/>
  <c r="J8" i="14"/>
  <c r="H4" i="14"/>
  <c r="I6" i="14"/>
  <c r="F9" i="14"/>
  <c r="D6" i="18"/>
  <c r="E6" i="18" s="1"/>
  <c r="C25" i="7"/>
  <c r="D25" i="7" s="1"/>
  <c r="C22" i="7"/>
  <c r="D32" i="7"/>
  <c r="C32" i="7"/>
  <c r="C23" i="7"/>
  <c r="D23" i="7" s="1"/>
  <c r="C26" i="7"/>
  <c r="D26" i="7" s="1"/>
  <c r="C28" i="7"/>
  <c r="D28" i="7"/>
  <c r="D33" i="7"/>
  <c r="X6" i="7"/>
  <c r="X7" i="7" s="1"/>
  <c r="C33" i="7"/>
  <c r="Y6" i="7"/>
  <c r="W6" i="7"/>
  <c r="C24" i="7"/>
  <c r="D24" i="7" s="1"/>
  <c r="J4" i="14" l="1"/>
  <c r="I4" i="14"/>
  <c r="D7" i="18"/>
  <c r="E7" i="18" s="1"/>
  <c r="H5" i="14"/>
  <c r="K4" i="14"/>
  <c r="K9" i="14" s="1"/>
  <c r="C29" i="7"/>
  <c r="C31" i="7"/>
  <c r="W7" i="7"/>
  <c r="Y7" i="7"/>
  <c r="C30" i="7"/>
  <c r="D22" i="7"/>
  <c r="D27" i="7" s="1"/>
  <c r="C27" i="7"/>
  <c r="J5" i="14" l="1"/>
  <c r="I5" i="14"/>
  <c r="I9" i="14" s="1"/>
  <c r="H9" i="14"/>
  <c r="G9" i="14"/>
  <c r="G10" i="14" s="1"/>
  <c r="D8" i="18"/>
  <c r="E8" i="18" s="1"/>
  <c r="J9" i="14"/>
  <c r="D9" i="18" l="1"/>
  <c r="E9" i="18" s="1"/>
  <c r="D10" i="18" l="1"/>
  <c r="E10" i="18" s="1"/>
  <c r="D11" i="18" l="1"/>
  <c r="E11" i="18" s="1"/>
  <c r="D12" i="18" l="1"/>
  <c r="E12" i="18" s="1"/>
  <c r="D13" i="18" l="1"/>
  <c r="D14" i="18" l="1"/>
  <c r="E14" i="18" s="1"/>
  <c r="E13" i="18"/>
  <c r="D15" i="18" l="1"/>
  <c r="E15" i="18" s="1"/>
  <c r="D16" i="18" l="1"/>
  <c r="E16" i="18" s="1"/>
  <c r="D17" i="18" l="1"/>
  <c r="E17" i="18" s="1"/>
  <c r="D18" i="18" l="1"/>
  <c r="E18" i="18" s="1"/>
  <c r="D19" i="18" l="1"/>
  <c r="E19" i="18" s="1"/>
  <c r="D20" i="18" l="1"/>
  <c r="E20" i="18" s="1"/>
  <c r="D21" i="18" l="1"/>
  <c r="E21" i="18" s="1"/>
  <c r="D22" i="18" l="1"/>
  <c r="E22" i="18" s="1"/>
  <c r="D23" i="18" l="1"/>
  <c r="E23" i="18" s="1"/>
  <c r="D24" i="18" l="1"/>
  <c r="E24" i="18" s="1"/>
  <c r="D25" i="18" l="1"/>
  <c r="E25" i="18" l="1"/>
  <c r="D26" i="18"/>
  <c r="E26" i="18" s="1"/>
  <c r="D27" i="18" l="1"/>
  <c r="D28" i="18" l="1"/>
  <c r="E28" i="18" s="1"/>
  <c r="E27" i="18"/>
  <c r="D29" i="18" l="1"/>
  <c r="E29" i="18" s="1"/>
  <c r="D30" i="18" l="1"/>
  <c r="E30" i="18" s="1"/>
  <c r="D31" i="18" l="1"/>
  <c r="E31" i="18" s="1"/>
  <c r="D32" i="18" l="1"/>
  <c r="E32" i="18" s="1"/>
  <c r="D33" i="18" l="1"/>
  <c r="E33" i="18" s="1"/>
  <c r="D34" i="18" l="1"/>
  <c r="E34" i="18" s="1"/>
  <c r="D35" i="18" l="1"/>
  <c r="E35" i="18" s="1"/>
  <c r="D36" i="18" l="1"/>
  <c r="E36" i="18" s="1"/>
  <c r="D37" i="18" l="1"/>
  <c r="E37" i="18" s="1"/>
  <c r="D38" i="18" l="1"/>
  <c r="E38" i="18" s="1"/>
  <c r="D39" i="18" l="1"/>
  <c r="D40" i="18" l="1"/>
  <c r="E40" i="18" s="1"/>
  <c r="E39" i="18"/>
  <c r="D41" i="18" l="1"/>
  <c r="E41" i="18" s="1"/>
  <c r="D42" i="18" l="1"/>
  <c r="E42" i="18" s="1"/>
  <c r="D43" i="18" l="1"/>
  <c r="E43" i="18" s="1"/>
  <c r="D44" i="18" l="1"/>
  <c r="E44" i="18" s="1"/>
  <c r="D45" i="18" l="1"/>
  <c r="E45" i="18" s="1"/>
  <c r="D46" i="18" l="1"/>
  <c r="E46" i="18" s="1"/>
  <c r="D47" i="18" l="1"/>
  <c r="E47" i="18" s="1"/>
  <c r="D48" i="18" l="1"/>
  <c r="E48" i="18" s="1"/>
  <c r="D49" i="18" l="1"/>
  <c r="E49" i="18" s="1"/>
  <c r="D50" i="18" l="1"/>
  <c r="E50" i="18" s="1"/>
  <c r="D51" i="18" l="1"/>
  <c r="E51" i="18" s="1"/>
  <c r="D52" i="18" l="1"/>
  <c r="E52" i="18" s="1"/>
  <c r="D53" i="18" l="1"/>
  <c r="E53" i="18" s="1"/>
  <c r="D54" i="18" l="1"/>
  <c r="E54" i="18" s="1"/>
  <c r="D55" i="18" l="1"/>
  <c r="E55" i="18" s="1"/>
  <c r="D56" i="18" l="1"/>
  <c r="E56" i="18" s="1"/>
  <c r="D57" i="18" l="1"/>
  <c r="E57" i="18" s="1"/>
  <c r="D58" i="18" l="1"/>
  <c r="E58" i="18" s="1"/>
  <c r="D59" i="18" l="1"/>
  <c r="E59" i="18" s="1"/>
  <c r="D60" i="18" l="1"/>
  <c r="E60" i="18" s="1"/>
  <c r="D61" i="18" l="1"/>
  <c r="E61" i="18" l="1"/>
  <c r="D62" i="18"/>
  <c r="E62" i="18" s="1"/>
  <c r="D63" i="18" l="1"/>
  <c r="E63" i="18" s="1"/>
  <c r="D64" i="18"/>
  <c r="E65" i="18" s="1"/>
  <c r="E64" i="1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2C1AF-4102-4419-8215-4B4A449A71C9}" keepAlive="1" interval="90" name="Query - Premier League 2022/23" description="Connection to the 'Premier League 2022/23' query in the workbook." type="5" refreshedVersion="8" background="1" refreshOnLoad="1" saveData="1">
    <dbPr connection="Provider=Microsoft.Mashup.OleDb.1;Data Source=$Workbook$;Location=&quot;Premier League 2022/23&quot;;Extended Properties=&quot;&quot;" command="SELECT * FROM [Premier League 2022/2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<sst xmlns="http://schemas.openxmlformats.org/spreadsheetml/2006/main" count="115" uniqueCount="87">
  <si>
    <t>Attack</t>
  </si>
  <si>
    <t>Defense</t>
  </si>
  <si>
    <t>Strength rates</t>
  </si>
  <si>
    <t>xG</t>
  </si>
  <si>
    <t>Home</t>
  </si>
  <si>
    <t>Away</t>
  </si>
  <si>
    <t>Odds</t>
  </si>
  <si>
    <t>YOU WANT TO PREDICT</t>
  </si>
  <si>
    <t># ENTER THE MATCH</t>
  </si>
  <si>
    <t>of goals scored</t>
  </si>
  <si>
    <t>Expected number</t>
  </si>
  <si>
    <t>Step 3 - Pick match, and calculate expected goals (xG)</t>
  </si>
  <si>
    <t>Step 4 - Predict correct score market</t>
  </si>
  <si>
    <t>Away team goals</t>
  </si>
  <si>
    <t>Home team goals</t>
  </si>
  <si>
    <t>#</t>
  </si>
  <si>
    <t>Home (1)</t>
  </si>
  <si>
    <t>Draw (X)</t>
  </si>
  <si>
    <t>Away (2)</t>
  </si>
  <si>
    <t>Chance</t>
  </si>
  <si>
    <t>1X2 Match odds</t>
  </si>
  <si>
    <t>Step 5 - Predict match odds market</t>
  </si>
  <si>
    <t>►</t>
  </si>
  <si>
    <t xml:space="preserve">home goals </t>
  </si>
  <si>
    <t>League Home Goals Avg</t>
  </si>
  <si>
    <t>League Away Goals Avg</t>
  </si>
  <si>
    <t>home conc</t>
  </si>
  <si>
    <t>home played</t>
  </si>
  <si>
    <t>away goals</t>
  </si>
  <si>
    <t>away conc</t>
  </si>
  <si>
    <t>away played</t>
  </si>
  <si>
    <t>Bank</t>
  </si>
  <si>
    <t>odds</t>
  </si>
  <si>
    <t>Column1</t>
  </si>
  <si>
    <t>Column2</t>
  </si>
  <si>
    <t>Column3</t>
  </si>
  <si>
    <t>BTTS</t>
  </si>
  <si>
    <t>1X</t>
  </si>
  <si>
    <t>2X</t>
  </si>
  <si>
    <t>AVGS</t>
  </si>
  <si>
    <t>over/yes</t>
  </si>
  <si>
    <t>under/no</t>
  </si>
  <si>
    <t>team 1 win 0</t>
  </si>
  <si>
    <t>team 2 win 0</t>
  </si>
  <si>
    <t>likelyhood</t>
  </si>
  <si>
    <t>stake</t>
  </si>
  <si>
    <t>Stake per bet</t>
  </si>
  <si>
    <t>Profit</t>
  </si>
  <si>
    <t>Ducthing Profit</t>
  </si>
  <si>
    <t>total</t>
  </si>
  <si>
    <t>% return</t>
  </si>
  <si>
    <t>EV1</t>
  </si>
  <si>
    <t>risk</t>
  </si>
  <si>
    <t>After Balance</t>
  </si>
  <si>
    <t>Date</t>
  </si>
  <si>
    <t>Bet type</t>
  </si>
  <si>
    <t>Stake</t>
  </si>
  <si>
    <t>Win or Loss</t>
  </si>
  <si>
    <t>Return</t>
  </si>
  <si>
    <t>1--1</t>
  </si>
  <si>
    <t>Game</t>
  </si>
  <si>
    <t>Strasbourg vs Lyon</t>
  </si>
  <si>
    <t>Win 2</t>
  </si>
  <si>
    <t>Under 2.5</t>
  </si>
  <si>
    <t>VFL Bochum vs Dortmund</t>
  </si>
  <si>
    <t>0--2</t>
  </si>
  <si>
    <t>Leece vs Udinese Calcio</t>
  </si>
  <si>
    <t>Win 1</t>
  </si>
  <si>
    <t>% increase from starting</t>
  </si>
  <si>
    <t>Acutal Score</t>
  </si>
  <si>
    <t>1--0</t>
  </si>
  <si>
    <t>Increase %</t>
  </si>
  <si>
    <t>West Brom vs Norwich</t>
  </si>
  <si>
    <t>Torquay vs Wrexham</t>
  </si>
  <si>
    <t>date</t>
  </si>
  <si>
    <t>EV</t>
  </si>
  <si>
    <t>% increase</t>
  </si>
  <si>
    <t>Days Since Start</t>
  </si>
  <si>
    <t>Win a day (£)</t>
  </si>
  <si>
    <t>Finish Date from Today</t>
  </si>
  <si>
    <t>how many days</t>
  </si>
  <si>
    <t>time to make x</t>
  </si>
  <si>
    <t>Sampdoria</t>
  </si>
  <si>
    <t>Empoli</t>
  </si>
  <si>
    <t>unlikelyhood</t>
  </si>
  <si>
    <t>fractional odd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</si>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</sst>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0.0%"/>
    <numFmt numFmtId="165" formatCode="0.000%"/>
    <numFmt numFmtId="166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22222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b/>
      <sz val="12"/>
      <color theme="0"/>
      <name val="Calibri Light"/>
      <family val="2"/>
      <scheme val="major"/>
    </font>
    <font>
      <b/>
      <i/>
      <sz val="10"/>
      <color rgb="FF222222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rgb="FFE71E39"/>
      <name val="Calibri Light"/>
      <family val="2"/>
      <scheme val="major"/>
    </font>
    <font>
      <sz val="6"/>
      <name val="Yu Gothic"/>
      <family val="2"/>
      <charset val="128"/>
    </font>
    <font>
      <b/>
      <sz val="12"/>
      <color rgb="FF444444"/>
      <name val="Georgia"/>
      <family val="18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1E3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3" borderId="6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0" fontId="0" fillId="0" borderId="0" xfId="0" applyNumberFormat="1"/>
    <xf numFmtId="0" fontId="7" fillId="3" borderId="2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12" fillId="0" borderId="0" xfId="0" quotePrefix="1" applyFont="1" applyAlignment="1">
      <alignment wrapText="1"/>
    </xf>
    <xf numFmtId="10" fontId="3" fillId="0" borderId="0" xfId="1" applyNumberFormat="1" applyFont="1" applyAlignment="1">
      <alignment horizontal="center" vertic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right" vertical="center"/>
    </xf>
    <xf numFmtId="10" fontId="14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44" fontId="0" fillId="0" borderId="0" xfId="0" applyNumberFormat="1"/>
    <xf numFmtId="44" fontId="0" fillId="0" borderId="0" xfId="2" applyFont="1"/>
    <xf numFmtId="9" fontId="0" fillId="0" borderId="0" xfId="0" applyNumberFormat="1"/>
    <xf numFmtId="44" fontId="13" fillId="0" borderId="0" xfId="0" applyNumberFormat="1" applyFont="1"/>
    <xf numFmtId="10" fontId="0" fillId="0" borderId="0" xfId="1" applyNumberFormat="1" applyFont="1"/>
    <xf numFmtId="10" fontId="13" fillId="0" borderId="0" xfId="1" applyNumberFormat="1" applyFont="1"/>
    <xf numFmtId="20" fontId="13" fillId="0" borderId="0" xfId="0" applyNumberFormat="1" applyFont="1"/>
    <xf numFmtId="165" fontId="13" fillId="0" borderId="0" xfId="1" applyNumberFormat="1" applyFont="1"/>
    <xf numFmtId="16" fontId="0" fillId="0" borderId="0" xfId="0" applyNumberFormat="1"/>
    <xf numFmtId="9" fontId="0" fillId="0" borderId="0" xfId="1" applyFont="1"/>
    <xf numFmtId="0" fontId="0" fillId="7" borderId="11" xfId="0" applyFill="1" applyBorder="1"/>
    <xf numFmtId="10" fontId="0" fillId="7" borderId="11" xfId="1" applyNumberFormat="1" applyFont="1" applyFill="1" applyBorder="1"/>
    <xf numFmtId="10" fontId="0" fillId="0" borderId="11" xfId="1" applyNumberFormat="1" applyFont="1" applyBorder="1"/>
    <xf numFmtId="44" fontId="0" fillId="7" borderId="11" xfId="2" applyFont="1" applyFill="1" applyBorder="1"/>
    <xf numFmtId="44" fontId="0" fillId="0" borderId="11" xfId="2" applyFont="1" applyBorder="1"/>
    <xf numFmtId="16" fontId="0" fillId="7" borderId="11" xfId="0" applyNumberFormat="1" applyFill="1" applyBorder="1"/>
    <xf numFmtId="16" fontId="0" fillId="0" borderId="11" xfId="0" applyNumberFormat="1" applyBorder="1"/>
    <xf numFmtId="9" fontId="0" fillId="7" borderId="11" xfId="1" applyFont="1" applyFill="1" applyBorder="1"/>
    <xf numFmtId="0" fontId="16" fillId="6" borderId="0" xfId="0" applyFont="1" applyFill="1"/>
    <xf numFmtId="44" fontId="16" fillId="6" borderId="0" xfId="2" applyFont="1" applyFill="1" applyBorder="1"/>
    <xf numFmtId="9" fontId="16" fillId="6" borderId="0" xfId="1" applyFont="1" applyFill="1" applyBorder="1"/>
    <xf numFmtId="10" fontId="16" fillId="6" borderId="0" xfId="1" applyNumberFormat="1" applyFont="1" applyFill="1" applyBorder="1"/>
    <xf numFmtId="0" fontId="1" fillId="0" borderId="0" xfId="1" applyNumberFormat="1" applyFont="1"/>
    <xf numFmtId="0" fontId="0" fillId="7" borderId="0" xfId="0" applyFill="1"/>
    <xf numFmtId="10" fontId="0" fillId="7" borderId="0" xfId="1" applyNumberFormat="1" applyFont="1" applyFill="1" applyBorder="1"/>
    <xf numFmtId="44" fontId="0" fillId="7" borderId="0" xfId="2" applyFont="1" applyFill="1" applyBorder="1"/>
    <xf numFmtId="44" fontId="0" fillId="7" borderId="0" xfId="0" applyNumberFormat="1" applyFill="1"/>
    <xf numFmtId="166" fontId="0" fillId="0" borderId="0" xfId="0" applyNumberFormat="1"/>
    <xf numFmtId="2" fontId="0" fillId="0" borderId="0" xfId="0" applyNumberFormat="1"/>
    <xf numFmtId="44" fontId="13" fillId="0" borderId="0" xfId="2" applyFont="1"/>
    <xf numFmtId="12" fontId="0" fillId="0" borderId="0" xfId="1" applyNumberFormat="1" applyFont="1"/>
    <xf numFmtId="2" fontId="13" fillId="0" borderId="0" xfId="0" applyNumberFormat="1" applyFont="1"/>
    <xf numFmtId="0" fontId="7" fillId="3" borderId="0" xfId="0" applyFont="1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44" fontId="13" fillId="0" borderId="0" xfId="2" applyNumberFormat="1" applyFont="1"/>
    <xf numFmtId="44" fontId="0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45">
    <dxf>
      <numFmt numFmtId="34" formatCode="_-&quot;£&quot;* #,##0.00_-;\-&quot;£&quot;* #,##0.00_-;_-&quot;£&quot;* &quot;-&quot;??_-;_-@_-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£&quot;* #,##0.00_-;\-&quot;£&quot;* #,##0.0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13" formatCode="0%"/>
    </dxf>
    <dxf>
      <numFmt numFmtId="13" formatCode="0%"/>
    </dxf>
    <dxf>
      <numFmt numFmtId="2" formatCode="0.00"/>
    </dxf>
    <dxf>
      <font>
        <color auto="1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£&quot;* #,##0.00_-;\-&quot;£&quot;* #,##0.00_-;_-&quot;£&quot;* &quot;-&quot;??_-;_-@_-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£&quot;* #,##0.00_-;\-&quot;£&quot;* #,##0.00_-;_-&quot;£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\-m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numFmt numFmtId="0" formatCode="General"/>
    </dxf>
    <dxf>
      <numFmt numFmtId="0" formatCode="General"/>
    </dxf>
    <dxf>
      <numFmt numFmtId="21" formatCode="dd\-mmm"/>
    </dxf>
    <dxf>
      <numFmt numFmtId="21" formatCode="dd\-mmm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£&quot;* #,##0.00_-;\-&quot;£&quot;* #,##0.00_-;_-&quot;£&quot;* &quot;-&quot;??_-;_-@_-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£&quot;* #,##0.00_-;\-&quot;£&quot;* #,##0.00_-;_-&quot;£&quot;* &quot;-&quot;??_-;_-@_-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£&quot;* #,##0.00_-;\-&quot;£&quot;* #,##0.00_-;_-&quot;£&quot;* &quot;-&quot;??_-;_-@_-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£&quot;* #,##0.00_-;\-&quot;£&quot;* #,##0.00_-;_-&quot;£&quot;* &quot;-&quot;??_-;_-@_-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£&quot;* #,##0.00_-;\-&quot;£&quot;* #,##0.00_-;_-&quot;£&quot;* &quot;-&quot;??_-;_-@_-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-&quot;£&quot;* #,##0.00_-;\-&quot;£&quot;* #,##0.0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%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00%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4" formatCode="0.00%"/>
      <alignment horizontal="left" vertical="center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numFmt numFmtId="14" formatCode="0.00%"/>
      <alignment horizontal="left" vertical="center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222222"/>
      <color rgb="FFE71E39"/>
      <color rgb="FFDDDDDD"/>
      <color rgb="FFFCE0E4"/>
      <color rgb="FFF07486"/>
      <color rgb="FFE82C47"/>
      <color rgb="FFF07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731CD-691B-E445-B590-0CAB33C3D8EF}" name="Table1" displayName="Table1" ref="B20:D27" totalsRowCount="1" headerRowDxfId="44">
  <autoFilter ref="B20:D26" xr:uid="{28C731CD-691B-E445-B590-0CAB33C3D8EF}"/>
  <tableColumns count="3">
    <tableColumn id="1" xr3:uid="{868EF6DE-5EB5-F940-9455-2C00ADA85270}" name="Column1" totalsRowLabel="AVGS" dataDxfId="43" totalsRowDxfId="42"/>
    <tableColumn id="2" xr3:uid="{431DE9DF-FAF8-B84B-A126-ED179BEE2B92}" name="Column2" totalsRowFunction="average" dataDxfId="41" totalsRowDxfId="40"/>
    <tableColumn id="3" xr3:uid="{84BB15A9-BAFB-B44F-B842-9A4EECDB2FB0}" name="Column3" totalsRowFunction="average" dataDxfId="39" totalsRowDxfId="38">
      <calculatedColumnFormula>1-C21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064D8C-5E14-43C3-B294-763A1F335207}" name="Table3" displayName="Table3" ref="A3:K9" totalsRowCount="1" dataDxfId="37">
  <autoFilter ref="A3:K8" xr:uid="{54064D8C-5E14-43C3-B294-763A1F335207}"/>
  <tableColumns count="11">
    <tableColumn id="1" xr3:uid="{CA301D91-BCE7-47BC-A05B-987A43F2345A}" name="Column1" dataDxfId="36"/>
    <tableColumn id="2" xr3:uid="{4749A917-2C18-43E9-A9E3-608C5A183ECE}" name="odds" totalsRowFunction="sum" dataDxfId="35" totalsRowDxfId="9"/>
    <tableColumn id="3" xr3:uid="{B838BEB2-3C04-4847-AE64-C0343CFAB868}" name="likelyhood" totalsRowFunction="custom" dataDxfId="34" totalsRowDxfId="8">
      <calculatedColumnFormula>1/Table3[[#This Row],[odds]]</calculatedColumnFormula>
      <totalsRowFormula>SUM(Table3[likelyhood])</totalsRowFormula>
    </tableColumn>
    <tableColumn id="9" xr3:uid="{5419BF0D-397E-4E8B-A39A-4D93DAC3AD90}" name="unlikelyhood" dataDxfId="33" totalsRowDxfId="7">
      <calculatedColumnFormula>1-Table3[[#This Row],[likelyhood]]</calculatedColumnFormula>
    </tableColumn>
    <tableColumn id="4" xr3:uid="{6D09B6CD-22DE-4B26-9F6C-4515CD67D285}" name="Stake per bet" totalsRowFunction="sum" dataDxfId="32" totalsRowDxfId="6" dataCellStyle="Currency">
      <calculatedColumnFormula>ROUND(Table3[[#This Row],[likelyhood]]/Table3[[#Totals],[likelyhood]]*$B$1,0)</calculatedColumnFormula>
    </tableColumn>
    <tableColumn id="5" xr3:uid="{14CD7005-FE24-476B-9DA0-54464225D729}" name="Profit" totalsRowFunction="sum" dataDxfId="31" totalsRowDxfId="5">
      <calculatedColumnFormula>ABS((Table3[[#This Row],[odds]]-1)*Table3[[#This Row],[Stake per bet]])</calculatedColumnFormula>
    </tableColumn>
    <tableColumn id="6" xr3:uid="{DE545D68-69CB-4ADB-AB2B-B2F3A767308E}" name="Ducthing Profit" totalsRowFunction="custom" dataDxfId="30" totalsRowDxfId="4">
      <calculatedColumnFormula array="1">F4-SUM(IF(ROW(E4)=ROW($E$4:$E$8),0,$E$4:$E$8))</calculatedColumnFormula>
      <totalsRowFormula>AVERAGE(Table3[Ducthing Profit])</totalsRowFormula>
    </tableColumn>
    <tableColumn id="7" xr3:uid="{BC2AF277-728D-49E0-BCCE-2FD613BC95A4}" name="total" totalsRowFunction="custom" dataDxfId="29" totalsRowDxfId="3">
      <calculatedColumnFormula>$B$1+Table3[[#This Row],[Ducthing Profit]]</calculatedColumnFormula>
      <totalsRowFormula>AVERAGE(Table3[total])</totalsRowFormula>
    </tableColumn>
    <tableColumn id="13" xr3:uid="{0092FA70-FDAD-4F77-BD16-ADDAC0356433}" name="After Balance" totalsRowFunction="custom" dataDxfId="28" totalsRowDxfId="2">
      <calculatedColumnFormula>$F$2+Table3[[#This Row],[total]]</calculatedColumnFormula>
      <totalsRowFormula>AVERAGE(Table3[After Balance])</totalsRowFormula>
    </tableColumn>
    <tableColumn id="8" xr3:uid="{972C47E7-8A1A-40C4-8099-FF69CE21BE12}" name="% return" totalsRowFunction="average" dataDxfId="27" totalsRowDxfId="1">
      <calculatedColumnFormula>(Table3[[#This Row],[total]]-$B$1)/$B$1</calculatedColumnFormula>
    </tableColumn>
    <tableColumn id="10" xr3:uid="{628E1E26-BC0A-4C9A-B12C-B504AC7D144C}" name="EV1" totalsRowFunction="custom" dataDxfId="26" totalsRowDxfId="0">
      <calculatedColumnFormula>Table3[[#This Row],[Profit]]*Table3[[#This Row],[likelyhood]]-Table3[[#This Row],[Stake per bet]]*Table3[[#This Row],[unlikelyhood]]/Table3[[#This Row],[Stake per bet]]</calculatedColumnFormula>
      <totalsRowFormula>SUM(Table3[EV1])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526C4-C0B6-4DB6-83CD-4815064E7BC2}" name="Table2" displayName="Table2" ref="A1:I16" totalsRowShown="0">
  <autoFilter ref="A1:I16" xr:uid="{207526C4-C0B6-4DB6-83CD-4815064E7BC2}"/>
  <tableColumns count="9">
    <tableColumn id="1" xr3:uid="{1674C24A-8345-44C8-9E16-DB968E02BD45}" name="Date" dataDxfId="25"/>
    <tableColumn id="2" xr3:uid="{7D81AE1D-1C13-496C-BEAB-961E0A5CA2A5}" name="Game" dataDxfId="24"/>
    <tableColumn id="3" xr3:uid="{06DE54A1-4448-42F4-93EA-4D6774C94C3A}" name="Bet type"/>
    <tableColumn id="4" xr3:uid="{1F74C1E4-BC62-4483-ABF7-B9699E9165A9}" name="Stake"/>
    <tableColumn id="5" xr3:uid="{CA2F9DB7-A3C6-469D-A526-4E1BCCDFE2DF}" name="Odds"/>
    <tableColumn id="6" xr3:uid="{F4BAC5F2-2AE4-42D3-AE17-3803DC42C7BB}" name="Profit" dataDxfId="23">
      <calculatedColumnFormula>ROUNDUP(Table2[[#This Row],[Stake]]*(Table2[[#This Row],[Odds]]-1), 0)</calculatedColumnFormula>
    </tableColumn>
    <tableColumn id="7" xr3:uid="{FA24A655-49FE-4838-9530-EF12FA0F9C88}" name="Win or Loss"/>
    <tableColumn id="8" xr3:uid="{21E615D7-8AD8-4BA6-8A91-E3A1C7044D6D}" name="Return" dataDxfId="22">
      <calculatedColumnFormula>IF(Table2[[#This Row],[Win or Loss]]=0, -1*Table2[[#This Row],[Stake]], Table2[[#This Row],[Profit]])</calculatedColumnFormula>
    </tableColumn>
    <tableColumn id="10" xr3:uid="{FA41813F-368E-4911-8588-28D08FE7A7E2}" name="Acutal 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89481F-8CCF-44F4-9997-74855107B44D}" name="Table6" displayName="Table6" ref="A1:C4" totalsRowCount="1" tableBorderDxfId="21">
  <autoFilter ref="A1:C3" xr:uid="{8089481F-8CCF-44F4-9997-74855107B44D}"/>
  <tableColumns count="3">
    <tableColumn id="1" xr3:uid="{D80C20C7-AB98-40E3-B77A-FF67AB7A36CD}" name="Date"/>
    <tableColumn id="2" xr3:uid="{E5DEB1B6-0113-4682-A695-113F77793F85}" name="Bank" totalsRowDxfId="20" totalsRowCellStyle="Currency"/>
    <tableColumn id="3" xr3:uid="{FAB3AB3B-5184-465A-9FDD-A3038885CAFE}" name="Increase %" totalsRowDxfId="19">
      <calculatedColumnFormula>('Daily Prediction %'!$B2-B1)/B1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8DC7B4-CD70-45DC-BB63-82792EBD0A49}" name="Table8" displayName="Table8" ref="A1:E67" totalsRowShown="0" dataDxfId="18" tableBorderDxfId="17">
  <autoFilter ref="A1:E67" xr:uid="{C88DC7B4-CD70-45DC-BB63-82792EBD0A49}"/>
  <tableColumns count="5">
    <tableColumn id="1" xr3:uid="{56CFB0F6-B151-4E09-9B9B-F7F25005243F}" name="date" dataDxfId="16"/>
    <tableColumn id="2" xr3:uid="{53BCFC6D-8225-46FA-A667-60BBA0FEB8B2}" name="EV" dataDxfId="15" dataCellStyle="Currency">
      <calculatedColumnFormula>ROUND(25*Compound!$C2^Compound!$D2, 2)</calculatedColumnFormula>
    </tableColumn>
    <tableColumn id="3" xr3:uid="{3BC849BD-089D-43ED-BC66-202F439DB4B8}" name="% increase" dataDxfId="14">
      <calculatedColumnFormula>112.5%</calculatedColumnFormula>
    </tableColumn>
    <tableColumn id="4" xr3:uid="{8B19FFAE-A083-4AF9-9096-646E5244C4F8}" name="Days Since Start" dataDxfId="13">
      <calculatedColumnFormula>_xlfn.DAYS(A2, "27/04/2023")</calculatedColumnFormula>
    </tableColumn>
    <tableColumn id="5" xr3:uid="{6AFBBA8D-72A9-45FC-A3BF-0C663EB8E283}" name="Win a day (£)" dataDxfId="12">
      <calculatedColumnFormula>Table8[[#This Row],[EV]]-B1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95DE11-E286-457C-998E-951333FD90C2}">
  <we:reference id="wa104380819" version="2.0.0.0" store="en-GB" storeType="OMEX"/>
  <we:alternateReferences>
    <we:reference id="wa104380819" version="2.0.0.0" store="WA10438081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34"/>
  <sheetViews>
    <sheetView showGridLines="0" showRowColHeaders="0" zoomScale="99" zoomScaleNormal="98" workbookViewId="0">
      <selection activeCell="C11" sqref="C11"/>
    </sheetView>
  </sheetViews>
  <sheetFormatPr defaultColWidth="2.77734375" defaultRowHeight="15" customHeight="1" x14ac:dyDescent="0.3"/>
  <cols>
    <col min="1" max="1" width="2.77734375" style="2"/>
    <col min="2" max="2" width="11" style="2" customWidth="1"/>
    <col min="3" max="3" width="22.109375" style="2" customWidth="1"/>
    <col min="4" max="4" width="11" style="2" customWidth="1"/>
    <col min="5" max="5" width="8.5546875" style="2" customWidth="1"/>
    <col min="6" max="6" width="16.109375" style="2" bestFit="1" customWidth="1"/>
    <col min="7" max="7" width="12.21875" style="2" bestFit="1" customWidth="1"/>
    <col min="8" max="8" width="4" style="2" bestFit="1" customWidth="1"/>
    <col min="9" max="9" width="11.6640625" style="2" customWidth="1"/>
    <col min="10" max="20" width="7.109375" style="2" customWidth="1"/>
    <col min="21" max="21" width="2.77734375" style="2"/>
    <col min="22" max="25" width="10.21875" style="2" customWidth="1"/>
    <col min="26" max="16384" width="2.77734375" style="2"/>
  </cols>
  <sheetData>
    <row r="1" spans="2:26" ht="15" customHeight="1" x14ac:dyDescent="0.3">
      <c r="C1"/>
    </row>
    <row r="2" spans="2:26" ht="22.5" customHeight="1" x14ac:dyDescent="0.3">
      <c r="B2" s="72" t="s">
        <v>11</v>
      </c>
      <c r="C2" s="72"/>
      <c r="D2" s="72"/>
      <c r="E2" s="72"/>
      <c r="F2" s="72"/>
      <c r="G2" s="10" t="s">
        <v>22</v>
      </c>
      <c r="H2" s="72" t="s">
        <v>12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10" t="s">
        <v>22</v>
      </c>
      <c r="V2" s="72" t="s">
        <v>21</v>
      </c>
      <c r="W2" s="72"/>
      <c r="X2" s="72"/>
      <c r="Y2" s="72"/>
    </row>
    <row r="3" spans="2:26" ht="15" customHeight="1" x14ac:dyDescent="0.3">
      <c r="C3"/>
    </row>
    <row r="4" spans="2:26" ht="15" customHeight="1" x14ac:dyDescent="0.3">
      <c r="B4" s="75" t="s">
        <v>8</v>
      </c>
      <c r="C4" s="76"/>
      <c r="D4" s="68" t="s">
        <v>2</v>
      </c>
      <c r="E4" s="69"/>
      <c r="F4" s="3" t="s">
        <v>10</v>
      </c>
      <c r="H4" s="20"/>
      <c r="I4" s="6"/>
      <c r="J4" s="25" t="s">
        <v>14</v>
      </c>
      <c r="K4" s="25"/>
      <c r="L4" s="25"/>
      <c r="M4" s="25"/>
      <c r="N4" s="25"/>
      <c r="O4" s="25"/>
      <c r="P4" s="25"/>
      <c r="Q4" s="25"/>
      <c r="R4" s="25"/>
      <c r="S4" s="25"/>
      <c r="T4" s="25"/>
      <c r="V4" s="70" t="s">
        <v>20</v>
      </c>
      <c r="W4" s="70"/>
      <c r="X4" s="70"/>
      <c r="Y4" s="70"/>
    </row>
    <row r="5" spans="2:26" ht="15" customHeight="1" x14ac:dyDescent="0.3">
      <c r="B5" s="73" t="s">
        <v>7</v>
      </c>
      <c r="C5" s="74"/>
      <c r="D5" s="70"/>
      <c r="E5" s="71"/>
      <c r="F5" s="7" t="s">
        <v>9</v>
      </c>
      <c r="H5" s="6"/>
      <c r="I5" s="6" t="s">
        <v>15</v>
      </c>
      <c r="J5" s="4">
        <v>0</v>
      </c>
      <c r="K5" s="4">
        <v>1</v>
      </c>
      <c r="L5" s="4">
        <v>2</v>
      </c>
      <c r="M5" s="4">
        <v>3</v>
      </c>
      <c r="N5" s="4">
        <v>4</v>
      </c>
      <c r="O5" s="4">
        <v>5</v>
      </c>
      <c r="P5" s="4">
        <v>6</v>
      </c>
      <c r="Q5" s="4">
        <v>7</v>
      </c>
      <c r="R5" s="4">
        <v>8</v>
      </c>
      <c r="S5" s="4">
        <v>9</v>
      </c>
      <c r="T5" s="4">
        <v>10</v>
      </c>
      <c r="V5" s="5"/>
      <c r="W5" s="21" t="s">
        <v>16</v>
      </c>
      <c r="X5" s="21" t="s">
        <v>17</v>
      </c>
      <c r="Y5" s="21" t="s">
        <v>18</v>
      </c>
    </row>
    <row r="6" spans="2:26" ht="15" customHeight="1" x14ac:dyDescent="0.3">
      <c r="B6" s="8"/>
      <c r="C6" s="8"/>
      <c r="D6" s="11" t="s">
        <v>0</v>
      </c>
      <c r="E6" s="1" t="s">
        <v>1</v>
      </c>
      <c r="F6" s="1" t="s">
        <v>3</v>
      </c>
      <c r="H6" s="24" t="s">
        <v>13</v>
      </c>
      <c r="I6" s="19">
        <v>0</v>
      </c>
      <c r="J6" s="28" t="e">
        <f t="shared" ref="J6:T16" si="0">_xlfn.POISSON.DIST(J$5,$F$7,FALSE)*_xlfn.POISSON.DIST($I6,$F$8,FALSE)</f>
        <v>#DIV/0!</v>
      </c>
      <c r="K6" s="28" t="e">
        <f t="shared" si="0"/>
        <v>#DIV/0!</v>
      </c>
      <c r="L6" s="28" t="e">
        <f t="shared" si="0"/>
        <v>#DIV/0!</v>
      </c>
      <c r="M6" s="28" t="e">
        <f t="shared" si="0"/>
        <v>#DIV/0!</v>
      </c>
      <c r="N6" s="28" t="e">
        <f t="shared" si="0"/>
        <v>#DIV/0!</v>
      </c>
      <c r="O6" s="28" t="e">
        <f t="shared" si="0"/>
        <v>#DIV/0!</v>
      </c>
      <c r="P6" s="28" t="e">
        <f t="shared" si="0"/>
        <v>#DIV/0!</v>
      </c>
      <c r="Q6" s="28" t="e">
        <f t="shared" si="0"/>
        <v>#DIV/0!</v>
      </c>
      <c r="R6" s="28" t="e">
        <f t="shared" si="0"/>
        <v>#DIV/0!</v>
      </c>
      <c r="S6" s="28" t="e">
        <f t="shared" si="0"/>
        <v>#DIV/0!</v>
      </c>
      <c r="T6" s="28" t="e">
        <f t="shared" si="0"/>
        <v>#DIV/0!</v>
      </c>
      <c r="V6" s="9" t="s">
        <v>19</v>
      </c>
      <c r="W6" s="22" t="e">
        <f>SUM(K6:T6,L7:T7,M8:T8,N9:T9,O10:T10,P11:T11,Q12:T12,R13:T13,S14:T14,T15)</f>
        <v>#DIV/0!</v>
      </c>
      <c r="X6" s="22" t="e">
        <f>SUM(J6,K7,L8,M9,N10,O11,P12,Q13,R14,S15,T16)</f>
        <v>#DIV/0!</v>
      </c>
      <c r="Y6" s="22" t="e">
        <f>SUM(J7,J8:K8,J9:L9,J10:M10,J11:N11,J12:O12,J13:P13,J14:Q14,J15:R15,J16:S16)</f>
        <v>#DIV/0!</v>
      </c>
    </row>
    <row r="7" spans="2:26" ht="15" customHeight="1" x14ac:dyDescent="0.3">
      <c r="B7" s="18" t="s">
        <v>4</v>
      </c>
      <c r="C7" s="12" t="s">
        <v>82</v>
      </c>
      <c r="D7" s="14" t="e">
        <f>(C13/C15)/C11</f>
        <v>#DIV/0!</v>
      </c>
      <c r="E7" s="15" t="e">
        <f>(C14/C15)/C12</f>
        <v>#DIV/0!</v>
      </c>
      <c r="F7" s="17" t="e">
        <f>D7*E8*C11</f>
        <v>#DIV/0!</v>
      </c>
      <c r="H7" s="24"/>
      <c r="I7" s="19">
        <v>1</v>
      </c>
      <c r="J7" s="28" t="e">
        <f t="shared" si="0"/>
        <v>#DIV/0!</v>
      </c>
      <c r="K7" s="28" t="e">
        <f t="shared" si="0"/>
        <v>#DIV/0!</v>
      </c>
      <c r="L7" s="28" t="e">
        <f t="shared" si="0"/>
        <v>#DIV/0!</v>
      </c>
      <c r="M7" s="28" t="e">
        <f t="shared" si="0"/>
        <v>#DIV/0!</v>
      </c>
      <c r="N7" s="28" t="e">
        <f t="shared" si="0"/>
        <v>#DIV/0!</v>
      </c>
      <c r="O7" s="28" t="e">
        <f t="shared" si="0"/>
        <v>#DIV/0!</v>
      </c>
      <c r="P7" s="28" t="e">
        <f t="shared" si="0"/>
        <v>#DIV/0!</v>
      </c>
      <c r="Q7" s="28" t="e">
        <f t="shared" si="0"/>
        <v>#DIV/0!</v>
      </c>
      <c r="R7" s="28" t="e">
        <f t="shared" si="0"/>
        <v>#DIV/0!</v>
      </c>
      <c r="S7" s="28" t="e">
        <f t="shared" si="0"/>
        <v>#DIV/0!</v>
      </c>
      <c r="T7" s="28" t="e">
        <f t="shared" si="0"/>
        <v>#DIV/0!</v>
      </c>
      <c r="V7" s="9" t="s">
        <v>6</v>
      </c>
      <c r="W7" s="26" t="e">
        <f>1/(1*W6)</f>
        <v>#DIV/0!</v>
      </c>
      <c r="X7" s="26" t="e">
        <f>1/X6</f>
        <v>#DIV/0!</v>
      </c>
      <c r="Y7" s="26" t="e">
        <f t="shared" ref="Y7" si="1">1/(1*Y6)</f>
        <v>#DIV/0!</v>
      </c>
      <c r="Z7" s="26"/>
    </row>
    <row r="8" spans="2:26" ht="15" customHeight="1" x14ac:dyDescent="0.3">
      <c r="B8" s="8" t="s">
        <v>5</v>
      </c>
      <c r="C8" s="13" t="s">
        <v>83</v>
      </c>
      <c r="D8" s="14" t="e">
        <f>(C16/C18)/C12</f>
        <v>#DIV/0!</v>
      </c>
      <c r="E8" s="16" t="e">
        <f>(C17/C18)/C11</f>
        <v>#DIV/0!</v>
      </c>
      <c r="F8" s="17" t="e">
        <f>D8*E7*C12</f>
        <v>#DIV/0!</v>
      </c>
      <c r="H8" s="24"/>
      <c r="I8" s="19">
        <v>2</v>
      </c>
      <c r="J8" s="28" t="e">
        <f t="shared" si="0"/>
        <v>#DIV/0!</v>
      </c>
      <c r="K8" s="28" t="e">
        <f t="shared" si="0"/>
        <v>#DIV/0!</v>
      </c>
      <c r="L8" s="28" t="e">
        <f t="shared" si="0"/>
        <v>#DIV/0!</v>
      </c>
      <c r="M8" s="28" t="e">
        <f t="shared" si="0"/>
        <v>#DIV/0!</v>
      </c>
      <c r="N8" s="28" t="e">
        <f t="shared" si="0"/>
        <v>#DIV/0!</v>
      </c>
      <c r="O8" s="28" t="e">
        <f t="shared" si="0"/>
        <v>#DIV/0!</v>
      </c>
      <c r="P8" s="28" t="e">
        <f t="shared" si="0"/>
        <v>#DIV/0!</v>
      </c>
      <c r="Q8" s="28" t="e">
        <f t="shared" si="0"/>
        <v>#DIV/0!</v>
      </c>
      <c r="R8" s="28" t="e">
        <f t="shared" si="0"/>
        <v>#DIV/0!</v>
      </c>
      <c r="S8" s="28" t="e">
        <f t="shared" si="0"/>
        <v>#DIV/0!</v>
      </c>
      <c r="T8" s="28" t="e">
        <f t="shared" si="0"/>
        <v>#DIV/0!</v>
      </c>
    </row>
    <row r="9" spans="2:26" ht="15" customHeight="1" x14ac:dyDescent="0.3">
      <c r="H9" s="24"/>
      <c r="I9" s="19">
        <v>3</v>
      </c>
      <c r="J9" s="28" t="e">
        <f t="shared" si="0"/>
        <v>#DIV/0!</v>
      </c>
      <c r="K9" s="28" t="e">
        <f t="shared" si="0"/>
        <v>#DIV/0!</v>
      </c>
      <c r="L9" s="28" t="e">
        <f t="shared" si="0"/>
        <v>#DIV/0!</v>
      </c>
      <c r="M9" s="28" t="e">
        <f t="shared" si="0"/>
        <v>#DIV/0!</v>
      </c>
      <c r="N9" s="28" t="e">
        <f t="shared" si="0"/>
        <v>#DIV/0!</v>
      </c>
      <c r="O9" s="28" t="e">
        <f t="shared" si="0"/>
        <v>#DIV/0!</v>
      </c>
      <c r="P9" s="28" t="e">
        <f t="shared" si="0"/>
        <v>#DIV/0!</v>
      </c>
      <c r="Q9" s="28" t="e">
        <f t="shared" si="0"/>
        <v>#DIV/0!</v>
      </c>
      <c r="R9" s="28" t="e">
        <f t="shared" si="0"/>
        <v>#DIV/0!</v>
      </c>
      <c r="S9" s="28" t="e">
        <f t="shared" si="0"/>
        <v>#DIV/0!</v>
      </c>
      <c r="T9" s="28" t="e">
        <f t="shared" si="0"/>
        <v>#DIV/0!</v>
      </c>
    </row>
    <row r="10" spans="2:26" ht="15" customHeight="1" x14ac:dyDescent="0.3">
      <c r="F10" s="32"/>
      <c r="H10" s="24"/>
      <c r="I10" s="19">
        <v>4</v>
      </c>
      <c r="J10" s="28" t="e">
        <f t="shared" si="0"/>
        <v>#DIV/0!</v>
      </c>
      <c r="K10" s="28" t="e">
        <f t="shared" si="0"/>
        <v>#DIV/0!</v>
      </c>
      <c r="L10" s="28" t="e">
        <f t="shared" si="0"/>
        <v>#DIV/0!</v>
      </c>
      <c r="M10" s="28" t="e">
        <f t="shared" si="0"/>
        <v>#DIV/0!</v>
      </c>
      <c r="N10" s="28" t="e">
        <f t="shared" si="0"/>
        <v>#DIV/0!</v>
      </c>
      <c r="O10" s="28" t="e">
        <f t="shared" si="0"/>
        <v>#DIV/0!</v>
      </c>
      <c r="P10" s="28" t="e">
        <f t="shared" si="0"/>
        <v>#DIV/0!</v>
      </c>
      <c r="Q10" s="28" t="e">
        <f t="shared" si="0"/>
        <v>#DIV/0!</v>
      </c>
      <c r="R10" s="28" t="e">
        <f t="shared" si="0"/>
        <v>#DIV/0!</v>
      </c>
      <c r="S10" s="28" t="e">
        <f t="shared" si="0"/>
        <v>#DIV/0!</v>
      </c>
      <c r="T10" s="28" t="e">
        <f t="shared" si="0"/>
        <v>#DIV/0!</v>
      </c>
    </row>
    <row r="11" spans="2:26" ht="15" customHeight="1" x14ac:dyDescent="0.3">
      <c r="B11" s="2" t="s">
        <v>24</v>
      </c>
      <c r="C11" s="35"/>
      <c r="F11" s="32"/>
      <c r="H11" s="24"/>
      <c r="I11" s="19">
        <v>5</v>
      </c>
      <c r="J11" s="28" t="e">
        <f t="shared" si="0"/>
        <v>#DIV/0!</v>
      </c>
      <c r="K11" s="28" t="e">
        <f t="shared" si="0"/>
        <v>#DIV/0!</v>
      </c>
      <c r="L11" s="28" t="e">
        <f t="shared" si="0"/>
        <v>#DIV/0!</v>
      </c>
      <c r="M11" s="28" t="e">
        <f t="shared" si="0"/>
        <v>#DIV/0!</v>
      </c>
      <c r="N11" s="28" t="e">
        <f t="shared" si="0"/>
        <v>#DIV/0!</v>
      </c>
      <c r="O11" s="28" t="e">
        <f t="shared" si="0"/>
        <v>#DIV/0!</v>
      </c>
      <c r="P11" s="28" t="e">
        <f t="shared" si="0"/>
        <v>#DIV/0!</v>
      </c>
      <c r="Q11" s="28" t="e">
        <f t="shared" si="0"/>
        <v>#DIV/0!</v>
      </c>
      <c r="R11" s="28" t="e">
        <f t="shared" si="0"/>
        <v>#DIV/0!</v>
      </c>
      <c r="S11" s="28" t="e">
        <f t="shared" si="0"/>
        <v>#DIV/0!</v>
      </c>
      <c r="T11" s="28" t="e">
        <f t="shared" si="0"/>
        <v>#DIV/0!</v>
      </c>
    </row>
    <row r="12" spans="2:26" ht="15" customHeight="1" x14ac:dyDescent="0.3">
      <c r="B12" s="2" t="s">
        <v>25</v>
      </c>
      <c r="C12" s="35"/>
      <c r="H12" s="24"/>
      <c r="I12" s="19">
        <v>6</v>
      </c>
      <c r="J12" s="28" t="e">
        <f t="shared" si="0"/>
        <v>#DIV/0!</v>
      </c>
      <c r="K12" s="28" t="e">
        <f t="shared" si="0"/>
        <v>#DIV/0!</v>
      </c>
      <c r="L12" s="28" t="e">
        <f t="shared" si="0"/>
        <v>#DIV/0!</v>
      </c>
      <c r="M12" s="28" t="e">
        <f t="shared" si="0"/>
        <v>#DIV/0!</v>
      </c>
      <c r="N12" s="28" t="e">
        <f t="shared" si="0"/>
        <v>#DIV/0!</v>
      </c>
      <c r="O12" s="28" t="e">
        <f t="shared" si="0"/>
        <v>#DIV/0!</v>
      </c>
      <c r="P12" s="28" t="e">
        <f t="shared" si="0"/>
        <v>#DIV/0!</v>
      </c>
      <c r="Q12" s="28" t="e">
        <f t="shared" si="0"/>
        <v>#DIV/0!</v>
      </c>
      <c r="R12" s="28" t="e">
        <f t="shared" si="0"/>
        <v>#DIV/0!</v>
      </c>
      <c r="S12" s="28" t="e">
        <f t="shared" si="0"/>
        <v>#DIV/0!</v>
      </c>
      <c r="T12" s="28" t="e">
        <f t="shared" si="0"/>
        <v>#DIV/0!</v>
      </c>
    </row>
    <row r="13" spans="2:26" ht="15" customHeight="1" x14ac:dyDescent="0.3">
      <c r="B13" s="2" t="s">
        <v>23</v>
      </c>
      <c r="C13" s="35"/>
      <c r="D13" s="34" t="e">
        <f>C13/C15</f>
        <v>#DIV/0!</v>
      </c>
      <c r="E13" s="34"/>
      <c r="H13" s="24"/>
      <c r="I13" s="19">
        <v>7</v>
      </c>
      <c r="J13" s="28" t="e">
        <f t="shared" si="0"/>
        <v>#DIV/0!</v>
      </c>
      <c r="K13" s="28" t="e">
        <f t="shared" si="0"/>
        <v>#DIV/0!</v>
      </c>
      <c r="L13" s="28" t="e">
        <f t="shared" si="0"/>
        <v>#DIV/0!</v>
      </c>
      <c r="M13" s="28" t="e">
        <f t="shared" si="0"/>
        <v>#DIV/0!</v>
      </c>
      <c r="N13" s="28" t="e">
        <f t="shared" si="0"/>
        <v>#DIV/0!</v>
      </c>
      <c r="O13" s="28" t="e">
        <f t="shared" si="0"/>
        <v>#DIV/0!</v>
      </c>
      <c r="P13" s="28" t="e">
        <f t="shared" si="0"/>
        <v>#DIV/0!</v>
      </c>
      <c r="Q13" s="28" t="e">
        <f t="shared" si="0"/>
        <v>#DIV/0!</v>
      </c>
      <c r="R13" s="28" t="e">
        <f t="shared" si="0"/>
        <v>#DIV/0!</v>
      </c>
      <c r="S13" s="28" t="e">
        <f t="shared" si="0"/>
        <v>#DIV/0!</v>
      </c>
      <c r="T13" s="28" t="e">
        <f t="shared" si="0"/>
        <v>#DIV/0!</v>
      </c>
    </row>
    <row r="14" spans="2:26" ht="15" customHeight="1" x14ac:dyDescent="0.3">
      <c r="B14" s="2" t="s">
        <v>26</v>
      </c>
      <c r="C14" s="35"/>
      <c r="D14" s="34" t="e">
        <f>C14/C15</f>
        <v>#DIV/0!</v>
      </c>
      <c r="E14" s="34"/>
      <c r="H14" s="24"/>
      <c r="I14" s="19">
        <v>8</v>
      </c>
      <c r="J14" s="28" t="e">
        <f t="shared" si="0"/>
        <v>#DIV/0!</v>
      </c>
      <c r="K14" s="28" t="e">
        <f t="shared" si="0"/>
        <v>#DIV/0!</v>
      </c>
      <c r="L14" s="28" t="e">
        <f t="shared" si="0"/>
        <v>#DIV/0!</v>
      </c>
      <c r="M14" s="28" t="e">
        <f t="shared" si="0"/>
        <v>#DIV/0!</v>
      </c>
      <c r="N14" s="28" t="e">
        <f t="shared" si="0"/>
        <v>#DIV/0!</v>
      </c>
      <c r="O14" s="28" t="e">
        <f t="shared" si="0"/>
        <v>#DIV/0!</v>
      </c>
      <c r="P14" s="28" t="e">
        <f t="shared" si="0"/>
        <v>#DIV/0!</v>
      </c>
      <c r="Q14" s="28" t="e">
        <f t="shared" si="0"/>
        <v>#DIV/0!</v>
      </c>
      <c r="R14" s="28" t="e">
        <f t="shared" si="0"/>
        <v>#DIV/0!</v>
      </c>
      <c r="S14" s="28" t="e">
        <f t="shared" si="0"/>
        <v>#DIV/0!</v>
      </c>
      <c r="T14" s="28" t="e">
        <f t="shared" si="0"/>
        <v>#DIV/0!</v>
      </c>
    </row>
    <row r="15" spans="2:26" ht="15" customHeight="1" x14ac:dyDescent="0.3">
      <c r="B15" s="2" t="s">
        <v>27</v>
      </c>
      <c r="C15" s="35"/>
      <c r="D15" s="34" t="e">
        <f>C16/C18</f>
        <v>#DIV/0!</v>
      </c>
      <c r="E15" s="34"/>
      <c r="H15" s="24"/>
      <c r="I15" s="19">
        <v>9</v>
      </c>
      <c r="J15" s="28" t="e">
        <f t="shared" si="0"/>
        <v>#DIV/0!</v>
      </c>
      <c r="K15" s="28" t="e">
        <f t="shared" si="0"/>
        <v>#DIV/0!</v>
      </c>
      <c r="L15" s="28" t="e">
        <f t="shared" si="0"/>
        <v>#DIV/0!</v>
      </c>
      <c r="M15" s="28" t="e">
        <f t="shared" si="0"/>
        <v>#DIV/0!</v>
      </c>
      <c r="N15" s="28" t="e">
        <f t="shared" si="0"/>
        <v>#DIV/0!</v>
      </c>
      <c r="O15" s="28" t="e">
        <f t="shared" si="0"/>
        <v>#DIV/0!</v>
      </c>
      <c r="P15" s="28" t="e">
        <f t="shared" si="0"/>
        <v>#DIV/0!</v>
      </c>
      <c r="Q15" s="28" t="e">
        <f t="shared" si="0"/>
        <v>#DIV/0!</v>
      </c>
      <c r="R15" s="28" t="e">
        <f t="shared" si="0"/>
        <v>#DIV/0!</v>
      </c>
      <c r="S15" s="28" t="e">
        <f t="shared" si="0"/>
        <v>#DIV/0!</v>
      </c>
      <c r="T15" s="28" t="e">
        <f t="shared" si="0"/>
        <v>#DIV/0!</v>
      </c>
    </row>
    <row r="16" spans="2:26" ht="15" customHeight="1" x14ac:dyDescent="0.3">
      <c r="B16" s="2" t="s">
        <v>28</v>
      </c>
      <c r="C16" s="35"/>
      <c r="D16" s="34" t="e">
        <f>C17/C18</f>
        <v>#DIV/0!</v>
      </c>
      <c r="H16" s="24"/>
      <c r="I16" s="19">
        <v>10</v>
      </c>
      <c r="J16" s="28" t="e">
        <f t="shared" si="0"/>
        <v>#DIV/0!</v>
      </c>
      <c r="K16" s="28" t="e">
        <f t="shared" si="0"/>
        <v>#DIV/0!</v>
      </c>
      <c r="L16" s="28" t="e">
        <f t="shared" si="0"/>
        <v>#DIV/0!</v>
      </c>
      <c r="M16" s="28" t="e">
        <f t="shared" si="0"/>
        <v>#DIV/0!</v>
      </c>
      <c r="N16" s="28" t="e">
        <f t="shared" si="0"/>
        <v>#DIV/0!</v>
      </c>
      <c r="O16" s="28" t="e">
        <f t="shared" si="0"/>
        <v>#DIV/0!</v>
      </c>
      <c r="P16" s="28" t="e">
        <f t="shared" si="0"/>
        <v>#DIV/0!</v>
      </c>
      <c r="Q16" s="28" t="e">
        <f t="shared" si="0"/>
        <v>#DIV/0!</v>
      </c>
      <c r="R16" s="28" t="e">
        <f t="shared" si="0"/>
        <v>#DIV/0!</v>
      </c>
      <c r="S16" s="28" t="e">
        <f t="shared" si="0"/>
        <v>#DIV/0!</v>
      </c>
      <c r="T16" s="28" t="e">
        <f t="shared" si="0"/>
        <v>#DIV/0!</v>
      </c>
    </row>
    <row r="17" spans="2:9" ht="16.5" customHeight="1" x14ac:dyDescent="0.3">
      <c r="B17" s="2" t="s">
        <v>29</v>
      </c>
      <c r="C17" s="35"/>
      <c r="D17" s="2">
        <f>C11</f>
        <v>0</v>
      </c>
    </row>
    <row r="18" spans="2:9" ht="15" customHeight="1" x14ac:dyDescent="0.3">
      <c r="B18" s="2" t="s">
        <v>30</v>
      </c>
      <c r="C18" s="35"/>
      <c r="D18" s="2">
        <f>C12</f>
        <v>0</v>
      </c>
      <c r="I18" s="27"/>
    </row>
    <row r="19" spans="2:9" ht="15" customHeight="1" x14ac:dyDescent="0.3">
      <c r="I19" s="32"/>
    </row>
    <row r="20" spans="2:9" ht="13.8" x14ac:dyDescent="0.3">
      <c r="B20" s="2" t="s">
        <v>33</v>
      </c>
      <c r="C20" s="2" t="s">
        <v>34</v>
      </c>
      <c r="D20" s="2" t="s">
        <v>35</v>
      </c>
    </row>
    <row r="21" spans="2:9" ht="15" customHeight="1" x14ac:dyDescent="0.3">
      <c r="B21"/>
      <c r="C21" t="s">
        <v>40</v>
      </c>
      <c r="D21" t="s">
        <v>41</v>
      </c>
    </row>
    <row r="22" spans="2:9" ht="15" customHeight="1" x14ac:dyDescent="0.3">
      <c r="B22" s="29">
        <v>0.5</v>
      </c>
      <c r="C22" s="23" t="e">
        <f>SUM(J7:T16,K6:T6)</f>
        <v>#DIV/0!</v>
      </c>
      <c r="D22" s="23" t="e">
        <f>1-C22</f>
        <v>#DIV/0!</v>
      </c>
    </row>
    <row r="23" spans="2:9" ht="15" customHeight="1" x14ac:dyDescent="0.3">
      <c r="B23" s="29">
        <v>1.5</v>
      </c>
      <c r="C23" s="23" t="e">
        <f>SUM(J8:T16,K7:T7,L6:T6)</f>
        <v>#DIV/0!</v>
      </c>
      <c r="D23" s="23" t="e">
        <f t="shared" ref="D23:D26" si="2">1-C23</f>
        <v>#DIV/0!</v>
      </c>
    </row>
    <row r="24" spans="2:9" ht="15" customHeight="1" x14ac:dyDescent="0.3">
      <c r="B24" s="29">
        <v>2.5</v>
      </c>
      <c r="C24" s="23" t="e">
        <f>SUM(J9:T16,K8:T8,L7:T7,M6:T6)</f>
        <v>#DIV/0!</v>
      </c>
      <c r="D24" s="23" t="e">
        <f t="shared" si="2"/>
        <v>#DIV/0!</v>
      </c>
    </row>
    <row r="25" spans="2:9" ht="15" customHeight="1" x14ac:dyDescent="0.3">
      <c r="B25" s="29">
        <v>3.5</v>
      </c>
      <c r="C25" s="23" t="e">
        <f>SUM(J10:T16,K9:T9,L8:T8,M7:T7,N6:T6)</f>
        <v>#DIV/0!</v>
      </c>
      <c r="D25" s="23" t="e">
        <f t="shared" si="2"/>
        <v>#DIV/0!</v>
      </c>
    </row>
    <row r="26" spans="2:9" ht="15" customHeight="1" x14ac:dyDescent="0.3">
      <c r="B26" s="30">
        <v>4.5</v>
      </c>
      <c r="C26" s="31" t="e">
        <f>SUM(J11:T16,K10:T10,L9:T9,M8:T8,N7:T7,O6:T6)</f>
        <v>#DIV/0!</v>
      </c>
      <c r="D26" s="23" t="e">
        <f t="shared" si="2"/>
        <v>#DIV/0!</v>
      </c>
    </row>
    <row r="27" spans="2:9" ht="15" customHeight="1" x14ac:dyDescent="0.3">
      <c r="B27" s="29" t="s">
        <v>39</v>
      </c>
      <c r="C27" s="32" t="e">
        <f>SUBTOTAL(101,Table1[Column2])</f>
        <v>#DIV/0!</v>
      </c>
      <c r="D27" s="32" t="e">
        <f>SUBTOTAL(101,Table1[Column3])</f>
        <v>#DIV/0!</v>
      </c>
    </row>
    <row r="28" spans="2:9" ht="15" customHeight="1" x14ac:dyDescent="0.3">
      <c r="B28" s="2" t="s">
        <v>36</v>
      </c>
      <c r="C28" s="32" t="e">
        <f>SUM(K7:T15)</f>
        <v>#DIV/0!</v>
      </c>
      <c r="D28" s="32" t="e">
        <f>SUM(J6:J16,J6:T6)</f>
        <v>#DIV/0!</v>
      </c>
    </row>
    <row r="29" spans="2:9" ht="15" customHeight="1" x14ac:dyDescent="0.3">
      <c r="B29" s="2" t="s">
        <v>37</v>
      </c>
      <c r="C29" s="33" t="e">
        <f>W6+X6</f>
        <v>#DIV/0!</v>
      </c>
    </row>
    <row r="30" spans="2:9" ht="15" customHeight="1" x14ac:dyDescent="0.3">
      <c r="B30" s="2" t="s">
        <v>38</v>
      </c>
      <c r="C30" s="33" t="e">
        <f>Y6+X6</f>
        <v>#DIV/0!</v>
      </c>
    </row>
    <row r="31" spans="2:9" ht="15" customHeight="1" x14ac:dyDescent="0.3">
      <c r="B31" s="2">
        <v>12</v>
      </c>
      <c r="C31" s="33" t="e">
        <f>W6+Y6</f>
        <v>#DIV/0!</v>
      </c>
    </row>
    <row r="32" spans="2:9" ht="15" customHeight="1" x14ac:dyDescent="0.3">
      <c r="B32" s="2" t="s">
        <v>42</v>
      </c>
      <c r="C32" s="32" t="e">
        <f>SUM(K6:T6)</f>
        <v>#DIV/0!</v>
      </c>
      <c r="D32" s="32" t="e">
        <f>SUM(J6:J16,K7:T16)</f>
        <v>#DIV/0!</v>
      </c>
    </row>
    <row r="33" spans="2:4" ht="15" customHeight="1" x14ac:dyDescent="0.3">
      <c r="B33" s="2" t="s">
        <v>43</v>
      </c>
      <c r="C33" s="32" t="e">
        <f>SUM(J7:J16)</f>
        <v>#DIV/0!</v>
      </c>
      <c r="D33" s="32" t="e">
        <f>SUM(J6:T6,K7:T16)</f>
        <v>#DIV/0!</v>
      </c>
    </row>
    <row r="34" spans="2:4" ht="15" customHeight="1" x14ac:dyDescent="0.3">
      <c r="C34" s="32"/>
    </row>
  </sheetData>
  <autoFilter ref="I4:S15" xr:uid="{00000000-0001-0000-0100-000000000000}">
    <sortState xmlns:xlrd2="http://schemas.microsoft.com/office/spreadsheetml/2017/richdata2" ref="I5:S15">
      <sortCondition ref="I4:I15"/>
    </sortState>
  </autoFilter>
  <mergeCells count="7">
    <mergeCell ref="D4:E5"/>
    <mergeCell ref="B2:F2"/>
    <mergeCell ref="B5:C5"/>
    <mergeCell ref="B4:C4"/>
    <mergeCell ref="V4:Y4"/>
    <mergeCell ref="V2:Y2"/>
    <mergeCell ref="H2:T2"/>
  </mergeCells>
  <phoneticPr fontId="11" alignment="center"/>
  <conditionalFormatting sqref="J6:T16">
    <cfRule type="colorScale" priority="2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6:Y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E863-F976-43FD-AE4C-E86ACB829ECB}">
  <dimension ref="A1:K20"/>
  <sheetViews>
    <sheetView tabSelected="1" zoomScale="137" zoomScaleNormal="156" workbookViewId="0">
      <selection activeCell="B5" sqref="B5"/>
    </sheetView>
  </sheetViews>
  <sheetFormatPr defaultRowHeight="14.4" x14ac:dyDescent="0.3"/>
  <cols>
    <col min="1" max="1" width="16" bestFit="1" customWidth="1"/>
    <col min="2" max="2" width="30.44140625" bestFit="1" customWidth="1"/>
    <col min="3" max="3" width="12" bestFit="1" customWidth="1"/>
    <col min="4" max="4" width="16.5546875" bestFit="1" customWidth="1"/>
    <col min="5" max="5" width="14.33203125" bestFit="1" customWidth="1"/>
    <col min="6" max="6" width="19.44140625" bestFit="1" customWidth="1"/>
    <col min="7" max="7" width="20.21875" bestFit="1" customWidth="1"/>
    <col min="8" max="8" width="13.5546875" bestFit="1" customWidth="1"/>
    <col min="9" max="9" width="13.5546875" customWidth="1"/>
    <col min="10" max="10" width="10.33203125" bestFit="1" customWidth="1"/>
    <col min="11" max="11" width="12.5546875" bestFit="1" customWidth="1"/>
  </cols>
  <sheetData>
    <row r="1" spans="1:11" x14ac:dyDescent="0.3">
      <c r="A1" t="s">
        <v>45</v>
      </c>
      <c r="B1" s="37">
        <f>D2*E2</f>
        <v>10519</v>
      </c>
      <c r="D1" t="s">
        <v>31</v>
      </c>
      <c r="E1" t="s">
        <v>52</v>
      </c>
      <c r="F1" t="s">
        <v>86</v>
      </c>
    </row>
    <row r="2" spans="1:11" x14ac:dyDescent="0.3">
      <c r="B2" s="38"/>
      <c r="D2" s="37">
        <v>21038</v>
      </c>
      <c r="E2" s="38">
        <v>0.5</v>
      </c>
      <c r="F2" s="36">
        <f>D2-B1</f>
        <v>10519</v>
      </c>
    </row>
    <row r="3" spans="1:11" x14ac:dyDescent="0.3">
      <c r="A3" t="s">
        <v>33</v>
      </c>
      <c r="B3" t="s">
        <v>32</v>
      </c>
      <c r="C3" t="s">
        <v>44</v>
      </c>
      <c r="D3" t="s">
        <v>84</v>
      </c>
      <c r="E3" t="s">
        <v>46</v>
      </c>
      <c r="F3" t="s">
        <v>47</v>
      </c>
      <c r="G3" t="s">
        <v>48</v>
      </c>
      <c r="H3" t="s">
        <v>49</v>
      </c>
      <c r="I3" t="s">
        <v>53</v>
      </c>
      <c r="J3" t="s">
        <v>50</v>
      </c>
      <c r="K3" t="s">
        <v>51</v>
      </c>
    </row>
    <row r="4" spans="1:11" ht="15.6" x14ac:dyDescent="0.3">
      <c r="A4" s="42" t="s">
        <v>37</v>
      </c>
      <c r="B4" s="67">
        <v>1.27</v>
      </c>
      <c r="C4" s="43">
        <f>1/Table3[[#This Row],[odds]]</f>
        <v>0.78740157480314954</v>
      </c>
      <c r="D4" s="43">
        <f>1-Table3[[#This Row],[likelyhood]]</f>
        <v>0.21259842519685046</v>
      </c>
      <c r="E4" s="65">
        <f>ROUND(Table3[[#This Row],[likelyhood]]/Table3[[#Totals],[likelyhood]]*$B$1,0)</f>
        <v>6441</v>
      </c>
      <c r="F4" s="39">
        <f>ABS((Table3[[#This Row],[odds]]-1)*Table3[[#This Row],[Stake per bet]])</f>
        <v>1739.0700000000002</v>
      </c>
      <c r="G4" s="39" cm="1">
        <f t="array" ref="G4">F4-SUM(IF(ROW(E4)=ROW($E$4:$E$8),0,$E$4:$E$8))</f>
        <v>-2337.9299999999998</v>
      </c>
      <c r="H4" s="39">
        <f>$B$1+Table3[[#This Row],[Ducthing Profit]]</f>
        <v>8181.07</v>
      </c>
      <c r="I4" s="39">
        <f>$F$2+Table3[[#This Row],[total]]</f>
        <v>18700.07</v>
      </c>
      <c r="J4" s="41">
        <f>(Table3[[#This Row],[total]]-$B$1)/$B$1</f>
        <v>-0.22225781918433313</v>
      </c>
      <c r="K4" s="39">
        <f>Table3[[#This Row],[Profit]]*Table3[[#This Row],[likelyhood]]-Table3[[#This Row],[Stake per bet]]*Table3[[#This Row],[unlikelyhood]]/Table3[[#This Row],[Stake per bet]]</f>
        <v>1369.1338582677165</v>
      </c>
    </row>
    <row r="5" spans="1:11" ht="15.6" x14ac:dyDescent="0.3">
      <c r="A5" s="42">
        <v>4.1666666666666664E-2</v>
      </c>
      <c r="B5" s="67">
        <v>7</v>
      </c>
      <c r="C5" s="43">
        <f>1/Table3[[#This Row],[odds]]</f>
        <v>0.14285714285714285</v>
      </c>
      <c r="D5" s="43">
        <f>1-Table3[[#This Row],[likelyhood]]</f>
        <v>0.85714285714285721</v>
      </c>
      <c r="E5" s="65">
        <f>ROUND(Table3[[#This Row],[likelyhood]]/Table3[[#Totals],[likelyhood]]*$B$1,0)</f>
        <v>1168</v>
      </c>
      <c r="F5" s="39">
        <f>ABS((Table3[[#This Row],[odds]]-1)*Table3[[#This Row],[Stake per bet]])</f>
        <v>7008</v>
      </c>
      <c r="G5" s="39" cm="1">
        <f t="array" ref="G5">F5-SUM(IF(ROW(E5)=ROW($E$4:$E$8),0,$E$4:$E$8))</f>
        <v>-2342</v>
      </c>
      <c r="H5" s="39">
        <f>$B$1+Table3[[#This Row],[Ducthing Profit]]</f>
        <v>8177</v>
      </c>
      <c r="I5" s="39">
        <f>$F$2+Table3[[#This Row],[total]]</f>
        <v>18696</v>
      </c>
      <c r="J5" s="41">
        <f>(Table3[[#This Row],[total]]-$B$1)/$B$1</f>
        <v>-0.22264473809297461</v>
      </c>
      <c r="K5" s="39">
        <f>Table3[[#This Row],[Profit]]*Table3[[#This Row],[likelyhood]]-Table3[[#This Row],[Stake per bet]]*Table3[[#This Row],[unlikelyhood]]/Table3[[#This Row],[Stake per bet]]</f>
        <v>1000.2857142857142</v>
      </c>
    </row>
    <row r="6" spans="1:11" ht="15.6" x14ac:dyDescent="0.3">
      <c r="A6" s="42">
        <v>8.4027777777777785E-2</v>
      </c>
      <c r="B6" s="67">
        <v>6.5</v>
      </c>
      <c r="C6" s="43">
        <f>1/Table3[[#This Row],[odds]]</f>
        <v>0.15384615384615385</v>
      </c>
      <c r="D6" s="43">
        <f>1-Table3[[#This Row],[likelyhood]]</f>
        <v>0.84615384615384615</v>
      </c>
      <c r="E6" s="65">
        <f>ROUND(Table3[[#This Row],[likelyhood]]/Table3[[#Totals],[likelyhood]]*$B$1,0)</f>
        <v>1258</v>
      </c>
      <c r="F6" s="39">
        <f>ABS((Table3[[#This Row],[odds]]-1)*Table3[[#This Row],[Stake per bet]])</f>
        <v>6919</v>
      </c>
      <c r="G6" s="39" cm="1">
        <f t="array" ref="G6">F6-SUM(IF(ROW(E6)=ROW($E$4:$E$8),0,$E$4:$E$8))</f>
        <v>-2341</v>
      </c>
      <c r="H6" s="39">
        <f>$B$1+Table3[[#This Row],[Ducthing Profit]]</f>
        <v>8178</v>
      </c>
      <c r="I6" s="39">
        <f>$F$2+Table3[[#This Row],[total]]</f>
        <v>18697</v>
      </c>
      <c r="J6" s="41">
        <f>(Table3[[#This Row],[total]]-$B$1)/$B$1</f>
        <v>-0.22254967202205533</v>
      </c>
      <c r="K6" s="39">
        <f>Table3[[#This Row],[Profit]]*Table3[[#This Row],[likelyhood]]-Table3[[#This Row],[Stake per bet]]*Table3[[#This Row],[unlikelyhood]]/Table3[[#This Row],[Stake per bet]]</f>
        <v>1063.6153846153848</v>
      </c>
    </row>
    <row r="7" spans="1:11" ht="15.6" x14ac:dyDescent="0.3">
      <c r="A7" s="42">
        <v>8.3333333333333329E-2</v>
      </c>
      <c r="B7" s="67">
        <v>8</v>
      </c>
      <c r="C7" s="43">
        <f>1/Table3[[#This Row],[odds]]</f>
        <v>0.125</v>
      </c>
      <c r="D7" s="43">
        <f>1-Table3[[#This Row],[likelyhood]]</f>
        <v>0.875</v>
      </c>
      <c r="E7" s="77">
        <f>ROUND(Table3[[#This Row],[likelyhood]]/Table3[[#Totals],[likelyhood]]*$B$1,0)</f>
        <v>1022</v>
      </c>
      <c r="F7" s="39">
        <f>ABS((Table3[[#This Row],[odds]]-1)*Table3[[#This Row],[Stake per bet]])</f>
        <v>7154</v>
      </c>
      <c r="G7" s="39" cm="1">
        <f t="array" ref="G7">F7-SUM(IF(ROW(E7)=ROW($E$4:$E$8),0,$E$4:$E$8))</f>
        <v>-2342</v>
      </c>
      <c r="H7" s="39">
        <f>$B$1+Table3[[#This Row],[Ducthing Profit]]</f>
        <v>8177</v>
      </c>
      <c r="I7" s="39">
        <f>$F$2+Table3[[#This Row],[total]]</f>
        <v>18696</v>
      </c>
      <c r="J7" s="41">
        <f>(Table3[[#This Row],[total]]-$B$1)/$B$1</f>
        <v>-0.22264473809297461</v>
      </c>
      <c r="K7" s="39">
        <f>Table3[[#This Row],[Profit]]*Table3[[#This Row],[likelyhood]]-Table3[[#This Row],[Stake per bet]]*Table3[[#This Row],[unlikelyhood]]/Table3[[#This Row],[Stake per bet]]</f>
        <v>893.375</v>
      </c>
    </row>
    <row r="8" spans="1:11" ht="15.6" x14ac:dyDescent="0.3">
      <c r="A8" s="42">
        <v>0.125</v>
      </c>
      <c r="B8" s="67">
        <v>13</v>
      </c>
      <c r="C8" s="43">
        <f>1/Table3[[#This Row],[odds]]</f>
        <v>7.6923076923076927E-2</v>
      </c>
      <c r="D8" s="43">
        <f>1-Table3[[#This Row],[likelyhood]]</f>
        <v>0.92307692307692313</v>
      </c>
      <c r="E8" s="77">
        <f>ROUND(Table3[[#This Row],[likelyhood]]/Table3[[#Totals],[likelyhood]]*$B$1,0)</f>
        <v>629</v>
      </c>
      <c r="F8" s="39">
        <f>ABS((Table3[[#This Row],[odds]]-1)*Table3[[#This Row],[Stake per bet]])</f>
        <v>7548</v>
      </c>
      <c r="G8" s="39" cm="1">
        <f t="array" ref="G8">F8-SUM(IF(ROW(E8)=ROW($E$4:$E$8),0,$E$4:$E$8))</f>
        <v>-2341</v>
      </c>
      <c r="H8" s="39">
        <f>$B$1+Table3[[#This Row],[Ducthing Profit]]</f>
        <v>8178</v>
      </c>
      <c r="I8" s="39">
        <f>$F$2+Table3[[#This Row],[total]]</f>
        <v>18697</v>
      </c>
      <c r="J8" s="41">
        <f>(Table3[[#This Row],[total]]-$B$1)/$B$1</f>
        <v>-0.22254967202205533</v>
      </c>
      <c r="K8" s="39">
        <f>Table3[[#This Row],[Profit]]*Table3[[#This Row],[likelyhood]]-Table3[[#This Row],[Stake per bet]]*Table3[[#This Row],[unlikelyhood]]/Table3[[#This Row],[Stake per bet]]</f>
        <v>579.69230769230774</v>
      </c>
    </row>
    <row r="9" spans="1:11" x14ac:dyDescent="0.3">
      <c r="B9" s="64">
        <f>SUBTOTAL(109,Table3[odds])</f>
        <v>35.769999999999996</v>
      </c>
      <c r="C9" s="38">
        <f>SUM(Table3[likelyhood])</f>
        <v>1.2860279484295229</v>
      </c>
      <c r="D9" s="38"/>
      <c r="E9" s="36">
        <f>SUBTOTAL(109,Table3[Stake per bet])</f>
        <v>10518</v>
      </c>
      <c r="F9" s="36">
        <f>SUBTOTAL(109,Table3[Profit])</f>
        <v>30368.07</v>
      </c>
      <c r="G9" s="36">
        <f>AVERAGE(Table3[Ducthing Profit])</f>
        <v>-2340.7860000000001</v>
      </c>
      <c r="H9" s="78">
        <f>AVERAGE(Table3[total])</f>
        <v>8178.2139999999999</v>
      </c>
      <c r="I9" s="78">
        <f>AVERAGE(Table3[After Balance])</f>
        <v>18697.214</v>
      </c>
      <c r="J9" s="23">
        <f>SUBTOTAL(101,Table3[% return])</f>
        <v>-0.2225293278828786</v>
      </c>
      <c r="K9" s="36">
        <f>SUM(Table3[EV1])</f>
        <v>4906.1022648611233</v>
      </c>
    </row>
    <row r="10" spans="1:11" x14ac:dyDescent="0.3">
      <c r="G10" s="36">
        <f>D2+Table3[[#Totals],[Ducthing Profit]]</f>
        <v>18697.214</v>
      </c>
    </row>
    <row r="12" spans="1:11" x14ac:dyDescent="0.3">
      <c r="G12" s="40"/>
      <c r="H12" s="36"/>
      <c r="I12" s="36"/>
    </row>
    <row r="13" spans="1:11" x14ac:dyDescent="0.3">
      <c r="G13" s="23"/>
    </row>
    <row r="14" spans="1:11" x14ac:dyDescent="0.3">
      <c r="B14" s="36"/>
      <c r="C14" s="36"/>
      <c r="D14" s="36"/>
      <c r="E14" s="36"/>
      <c r="F14" s="40"/>
      <c r="G14" s="23"/>
    </row>
    <row r="15" spans="1:11" x14ac:dyDescent="0.3">
      <c r="B15" s="36"/>
      <c r="C15" s="36"/>
      <c r="D15" s="36"/>
      <c r="E15" s="36"/>
      <c r="F15" s="40"/>
      <c r="G15" s="23"/>
    </row>
    <row r="16" spans="1:11" x14ac:dyDescent="0.3">
      <c r="B16" s="36"/>
      <c r="C16" s="36"/>
      <c r="D16" s="36"/>
      <c r="E16" s="36"/>
      <c r="F16" s="40"/>
    </row>
    <row r="17" spans="1:6" x14ac:dyDescent="0.3">
      <c r="B17" s="36"/>
      <c r="D17" s="36"/>
      <c r="E17" s="36"/>
      <c r="F17" s="40"/>
    </row>
    <row r="18" spans="1:6" x14ac:dyDescent="0.3">
      <c r="C18" s="36"/>
      <c r="E18" s="36"/>
    </row>
    <row r="19" spans="1:6" x14ac:dyDescent="0.3">
      <c r="A19" t="s">
        <v>85</v>
      </c>
      <c r="B19" t="s">
        <v>32</v>
      </c>
      <c r="F19" s="44"/>
    </row>
    <row r="20" spans="1:6" x14ac:dyDescent="0.3">
      <c r="A20" s="66">
        <v>63</v>
      </c>
      <c r="B20" s="64">
        <f>1+(A20)</f>
        <v>64</v>
      </c>
    </row>
  </sheetData>
  <phoneticPr fontId="15" type="noConversion"/>
  <conditionalFormatting sqref="G9">
    <cfRule type="cellIs" dxfId="11" priority="2" operator="greaterThan">
      <formula>0</formula>
    </cfRule>
  </conditionalFormatting>
  <conditionalFormatting sqref="K9">
    <cfRule type="cellIs" dxfId="10" priority="1" operator="greater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6564-1929-4D79-A747-0D8D8D521C56}">
  <dimension ref="A1:L16"/>
  <sheetViews>
    <sheetView workbookViewId="0">
      <selection activeCell="G18" sqref="G18"/>
    </sheetView>
  </sheetViews>
  <sheetFormatPr defaultRowHeight="14.4" x14ac:dyDescent="0.3"/>
  <cols>
    <col min="2" max="2" width="19.77734375" bestFit="1" customWidth="1"/>
    <col min="3" max="3" width="22.109375" bestFit="1" customWidth="1"/>
    <col min="4" max="4" width="9.88671875" customWidth="1"/>
    <col min="8" max="8" width="12.44140625" customWidth="1"/>
    <col min="12" max="12" width="20.88671875" bestFit="1" customWidth="1"/>
  </cols>
  <sheetData>
    <row r="1" spans="1:12" x14ac:dyDescent="0.3">
      <c r="A1" t="s">
        <v>54</v>
      </c>
      <c r="B1" t="s">
        <v>60</v>
      </c>
      <c r="C1" t="s">
        <v>55</v>
      </c>
      <c r="D1" t="s">
        <v>56</v>
      </c>
      <c r="E1" t="s">
        <v>6</v>
      </c>
      <c r="F1" t="s">
        <v>47</v>
      </c>
      <c r="G1" t="s">
        <v>57</v>
      </c>
      <c r="H1" t="s">
        <v>58</v>
      </c>
      <c r="I1" t="s">
        <v>69</v>
      </c>
      <c r="K1" t="s">
        <v>31</v>
      </c>
      <c r="L1">
        <f>4980+SUM(H:H)</f>
        <v>5872</v>
      </c>
    </row>
    <row r="2" spans="1:12" x14ac:dyDescent="0.3">
      <c r="A2" s="44">
        <v>45044</v>
      </c>
      <c r="B2" s="44" t="s">
        <v>61</v>
      </c>
      <c r="C2" t="s">
        <v>59</v>
      </c>
      <c r="D2">
        <v>262</v>
      </c>
      <c r="E2">
        <v>6</v>
      </c>
      <c r="F2">
        <f>ROUNDUP(Table2[[#This Row],[Stake]]*(Table2[[#This Row],[Odds]]-1), 0)</f>
        <v>1310</v>
      </c>
      <c r="G2">
        <v>0</v>
      </c>
      <c r="H2">
        <f>IF(Table2[[#This Row],[Win or Loss]]=0, -1*Table2[[#This Row],[Stake]], Table2[[#This Row],[Profit]])</f>
        <v>-262</v>
      </c>
      <c r="K2" t="s">
        <v>68</v>
      </c>
      <c r="L2" s="40">
        <f>(L1-4890)/4890</f>
        <v>0.20081799591002045</v>
      </c>
    </row>
    <row r="3" spans="1:12" x14ac:dyDescent="0.3">
      <c r="A3" s="44">
        <v>45044</v>
      </c>
      <c r="B3" s="44" t="s">
        <v>61</v>
      </c>
      <c r="C3" t="s">
        <v>62</v>
      </c>
      <c r="D3">
        <v>628</v>
      </c>
      <c r="E3">
        <v>2.5</v>
      </c>
      <c r="F3">
        <f>ROUNDUP(Table2[[#This Row],[Stake]]*(Table2[[#This Row],[Odds]]-1), 0)</f>
        <v>942</v>
      </c>
      <c r="G3">
        <v>1</v>
      </c>
      <c r="H3">
        <f>IF(Table2[[#This Row],[Win or Loss]]=0, -1*Table2[[#This Row],[Stake]], Table2[[#This Row],[Profit]])</f>
        <v>942</v>
      </c>
    </row>
    <row r="4" spans="1:12" x14ac:dyDescent="0.3">
      <c r="A4" s="44">
        <v>45044</v>
      </c>
      <c r="B4" s="44" t="s">
        <v>61</v>
      </c>
      <c r="C4" t="s">
        <v>63</v>
      </c>
      <c r="D4">
        <v>770</v>
      </c>
      <c r="E4">
        <v>2.04</v>
      </c>
      <c r="F4">
        <f>ROUNDUP(Table2[[#This Row],[Stake]]*(Table2[[#This Row],[Odds]]-1), 0)</f>
        <v>801</v>
      </c>
      <c r="G4">
        <v>0</v>
      </c>
      <c r="H4">
        <f>IF(Table2[[#This Row],[Win or Loss]]=0, -1*Table2[[#This Row],[Stake]], Table2[[#This Row],[Profit]])</f>
        <v>-770</v>
      </c>
    </row>
    <row r="5" spans="1:12" x14ac:dyDescent="0.3">
      <c r="A5" s="44">
        <v>45044</v>
      </c>
      <c r="B5" s="44" t="s">
        <v>64</v>
      </c>
      <c r="C5" t="s">
        <v>62</v>
      </c>
      <c r="D5">
        <v>951</v>
      </c>
      <c r="E5">
        <v>1.51</v>
      </c>
      <c r="F5">
        <f>ROUNDUP(Table2[[#This Row],[Stake]]*(Table2[[#This Row],[Odds]]-1), 0)</f>
        <v>486</v>
      </c>
      <c r="G5">
        <v>0</v>
      </c>
      <c r="H5">
        <f>IF(Table2[[#This Row],[Win or Loss]]=0, -1*Table2[[#This Row],[Stake]], Table2[[#This Row],[Profit]])</f>
        <v>-951</v>
      </c>
      <c r="I5" t="s">
        <v>59</v>
      </c>
    </row>
    <row r="6" spans="1:12" x14ac:dyDescent="0.3">
      <c r="A6" s="44">
        <v>45044</v>
      </c>
      <c r="B6" s="44" t="s">
        <v>64</v>
      </c>
      <c r="C6" t="s">
        <v>63</v>
      </c>
      <c r="D6">
        <v>540</v>
      </c>
      <c r="E6">
        <v>2.66</v>
      </c>
      <c r="F6">
        <f>ROUNDUP(Table2[[#This Row],[Stake]]*(Table2[[#This Row],[Odds]]-1), 0)</f>
        <v>897</v>
      </c>
      <c r="G6">
        <v>1</v>
      </c>
      <c r="H6">
        <f>IF(Table2[[#This Row],[Win or Loss]]=0, -1*Table2[[#This Row],[Stake]], Table2[[#This Row],[Profit]])</f>
        <v>897</v>
      </c>
      <c r="I6" t="s">
        <v>59</v>
      </c>
    </row>
    <row r="7" spans="1:12" x14ac:dyDescent="0.3">
      <c r="A7" s="44">
        <v>45044</v>
      </c>
      <c r="B7" s="44" t="s">
        <v>64</v>
      </c>
      <c r="C7" t="s">
        <v>65</v>
      </c>
      <c r="D7">
        <v>169</v>
      </c>
      <c r="E7">
        <v>8.5</v>
      </c>
      <c r="F7">
        <f>ROUNDUP(Table2[[#This Row],[Stake]]*(Table2[[#This Row],[Odds]]-1), 0)</f>
        <v>1268</v>
      </c>
      <c r="G7">
        <v>0</v>
      </c>
      <c r="H7">
        <f>IF(Table2[[#This Row],[Win or Loss]]=0, -1*Table2[[#This Row],[Stake]], Table2[[#This Row],[Profit]])</f>
        <v>-169</v>
      </c>
      <c r="I7" t="s">
        <v>59</v>
      </c>
    </row>
    <row r="8" spans="1:12" x14ac:dyDescent="0.3">
      <c r="A8" s="44">
        <v>45044</v>
      </c>
      <c r="B8" s="44" t="s">
        <v>66</v>
      </c>
      <c r="C8" t="s">
        <v>59</v>
      </c>
      <c r="D8">
        <v>260</v>
      </c>
      <c r="E8">
        <v>5.5</v>
      </c>
      <c r="F8">
        <f>ROUNDUP(Table2[[#This Row],[Stake]]*(Table2[[#This Row],[Odds]]-1), 0)</f>
        <v>1170</v>
      </c>
      <c r="G8">
        <v>0</v>
      </c>
      <c r="H8">
        <f>IF(Table2[[#This Row],[Win or Loss]]=0, -1*Table2[[#This Row],[Stake]], Table2[[#This Row],[Profit]])</f>
        <v>-260</v>
      </c>
      <c r="I8" t="s">
        <v>70</v>
      </c>
    </row>
    <row r="9" spans="1:12" x14ac:dyDescent="0.3">
      <c r="A9" s="44">
        <v>45044</v>
      </c>
      <c r="B9" s="44" t="s">
        <v>66</v>
      </c>
      <c r="C9" t="s">
        <v>67</v>
      </c>
      <c r="D9">
        <v>553</v>
      </c>
      <c r="E9">
        <v>2.59</v>
      </c>
      <c r="F9">
        <f>ROUNDUP(Table2[[#This Row],[Stake]]*(Table2[[#This Row],[Odds]]-1), 0)</f>
        <v>880</v>
      </c>
      <c r="G9">
        <v>1</v>
      </c>
      <c r="H9">
        <f>IF(Table2[[#This Row],[Win or Loss]]=0, -1*Table2[[#This Row],[Stake]], Table2[[#This Row],[Profit]])</f>
        <v>880</v>
      </c>
      <c r="I9" t="s">
        <v>70</v>
      </c>
    </row>
    <row r="10" spans="1:12" x14ac:dyDescent="0.3">
      <c r="A10" s="44">
        <v>45044</v>
      </c>
      <c r="B10" s="44" t="s">
        <v>66</v>
      </c>
      <c r="C10" t="s">
        <v>63</v>
      </c>
      <c r="D10">
        <v>847</v>
      </c>
      <c r="E10">
        <v>1.69</v>
      </c>
      <c r="F10">
        <f>ROUNDUP(Table2[[#This Row],[Stake]]*(Table2[[#This Row],[Odds]]-1), 0)</f>
        <v>585</v>
      </c>
      <c r="G10">
        <v>1</v>
      </c>
      <c r="H10">
        <f>IF(Table2[[#This Row],[Win or Loss]]=0, -1*Table2[[#This Row],[Stake]], Table2[[#This Row],[Profit]])</f>
        <v>585</v>
      </c>
      <c r="I10" t="s">
        <v>70</v>
      </c>
    </row>
    <row r="11" spans="1:12" x14ac:dyDescent="0.3">
      <c r="A11" s="44">
        <v>45045</v>
      </c>
      <c r="B11" s="44" t="s">
        <v>72</v>
      </c>
      <c r="F11">
        <f>ROUNDUP(Table2[[#This Row],[Stake]]*(Table2[[#This Row],[Odds]]-1), 0)</f>
        <v>0</v>
      </c>
      <c r="H11">
        <f>IF(Table2[[#This Row],[Win or Loss]]=0, -1*Table2[[#This Row],[Stake]], Table2[[#This Row],[Profit]])</f>
        <v>0</v>
      </c>
    </row>
    <row r="12" spans="1:12" x14ac:dyDescent="0.3">
      <c r="A12" s="44">
        <v>45045</v>
      </c>
      <c r="B12" s="44" t="s">
        <v>72</v>
      </c>
      <c r="F12">
        <f>ROUNDUP(Table2[[#This Row],[Stake]]*(Table2[[#This Row],[Odds]]-1), 0)</f>
        <v>0</v>
      </c>
      <c r="H12">
        <f>IF(Table2[[#This Row],[Win or Loss]]=0, -1*Table2[[#This Row],[Stake]], Table2[[#This Row],[Profit]])</f>
        <v>0</v>
      </c>
    </row>
    <row r="13" spans="1:12" x14ac:dyDescent="0.3">
      <c r="A13" s="44">
        <v>45045</v>
      </c>
      <c r="B13" s="44" t="s">
        <v>72</v>
      </c>
      <c r="F13">
        <f>ROUNDUP(Table2[[#This Row],[Stake]]*(Table2[[#This Row],[Odds]]-1), 0)</f>
        <v>0</v>
      </c>
      <c r="H13">
        <f>IF(Table2[[#This Row],[Win or Loss]]=0, -1*Table2[[#This Row],[Stake]], Table2[[#This Row],[Profit]])</f>
        <v>0</v>
      </c>
    </row>
    <row r="14" spans="1:12" x14ac:dyDescent="0.3">
      <c r="A14" s="44">
        <v>45045</v>
      </c>
      <c r="B14" s="44" t="s">
        <v>73</v>
      </c>
      <c r="F14">
        <f>ROUNDUP(Table2[[#This Row],[Stake]]*(Table2[[#This Row],[Odds]]-1), 0)</f>
        <v>0</v>
      </c>
      <c r="H14">
        <f>IF(Table2[[#This Row],[Win or Loss]]=0, -1*Table2[[#This Row],[Stake]], Table2[[#This Row],[Profit]])</f>
        <v>0</v>
      </c>
    </row>
    <row r="15" spans="1:12" x14ac:dyDescent="0.3">
      <c r="A15" s="44">
        <v>45045</v>
      </c>
      <c r="B15" s="44" t="s">
        <v>73</v>
      </c>
      <c r="F15">
        <f>ROUNDUP(Table2[[#This Row],[Stake]]*(Table2[[#This Row],[Odds]]-1), 0)</f>
        <v>0</v>
      </c>
      <c r="H15">
        <f>IF(Table2[[#This Row],[Win or Loss]]=0, -1*Table2[[#This Row],[Stake]], Table2[[#This Row],[Profit]])</f>
        <v>0</v>
      </c>
    </row>
    <row r="16" spans="1:12" x14ac:dyDescent="0.3">
      <c r="A16" s="44">
        <v>45045</v>
      </c>
      <c r="B16" s="44" t="s">
        <v>73</v>
      </c>
      <c r="F16">
        <f>ROUNDUP(Table2[[#This Row],[Stake]]*(Table2[[#This Row],[Odds]]-1), 0)</f>
        <v>0</v>
      </c>
      <c r="H16">
        <f>IF(Table2[[#This Row],[Win or Loss]]=0, -1*Table2[[#This Row],[Stake]], Table2[[#This Row],[Profit]])</f>
        <v>0</v>
      </c>
    </row>
  </sheetData>
  <dataValidations count="1">
    <dataValidation type="list" allowBlank="1" showInputMessage="1" showErrorMessage="1" sqref="G2:G16" xr:uid="{6539720B-6451-4143-A11A-DC176F53D532}">
      <formula1>"0,1"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B27-7F8F-44C9-BFD9-CA8353584085}">
  <dimension ref="A1:C4"/>
  <sheetViews>
    <sheetView workbookViewId="0">
      <selection activeCell="E5" sqref="E5"/>
    </sheetView>
  </sheetViews>
  <sheetFormatPr defaultRowHeight="14.4" x14ac:dyDescent="0.3"/>
  <cols>
    <col min="1" max="1" width="10" customWidth="1"/>
    <col min="2" max="2" width="10.33203125" style="37" bestFit="1" customWidth="1"/>
    <col min="3" max="3" width="11.77734375" style="45" customWidth="1"/>
  </cols>
  <sheetData>
    <row r="1" spans="1:3" x14ac:dyDescent="0.3">
      <c r="A1" s="54" t="s">
        <v>54</v>
      </c>
      <c r="B1" s="55" t="s">
        <v>31</v>
      </c>
      <c r="C1" s="56" t="s">
        <v>71</v>
      </c>
    </row>
    <row r="2" spans="1:3" x14ac:dyDescent="0.3">
      <c r="A2" s="51">
        <v>45043</v>
      </c>
      <c r="B2" s="49">
        <v>4890</v>
      </c>
      <c r="C2" s="53">
        <v>0</v>
      </c>
    </row>
    <row r="3" spans="1:3" x14ac:dyDescent="0.3">
      <c r="A3" s="52">
        <v>45044</v>
      </c>
      <c r="B3" s="50">
        <v>5872</v>
      </c>
      <c r="C3" s="48">
        <f>('Daily Prediction %'!$B3-B2)/B2</f>
        <v>0.20081799591002045</v>
      </c>
    </row>
    <row r="4" spans="1:3" x14ac:dyDescent="0.3">
      <c r="C4" s="5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4C8A-2BD9-4C34-BB4A-F01D47C6154A}">
  <dimension ref="A1:K67"/>
  <sheetViews>
    <sheetView topLeftCell="B1" zoomScale="107" zoomScaleNormal="99" workbookViewId="0">
      <selection activeCell="B3" sqref="B3"/>
    </sheetView>
  </sheetViews>
  <sheetFormatPr defaultRowHeight="14.4" x14ac:dyDescent="0.3"/>
  <cols>
    <col min="1" max="1" width="9.109375" bestFit="1" customWidth="1"/>
    <col min="2" max="2" width="29.33203125" bestFit="1" customWidth="1"/>
    <col min="3" max="3" width="12.21875" style="23" bestFit="1" customWidth="1"/>
    <col min="4" max="4" width="15.109375" customWidth="1"/>
    <col min="5" max="5" width="15.33203125" bestFit="1" customWidth="1"/>
    <col min="7" max="7" width="15.44140625" bestFit="1" customWidth="1"/>
    <col min="8" max="8" width="23.33203125" bestFit="1" customWidth="1"/>
    <col min="9" max="9" width="15.5546875" bestFit="1" customWidth="1"/>
    <col min="10" max="10" width="21.33203125" bestFit="1" customWidth="1"/>
    <col min="11" max="11" width="11.44140625" bestFit="1" customWidth="1"/>
  </cols>
  <sheetData>
    <row r="1" spans="1:11" x14ac:dyDescent="0.3">
      <c r="A1" s="54" t="s">
        <v>74</v>
      </c>
      <c r="B1" s="54" t="s">
        <v>75</v>
      </c>
      <c r="C1" s="57" t="s">
        <v>76</v>
      </c>
      <c r="D1" s="54" t="s">
        <v>77</v>
      </c>
      <c r="E1" t="s">
        <v>78</v>
      </c>
      <c r="I1" t="s">
        <v>80</v>
      </c>
      <c r="J1" t="s">
        <v>79</v>
      </c>
    </row>
    <row r="2" spans="1:11" x14ac:dyDescent="0.3">
      <c r="A2" s="51">
        <v>45043</v>
      </c>
      <c r="B2" s="49">
        <f>ROUND(25*Compound!$C2^Compound!$D2, 2)</f>
        <v>25</v>
      </c>
      <c r="C2" s="47">
        <f t="shared" ref="C2:C33" si="0">112.5%</f>
        <v>1.125</v>
      </c>
      <c r="D2" s="46">
        <f>_xlfn.DAYS(A2, "27/04/2023")</f>
        <v>0</v>
      </c>
      <c r="E2" s="62" t="e">
        <f>Table8[[#This Row],[EV]]-B1</f>
        <v>#VALUE!</v>
      </c>
      <c r="H2" t="s">
        <v>81</v>
      </c>
      <c r="I2">
        <f>ROUND(LN(H3/Table8[[#This Row],[EV]])/LN(Table8[[#This Row],[% increase]]), 0)</f>
        <v>51</v>
      </c>
      <c r="J2" s="63">
        <f ca="1">TODAY()+I2</f>
        <v>45490</v>
      </c>
      <c r="K2" s="36"/>
    </row>
    <row r="3" spans="1:11" x14ac:dyDescent="0.3">
      <c r="A3" s="51">
        <v>45044</v>
      </c>
      <c r="B3" s="49">
        <f>ROUND(25*Compound!$C3^Compound!$D3, 2)</f>
        <v>28.13</v>
      </c>
      <c r="C3" s="47">
        <f t="shared" si="0"/>
        <v>1.125</v>
      </c>
      <c r="D3" s="46">
        <f>_xlfn.DAYS(A3, "27/04/2023")</f>
        <v>1</v>
      </c>
      <c r="E3" s="62">
        <f>Table8[[#This Row],[EV]]-B2</f>
        <v>3.129999999999999</v>
      </c>
      <c r="G3" s="37"/>
      <c r="H3" s="37">
        <v>10000</v>
      </c>
    </row>
    <row r="4" spans="1:11" x14ac:dyDescent="0.3">
      <c r="A4" s="51">
        <v>45045</v>
      </c>
      <c r="B4" s="49">
        <f>ROUND(25*Compound!$C4^Compound!$D4, 2)</f>
        <v>31.64</v>
      </c>
      <c r="C4" s="47">
        <f t="shared" si="0"/>
        <v>1.125</v>
      </c>
      <c r="D4" s="46">
        <f>_xlfn.DAYS(A4, "27/04/2023")</f>
        <v>2</v>
      </c>
      <c r="E4" s="62">
        <f>Table8[[#This Row],[EV]]-B3</f>
        <v>3.5100000000000016</v>
      </c>
    </row>
    <row r="5" spans="1:11" x14ac:dyDescent="0.3">
      <c r="A5" s="51">
        <v>45046</v>
      </c>
      <c r="B5" s="49">
        <f>ROUND(25*Compound!$C5^Compound!$D5, 2)</f>
        <v>35.6</v>
      </c>
      <c r="C5" s="47">
        <f t="shared" si="0"/>
        <v>1.125</v>
      </c>
      <c r="D5" s="46">
        <f t="shared" ref="D5:D17" si="1">_xlfn.DAYS(A5, "27/04/2023")</f>
        <v>3</v>
      </c>
      <c r="E5" s="62">
        <f>Table8[[#This Row],[EV]]-B4</f>
        <v>3.9600000000000009</v>
      </c>
    </row>
    <row r="6" spans="1:11" x14ac:dyDescent="0.3">
      <c r="A6" s="51">
        <v>45047</v>
      </c>
      <c r="B6" s="61">
        <f>ROUND(25*Compound!$C6^Compound!$D6, 2)</f>
        <v>40.049999999999997</v>
      </c>
      <c r="C6" s="60">
        <f t="shared" si="0"/>
        <v>1.125</v>
      </c>
      <c r="D6" s="59">
        <f t="shared" si="1"/>
        <v>4</v>
      </c>
      <c r="E6" s="62">
        <f>Table8[[#This Row],[EV]]-B5</f>
        <v>4.4499999999999957</v>
      </c>
    </row>
    <row r="7" spans="1:11" x14ac:dyDescent="0.3">
      <c r="A7" s="51">
        <v>45048</v>
      </c>
      <c r="B7" s="61">
        <f>ROUND(25*Compound!$C7^Compound!$D7, 2)</f>
        <v>45.05</v>
      </c>
      <c r="C7" s="60">
        <f t="shared" si="0"/>
        <v>1.125</v>
      </c>
      <c r="D7" s="59">
        <f t="shared" si="1"/>
        <v>5</v>
      </c>
      <c r="E7" s="62">
        <f>Table8[[#This Row],[EV]]-B6</f>
        <v>5</v>
      </c>
    </row>
    <row r="8" spans="1:11" x14ac:dyDescent="0.3">
      <c r="A8" s="51">
        <v>45049</v>
      </c>
      <c r="B8" s="61">
        <f>ROUND(25*Compound!$C8^Compound!$D8, 2)</f>
        <v>50.68</v>
      </c>
      <c r="C8" s="60">
        <f t="shared" si="0"/>
        <v>1.125</v>
      </c>
      <c r="D8" s="59">
        <f t="shared" si="1"/>
        <v>6</v>
      </c>
      <c r="E8" s="62">
        <f>Table8[[#This Row],[EV]]-B7</f>
        <v>5.6300000000000026</v>
      </c>
    </row>
    <row r="9" spans="1:11" x14ac:dyDescent="0.3">
      <c r="A9" s="51">
        <v>45050</v>
      </c>
      <c r="B9" s="61">
        <f>ROUND(25*Compound!$C9^Compound!$D9, 2)</f>
        <v>57.02</v>
      </c>
      <c r="C9" s="60">
        <f t="shared" si="0"/>
        <v>1.125</v>
      </c>
      <c r="D9" s="59">
        <f t="shared" si="1"/>
        <v>7</v>
      </c>
      <c r="E9" s="62">
        <f>Table8[[#This Row],[EV]]-B8</f>
        <v>6.3400000000000034</v>
      </c>
    </row>
    <row r="10" spans="1:11" x14ac:dyDescent="0.3">
      <c r="A10" s="51">
        <v>45051</v>
      </c>
      <c r="B10" s="61">
        <f>ROUND(25*Compound!$C10^Compound!$D10, 2)</f>
        <v>64.14</v>
      </c>
      <c r="C10" s="60">
        <f t="shared" si="0"/>
        <v>1.125</v>
      </c>
      <c r="D10" s="59">
        <f t="shared" si="1"/>
        <v>8</v>
      </c>
      <c r="E10" s="62">
        <f>Table8[[#This Row],[EV]]-B9</f>
        <v>7.1199999999999974</v>
      </c>
    </row>
    <row r="11" spans="1:11" x14ac:dyDescent="0.3">
      <c r="A11" s="51">
        <v>45052</v>
      </c>
      <c r="B11" s="61">
        <f>ROUND(25*Compound!$C11^Compound!$D11, 2)</f>
        <v>72.16</v>
      </c>
      <c r="C11" s="60">
        <f t="shared" si="0"/>
        <v>1.125</v>
      </c>
      <c r="D11" s="59">
        <f t="shared" si="1"/>
        <v>9</v>
      </c>
      <c r="E11" s="62">
        <f>Table8[[#This Row],[EV]]-B10</f>
        <v>8.019999999999996</v>
      </c>
    </row>
    <row r="12" spans="1:11" x14ac:dyDescent="0.3">
      <c r="A12" s="51">
        <v>45053</v>
      </c>
      <c r="B12" s="61">
        <f>ROUND(25*Compound!$C12^Compound!$D12, 2)</f>
        <v>81.180000000000007</v>
      </c>
      <c r="C12" s="60">
        <f t="shared" si="0"/>
        <v>1.125</v>
      </c>
      <c r="D12" s="59">
        <f t="shared" si="1"/>
        <v>10</v>
      </c>
      <c r="E12" s="62">
        <f>Table8[[#This Row],[EV]]-B11</f>
        <v>9.0200000000000102</v>
      </c>
    </row>
    <row r="13" spans="1:11" x14ac:dyDescent="0.3">
      <c r="A13" s="51">
        <v>45054</v>
      </c>
      <c r="B13" s="61">
        <f>ROUND(25*Compound!$C13^Compound!$D13, 2)</f>
        <v>91.33</v>
      </c>
      <c r="C13" s="60">
        <f t="shared" si="0"/>
        <v>1.125</v>
      </c>
      <c r="D13" s="59">
        <f t="shared" si="1"/>
        <v>11</v>
      </c>
      <c r="E13" s="62">
        <f>Table8[[#This Row],[EV]]-B12</f>
        <v>10.149999999999991</v>
      </c>
    </row>
    <row r="14" spans="1:11" x14ac:dyDescent="0.3">
      <c r="A14" s="51">
        <v>45055</v>
      </c>
      <c r="B14" s="61">
        <f>ROUND(25*Compound!$C14^Compound!$D14, 2)</f>
        <v>102.75</v>
      </c>
      <c r="C14" s="60">
        <f t="shared" si="0"/>
        <v>1.125</v>
      </c>
      <c r="D14" s="59">
        <f t="shared" si="1"/>
        <v>12</v>
      </c>
      <c r="E14" s="62">
        <f>Table8[[#This Row],[EV]]-B13</f>
        <v>11.420000000000002</v>
      </c>
    </row>
    <row r="15" spans="1:11" x14ac:dyDescent="0.3">
      <c r="A15" s="51">
        <v>45056</v>
      </c>
      <c r="B15" s="61">
        <f>ROUND(25*Compound!$C15^Compound!$D15, 2)</f>
        <v>115.59</v>
      </c>
      <c r="C15" s="60">
        <f t="shared" si="0"/>
        <v>1.125</v>
      </c>
      <c r="D15" s="59">
        <f t="shared" si="1"/>
        <v>13</v>
      </c>
      <c r="E15" s="62">
        <f>Table8[[#This Row],[EV]]-B14</f>
        <v>12.840000000000003</v>
      </c>
    </row>
    <row r="16" spans="1:11" x14ac:dyDescent="0.3">
      <c r="A16" s="51">
        <v>45057</v>
      </c>
      <c r="B16" s="61">
        <f>ROUND(25*Compound!$C16^Compound!$D16, 2)</f>
        <v>130.04</v>
      </c>
      <c r="C16" s="60">
        <f t="shared" si="0"/>
        <v>1.125</v>
      </c>
      <c r="D16" s="59">
        <f t="shared" si="1"/>
        <v>14</v>
      </c>
      <c r="E16" s="62">
        <f>Table8[[#This Row],[EV]]-B15</f>
        <v>14.449999999999989</v>
      </c>
    </row>
    <row r="17" spans="1:5" x14ac:dyDescent="0.3">
      <c r="A17" s="51">
        <v>45058</v>
      </c>
      <c r="B17" s="61">
        <f>ROUND(25*Compound!$C17^Compound!$D17, 2)</f>
        <v>146.29</v>
      </c>
      <c r="C17" s="60">
        <f t="shared" si="0"/>
        <v>1.125</v>
      </c>
      <c r="D17" s="59">
        <f t="shared" si="1"/>
        <v>15</v>
      </c>
      <c r="E17" s="62">
        <f>Table8[[#This Row],[EV]]-B16</f>
        <v>16.25</v>
      </c>
    </row>
    <row r="18" spans="1:5" x14ac:dyDescent="0.3">
      <c r="A18" s="51">
        <v>45059</v>
      </c>
      <c r="B18" s="49">
        <f>ROUND(25*Compound!$C18^Compound!$D18, 2)</f>
        <v>164.58</v>
      </c>
      <c r="C18" s="47">
        <f t="shared" si="0"/>
        <v>1.125</v>
      </c>
      <c r="D18" s="46">
        <f t="shared" ref="D18:D30" si="2">_xlfn.DAYS(A18, "27/04/2023")</f>
        <v>16</v>
      </c>
      <c r="E18" s="62">
        <f>Table8[[#This Row],[EV]]-B17</f>
        <v>18.29000000000002</v>
      </c>
    </row>
    <row r="19" spans="1:5" x14ac:dyDescent="0.3">
      <c r="A19" s="51">
        <v>45060</v>
      </c>
      <c r="B19" s="61">
        <f>ROUND(25*Compound!$C19^Compound!$D19, 2)</f>
        <v>185.15</v>
      </c>
      <c r="C19" s="60">
        <f t="shared" si="0"/>
        <v>1.125</v>
      </c>
      <c r="D19" s="59">
        <f t="shared" si="2"/>
        <v>17</v>
      </c>
      <c r="E19" s="62">
        <f>Table8[[#This Row],[EV]]-B18</f>
        <v>20.569999999999993</v>
      </c>
    </row>
    <row r="20" spans="1:5" x14ac:dyDescent="0.3">
      <c r="A20" s="51">
        <v>45061</v>
      </c>
      <c r="B20" s="61">
        <f>ROUND(25*Compound!$C20^Compound!$D20, 2)</f>
        <v>208.3</v>
      </c>
      <c r="C20" s="60">
        <f t="shared" si="0"/>
        <v>1.125</v>
      </c>
      <c r="D20" s="59">
        <f t="shared" si="2"/>
        <v>18</v>
      </c>
      <c r="E20" s="62">
        <f>Table8[[#This Row],[EV]]-B19</f>
        <v>23.150000000000006</v>
      </c>
    </row>
    <row r="21" spans="1:5" x14ac:dyDescent="0.3">
      <c r="A21" s="51">
        <v>45062</v>
      </c>
      <c r="B21" s="61">
        <f>ROUND(25*Compound!$C21^Compound!$D21, 2)</f>
        <v>234.34</v>
      </c>
      <c r="C21" s="60">
        <f t="shared" si="0"/>
        <v>1.125</v>
      </c>
      <c r="D21" s="59">
        <f t="shared" si="2"/>
        <v>19</v>
      </c>
      <c r="E21" s="62">
        <f>Table8[[#This Row],[EV]]-B20</f>
        <v>26.039999999999992</v>
      </c>
    </row>
    <row r="22" spans="1:5" x14ac:dyDescent="0.3">
      <c r="A22" s="51">
        <v>45063</v>
      </c>
      <c r="B22" s="61">
        <f>ROUND(25*Compound!$C22^Compound!$D22, 2)</f>
        <v>263.63</v>
      </c>
      <c r="C22" s="60">
        <f t="shared" si="0"/>
        <v>1.125</v>
      </c>
      <c r="D22" s="59">
        <f t="shared" si="2"/>
        <v>20</v>
      </c>
      <c r="E22" s="62">
        <f>Table8[[#This Row],[EV]]-B21</f>
        <v>29.289999999999992</v>
      </c>
    </row>
    <row r="23" spans="1:5" x14ac:dyDescent="0.3">
      <c r="A23" s="51">
        <v>45064</v>
      </c>
      <c r="B23" s="61">
        <f>ROUND(25*Compound!$C23^Compound!$D23, 2)</f>
        <v>296.58</v>
      </c>
      <c r="C23" s="60">
        <f t="shared" si="0"/>
        <v>1.125</v>
      </c>
      <c r="D23" s="59">
        <f t="shared" si="2"/>
        <v>21</v>
      </c>
      <c r="E23" s="62">
        <f>Table8[[#This Row],[EV]]-B22</f>
        <v>32.949999999999989</v>
      </c>
    </row>
    <row r="24" spans="1:5" x14ac:dyDescent="0.3">
      <c r="A24" s="51">
        <v>45065</v>
      </c>
      <c r="B24" s="61">
        <f>ROUND(25*Compound!$C24^Compound!$D24, 2)</f>
        <v>333.65</v>
      </c>
      <c r="C24" s="60">
        <f t="shared" si="0"/>
        <v>1.125</v>
      </c>
      <c r="D24" s="59">
        <f t="shared" si="2"/>
        <v>22</v>
      </c>
      <c r="E24" s="62">
        <f>Table8[[#This Row],[EV]]-B23</f>
        <v>37.069999999999993</v>
      </c>
    </row>
    <row r="25" spans="1:5" x14ac:dyDescent="0.3">
      <c r="A25" s="51">
        <v>45066</v>
      </c>
      <c r="B25" s="61">
        <f>ROUND(25*Compound!$C25^Compound!$D25, 2)</f>
        <v>375.36</v>
      </c>
      <c r="C25" s="60">
        <f t="shared" si="0"/>
        <v>1.125</v>
      </c>
      <c r="D25" s="59">
        <f t="shared" si="2"/>
        <v>23</v>
      </c>
      <c r="E25" s="62">
        <f>Table8[[#This Row],[EV]]-B24</f>
        <v>41.710000000000036</v>
      </c>
    </row>
    <row r="26" spans="1:5" x14ac:dyDescent="0.3">
      <c r="A26" s="51">
        <v>45067</v>
      </c>
      <c r="B26" s="61">
        <f>ROUND(25*Compound!$C26^Compound!$D26, 2)</f>
        <v>422.28</v>
      </c>
      <c r="C26" s="60">
        <f t="shared" si="0"/>
        <v>1.125</v>
      </c>
      <c r="D26" s="59">
        <f t="shared" si="2"/>
        <v>24</v>
      </c>
      <c r="E26" s="62">
        <f>Table8[[#This Row],[EV]]-B25</f>
        <v>46.919999999999959</v>
      </c>
    </row>
    <row r="27" spans="1:5" x14ac:dyDescent="0.3">
      <c r="A27" s="51">
        <v>45068</v>
      </c>
      <c r="B27" s="61">
        <f>ROUND(25*Compound!$C27^Compound!$D27, 2)</f>
        <v>475.07</v>
      </c>
      <c r="C27" s="60">
        <f t="shared" si="0"/>
        <v>1.125</v>
      </c>
      <c r="D27" s="59">
        <f t="shared" si="2"/>
        <v>25</v>
      </c>
      <c r="E27" s="62">
        <f>Table8[[#This Row],[EV]]-B26</f>
        <v>52.79000000000002</v>
      </c>
    </row>
    <row r="28" spans="1:5" x14ac:dyDescent="0.3">
      <c r="A28" s="51">
        <v>45069</v>
      </c>
      <c r="B28" s="61">
        <f>ROUND(25*Compound!$C28^Compound!$D28, 2)</f>
        <v>534.45000000000005</v>
      </c>
      <c r="C28" s="60">
        <f t="shared" si="0"/>
        <v>1.125</v>
      </c>
      <c r="D28" s="59">
        <f t="shared" si="2"/>
        <v>26</v>
      </c>
      <c r="E28" s="62">
        <f>Table8[[#This Row],[EV]]-B27</f>
        <v>59.380000000000052</v>
      </c>
    </row>
    <row r="29" spans="1:5" x14ac:dyDescent="0.3">
      <c r="A29" s="51">
        <v>45070</v>
      </c>
      <c r="B29" s="61">
        <f>ROUND(25*Compound!$C29^Compound!$D29, 2)</f>
        <v>601.25</v>
      </c>
      <c r="C29" s="60">
        <f t="shared" si="0"/>
        <v>1.125</v>
      </c>
      <c r="D29" s="59">
        <f t="shared" si="2"/>
        <v>27</v>
      </c>
      <c r="E29" s="62">
        <f>Table8[[#This Row],[EV]]-B28</f>
        <v>66.799999999999955</v>
      </c>
    </row>
    <row r="30" spans="1:5" x14ac:dyDescent="0.3">
      <c r="A30" s="51">
        <v>45071</v>
      </c>
      <c r="B30" s="61">
        <f>ROUND(25*Compound!$C30^Compound!$D30, 2)</f>
        <v>676.41</v>
      </c>
      <c r="C30" s="60">
        <f t="shared" si="0"/>
        <v>1.125</v>
      </c>
      <c r="D30" s="59">
        <f t="shared" si="2"/>
        <v>28</v>
      </c>
      <c r="E30" s="62">
        <f>Table8[[#This Row],[EV]]-B29</f>
        <v>75.159999999999968</v>
      </c>
    </row>
    <row r="31" spans="1:5" x14ac:dyDescent="0.3">
      <c r="A31" s="51">
        <v>45072</v>
      </c>
      <c r="B31" s="49">
        <f>ROUND(25*Compound!$C31^Compound!$D31, 2)</f>
        <v>760.96</v>
      </c>
      <c r="C31" s="47">
        <f t="shared" si="0"/>
        <v>1.125</v>
      </c>
      <c r="D31" s="46">
        <f>_xlfn.DAYS(A31, "27/04/2023")</f>
        <v>29</v>
      </c>
      <c r="E31" s="62">
        <f>Table8[[#This Row],[EV]]-B30</f>
        <v>84.550000000000068</v>
      </c>
    </row>
    <row r="32" spans="1:5" x14ac:dyDescent="0.3">
      <c r="A32" s="51">
        <v>45073</v>
      </c>
      <c r="B32" s="49">
        <f>ROUND(25*Compound!$C32^Compound!$D32, 2)</f>
        <v>856.08</v>
      </c>
      <c r="C32" s="47">
        <f t="shared" si="0"/>
        <v>1.125</v>
      </c>
      <c r="D32" s="46">
        <f t="shared" ref="D32:D33" si="3">_xlfn.DAYS(A32, "27/04/2023")</f>
        <v>30</v>
      </c>
      <c r="E32" s="62">
        <f>Table8[[#This Row],[EV]]-B31</f>
        <v>95.12</v>
      </c>
    </row>
    <row r="33" spans="1:5" x14ac:dyDescent="0.3">
      <c r="A33" s="51">
        <v>45074</v>
      </c>
      <c r="B33" s="61">
        <f>ROUND(25*Compound!$C33^Compound!$D33, 2)</f>
        <v>963.09</v>
      </c>
      <c r="C33" s="60">
        <f t="shared" si="0"/>
        <v>1.125</v>
      </c>
      <c r="D33" s="59">
        <f t="shared" si="3"/>
        <v>31</v>
      </c>
      <c r="E33" s="62">
        <f>Table8[[#This Row],[EV]]-B32</f>
        <v>107.00999999999999</v>
      </c>
    </row>
    <row r="34" spans="1:5" x14ac:dyDescent="0.3">
      <c r="A34" s="51">
        <v>45075</v>
      </c>
      <c r="B34" s="49">
        <f>ROUND(25*Compound!$C34^Compound!$D34, 2)</f>
        <v>1083.48</v>
      </c>
      <c r="C34" s="47">
        <f t="shared" ref="C34:C67" si="4">112.5%</f>
        <v>1.125</v>
      </c>
      <c r="D34" s="46">
        <f t="shared" ref="D34:D64" si="5">_xlfn.DAYS(A34, "27/04/2023")</f>
        <v>32</v>
      </c>
      <c r="E34" s="62">
        <f>Table8[[#This Row],[EV]]-B33</f>
        <v>120.38999999999999</v>
      </c>
    </row>
    <row r="35" spans="1:5" x14ac:dyDescent="0.3">
      <c r="A35" s="51">
        <v>45076</v>
      </c>
      <c r="B35" s="61">
        <f>ROUND(25*Compound!$C35^Compound!$D35, 2)</f>
        <v>1218.9100000000001</v>
      </c>
      <c r="C35" s="60">
        <f t="shared" si="4"/>
        <v>1.125</v>
      </c>
      <c r="D35" s="59">
        <f t="shared" si="5"/>
        <v>33</v>
      </c>
      <c r="E35" s="62">
        <f>Table8[[#This Row],[EV]]-B34</f>
        <v>135.43000000000006</v>
      </c>
    </row>
    <row r="36" spans="1:5" x14ac:dyDescent="0.3">
      <c r="A36" s="51">
        <v>45077</v>
      </c>
      <c r="B36" s="61">
        <f>ROUND(25*Compound!$C36^Compound!$D36, 2)</f>
        <v>1371.28</v>
      </c>
      <c r="C36" s="60">
        <f t="shared" si="4"/>
        <v>1.125</v>
      </c>
      <c r="D36" s="59">
        <f t="shared" si="5"/>
        <v>34</v>
      </c>
      <c r="E36" s="62">
        <f>Table8[[#This Row],[EV]]-B35</f>
        <v>152.36999999999989</v>
      </c>
    </row>
    <row r="37" spans="1:5" x14ac:dyDescent="0.3">
      <c r="A37" s="51">
        <v>45078</v>
      </c>
      <c r="B37" s="61">
        <f>ROUND(25*Compound!$C37^Compound!$D37, 2)</f>
        <v>1542.69</v>
      </c>
      <c r="C37" s="60">
        <f t="shared" si="4"/>
        <v>1.125</v>
      </c>
      <c r="D37" s="59">
        <f t="shared" si="5"/>
        <v>35</v>
      </c>
      <c r="E37" s="62">
        <f>Table8[[#This Row],[EV]]-B36</f>
        <v>171.41000000000008</v>
      </c>
    </row>
    <row r="38" spans="1:5" x14ac:dyDescent="0.3">
      <c r="A38" s="51">
        <v>45079</v>
      </c>
      <c r="B38" s="61">
        <f>ROUND(25*Compound!$C38^Compound!$D38, 2)</f>
        <v>1735.52</v>
      </c>
      <c r="C38" s="60">
        <f t="shared" si="4"/>
        <v>1.125</v>
      </c>
      <c r="D38" s="59">
        <f t="shared" si="5"/>
        <v>36</v>
      </c>
      <c r="E38" s="62">
        <f>Table8[[#This Row],[EV]]-B37</f>
        <v>192.82999999999993</v>
      </c>
    </row>
    <row r="39" spans="1:5" x14ac:dyDescent="0.3">
      <c r="A39" s="51">
        <v>45080</v>
      </c>
      <c r="B39" s="61">
        <f>ROUND(25*Compound!$C39^Compound!$D39, 2)</f>
        <v>1952.47</v>
      </c>
      <c r="C39" s="60">
        <f t="shared" si="4"/>
        <v>1.125</v>
      </c>
      <c r="D39" s="59">
        <f t="shared" si="5"/>
        <v>37</v>
      </c>
      <c r="E39" s="62">
        <f>Table8[[#This Row],[EV]]-B38</f>
        <v>216.95000000000005</v>
      </c>
    </row>
    <row r="40" spans="1:5" x14ac:dyDescent="0.3">
      <c r="A40" s="51">
        <v>45081</v>
      </c>
      <c r="B40" s="61">
        <f>ROUND(25*Compound!$C40^Compound!$D40, 2)</f>
        <v>2196.52</v>
      </c>
      <c r="C40" s="60">
        <f t="shared" si="4"/>
        <v>1.125</v>
      </c>
      <c r="D40" s="59">
        <f t="shared" si="5"/>
        <v>38</v>
      </c>
      <c r="E40" s="62">
        <f>Table8[[#This Row],[EV]]-B39</f>
        <v>244.04999999999995</v>
      </c>
    </row>
    <row r="41" spans="1:5" x14ac:dyDescent="0.3">
      <c r="A41" s="51">
        <v>45082</v>
      </c>
      <c r="B41" s="61">
        <f>ROUND(25*Compound!$C41^Compound!$D41, 2)</f>
        <v>2471.09</v>
      </c>
      <c r="C41" s="60">
        <f t="shared" si="4"/>
        <v>1.125</v>
      </c>
      <c r="D41" s="59">
        <f t="shared" si="5"/>
        <v>39</v>
      </c>
      <c r="E41" s="62">
        <f>Table8[[#This Row],[EV]]-B40</f>
        <v>274.57000000000016</v>
      </c>
    </row>
    <row r="42" spans="1:5" x14ac:dyDescent="0.3">
      <c r="A42" s="51">
        <v>45083</v>
      </c>
      <c r="B42" s="61">
        <f>ROUND(25*Compound!$C42^Compound!$D42, 2)</f>
        <v>2779.98</v>
      </c>
      <c r="C42" s="60">
        <f t="shared" si="4"/>
        <v>1.125</v>
      </c>
      <c r="D42" s="59">
        <f t="shared" si="5"/>
        <v>40</v>
      </c>
      <c r="E42" s="62">
        <f>Table8[[#This Row],[EV]]-B41</f>
        <v>308.88999999999987</v>
      </c>
    </row>
    <row r="43" spans="1:5" x14ac:dyDescent="0.3">
      <c r="A43" s="51">
        <v>45084</v>
      </c>
      <c r="B43" s="61">
        <f>ROUND(25*Compound!$C43^Compound!$D43, 2)</f>
        <v>3127.47</v>
      </c>
      <c r="C43" s="60">
        <f t="shared" si="4"/>
        <v>1.125</v>
      </c>
      <c r="D43" s="59">
        <f t="shared" si="5"/>
        <v>41</v>
      </c>
      <c r="E43" s="62">
        <f>Table8[[#This Row],[EV]]-B42</f>
        <v>347.48999999999978</v>
      </c>
    </row>
    <row r="44" spans="1:5" x14ac:dyDescent="0.3">
      <c r="A44" s="51">
        <v>45085</v>
      </c>
      <c r="B44" s="61">
        <f>ROUND(25*Compound!$C44^Compound!$D44, 2)</f>
        <v>3518.41</v>
      </c>
      <c r="C44" s="60">
        <f t="shared" si="4"/>
        <v>1.125</v>
      </c>
      <c r="D44" s="59">
        <f t="shared" si="5"/>
        <v>42</v>
      </c>
      <c r="E44" s="62">
        <f>Table8[[#This Row],[EV]]-B43</f>
        <v>390.94000000000005</v>
      </c>
    </row>
    <row r="45" spans="1:5" x14ac:dyDescent="0.3">
      <c r="A45" s="51">
        <v>45086</v>
      </c>
      <c r="B45" s="61">
        <f>ROUND(25*Compound!$C45^Compound!$D45, 2)</f>
        <v>3958.21</v>
      </c>
      <c r="C45" s="60">
        <f t="shared" si="4"/>
        <v>1.125</v>
      </c>
      <c r="D45" s="59">
        <f t="shared" si="5"/>
        <v>43</v>
      </c>
      <c r="E45" s="62">
        <f>Table8[[#This Row],[EV]]-B44</f>
        <v>439.80000000000018</v>
      </c>
    </row>
    <row r="46" spans="1:5" x14ac:dyDescent="0.3">
      <c r="A46" s="51">
        <v>45087</v>
      </c>
      <c r="B46" s="61">
        <f>ROUND(25*Compound!$C46^Compound!$D46, 2)</f>
        <v>4452.9799999999996</v>
      </c>
      <c r="C46" s="60">
        <f t="shared" si="4"/>
        <v>1.125</v>
      </c>
      <c r="D46" s="59">
        <f t="shared" si="5"/>
        <v>44</v>
      </c>
      <c r="E46" s="62">
        <f>Table8[[#This Row],[EV]]-B45</f>
        <v>494.76999999999953</v>
      </c>
    </row>
    <row r="47" spans="1:5" x14ac:dyDescent="0.3">
      <c r="A47" s="51">
        <v>45088</v>
      </c>
      <c r="B47" s="61">
        <f>ROUND(25*Compound!$C47^Compound!$D47, 2)</f>
        <v>5009.6099999999997</v>
      </c>
      <c r="C47" s="60">
        <f t="shared" si="4"/>
        <v>1.125</v>
      </c>
      <c r="D47" s="59">
        <f t="shared" si="5"/>
        <v>45</v>
      </c>
      <c r="E47" s="62">
        <f>Table8[[#This Row],[EV]]-B46</f>
        <v>556.63000000000011</v>
      </c>
    </row>
    <row r="48" spans="1:5" x14ac:dyDescent="0.3">
      <c r="A48" s="51">
        <v>45089</v>
      </c>
      <c r="B48" s="61">
        <f>ROUND(25*Compound!$C48^Compound!$D48, 2)</f>
        <v>5635.81</v>
      </c>
      <c r="C48" s="60">
        <f t="shared" si="4"/>
        <v>1.125</v>
      </c>
      <c r="D48" s="59">
        <f t="shared" si="5"/>
        <v>46</v>
      </c>
      <c r="E48" s="62">
        <f>Table8[[#This Row],[EV]]-B47</f>
        <v>626.20000000000073</v>
      </c>
    </row>
    <row r="49" spans="1:5" x14ac:dyDescent="0.3">
      <c r="A49" s="51">
        <v>45090</v>
      </c>
      <c r="B49" s="61">
        <f>ROUND(25*Compound!$C49^Compound!$D49, 2)</f>
        <v>6340.28</v>
      </c>
      <c r="C49" s="60">
        <f t="shared" si="4"/>
        <v>1.125</v>
      </c>
      <c r="D49" s="59">
        <f t="shared" si="5"/>
        <v>47</v>
      </c>
      <c r="E49" s="62">
        <f>Table8[[#This Row],[EV]]-B48</f>
        <v>704.46999999999935</v>
      </c>
    </row>
    <row r="50" spans="1:5" x14ac:dyDescent="0.3">
      <c r="A50" s="51">
        <v>45091</v>
      </c>
      <c r="B50" s="61">
        <f>ROUND(25*Compound!$C50^Compound!$D50, 2)</f>
        <v>7132.82</v>
      </c>
      <c r="C50" s="60">
        <f t="shared" si="4"/>
        <v>1.125</v>
      </c>
      <c r="D50" s="59">
        <f t="shared" si="5"/>
        <v>48</v>
      </c>
      <c r="E50" s="62">
        <f>Table8[[#This Row],[EV]]-B49</f>
        <v>792.54</v>
      </c>
    </row>
    <row r="51" spans="1:5" x14ac:dyDescent="0.3">
      <c r="A51" s="51">
        <v>45092</v>
      </c>
      <c r="B51" s="61">
        <f>ROUND(25*Compound!$C51^Compound!$D51, 2)</f>
        <v>8024.42</v>
      </c>
      <c r="C51" s="60">
        <f t="shared" si="4"/>
        <v>1.125</v>
      </c>
      <c r="D51" s="59">
        <f t="shared" si="5"/>
        <v>49</v>
      </c>
      <c r="E51" s="62">
        <f>Table8[[#This Row],[EV]]-B50</f>
        <v>891.60000000000036</v>
      </c>
    </row>
    <row r="52" spans="1:5" x14ac:dyDescent="0.3">
      <c r="A52" s="51">
        <v>45093</v>
      </c>
      <c r="B52" s="61">
        <f>ROUND(25*Compound!$C52^Compound!$D52, 2)</f>
        <v>9027.4699999999993</v>
      </c>
      <c r="C52" s="60">
        <f t="shared" si="4"/>
        <v>1.125</v>
      </c>
      <c r="D52" s="59">
        <f t="shared" si="5"/>
        <v>50</v>
      </c>
      <c r="E52" s="62">
        <f>Table8[[#This Row],[EV]]-B51</f>
        <v>1003.0499999999993</v>
      </c>
    </row>
    <row r="53" spans="1:5" x14ac:dyDescent="0.3">
      <c r="A53" s="51">
        <v>45094</v>
      </c>
      <c r="B53" s="61">
        <f>ROUND(25*Compound!$C53^Compound!$D53, 2)</f>
        <v>10155.91</v>
      </c>
      <c r="C53" s="60">
        <f t="shared" si="4"/>
        <v>1.125</v>
      </c>
      <c r="D53" s="59">
        <f t="shared" si="5"/>
        <v>51</v>
      </c>
      <c r="E53" s="62">
        <f>Table8[[#This Row],[EV]]-B52</f>
        <v>1128.4400000000005</v>
      </c>
    </row>
    <row r="54" spans="1:5" x14ac:dyDescent="0.3">
      <c r="A54" s="51">
        <v>45095</v>
      </c>
      <c r="B54" s="61">
        <f>ROUND(25*Compound!$C54^Compound!$D54, 2)</f>
        <v>11425.39</v>
      </c>
      <c r="C54" s="60">
        <f t="shared" si="4"/>
        <v>1.125</v>
      </c>
      <c r="D54" s="59">
        <f t="shared" si="5"/>
        <v>52</v>
      </c>
      <c r="E54" s="62">
        <f>Table8[[#This Row],[EV]]-B53</f>
        <v>1269.4799999999996</v>
      </c>
    </row>
    <row r="55" spans="1:5" x14ac:dyDescent="0.3">
      <c r="A55" s="51">
        <v>45096</v>
      </c>
      <c r="B55" s="61">
        <f>ROUND(25*Compound!$C55^Compound!$D55, 2)</f>
        <v>12853.57</v>
      </c>
      <c r="C55" s="60">
        <f t="shared" si="4"/>
        <v>1.125</v>
      </c>
      <c r="D55" s="59">
        <f t="shared" si="5"/>
        <v>53</v>
      </c>
      <c r="E55" s="62">
        <f>Table8[[#This Row],[EV]]-B54</f>
        <v>1428.1800000000003</v>
      </c>
    </row>
    <row r="56" spans="1:5" x14ac:dyDescent="0.3">
      <c r="A56" s="51">
        <v>45097</v>
      </c>
      <c r="B56" s="61">
        <f>ROUND(25*Compound!$C56^Compound!$D56, 2)</f>
        <v>14460.26</v>
      </c>
      <c r="C56" s="60">
        <f t="shared" si="4"/>
        <v>1.125</v>
      </c>
      <c r="D56" s="59">
        <f t="shared" si="5"/>
        <v>54</v>
      </c>
      <c r="E56" s="62">
        <f>Table8[[#This Row],[EV]]-B55</f>
        <v>1606.6900000000005</v>
      </c>
    </row>
    <row r="57" spans="1:5" x14ac:dyDescent="0.3">
      <c r="A57" s="51">
        <v>45098</v>
      </c>
      <c r="B57" s="61">
        <f>ROUND(25*Compound!$C57^Compound!$D57, 2)</f>
        <v>16267.8</v>
      </c>
      <c r="C57" s="60">
        <f t="shared" si="4"/>
        <v>1.125</v>
      </c>
      <c r="D57" s="59">
        <f t="shared" si="5"/>
        <v>55</v>
      </c>
      <c r="E57" s="62">
        <f>Table8[[#This Row],[EV]]-B56</f>
        <v>1807.5399999999991</v>
      </c>
    </row>
    <row r="58" spans="1:5" x14ac:dyDescent="0.3">
      <c r="A58" s="51">
        <v>45099</v>
      </c>
      <c r="B58" s="61">
        <f>ROUND(25*Compound!$C58^Compound!$D58, 2)</f>
        <v>18301.27</v>
      </c>
      <c r="C58" s="60">
        <f t="shared" si="4"/>
        <v>1.125</v>
      </c>
      <c r="D58" s="59">
        <f t="shared" si="5"/>
        <v>56</v>
      </c>
      <c r="E58" s="62">
        <f>Table8[[#This Row],[EV]]-B57</f>
        <v>2033.4700000000012</v>
      </c>
    </row>
    <row r="59" spans="1:5" x14ac:dyDescent="0.3">
      <c r="A59" s="51">
        <v>45100</v>
      </c>
      <c r="B59" s="61">
        <f>ROUND(25*Compound!$C59^Compound!$D59, 2)</f>
        <v>20588.93</v>
      </c>
      <c r="C59" s="60">
        <f t="shared" si="4"/>
        <v>1.125</v>
      </c>
      <c r="D59" s="59">
        <f t="shared" si="5"/>
        <v>57</v>
      </c>
      <c r="E59" s="62">
        <f>Table8[[#This Row],[EV]]-B58</f>
        <v>2287.66</v>
      </c>
    </row>
    <row r="60" spans="1:5" x14ac:dyDescent="0.3">
      <c r="A60" s="51">
        <v>45101</v>
      </c>
      <c r="B60" s="61">
        <f>ROUND(25*Compound!$C60^Compound!$D60, 2)</f>
        <v>23162.55</v>
      </c>
      <c r="C60" s="60">
        <f t="shared" si="4"/>
        <v>1.125</v>
      </c>
      <c r="D60" s="59">
        <f t="shared" si="5"/>
        <v>58</v>
      </c>
      <c r="E60" s="62">
        <f>Table8[[#This Row],[EV]]-B59</f>
        <v>2573.619999999999</v>
      </c>
    </row>
    <row r="61" spans="1:5" x14ac:dyDescent="0.3">
      <c r="A61" s="51">
        <v>45102</v>
      </c>
      <c r="B61" s="61">
        <f>ROUND(25*Compound!$C61^Compound!$D61, 2)</f>
        <v>26057.87</v>
      </c>
      <c r="C61" s="60">
        <f t="shared" si="4"/>
        <v>1.125</v>
      </c>
      <c r="D61" s="59">
        <f t="shared" si="5"/>
        <v>59</v>
      </c>
      <c r="E61" s="62">
        <f>Table8[[#This Row],[EV]]-B60</f>
        <v>2895.3199999999997</v>
      </c>
    </row>
    <row r="62" spans="1:5" x14ac:dyDescent="0.3">
      <c r="A62" s="51">
        <v>45103</v>
      </c>
      <c r="B62" s="61">
        <f>ROUND(25*Compound!$C62^Compound!$D62, 2)</f>
        <v>29315.1</v>
      </c>
      <c r="C62" s="60">
        <f t="shared" si="4"/>
        <v>1.125</v>
      </c>
      <c r="D62" s="59">
        <f t="shared" si="5"/>
        <v>60</v>
      </c>
      <c r="E62" s="62">
        <f>Table8[[#This Row],[EV]]-B61</f>
        <v>3257.2299999999996</v>
      </c>
    </row>
    <row r="63" spans="1:5" x14ac:dyDescent="0.3">
      <c r="A63" s="51">
        <v>45104</v>
      </c>
      <c r="B63" s="61">
        <f>ROUND(25*Compound!$C63^Compound!$D63, 2)</f>
        <v>32979.49</v>
      </c>
      <c r="C63" s="60">
        <f t="shared" si="4"/>
        <v>1.125</v>
      </c>
      <c r="D63" s="59">
        <f t="shared" si="5"/>
        <v>61</v>
      </c>
      <c r="E63" s="62">
        <f>Table8[[#This Row],[EV]]-B62</f>
        <v>3664.3899999999994</v>
      </c>
    </row>
    <row r="64" spans="1:5" x14ac:dyDescent="0.3">
      <c r="A64" s="51">
        <v>45105</v>
      </c>
      <c r="B64" s="61">
        <f>ROUND(25*Compound!$C64^Compound!$D64, 2)</f>
        <v>37101.919999999998</v>
      </c>
      <c r="C64" s="60">
        <f t="shared" si="4"/>
        <v>1.125</v>
      </c>
      <c r="D64" s="59">
        <f t="shared" si="5"/>
        <v>62</v>
      </c>
      <c r="E64" s="62">
        <f>Table8[[#This Row],[EV]]-B63</f>
        <v>4122.43</v>
      </c>
    </row>
    <row r="65" spans="1:5" x14ac:dyDescent="0.3">
      <c r="A65" s="51">
        <v>45106</v>
      </c>
      <c r="B65" s="61">
        <f>ROUND(25*Compound!$C65^Compound!$D65, 2)</f>
        <v>41739.660000000003</v>
      </c>
      <c r="C65" s="60">
        <f t="shared" si="4"/>
        <v>1.125</v>
      </c>
      <c r="D65" s="59">
        <f t="shared" ref="D65:D66" si="6">_xlfn.DAYS(A65, "27/04/2023")</f>
        <v>63</v>
      </c>
      <c r="E65" s="62">
        <f>Table8[[#This Row],[EV]]-B64</f>
        <v>4637.7400000000052</v>
      </c>
    </row>
    <row r="66" spans="1:5" x14ac:dyDescent="0.3">
      <c r="A66" s="51">
        <v>45107</v>
      </c>
      <c r="B66" s="61">
        <f>ROUND(25*Compound!$C66^Compound!$D66, 2)</f>
        <v>46957.120000000003</v>
      </c>
      <c r="C66" s="60">
        <f t="shared" si="4"/>
        <v>1.125</v>
      </c>
      <c r="D66" s="59">
        <f t="shared" si="6"/>
        <v>64</v>
      </c>
      <c r="E66" s="62">
        <f>Table8[[#This Row],[EV]]-B65</f>
        <v>5217.4599999999991</v>
      </c>
    </row>
    <row r="67" spans="1:5" x14ac:dyDescent="0.3">
      <c r="A67" s="51">
        <v>45108</v>
      </c>
      <c r="B67" s="49">
        <f>ROUND(25*Compound!$C67^Compound!$D67, 2)</f>
        <v>52826.76</v>
      </c>
      <c r="C67" s="47">
        <f t="shared" si="4"/>
        <v>1.125</v>
      </c>
      <c r="D67" s="46">
        <f>_xlfn.DAYS(A67, "27/04/2023")</f>
        <v>65</v>
      </c>
      <c r="E67" s="62">
        <f>Table8[[#This Row],[EV]]-B66</f>
        <v>5869.6399999999994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445833-F9F1-41EA-9BC1-5B968BDE7E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Sheet2 - Match predictions</vt:lpstr>
      <vt:lpstr>Ducthing</vt:lpstr>
      <vt:lpstr>Betting Log</vt:lpstr>
      <vt:lpstr>Daily Prediction %</vt:lpstr>
      <vt:lpstr>Compound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Bets</dc:creator>
  <cp:lastModifiedBy>Clayton Gatting</cp:lastModifiedBy>
  <dcterms:created xsi:type="dcterms:W3CDTF">2019-05-18T11:51:49Z</dcterms:created>
  <dcterms:modified xsi:type="dcterms:W3CDTF">2024-05-27T10:05:12Z</dcterms:modified>
</cp:coreProperties>
</file>