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">
      <text>
        <t xml:space="preserve">1,000 apps may be a really high number, at least at the 100,000 impressions range.
There will likely be a a handful of whales and a 99% majority of small players.
	-Carlos Gil
See reply to number of impressions.
	-Andy Miller</t>
      </text>
    </comment>
    <comment authorId="0" ref="E4">
      <text>
        <t xml:space="preserve">Removing the wholesaler leaves us with ~60% markup from the manufacturing price to play with. ~40% margin on goods.
	-Carlos Gil</t>
      </text>
    </comment>
    <comment authorId="0" ref="E3">
      <text>
        <t xml:space="preserve">I think here, partnerships become important. We need to figure out what discounts retailers are willing to offer for unique visitors/an additional revenue stream. A 10-20% discount in combination with a 5-10% markup seems reasonable.
	-Carlos Gil</t>
      </text>
    </comment>
    <comment authorId="0" ref="G1">
      <text>
        <t xml:space="preserve">There's going to be some overhead cost per item, for processing, inventory storage and management for the cases where we physically deal with the goods.
	-Carlos Gil
Shipwire costs should be a good ceiling to estimate those costs. We could rebuild this spreadsheet with a couple of example physical items {umbrella, condom box, shirt, tv, wearable} to see the variation in markup and logistics costs (larger things take up more space in a wharehouse)
	-Andy Miller</t>
      </text>
    </comment>
    <comment authorId="0" ref="J2">
      <text>
        <t xml:space="preserve">From some reading a conversion rate between 0.01% and 0.1% is likely more realistic, unless the assumption here is that we our model leads to significantly higher conversion rates.
	-Carlos Gil
OK. Agree. Please add a link to your reference
	-Andy Miller</t>
      </text>
    </comment>
    <comment authorId="0" ref="E1">
      <text>
        <t xml:space="preserve">A total margin of 50% gives a markup of 100% which is much higher than the average markup from wholesale-&gt;retail of 40%.
A 40% markup gives us about a total margin of 30% to play with.
	-Carlos Gil</t>
      </text>
    </comment>
    <comment authorId="0" ref="H2">
      <text>
        <t xml:space="preserve">As an example item sure, but this seems very high for an average item to estimate revenue. Maybe closer to $10-$20 for an average item?
	-Carlos Gil</t>
      </text>
    </comment>
    <comment authorId="0" ref="I1">
      <text>
        <t xml:space="preserve">It's important if this is per day/month/year.
I'm going to assume this is per month to be very conservative.
	-Carlos Gil
OK. I think some of our apps might be on the smaller side of users so we should build a business model that has low per app impressions and a high number of apps participating.
	-Andy Miller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this # may be much larger if the products are switched often or if deals appear etc.
	-Andy Miller</t>
      </text>
    </comment>
  </commentList>
</comments>
</file>

<file path=xl/sharedStrings.xml><?xml version="1.0" encoding="utf-8"?>
<sst xmlns="http://schemas.openxmlformats.org/spreadsheetml/2006/main" count="137" uniqueCount="96">
  <si>
    <t>Model</t>
  </si>
  <si>
    <t>CPM Blended Model Marketplace</t>
  </si>
  <si>
    <t>Description</t>
  </si>
  <si>
    <t xml:space="preserve">Precedent </t>
  </si>
  <si>
    <t>Shipping Cost</t>
  </si>
  <si>
    <t>Company Margin [% of retail price]</t>
  </si>
  <si>
    <t>App Margin [% of retail price]</t>
  </si>
  <si>
    <t>Overhead Cost / Item [% of retail price]</t>
  </si>
  <si>
    <t>Example Item [Retail price]</t>
  </si>
  <si>
    <t>Example Avg # Users / App [Impressions/Month]</t>
  </si>
  <si>
    <t>Example Conv. Rate</t>
  </si>
  <si>
    <t xml:space="preserve">Example Company Revenue </t>
  </si>
  <si>
    <t>Example App Revenue</t>
  </si>
  <si>
    <t>Apps</t>
  </si>
  <si>
    <t># of Apps under our belt</t>
  </si>
  <si>
    <t xml:space="preserve">Revenue to Company </t>
  </si>
  <si>
    <t>Gross Revenue to Company / Month</t>
  </si>
  <si>
    <t>Top 10</t>
  </si>
  <si>
    <t>Revenue to Company / Year</t>
  </si>
  <si>
    <t xml:space="preserve">Top 50 </t>
  </si>
  <si>
    <t>Revenue to App / Year</t>
  </si>
  <si>
    <t>Top 200</t>
  </si>
  <si>
    <t xml:space="preserve">2 yrs out </t>
  </si>
  <si>
    <t>#Products</t>
  </si>
  <si>
    <t>CPM $ / Product</t>
  </si>
  <si>
    <t>Views / Month</t>
  </si>
  <si>
    <t>Wholesale</t>
  </si>
  <si>
    <t>Comp. buys products at wholesale prices, keeps inventory and does the shipping</t>
  </si>
  <si>
    <t>1/1000</t>
  </si>
  <si>
    <t>Assumed by customer</t>
  </si>
  <si>
    <t># of Top 10</t>
  </si>
  <si>
    <t># of Top 50</t>
  </si>
  <si>
    <t># of Top 200</t>
  </si>
  <si>
    <t>months in a year</t>
  </si>
  <si>
    <t>$/yr</t>
  </si>
  <si>
    <t>Marketplace</t>
  </si>
  <si>
    <t xml:space="preserve">Comp. connects apps w/ retailers and apps. </t>
  </si>
  <si>
    <t>Manufacturer / Product Owner</t>
  </si>
  <si>
    <t>Comp. manufacturers goods and handles logistics.</t>
  </si>
  <si>
    <t>Ad Revenue</t>
  </si>
  <si>
    <t>Examples</t>
  </si>
  <si>
    <t>Product</t>
  </si>
  <si>
    <t>List Price</t>
  </si>
  <si>
    <t>% to Tote</t>
  </si>
  <si>
    <t>% to App</t>
  </si>
  <si>
    <t>% to Retailer</t>
  </si>
  <si>
    <t xml:space="preserve">Shipwire Cost </t>
  </si>
  <si>
    <t>Return Rate</t>
  </si>
  <si>
    <t>Return Cost</t>
  </si>
  <si>
    <t>Stripe cost</t>
  </si>
  <si>
    <t>Easy Post cost</t>
  </si>
  <si>
    <t>Net margin to Tote</t>
  </si>
  <si>
    <t>$ to Tote Net</t>
  </si>
  <si>
    <t>$ to App</t>
  </si>
  <si>
    <t>Sales of a product needed to make 100mil in Tote $$ per year</t>
  </si>
  <si>
    <t>Number of customers / sale / year</t>
  </si>
  <si>
    <t>Avg active users / app</t>
  </si>
  <si>
    <t># apps</t>
  </si>
  <si>
    <t>Gainband</t>
  </si>
  <si>
    <t>List</t>
  </si>
  <si>
    <t xml:space="preserve">passed on </t>
  </si>
  <si>
    <t>n/a</t>
  </si>
  <si>
    <t>Plus</t>
  </si>
  <si>
    <t>Minisuit Clipster Stand</t>
  </si>
  <si>
    <t>BlueAnt Pump Earbuds</t>
  </si>
  <si>
    <t>Garmin GPS</t>
  </si>
  <si>
    <t>Garmin VivóFit Fitness Tracker</t>
  </si>
  <si>
    <t>List Price (Also  $ purchase average / user / year)</t>
  </si>
  <si>
    <t>% to Wolesaler</t>
  </si>
  <si>
    <t>Shipping cost</t>
  </si>
  <si>
    <t>Shipwire cost</t>
  </si>
  <si>
    <t>$ to Tote / purchase</t>
  </si>
  <si>
    <t>$ to App / purchase</t>
  </si>
  <si>
    <t>Conversion rate  (for just 1 purchase a year)</t>
  </si>
  <si>
    <t>Revenue @ (100 mid tier apps, 100k monthly active users each)</t>
  </si>
  <si>
    <t>Revenue @ (100 high tier apps, 1M monthly active users each)</t>
  </si>
  <si>
    <t>Revenue @ (one whale: ex. instagram, 400M monthly active users)</t>
  </si>
  <si>
    <t>Profit @ (100 low tier, 100 high tier, 1 whale)</t>
  </si>
  <si>
    <t>passed on</t>
  </si>
  <si>
    <t># average users per app</t>
  </si>
  <si>
    <t>Membership - conversion rate</t>
  </si>
  <si>
    <t>Purchase - conversion rate</t>
  </si>
  <si>
    <t>Membership Fee</t>
  </si>
  <si>
    <t>$ to Tote - 100 apps</t>
  </si>
  <si>
    <t>$ to Tote - 1000 apps</t>
  </si>
  <si>
    <t>Average Sales</t>
  </si>
  <si>
    <t>Membership</t>
  </si>
  <si>
    <t>10%%</t>
  </si>
  <si>
    <t>Year 1</t>
  </si>
  <si>
    <t>Year 2</t>
  </si>
  <si>
    <t>Year 3</t>
  </si>
  <si>
    <t>Year 4</t>
  </si>
  <si>
    <t>Year 5</t>
  </si>
  <si>
    <t># of Apps</t>
  </si>
  <si>
    <t># of Users</t>
  </si>
  <si>
    <t>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</si>
</sst>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yyyy"/>
    <numFmt numFmtId="165" formatCode="&quot;$&quot;#,##0.00"/>
    <numFmt numFmtId="166" formatCode="#,##0_);(#,##0)"/>
    <numFmt numFmtId="167" formatCode="[$$]#,##0.00"/>
    <numFmt numFmtId="168" formatCode="[$$]#,##0"/>
    <numFmt numFmtId="169" formatCode="&quot;$&quot;#,##0"/>
  </numFmts>
  <fonts count="8">
    <font>
      <sz val="10.0"/>
      <color rgb="FF000000"/>
      <name val="Arial"/>
    </font>
    <font>
      <b/>
      <name val="Abel"/>
    </font>
    <font/>
    <font>
      <b/>
    </font>
    <font>
      <name val="Abel"/>
    </font>
    <font>
      <b/>
      <sz val="18.0"/>
      <color rgb="FFFFFFFF"/>
      <name val="Abel"/>
    </font>
    <font>
      <sz val="12.0"/>
      <color rgb="FFFFFFFF"/>
      <name val="Abel"/>
    </font>
    <font>
      <b/>
      <sz val="12.0"/>
      <color rgb="FFFFFFFF"/>
      <name val="Abe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3D85C6"/>
        <bgColor rgb="FF3D85C6"/>
      </patternFill>
    </fill>
    <fill>
      <patternFill patternType="solid">
        <fgColor rgb="FF999999"/>
        <bgColor rgb="FF999999"/>
      </patternFill>
    </fill>
    <fill>
      <patternFill patternType="solid">
        <fgColor rgb="FF0079FF"/>
        <bgColor rgb="FF0079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/>
    </xf>
    <xf borderId="0" fillId="2" fontId="1" numFmtId="0" xfId="0" applyAlignment="1" applyFill="1" applyFont="1">
      <alignment wrapText="1"/>
    </xf>
    <xf borderId="0" fillId="0" fontId="2" numFmtId="0" xfId="0" applyAlignment="1" applyFont="1">
      <alignment/>
    </xf>
    <xf borderId="0" fillId="2" fontId="1" numFmtId="0" xfId="0" applyFont="1"/>
    <xf borderId="0" fillId="0" fontId="3" numFmtId="0" xfId="0" applyAlignment="1" applyFont="1">
      <alignment/>
    </xf>
    <xf borderId="0" fillId="0" fontId="4" numFmtId="0" xfId="0" applyFont="1"/>
    <xf borderId="0" fillId="0" fontId="4" numFmtId="0" xfId="0" applyAlignment="1" applyFont="1">
      <alignment wrapText="1"/>
    </xf>
    <xf borderId="0" fillId="0" fontId="2" numFmtId="164" xfId="0" applyAlignment="1" applyFont="1" applyNumberFormat="1">
      <alignment/>
    </xf>
    <xf borderId="0" fillId="0" fontId="4" numFmtId="10" xfId="0" applyAlignment="1" applyFont="1" applyNumberFormat="1">
      <alignment wrapText="1"/>
    </xf>
    <xf borderId="0" fillId="0" fontId="4" numFmtId="165" xfId="0" applyAlignment="1" applyFont="1" applyNumberFormat="1">
      <alignment wrapText="1"/>
    </xf>
    <xf borderId="0" fillId="0" fontId="4" numFmtId="166" xfId="0" applyAlignment="1" applyFont="1" applyNumberFormat="1">
      <alignment wrapText="1"/>
    </xf>
    <xf borderId="0" fillId="0" fontId="2" numFmtId="10" xfId="0" applyAlignment="1" applyFont="1" applyNumberFormat="1">
      <alignment/>
    </xf>
    <xf borderId="0" fillId="0" fontId="4" numFmtId="165" xfId="0" applyAlignment="1" applyFont="1" applyNumberFormat="1">
      <alignment wrapText="1"/>
    </xf>
    <xf borderId="0" fillId="0" fontId="2" numFmtId="167" xfId="0" applyFont="1" applyNumberFormat="1"/>
    <xf borderId="0" fillId="0" fontId="4" numFmtId="165" xfId="0" applyFont="1" applyNumberFormat="1"/>
    <xf borderId="0" fillId="3" fontId="4" numFmtId="0" xfId="0" applyAlignment="1" applyFill="1" applyFont="1">
      <alignment wrapText="1"/>
    </xf>
    <xf borderId="0" fillId="3" fontId="4" numFmtId="0" xfId="0" applyAlignment="1" applyFont="1">
      <alignment wrapText="1"/>
    </xf>
    <xf borderId="0" fillId="3" fontId="4" numFmtId="10" xfId="0" applyAlignment="1" applyFont="1" applyNumberFormat="1">
      <alignment wrapText="1"/>
    </xf>
    <xf borderId="0" fillId="4" fontId="4" numFmtId="165" xfId="0" applyAlignment="1" applyFill="1" applyFont="1" applyNumberFormat="1">
      <alignment wrapText="1"/>
    </xf>
    <xf borderId="0" fillId="3" fontId="4" numFmtId="166" xfId="0" applyAlignment="1" applyFont="1" applyNumberFormat="1">
      <alignment wrapText="1"/>
    </xf>
    <xf borderId="0" fillId="4" fontId="4" numFmtId="0" xfId="0" applyAlignment="1" applyFont="1">
      <alignment wrapText="1"/>
    </xf>
    <xf borderId="0" fillId="3" fontId="4" numFmtId="165" xfId="0" applyAlignment="1" applyFont="1" applyNumberFormat="1">
      <alignment wrapText="1"/>
    </xf>
    <xf borderId="0" fillId="3" fontId="4" numFmtId="165" xfId="0" applyFont="1" applyNumberFormat="1"/>
    <xf borderId="0" fillId="3" fontId="4" numFmtId="0" xfId="0" applyFont="1"/>
    <xf borderId="0" fillId="0" fontId="4" numFmtId="0" xfId="0" applyAlignment="1" applyFont="1">
      <alignment wrapText="1"/>
    </xf>
    <xf borderId="0" fillId="5" fontId="4" numFmtId="0" xfId="0" applyFill="1" applyFont="1"/>
    <xf borderId="0" fillId="5" fontId="4" numFmtId="0" xfId="0" applyAlignment="1" applyFont="1">
      <alignment wrapText="1"/>
    </xf>
    <xf borderId="0" fillId="5" fontId="4" numFmtId="10" xfId="0" applyAlignment="1" applyFont="1" applyNumberFormat="1">
      <alignment wrapText="1"/>
    </xf>
    <xf borderId="0" fillId="5" fontId="4" numFmtId="168" xfId="0" applyFont="1" applyNumberFormat="1"/>
    <xf borderId="0" fillId="5" fontId="4" numFmtId="166" xfId="0" applyFont="1" applyNumberFormat="1"/>
    <xf borderId="0" fillId="0" fontId="4" numFmtId="0" xfId="0" applyAlignment="1" applyFont="1">
      <alignment/>
    </xf>
    <xf borderId="0" fillId="0" fontId="4" numFmtId="168" xfId="0" applyFont="1" applyNumberFormat="1"/>
    <xf borderId="0" fillId="0" fontId="4" numFmtId="169" xfId="0" applyAlignment="1" applyFont="1" applyNumberFormat="1">
      <alignment/>
    </xf>
    <xf borderId="0" fillId="0" fontId="4" numFmtId="166" xfId="0" applyFont="1" applyNumberFormat="1"/>
    <xf borderId="0" fillId="6" fontId="5" numFmtId="0" xfId="0" applyAlignment="1" applyFill="1" applyFont="1">
      <alignment/>
    </xf>
    <xf borderId="0" fillId="0" fontId="4" numFmtId="168" xfId="0" applyAlignment="1" applyFont="1" applyNumberFormat="1">
      <alignment/>
    </xf>
    <xf borderId="0" fillId="0" fontId="4" numFmtId="166" xfId="0" applyAlignment="1" applyFont="1" applyNumberFormat="1">
      <alignment/>
    </xf>
    <xf borderId="0" fillId="0" fontId="4" numFmtId="167" xfId="0" applyAlignment="1" applyFont="1" applyNumberFormat="1">
      <alignment wrapText="1"/>
    </xf>
    <xf borderId="0" fillId="0" fontId="4" numFmtId="10" xfId="0" applyAlignment="1" applyFont="1" applyNumberFormat="1">
      <alignment/>
    </xf>
    <xf borderId="0" fillId="0" fontId="4" numFmtId="10" xfId="0" applyFont="1" applyNumberFormat="1"/>
    <xf borderId="0" fillId="0" fontId="4" numFmtId="9" xfId="0" applyAlignment="1" applyFont="1" applyNumberFormat="1">
      <alignment/>
    </xf>
    <xf borderId="0" fillId="0" fontId="4" numFmtId="167" xfId="0" applyFont="1" applyNumberFormat="1"/>
    <xf borderId="0" fillId="0" fontId="4" numFmtId="4" xfId="0" applyFont="1" applyNumberFormat="1"/>
    <xf borderId="0" fillId="0" fontId="4" numFmtId="165" xfId="0" applyAlignment="1" applyFont="1" applyNumberFormat="1">
      <alignment/>
    </xf>
    <xf borderId="0" fillId="0" fontId="4" numFmtId="165" xfId="0" applyFont="1" applyNumberFormat="1"/>
    <xf borderId="0" fillId="0" fontId="4" numFmtId="4" xfId="0" applyAlignment="1" applyFont="1" applyNumberFormat="1">
      <alignment/>
    </xf>
    <xf borderId="0" fillId="7" fontId="6" numFmtId="0" xfId="0" applyAlignment="1" applyFill="1" applyFont="1">
      <alignment wrapText="1"/>
    </xf>
    <xf borderId="0" fillId="7" fontId="7" numFmtId="0" xfId="0" applyAlignment="1" applyFont="1">
      <alignment/>
    </xf>
    <xf borderId="0" fillId="7" fontId="7" numFmtId="167" xfId="0" applyAlignment="1" applyFont="1" applyNumberFormat="1">
      <alignment wrapText="1"/>
    </xf>
    <xf borderId="0" fillId="7" fontId="7" numFmtId="165" xfId="0" applyAlignment="1" applyFont="1" applyNumberFormat="1">
      <alignment/>
    </xf>
    <xf borderId="0" fillId="7" fontId="7" numFmtId="167" xfId="0" applyAlignment="1" applyFont="1" applyNumberFormat="1">
      <alignment/>
    </xf>
    <xf borderId="0" fillId="7" fontId="7" numFmtId="0" xfId="0" applyAlignment="1" applyFont="1">
      <alignment wrapText="1"/>
    </xf>
    <xf borderId="0" fillId="7" fontId="7" numFmtId="165" xfId="0" applyAlignment="1" applyFont="1" applyNumberFormat="1">
      <alignment wrapText="1"/>
    </xf>
    <xf borderId="0" fillId="0" fontId="4" numFmtId="165" xfId="0" applyAlignment="1" applyFont="1" applyNumberFormat="1">
      <alignment/>
    </xf>
    <xf borderId="0" fillId="0" fontId="4" numFmtId="167" xfId="0" applyAlignment="1" applyFont="1" applyNumberFormat="1">
      <alignment wrapText="1"/>
    </xf>
    <xf borderId="0" fillId="0" fontId="4" numFmtId="168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20</v>
      </c>
      <c r="R1" s="3"/>
      <c r="S1" s="3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6" t="s">
        <v>26</v>
      </c>
      <c r="B2" s="6" t="s">
        <v>27</v>
      </c>
      <c r="C2" s="6"/>
      <c r="D2" s="6" t="s">
        <v>29</v>
      </c>
      <c r="E2" s="8">
        <v>0.2</v>
      </c>
      <c r="F2" s="8">
        <v>0.3</v>
      </c>
      <c r="G2" s="8">
        <v>0.25</v>
      </c>
      <c r="H2" s="9">
        <v>50.0</v>
      </c>
      <c r="I2" s="10">
        <v>100000.0</v>
      </c>
      <c r="J2" s="8">
        <v>0.001</v>
      </c>
      <c r="K2" s="12">
        <f t="shared" ref="K2:K4" si="1">I2*J2*H2*E2</f>
        <v>1000</v>
      </c>
      <c r="L2" s="12">
        <f t="shared" ref="L2:L4" si="2">I2*J2*H2*F2</f>
        <v>1500</v>
      </c>
      <c r="M2" s="10">
        <v>1000.0</v>
      </c>
      <c r="N2" s="12">
        <f t="shared" ref="N2:N4" si="3">M2*K2</f>
        <v>1000000</v>
      </c>
      <c r="O2" s="14">
        <f t="shared" ref="O2:O4" si="4">N2*(1-G2)</f>
        <v>750000</v>
      </c>
      <c r="P2" s="14">
        <f t="shared" ref="P2:P4" si="5">O2*12</f>
        <v>9000000</v>
      </c>
      <c r="Q2" s="14">
        <f t="shared" ref="Q2:Q4" si="6">L2*12</f>
        <v>18000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15" t="s">
        <v>35</v>
      </c>
      <c r="B3" s="15" t="s">
        <v>36</v>
      </c>
      <c r="C3" s="16"/>
      <c r="D3" s="15" t="s">
        <v>29</v>
      </c>
      <c r="E3" s="17">
        <v>0.05</v>
      </c>
      <c r="F3" s="17">
        <v>0.1</v>
      </c>
      <c r="G3" s="17">
        <v>0.01</v>
      </c>
      <c r="H3" s="18">
        <v>50.0</v>
      </c>
      <c r="I3" s="19">
        <v>100000.0</v>
      </c>
      <c r="J3" s="20">
        <v>0.01</v>
      </c>
      <c r="K3" s="21">
        <f t="shared" si="1"/>
        <v>2500</v>
      </c>
      <c r="L3" s="21">
        <f t="shared" si="2"/>
        <v>5000</v>
      </c>
      <c r="M3" s="19">
        <v>1000.0</v>
      </c>
      <c r="N3" s="21">
        <f t="shared" si="3"/>
        <v>2500000</v>
      </c>
      <c r="O3" s="22">
        <f t="shared" si="4"/>
        <v>2475000</v>
      </c>
      <c r="P3" s="22">
        <f t="shared" si="5"/>
        <v>29700000</v>
      </c>
      <c r="Q3" s="22">
        <f t="shared" si="6"/>
        <v>60000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>
      <c r="A4" s="6" t="s">
        <v>37</v>
      </c>
      <c r="B4" s="6" t="s">
        <v>38</v>
      </c>
      <c r="C4" s="24"/>
      <c r="D4" s="6" t="s">
        <v>29</v>
      </c>
      <c r="E4" s="8">
        <f>1-(G4+F4)</f>
        <v>0.35</v>
      </c>
      <c r="F4" s="8">
        <v>0.3</v>
      </c>
      <c r="G4" s="8">
        <v>0.35</v>
      </c>
      <c r="H4" s="9">
        <v>50.0</v>
      </c>
      <c r="I4" s="10">
        <v>100000.0</v>
      </c>
      <c r="J4" s="8">
        <v>0.001</v>
      </c>
      <c r="K4" s="12">
        <f t="shared" si="1"/>
        <v>1750</v>
      </c>
      <c r="L4" s="12">
        <f t="shared" si="2"/>
        <v>1500</v>
      </c>
      <c r="M4" s="10">
        <v>1000.0</v>
      </c>
      <c r="N4" s="12">
        <f t="shared" si="3"/>
        <v>1750000</v>
      </c>
      <c r="O4" s="14">
        <f t="shared" si="4"/>
        <v>1137500</v>
      </c>
      <c r="P4" s="14">
        <f t="shared" si="5"/>
        <v>13650000</v>
      </c>
      <c r="Q4" s="14">
        <f t="shared" si="6"/>
        <v>18000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6.0" customHeight="1">
      <c r="A5" s="25"/>
      <c r="B5" s="26"/>
      <c r="C5" s="25"/>
      <c r="D5" s="25"/>
      <c r="E5" s="25"/>
      <c r="F5" s="27"/>
      <c r="G5" s="25"/>
      <c r="H5" s="28"/>
      <c r="I5" s="29"/>
      <c r="J5" s="28"/>
      <c r="K5" s="28"/>
      <c r="L5" s="28"/>
      <c r="M5" s="28"/>
      <c r="N5" s="28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</row>
    <row r="6">
      <c r="A6" s="30" t="s">
        <v>39</v>
      </c>
      <c r="B6" s="24"/>
      <c r="C6" s="5"/>
      <c r="D6" s="5"/>
      <c r="E6" s="5"/>
      <c r="F6" s="5"/>
      <c r="G6" s="5"/>
      <c r="H6" s="31"/>
      <c r="I6" s="10">
        <v>100000.0</v>
      </c>
      <c r="J6" s="31"/>
      <c r="K6" s="31"/>
      <c r="L6" s="31"/>
      <c r="M6" s="31"/>
      <c r="N6" s="31"/>
      <c r="O6" s="5"/>
      <c r="P6" s="5"/>
      <c r="Q6" s="32">
        <v>10000.0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>
      <c r="A7" s="5"/>
      <c r="B7" s="24"/>
      <c r="C7" s="5"/>
      <c r="D7" s="5"/>
      <c r="E7" s="5"/>
      <c r="F7" s="5"/>
      <c r="G7" s="5"/>
      <c r="H7" s="31"/>
      <c r="I7" s="33"/>
      <c r="J7" s="31"/>
      <c r="K7" s="31"/>
      <c r="L7" s="31"/>
      <c r="M7" s="31"/>
      <c r="N7" s="3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>
      <c r="A8" s="5"/>
      <c r="B8" s="24"/>
      <c r="C8" s="5"/>
      <c r="D8" s="5"/>
      <c r="E8" s="5"/>
      <c r="F8" s="5"/>
      <c r="G8" s="5"/>
      <c r="H8" s="31"/>
      <c r="I8" s="33"/>
      <c r="J8" s="31"/>
      <c r="K8" s="31"/>
      <c r="L8" s="31"/>
      <c r="M8" s="31"/>
      <c r="N8" s="31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>
      <c r="A9" s="5"/>
      <c r="B9" s="24"/>
      <c r="C9" s="5"/>
      <c r="D9" s="5"/>
      <c r="E9" s="5"/>
      <c r="F9" s="5"/>
      <c r="G9" s="5"/>
      <c r="H9" s="31"/>
      <c r="I9" s="33"/>
      <c r="J9" s="31"/>
      <c r="K9" s="31"/>
      <c r="L9" s="31"/>
      <c r="M9" s="31"/>
      <c r="N9" s="31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>
      <c r="A10" s="5"/>
      <c r="B10" s="24"/>
      <c r="C10" s="5"/>
      <c r="D10" s="5"/>
      <c r="E10" s="5"/>
      <c r="F10" s="5"/>
      <c r="G10" s="5"/>
      <c r="H10" s="31"/>
      <c r="I10" s="33"/>
      <c r="J10" s="31"/>
      <c r="K10" s="31"/>
      <c r="L10" s="31"/>
      <c r="M10" s="31"/>
      <c r="N10" s="31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>
      <c r="A11" s="34" t="s">
        <v>40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>
      <c r="A13" s="30" t="s">
        <v>41</v>
      </c>
      <c r="B13" s="30" t="s">
        <v>0</v>
      </c>
      <c r="C13" s="6" t="s">
        <v>42</v>
      </c>
      <c r="D13" s="30" t="s">
        <v>43</v>
      </c>
      <c r="E13" s="30" t="s">
        <v>44</v>
      </c>
      <c r="F13" s="30" t="s">
        <v>45</v>
      </c>
      <c r="G13" s="30" t="s">
        <v>4</v>
      </c>
      <c r="H13" s="30" t="s">
        <v>46</v>
      </c>
      <c r="I13" s="30" t="s">
        <v>47</v>
      </c>
      <c r="J13" s="30" t="s">
        <v>48</v>
      </c>
      <c r="K13" s="30" t="s">
        <v>49</v>
      </c>
      <c r="L13" s="35" t="s">
        <v>50</v>
      </c>
      <c r="M13" s="36" t="s">
        <v>51</v>
      </c>
      <c r="N13" s="35" t="s">
        <v>52</v>
      </c>
      <c r="O13" s="35" t="s">
        <v>53</v>
      </c>
      <c r="P13" s="6" t="s">
        <v>54</v>
      </c>
      <c r="Q13" s="6" t="s">
        <v>55</v>
      </c>
      <c r="R13" s="6" t="s">
        <v>56</v>
      </c>
      <c r="S13" s="6" t="s">
        <v>57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>
      <c r="A14" s="6" t="s">
        <v>58</v>
      </c>
      <c r="B14" s="30" t="s">
        <v>59</v>
      </c>
      <c r="C14" s="37">
        <v>16.95</v>
      </c>
      <c r="D14" s="38">
        <v>0.1</v>
      </c>
      <c r="E14" s="38">
        <v>0.1</v>
      </c>
      <c r="F14" s="39">
        <f t="shared" ref="F14:F22" si="7">1-D14-E14</f>
        <v>0.8</v>
      </c>
      <c r="G14" s="30" t="s">
        <v>60</v>
      </c>
      <c r="H14" s="30" t="s">
        <v>61</v>
      </c>
      <c r="I14" s="40">
        <v>0.07</v>
      </c>
      <c r="J14" s="5"/>
      <c r="K14" s="40">
        <v>0.03</v>
      </c>
      <c r="L14" s="38">
        <v>0.0105</v>
      </c>
      <c r="M14" s="38">
        <f t="shared" ref="M14:M19" si="8">D14-(K14+L14)</f>
        <v>0.0595</v>
      </c>
      <c r="N14" s="41">
        <f t="shared" ref="N14:N22" si="9">MAX(M14*C14, 2)</f>
        <v>2</v>
      </c>
      <c r="O14" s="14">
        <f t="shared" ref="O14:O22" si="10">MAX(E14*C14, 1)</f>
        <v>1.695</v>
      </c>
      <c r="P14" s="42"/>
      <c r="Q14" s="5"/>
      <c r="R14" s="42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>
      <c r="A15" s="6" t="s">
        <v>58</v>
      </c>
      <c r="B15" s="30" t="s">
        <v>62</v>
      </c>
      <c r="C15" s="37">
        <f>1.1*C14</f>
        <v>18.645</v>
      </c>
      <c r="D15" s="38">
        <v>0.2</v>
      </c>
      <c r="E15" s="38">
        <v>0.1</v>
      </c>
      <c r="F15" s="39">
        <f t="shared" si="7"/>
        <v>0.7</v>
      </c>
      <c r="G15" s="30" t="s">
        <v>60</v>
      </c>
      <c r="H15" s="30" t="s">
        <v>61</v>
      </c>
      <c r="I15" s="40">
        <v>0.07</v>
      </c>
      <c r="J15" s="5"/>
      <c r="K15" s="40">
        <v>0.03</v>
      </c>
      <c r="L15" s="38">
        <v>0.0105</v>
      </c>
      <c r="M15" s="38">
        <f t="shared" si="8"/>
        <v>0.1595</v>
      </c>
      <c r="N15" s="41">
        <f t="shared" si="9"/>
        <v>2.9738775</v>
      </c>
      <c r="O15" s="14">
        <f t="shared" si="10"/>
        <v>1.8645</v>
      </c>
      <c r="P15" s="42"/>
      <c r="Q15" s="5"/>
      <c r="R15" s="42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>
      <c r="A16" s="6" t="s">
        <v>63</v>
      </c>
      <c r="B16" s="30" t="s">
        <v>59</v>
      </c>
      <c r="C16" s="37">
        <v>9.95</v>
      </c>
      <c r="D16" s="38">
        <v>0.2</v>
      </c>
      <c r="E16" s="38">
        <v>0.1</v>
      </c>
      <c r="F16" s="39">
        <f t="shared" si="7"/>
        <v>0.7</v>
      </c>
      <c r="G16" s="30" t="s">
        <v>60</v>
      </c>
      <c r="H16" s="30" t="s">
        <v>61</v>
      </c>
      <c r="I16" s="40">
        <v>0.07</v>
      </c>
      <c r="J16" s="5"/>
      <c r="K16" s="40">
        <v>0.03</v>
      </c>
      <c r="L16" s="38">
        <v>0.0105</v>
      </c>
      <c r="M16" s="38">
        <f t="shared" si="8"/>
        <v>0.1595</v>
      </c>
      <c r="N16" s="41">
        <f t="shared" si="9"/>
        <v>2</v>
      </c>
      <c r="O16" s="14">
        <f t="shared" si="10"/>
        <v>1</v>
      </c>
      <c r="P16" s="42"/>
      <c r="Q16" s="5"/>
      <c r="R16" s="42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>
      <c r="A17" s="6" t="s">
        <v>63</v>
      </c>
      <c r="B17" s="30" t="s">
        <v>62</v>
      </c>
      <c r="C17" s="37">
        <v>10.4475</v>
      </c>
      <c r="D17" s="38">
        <v>0.2</v>
      </c>
      <c r="E17" s="38">
        <v>0.1</v>
      </c>
      <c r="F17" s="39">
        <f t="shared" si="7"/>
        <v>0.7</v>
      </c>
      <c r="G17" s="30" t="s">
        <v>60</v>
      </c>
      <c r="H17" s="30" t="s">
        <v>61</v>
      </c>
      <c r="I17" s="40">
        <v>0.07</v>
      </c>
      <c r="J17" s="5"/>
      <c r="K17" s="40">
        <v>0.03</v>
      </c>
      <c r="L17" s="38">
        <v>0.0105</v>
      </c>
      <c r="M17" s="38">
        <f t="shared" si="8"/>
        <v>0.1595</v>
      </c>
      <c r="N17" s="41">
        <f t="shared" si="9"/>
        <v>2</v>
      </c>
      <c r="O17" s="14">
        <f t="shared" si="10"/>
        <v>1.04475</v>
      </c>
      <c r="P17" s="42"/>
      <c r="Q17" s="5"/>
      <c r="R17" s="42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>
      <c r="A18" s="6" t="s">
        <v>64</v>
      </c>
      <c r="B18" s="30" t="s">
        <v>59</v>
      </c>
      <c r="C18" s="37">
        <v>51.67</v>
      </c>
      <c r="D18" s="38">
        <v>0.2</v>
      </c>
      <c r="E18" s="38">
        <v>0.1</v>
      </c>
      <c r="F18" s="39">
        <f t="shared" si="7"/>
        <v>0.7</v>
      </c>
      <c r="G18" s="30" t="s">
        <v>60</v>
      </c>
      <c r="H18" s="30" t="s">
        <v>61</v>
      </c>
      <c r="I18" s="40">
        <v>0.07</v>
      </c>
      <c r="J18" s="5"/>
      <c r="K18" s="40">
        <v>0.03</v>
      </c>
      <c r="L18" s="38">
        <v>0.0105</v>
      </c>
      <c r="M18" s="38">
        <f t="shared" si="8"/>
        <v>0.1595</v>
      </c>
      <c r="N18" s="41">
        <f t="shared" si="9"/>
        <v>8.241365</v>
      </c>
      <c r="O18" s="14">
        <f t="shared" si="10"/>
        <v>5.167</v>
      </c>
      <c r="P18" s="42"/>
      <c r="Q18" s="5"/>
      <c r="R18" s="42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>
      <c r="A19" s="6" t="s">
        <v>64</v>
      </c>
      <c r="B19" s="30" t="s">
        <v>62</v>
      </c>
      <c r="C19" s="37">
        <v>54.2535</v>
      </c>
      <c r="D19" s="38">
        <v>0.2</v>
      </c>
      <c r="E19" s="38">
        <v>0.1</v>
      </c>
      <c r="F19" s="39">
        <f t="shared" si="7"/>
        <v>0.7</v>
      </c>
      <c r="G19" s="30" t="s">
        <v>60</v>
      </c>
      <c r="H19" s="30" t="s">
        <v>61</v>
      </c>
      <c r="I19" s="40">
        <v>0.07</v>
      </c>
      <c r="J19" s="5"/>
      <c r="K19" s="40">
        <v>0.03</v>
      </c>
      <c r="L19" s="38">
        <v>0.0105</v>
      </c>
      <c r="M19" s="38">
        <f t="shared" si="8"/>
        <v>0.1595</v>
      </c>
      <c r="N19" s="41">
        <f t="shared" si="9"/>
        <v>8.65343325</v>
      </c>
      <c r="O19" s="14">
        <f t="shared" si="10"/>
        <v>5.42535</v>
      </c>
      <c r="P19" s="42"/>
      <c r="Q19" s="5"/>
      <c r="R19" s="42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>
      <c r="A20" s="6" t="s">
        <v>64</v>
      </c>
      <c r="B20" s="30" t="s">
        <v>26</v>
      </c>
      <c r="C20" s="37">
        <v>51.67</v>
      </c>
      <c r="D20" s="38">
        <v>0.35</v>
      </c>
      <c r="E20" s="38">
        <v>0.15</v>
      </c>
      <c r="F20" s="39">
        <f t="shared" si="7"/>
        <v>0.5</v>
      </c>
      <c r="G20" s="30" t="s">
        <v>60</v>
      </c>
      <c r="H20" s="43">
        <v>2.7</v>
      </c>
      <c r="I20" s="40">
        <v>0.07</v>
      </c>
      <c r="J20" s="44">
        <f t="shared" ref="J20:J21" si="11">H20*I20</f>
        <v>0.189</v>
      </c>
      <c r="K20" s="40">
        <v>0.03</v>
      </c>
      <c r="L20" s="38">
        <v>0.0105</v>
      </c>
      <c r="M20" s="38">
        <f t="shared" ref="M20:M21" si="12">D20-(K20+L20)-((H20+J20)/C20)</f>
        <v>0.2535874782</v>
      </c>
      <c r="N20" s="41">
        <f t="shared" si="9"/>
        <v>13.102865</v>
      </c>
      <c r="O20" s="14">
        <f t="shared" si="10"/>
        <v>7.7505</v>
      </c>
      <c r="P20" s="42">
        <f t="shared" ref="P20:P21" si="13">100000000/C20</f>
        <v>1935359.009</v>
      </c>
      <c r="Q20" s="30">
        <v>100.0</v>
      </c>
      <c r="R20" s="45">
        <v>3.0E8</v>
      </c>
      <c r="S20" s="33">
        <f t="shared" ref="S20:S21" si="14">Q20*P20/R20</f>
        <v>0.6451196697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>
      <c r="A21" s="6" t="s">
        <v>65</v>
      </c>
      <c r="B21" s="30" t="s">
        <v>26</v>
      </c>
      <c r="C21" s="37">
        <v>200.0</v>
      </c>
      <c r="D21" s="38">
        <v>0.35</v>
      </c>
      <c r="E21" s="38">
        <v>0.15</v>
      </c>
      <c r="F21" s="39">
        <f t="shared" si="7"/>
        <v>0.5</v>
      </c>
      <c r="G21" s="30" t="s">
        <v>60</v>
      </c>
      <c r="H21" s="43">
        <v>2.7</v>
      </c>
      <c r="I21" s="40">
        <v>0.07</v>
      </c>
      <c r="J21" s="44">
        <f t="shared" si="11"/>
        <v>0.189</v>
      </c>
      <c r="K21" s="40">
        <v>0.03</v>
      </c>
      <c r="L21" s="38">
        <v>0.0105</v>
      </c>
      <c r="M21" s="38">
        <f t="shared" si="12"/>
        <v>0.295055</v>
      </c>
      <c r="N21" s="41">
        <f t="shared" si="9"/>
        <v>59.011</v>
      </c>
      <c r="O21" s="14">
        <f t="shared" si="10"/>
        <v>30</v>
      </c>
      <c r="P21" s="42">
        <f t="shared" si="13"/>
        <v>500000</v>
      </c>
      <c r="Q21" s="30">
        <v>100.0</v>
      </c>
      <c r="R21" s="45">
        <v>100000.0</v>
      </c>
      <c r="S21" s="33">
        <f t="shared" si="14"/>
        <v>500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>
      <c r="A22" s="6" t="s">
        <v>66</v>
      </c>
      <c r="B22" s="30" t="s">
        <v>59</v>
      </c>
      <c r="C22" s="37">
        <v>50.0</v>
      </c>
      <c r="D22" s="38">
        <v>0.2</v>
      </c>
      <c r="E22" s="38">
        <v>0.1</v>
      </c>
      <c r="F22" s="39">
        <f t="shared" si="7"/>
        <v>0.7</v>
      </c>
      <c r="G22" s="30" t="s">
        <v>60</v>
      </c>
      <c r="H22" s="30" t="s">
        <v>61</v>
      </c>
      <c r="I22" s="40">
        <v>0.07</v>
      </c>
      <c r="J22" s="5"/>
      <c r="K22" s="40">
        <v>0.03</v>
      </c>
      <c r="L22" s="38">
        <v>0.0105</v>
      </c>
      <c r="M22" s="38">
        <f>D22-(K22+L22)</f>
        <v>0.1595</v>
      </c>
      <c r="N22" s="41">
        <f t="shared" si="9"/>
        <v>7.975</v>
      </c>
      <c r="O22" s="14">
        <f t="shared" si="10"/>
        <v>5</v>
      </c>
      <c r="P22" s="4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>
      <c r="A23" s="46" t="s">
        <v>41</v>
      </c>
      <c r="B23" s="47" t="s">
        <v>0</v>
      </c>
      <c r="C23" s="48" t="s">
        <v>67</v>
      </c>
      <c r="D23" s="47" t="s">
        <v>43</v>
      </c>
      <c r="E23" s="47" t="s">
        <v>44</v>
      </c>
      <c r="F23" s="47" t="s">
        <v>68</v>
      </c>
      <c r="G23" s="47" t="s">
        <v>69</v>
      </c>
      <c r="H23" s="49" t="s">
        <v>70</v>
      </c>
      <c r="I23" s="47" t="s">
        <v>47</v>
      </c>
      <c r="J23" s="49">
        <f>H24*I24</f>
        <v>0.189</v>
      </c>
      <c r="K23" s="50" t="s">
        <v>49</v>
      </c>
      <c r="L23" s="47" t="s">
        <v>50</v>
      </c>
      <c r="M23" s="51" t="s">
        <v>51</v>
      </c>
      <c r="N23" s="51" t="s">
        <v>71</v>
      </c>
      <c r="O23" s="52" t="s">
        <v>72</v>
      </c>
      <c r="P23" s="51" t="s">
        <v>73</v>
      </c>
      <c r="Q23" s="51" t="s">
        <v>74</v>
      </c>
      <c r="R23" s="51" t="s">
        <v>75</v>
      </c>
      <c r="S23" s="51" t="s">
        <v>76</v>
      </c>
      <c r="T23" s="51" t="s">
        <v>77</v>
      </c>
      <c r="U23" s="30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>
      <c r="A24" s="6" t="s">
        <v>64</v>
      </c>
      <c r="B24" s="30" t="s">
        <v>26</v>
      </c>
      <c r="C24" s="37">
        <v>98.0</v>
      </c>
      <c r="D24" s="38">
        <v>0.35</v>
      </c>
      <c r="E24" s="38">
        <v>0.15</v>
      </c>
      <c r="F24" s="38">
        <f>100%-(D24+E24)</f>
        <v>0.5</v>
      </c>
      <c r="G24" s="30" t="s">
        <v>78</v>
      </c>
      <c r="H24" s="43">
        <v>2.7</v>
      </c>
      <c r="I24" s="40">
        <v>0.07</v>
      </c>
      <c r="J24" s="43">
        <v>0.19</v>
      </c>
      <c r="K24" s="40">
        <v>0.03</v>
      </c>
      <c r="L24" s="38">
        <v>0.0105</v>
      </c>
      <c r="M24" s="39">
        <f>D24-(K24+L24)-((H24+J24)/C24)</f>
        <v>0.2800102041</v>
      </c>
      <c r="N24" s="41">
        <f>MAX(M24*C24, 2)</f>
        <v>27.441</v>
      </c>
      <c r="O24" s="14">
        <f>MAX(E24*C24, 1)</f>
        <v>14.7</v>
      </c>
      <c r="P24" s="30">
        <v>0.01</v>
      </c>
      <c r="Q24" s="53">
        <f>P24*10000000*98</f>
        <v>9800000</v>
      </c>
      <c r="R24" s="53">
        <f>P24*98*100*1000000</f>
        <v>98000000</v>
      </c>
      <c r="S24" s="53">
        <f>P24*400000000*98</f>
        <v>392000000</v>
      </c>
      <c r="T24" s="14">
        <f>((Q24+R24+S24)/98)*N24</f>
        <v>139949100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>
      <c r="A25" s="6"/>
      <c r="B25" s="30"/>
      <c r="C25" s="37"/>
      <c r="D25" s="38"/>
      <c r="E25" s="38"/>
      <c r="F25" s="38"/>
      <c r="G25" s="30"/>
      <c r="H25" s="43"/>
      <c r="I25" s="40"/>
      <c r="J25" s="43"/>
      <c r="K25" s="40"/>
      <c r="L25" s="38"/>
      <c r="M25" s="5"/>
      <c r="N25" s="5"/>
      <c r="O25" s="14"/>
      <c r="P25" s="38"/>
      <c r="Q25" s="53"/>
      <c r="R25" s="53"/>
      <c r="S25" s="53"/>
      <c r="T25" s="14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>
      <c r="A26" s="24"/>
      <c r="B26" s="5"/>
      <c r="C26" s="54"/>
      <c r="D26" s="39"/>
      <c r="E26" s="39"/>
      <c r="F26" s="39"/>
      <c r="G26" s="5"/>
      <c r="H26" s="5"/>
      <c r="I26" s="39"/>
      <c r="J26" s="39"/>
      <c r="K26" s="41"/>
      <c r="L26" s="5"/>
      <c r="M26" s="5"/>
      <c r="N26" s="5"/>
      <c r="O26" s="14"/>
      <c r="P26" s="6" t="s">
        <v>79</v>
      </c>
      <c r="Q26" s="6" t="s">
        <v>80</v>
      </c>
      <c r="R26" s="30" t="s">
        <v>81</v>
      </c>
      <c r="S26" s="30" t="s">
        <v>82</v>
      </c>
      <c r="T26" s="30" t="s">
        <v>83</v>
      </c>
      <c r="U26" s="30" t="s">
        <v>84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>
      <c r="A27" s="6" t="s">
        <v>85</v>
      </c>
      <c r="B27" s="30" t="s">
        <v>86</v>
      </c>
      <c r="C27" s="37">
        <v>50.0</v>
      </c>
      <c r="D27" s="38">
        <v>0.05</v>
      </c>
      <c r="E27" s="30" t="s">
        <v>87</v>
      </c>
      <c r="F27" s="38">
        <v>0.85</v>
      </c>
      <c r="G27" s="30" t="s">
        <v>78</v>
      </c>
      <c r="H27" s="30" t="s">
        <v>61</v>
      </c>
      <c r="I27" s="38">
        <v>0.07</v>
      </c>
      <c r="J27" s="43">
        <v>0.19</v>
      </c>
      <c r="K27" s="40">
        <v>0.03</v>
      </c>
      <c r="L27" s="38">
        <v>0.0105</v>
      </c>
      <c r="M27" s="39">
        <f>D27-(K27+L27)</f>
        <v>0.0095</v>
      </c>
      <c r="N27" s="41">
        <f>M27*C27</f>
        <v>0.475</v>
      </c>
      <c r="O27" s="41">
        <f>MAX(E19*C19, 1)</f>
        <v>5.42535</v>
      </c>
      <c r="P27" s="45">
        <v>100000.0</v>
      </c>
      <c r="Q27" s="30">
        <v>0.01</v>
      </c>
      <c r="R27" s="45">
        <v>0.01</v>
      </c>
      <c r="S27" s="53">
        <v>50.0</v>
      </c>
      <c r="T27" s="14">
        <f>(100*P27*Q27*S27) + (100*P27*R27*N27)</f>
        <v>5047500</v>
      </c>
      <c r="U27" s="14">
        <f>(1000*P27*Q27*S27) + (1000*P27*R27*N27)</f>
        <v>50475000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>
      <c r="A28" s="24"/>
      <c r="B28" s="5"/>
      <c r="C28" s="54"/>
      <c r="D28" s="39"/>
      <c r="E28" s="39"/>
      <c r="F28" s="39"/>
      <c r="G28" s="5"/>
      <c r="H28" s="5"/>
      <c r="I28" s="39"/>
      <c r="J28" s="39"/>
      <c r="K28" s="41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>
      <c r="A29" s="5"/>
      <c r="B29" s="5"/>
      <c r="C29" s="54"/>
      <c r="D29" s="39"/>
      <c r="E29" s="39"/>
      <c r="F29" s="39"/>
      <c r="G29" s="5"/>
      <c r="H29" s="5"/>
      <c r="I29" s="39"/>
      <c r="J29" s="39"/>
      <c r="K29" s="4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>
      <c r="A30" s="5"/>
      <c r="C30" s="54"/>
      <c r="D30" s="39"/>
      <c r="E30" s="39"/>
      <c r="F30" s="39"/>
      <c r="G30" s="5"/>
      <c r="H30" s="5"/>
      <c r="I30" s="5"/>
      <c r="J30" s="39"/>
      <c r="K30" s="41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>
      <c r="A31" s="5"/>
      <c r="C31" s="54"/>
      <c r="D31" s="39"/>
      <c r="E31" s="39"/>
      <c r="F31" s="39"/>
      <c r="G31" s="5"/>
      <c r="H31" s="5"/>
      <c r="I31" s="5"/>
      <c r="J31" s="3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>
      <c r="A32" s="46"/>
      <c r="B32" s="47" t="s">
        <v>88</v>
      </c>
      <c r="C32" s="48" t="s">
        <v>89</v>
      </c>
      <c r="D32" s="47" t="s">
        <v>90</v>
      </c>
      <c r="E32" s="47" t="s">
        <v>91</v>
      </c>
      <c r="F32" s="47" t="s">
        <v>92</v>
      </c>
      <c r="G32" s="47"/>
      <c r="H32" s="49"/>
      <c r="I32" s="4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>
      <c r="A33" s="46" t="s">
        <v>93</v>
      </c>
      <c r="B33" s="6">
        <v>10.0</v>
      </c>
      <c r="C33" s="30">
        <v>100.0</v>
      </c>
      <c r="D33" s="30">
        <v>1000.0</v>
      </c>
      <c r="E33" s="30">
        <v>2000.0</v>
      </c>
      <c r="F33" s="30">
        <v>5000.0</v>
      </c>
      <c r="G33" s="47"/>
      <c r="H33" s="49"/>
      <c r="I33" s="4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>
      <c r="A34" s="46" t="s">
        <v>94</v>
      </c>
      <c r="B34" s="10">
        <v>500000.0</v>
      </c>
      <c r="C34" s="33">
        <f t="shared" ref="C34:F34" si="15">50000*C33</f>
        <v>5000000</v>
      </c>
      <c r="D34" s="33">
        <f t="shared" si="15"/>
        <v>50000000</v>
      </c>
      <c r="E34" s="33">
        <f t="shared" si="15"/>
        <v>100000000</v>
      </c>
      <c r="F34" s="33">
        <f t="shared" si="15"/>
        <v>250000000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>
      <c r="A35" s="46" t="s">
        <v>95</v>
      </c>
      <c r="B35" s="55">
        <f t="shared" ref="B35:F35" si="16">B34*0.37</f>
        <v>185000</v>
      </c>
      <c r="C35" s="55">
        <f t="shared" si="16"/>
        <v>1850000</v>
      </c>
      <c r="D35" s="55">
        <f t="shared" si="16"/>
        <v>18500000</v>
      </c>
      <c r="E35" s="55">
        <f t="shared" si="16"/>
        <v>37000000</v>
      </c>
      <c r="F35" s="55">
        <f t="shared" si="16"/>
        <v>92500000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>
      <c r="A36" s="46"/>
      <c r="B36" s="2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>
      <c r="A37" s="5"/>
      <c r="B37" s="2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>
      <c r="A38" s="5"/>
      <c r="B38" s="2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>
      <c r="A39" s="5"/>
      <c r="B39" s="2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>
      <c r="A40" s="5"/>
      <c r="B40" s="2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>
      <c r="A41" s="5"/>
      <c r="B41" s="2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>
      <c r="A42" s="5"/>
      <c r="B42" s="2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>
      <c r="A43" s="5"/>
      <c r="B43" s="2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>
      <c r="A44" s="5"/>
      <c r="B44" s="2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>
      <c r="A45" s="5"/>
      <c r="B45" s="2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>
      <c r="A46" s="5"/>
      <c r="B46" s="2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>
      <c r="A47" s="5"/>
      <c r="B47" s="2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>
      <c r="A48" s="5"/>
      <c r="B48" s="2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>
      <c r="A49" s="5"/>
      <c r="B49" s="2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>
      <c r="A50" s="5"/>
      <c r="B50" s="2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>
      <c r="A51" s="5"/>
      <c r="B51" s="2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>
      <c r="A52" s="5"/>
      <c r="B52" s="2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>
      <c r="A53" s="5"/>
      <c r="B53" s="2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>
      <c r="A54" s="5"/>
      <c r="B54" s="2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>
      <c r="A55" s="5"/>
      <c r="B55" s="2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>
      <c r="A56" s="5"/>
      <c r="B56" s="2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>
      <c r="A57" s="5"/>
      <c r="B57" s="2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>
      <c r="A58" s="5"/>
      <c r="B58" s="2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>
      <c r="A59" s="5"/>
      <c r="B59" s="2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>
      <c r="A60" s="5"/>
      <c r="B60" s="2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>
      <c r="A61" s="5"/>
      <c r="B61" s="2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>
      <c r="A62" s="5"/>
      <c r="B62" s="2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>
      <c r="A63" s="5"/>
      <c r="B63" s="2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>
      <c r="A64" s="5"/>
      <c r="B64" s="2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>
      <c r="A65" s="5"/>
      <c r="B65" s="2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>
      <c r="A66" s="5"/>
      <c r="B66" s="2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>
      <c r="A67" s="5"/>
      <c r="B67" s="2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>
      <c r="A68" s="5"/>
      <c r="B68" s="2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>
      <c r="A69" s="5"/>
      <c r="B69" s="2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>
      <c r="A70" s="5"/>
      <c r="B70" s="2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5"/>
      <c r="B71" s="2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5"/>
      <c r="B72" s="2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5"/>
      <c r="B73" s="2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5"/>
      <c r="B74" s="2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5"/>
      <c r="B75" s="2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5"/>
      <c r="B76" s="2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5"/>
      <c r="B77" s="2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5"/>
      <c r="B78" s="2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5"/>
      <c r="B79" s="2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5"/>
      <c r="B80" s="2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5"/>
      <c r="B81" s="2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5"/>
      <c r="B82" s="2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5"/>
      <c r="B83" s="2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5"/>
      <c r="B84" s="2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5"/>
      <c r="B85" s="2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5"/>
      <c r="B86" s="2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5"/>
      <c r="B87" s="2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5"/>
      <c r="B88" s="2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5"/>
      <c r="B89" s="2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5"/>
      <c r="B90" s="2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5"/>
      <c r="B91" s="2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5"/>
      <c r="B92" s="2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5"/>
      <c r="B93" s="2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5"/>
      <c r="B94" s="2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5"/>
      <c r="B95" s="2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5"/>
      <c r="B96" s="2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5"/>
      <c r="B97" s="2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5"/>
      <c r="B98" s="2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5"/>
      <c r="B99" s="2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5"/>
      <c r="B100" s="2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5"/>
      <c r="B101" s="2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5"/>
      <c r="B102" s="2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5"/>
      <c r="B103" s="2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5"/>
      <c r="B104" s="2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5"/>
      <c r="B105" s="2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5"/>
      <c r="B106" s="2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5"/>
      <c r="B107" s="2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5"/>
      <c r="B108" s="2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5"/>
      <c r="B109" s="2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5"/>
      <c r="B110" s="2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5"/>
      <c r="B111" s="2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5"/>
      <c r="B112" s="2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5"/>
      <c r="B113" s="2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5"/>
      <c r="B114" s="2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5"/>
      <c r="B115" s="2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5"/>
      <c r="B116" s="2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5"/>
      <c r="B117" s="2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5"/>
      <c r="B118" s="2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5"/>
      <c r="B119" s="2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5"/>
      <c r="B120" s="2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5"/>
      <c r="B121" s="2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>
      <c r="A122" s="5"/>
      <c r="B122" s="2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5"/>
      <c r="B123" s="2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>
      <c r="A124" s="5"/>
      <c r="B124" s="2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>
      <c r="A125" s="5"/>
      <c r="B125" s="2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>
      <c r="A126" s="5"/>
      <c r="B126" s="2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>
      <c r="A127" s="5"/>
      <c r="B127" s="2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>
      <c r="A128" s="5"/>
      <c r="B128" s="2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>
      <c r="A129" s="5"/>
      <c r="B129" s="2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>
      <c r="A130" s="5"/>
      <c r="B130" s="2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>
      <c r="A131" s="5"/>
      <c r="B131" s="2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>
      <c r="A132" s="5"/>
      <c r="B132" s="2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>
      <c r="A133" s="5"/>
      <c r="B133" s="2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>
      <c r="A134" s="5"/>
      <c r="B134" s="2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>
      <c r="A135" s="5"/>
      <c r="B135" s="2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>
      <c r="A136" s="5"/>
      <c r="B136" s="2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>
      <c r="A137" s="5"/>
      <c r="B137" s="2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>
      <c r="A138" s="5"/>
      <c r="B138" s="2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>
      <c r="A139" s="5"/>
      <c r="B139" s="2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>
      <c r="A140" s="5"/>
      <c r="B140" s="2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>
      <c r="A141" s="5"/>
      <c r="B141" s="2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>
      <c r="A142" s="5"/>
      <c r="B142" s="2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>
      <c r="A143" s="5"/>
      <c r="B143" s="2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>
      <c r="A144" s="5"/>
      <c r="B144" s="2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>
      <c r="A145" s="5"/>
      <c r="B145" s="2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5"/>
      <c r="B146" s="2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5"/>
      <c r="B147" s="2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5"/>
      <c r="B148" s="2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5"/>
      <c r="B149" s="2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5"/>
      <c r="B150" s="2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5"/>
      <c r="B151" s="2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5"/>
      <c r="B152" s="2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5"/>
      <c r="B153" s="2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5"/>
      <c r="B154" s="2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5"/>
      <c r="B155" s="2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5"/>
      <c r="B156" s="2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5"/>
      <c r="B157" s="2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5"/>
      <c r="B158" s="2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5"/>
      <c r="B159" s="2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5"/>
      <c r="B160" s="2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5"/>
      <c r="B161" s="2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5"/>
      <c r="B162" s="2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5"/>
      <c r="B163" s="2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5"/>
      <c r="B164" s="2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5"/>
      <c r="B165" s="2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5"/>
      <c r="B166" s="2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5"/>
      <c r="B167" s="2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5"/>
      <c r="B168" s="2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5"/>
      <c r="B169" s="2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5"/>
      <c r="B170" s="2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5"/>
      <c r="B171" s="2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5"/>
      <c r="B172" s="2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5"/>
      <c r="B173" s="2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5"/>
      <c r="B174" s="2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5"/>
      <c r="B175" s="2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5"/>
      <c r="B176" s="2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5"/>
      <c r="B177" s="2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5"/>
      <c r="B178" s="2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5"/>
      <c r="B179" s="2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5"/>
      <c r="B180" s="2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5"/>
      <c r="B181" s="2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5"/>
      <c r="B182" s="2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5"/>
      <c r="B183" s="2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5"/>
      <c r="B184" s="2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5"/>
      <c r="B185" s="2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5"/>
      <c r="B186" s="2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5"/>
      <c r="B187" s="2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5"/>
      <c r="B188" s="2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5"/>
      <c r="B189" s="2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5"/>
      <c r="B190" s="2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5"/>
      <c r="B191" s="2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5"/>
      <c r="B192" s="2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5"/>
      <c r="B193" s="2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5"/>
      <c r="B194" s="2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5"/>
      <c r="B195" s="2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5"/>
      <c r="B196" s="2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5"/>
      <c r="B197" s="2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5"/>
      <c r="B198" s="2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5"/>
      <c r="B199" s="2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5"/>
      <c r="B200" s="2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5"/>
      <c r="B201" s="2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5"/>
      <c r="B202" s="2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5"/>
      <c r="B203" s="2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5"/>
      <c r="B204" s="2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5"/>
      <c r="B205" s="2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5"/>
      <c r="B206" s="2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5"/>
      <c r="B207" s="2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5"/>
      <c r="B208" s="2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5"/>
      <c r="B209" s="2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5"/>
      <c r="B210" s="2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5"/>
      <c r="B211" s="2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5"/>
      <c r="B212" s="2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5"/>
      <c r="B213" s="2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5"/>
      <c r="B214" s="2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5"/>
      <c r="B215" s="2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5"/>
      <c r="B216" s="2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5"/>
      <c r="B217" s="2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5"/>
      <c r="B218" s="2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5"/>
      <c r="B219" s="2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5"/>
      <c r="B220" s="2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5"/>
      <c r="B221" s="2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5"/>
      <c r="B222" s="2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5"/>
      <c r="B223" s="2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5"/>
      <c r="B224" s="2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5"/>
      <c r="B225" s="2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5"/>
      <c r="B226" s="2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5"/>
      <c r="B227" s="2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5"/>
      <c r="B228" s="2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5"/>
      <c r="B229" s="2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5"/>
      <c r="B230" s="2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5"/>
      <c r="B231" s="2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5"/>
      <c r="B232" s="2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5"/>
      <c r="B233" s="2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5"/>
      <c r="B234" s="2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5"/>
      <c r="B235" s="2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5"/>
      <c r="B236" s="2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5"/>
      <c r="B237" s="2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5"/>
      <c r="B238" s="2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5"/>
      <c r="B239" s="2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5"/>
      <c r="B240" s="2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5"/>
      <c r="B241" s="2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5"/>
      <c r="B242" s="2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5"/>
      <c r="B243" s="2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5"/>
      <c r="B244" s="2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5"/>
      <c r="B245" s="2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5"/>
      <c r="B246" s="2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5"/>
      <c r="B247" s="2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5"/>
      <c r="B248" s="2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5"/>
      <c r="B249" s="2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5"/>
      <c r="B250" s="2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5"/>
      <c r="B251" s="2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5"/>
      <c r="B252" s="2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5"/>
      <c r="B253" s="2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5"/>
      <c r="B254" s="2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5"/>
      <c r="B255" s="2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5"/>
      <c r="B256" s="2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5"/>
      <c r="B257" s="2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5"/>
      <c r="B258" s="2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5"/>
      <c r="B259" s="2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5"/>
      <c r="B260" s="2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5"/>
      <c r="B261" s="2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5"/>
      <c r="B262" s="2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5"/>
      <c r="B263" s="2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5"/>
      <c r="B264" s="2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5"/>
      <c r="B265" s="2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5"/>
      <c r="B266" s="2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5"/>
      <c r="B267" s="2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5"/>
      <c r="B268" s="2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5"/>
      <c r="B269" s="2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5"/>
      <c r="B270" s="2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5"/>
      <c r="B271" s="2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5"/>
      <c r="B272" s="2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5"/>
      <c r="B273" s="2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5"/>
      <c r="B274" s="2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5"/>
      <c r="B275" s="2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5"/>
      <c r="B276" s="2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5"/>
      <c r="B277" s="2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5"/>
      <c r="B278" s="2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5"/>
      <c r="B279" s="2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5"/>
      <c r="B280" s="2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5"/>
      <c r="B281" s="2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5"/>
      <c r="B282" s="2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5"/>
      <c r="B283" s="2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5"/>
      <c r="B284" s="2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5"/>
      <c r="B285" s="2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5"/>
      <c r="B286" s="2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5"/>
      <c r="B287" s="2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5"/>
      <c r="B288" s="2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5"/>
      <c r="B289" s="2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5"/>
      <c r="B290" s="2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5"/>
      <c r="B291" s="2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5"/>
      <c r="B292" s="2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5"/>
      <c r="B293" s="2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5"/>
      <c r="B294" s="2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5"/>
      <c r="B295" s="2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5"/>
      <c r="B296" s="2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5"/>
      <c r="B297" s="2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5"/>
      <c r="B298" s="2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5"/>
      <c r="B299" s="2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5"/>
      <c r="B300" s="2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5"/>
      <c r="B301" s="2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5"/>
      <c r="B302" s="2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5"/>
      <c r="B303" s="2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5"/>
      <c r="B304" s="2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5"/>
      <c r="B305" s="2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5"/>
      <c r="B306" s="2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5"/>
      <c r="B307" s="2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5"/>
      <c r="B308" s="2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5"/>
      <c r="B309" s="2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5"/>
      <c r="B310" s="2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5"/>
      <c r="B311" s="2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5"/>
      <c r="B312" s="2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5"/>
      <c r="B313" s="2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5"/>
      <c r="B314" s="2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5"/>
      <c r="B315" s="2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5"/>
      <c r="B316" s="2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5"/>
      <c r="B317" s="2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5"/>
      <c r="B318" s="2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5"/>
      <c r="B319" s="2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5"/>
      <c r="B320" s="2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5"/>
      <c r="B321" s="2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5"/>
      <c r="B322" s="2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5"/>
      <c r="B323" s="2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5"/>
      <c r="B324" s="2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5"/>
      <c r="B325" s="2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5"/>
      <c r="B326" s="2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5"/>
      <c r="B327" s="2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5"/>
      <c r="B328" s="2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5"/>
      <c r="B329" s="2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5"/>
      <c r="B330" s="2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5"/>
      <c r="B331" s="2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5"/>
      <c r="B332" s="2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5"/>
      <c r="B333" s="2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5"/>
      <c r="B334" s="2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5"/>
      <c r="B335" s="2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5"/>
      <c r="B336" s="2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5"/>
      <c r="B337" s="2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5"/>
      <c r="B338" s="2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5"/>
      <c r="B339" s="2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5"/>
      <c r="B340" s="2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5"/>
      <c r="B341" s="2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5"/>
      <c r="B342" s="2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5"/>
      <c r="B343" s="2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5"/>
      <c r="B344" s="2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5"/>
      <c r="B345" s="2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5"/>
      <c r="B346" s="2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5"/>
      <c r="B347" s="2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5"/>
      <c r="B348" s="2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5"/>
      <c r="B349" s="2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5"/>
      <c r="B350" s="2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5"/>
      <c r="B351" s="2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5"/>
      <c r="B352" s="2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5"/>
      <c r="B353" s="2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5"/>
      <c r="B354" s="2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5"/>
      <c r="B355" s="2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5"/>
      <c r="B356" s="2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5"/>
      <c r="B357" s="2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5"/>
      <c r="B358" s="2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5"/>
      <c r="B359" s="2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5"/>
      <c r="B360" s="2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5"/>
      <c r="B361" s="2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5"/>
      <c r="B362" s="2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5"/>
      <c r="B363" s="2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5"/>
      <c r="B364" s="2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5"/>
      <c r="B365" s="2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5"/>
      <c r="B366" s="2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5"/>
      <c r="B367" s="2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5"/>
      <c r="B368" s="2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5"/>
      <c r="B369" s="2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5"/>
      <c r="B370" s="2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5"/>
      <c r="B371" s="2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5"/>
      <c r="B372" s="2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5"/>
      <c r="B373" s="2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5"/>
      <c r="B374" s="2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5"/>
      <c r="B375" s="2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5"/>
      <c r="B376" s="2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5"/>
      <c r="B377" s="2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5"/>
      <c r="B378" s="2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5"/>
      <c r="B379" s="2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5"/>
      <c r="B380" s="2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5"/>
      <c r="B381" s="2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5"/>
      <c r="B382" s="2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5"/>
      <c r="B383" s="2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5"/>
      <c r="B384" s="2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5"/>
      <c r="B385" s="2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5"/>
      <c r="B386" s="2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5"/>
      <c r="B387" s="2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5"/>
      <c r="B388" s="2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5"/>
      <c r="B389" s="2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5"/>
      <c r="B390" s="2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5"/>
      <c r="B391" s="2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5"/>
      <c r="B392" s="2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5"/>
      <c r="B393" s="2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5"/>
      <c r="B394" s="2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5"/>
      <c r="B395" s="2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5"/>
      <c r="B396" s="2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5"/>
      <c r="B397" s="2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5"/>
      <c r="B398" s="2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5"/>
      <c r="B399" s="2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5"/>
      <c r="B400" s="2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5"/>
      <c r="B401" s="2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5"/>
      <c r="B402" s="2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5"/>
      <c r="B403" s="2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5"/>
      <c r="B404" s="2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5"/>
      <c r="B405" s="2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5"/>
      <c r="B406" s="2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5"/>
      <c r="B407" s="2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5"/>
      <c r="B408" s="2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5"/>
      <c r="B409" s="2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5"/>
      <c r="B410" s="2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5"/>
      <c r="B411" s="2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5"/>
      <c r="B412" s="2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5"/>
      <c r="B413" s="2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5"/>
      <c r="B414" s="2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5"/>
      <c r="B415" s="2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5"/>
      <c r="B416" s="2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5"/>
      <c r="B417" s="2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5"/>
      <c r="B418" s="2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5"/>
      <c r="B419" s="2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5"/>
      <c r="B420" s="2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5"/>
      <c r="B421" s="2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5"/>
      <c r="B422" s="2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5"/>
      <c r="B423" s="2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5"/>
      <c r="B424" s="2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5"/>
      <c r="B425" s="2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5"/>
      <c r="B426" s="2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5"/>
      <c r="B427" s="2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5"/>
      <c r="B428" s="2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5"/>
      <c r="B429" s="2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5"/>
      <c r="B430" s="2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5"/>
      <c r="B431" s="2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5"/>
      <c r="B432" s="2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5"/>
      <c r="B433" s="2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5"/>
      <c r="B434" s="2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5"/>
      <c r="B435" s="2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5"/>
      <c r="B436" s="2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5"/>
      <c r="B437" s="2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5"/>
      <c r="B438" s="2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5"/>
      <c r="B439" s="2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5"/>
      <c r="B440" s="2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5"/>
      <c r="B441" s="2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5"/>
      <c r="B442" s="2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5"/>
      <c r="B443" s="2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5"/>
      <c r="B444" s="2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5"/>
      <c r="B445" s="2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5"/>
      <c r="B446" s="2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5"/>
      <c r="B447" s="2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5"/>
      <c r="B448" s="2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5"/>
      <c r="B449" s="2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5"/>
      <c r="B450" s="2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5"/>
      <c r="B451" s="2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5"/>
      <c r="B452" s="2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5"/>
      <c r="B453" s="2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5"/>
      <c r="B454" s="2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5"/>
      <c r="B455" s="2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5"/>
      <c r="B456" s="2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5"/>
      <c r="B457" s="2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5"/>
      <c r="B458" s="2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5"/>
      <c r="B459" s="2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5"/>
      <c r="B460" s="2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5"/>
      <c r="B461" s="2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5"/>
      <c r="B462" s="2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5"/>
      <c r="B463" s="2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5"/>
      <c r="B464" s="2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5"/>
      <c r="B465" s="2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5"/>
      <c r="B466" s="2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5"/>
      <c r="B467" s="2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5"/>
      <c r="B468" s="2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5"/>
      <c r="B469" s="2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5"/>
      <c r="B470" s="2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5"/>
      <c r="B471" s="2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5"/>
      <c r="B472" s="2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5"/>
      <c r="B473" s="2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5"/>
      <c r="B474" s="2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5"/>
      <c r="B475" s="2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5"/>
      <c r="B476" s="2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5"/>
      <c r="B477" s="2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5"/>
      <c r="B478" s="2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5"/>
      <c r="B479" s="2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5"/>
      <c r="B480" s="2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5"/>
      <c r="B481" s="2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5"/>
      <c r="B482" s="2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5"/>
      <c r="B483" s="2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5"/>
      <c r="B484" s="2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5"/>
      <c r="B485" s="2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5"/>
      <c r="B486" s="2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5"/>
      <c r="B487" s="2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5"/>
      <c r="B488" s="2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5"/>
      <c r="B489" s="2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5"/>
      <c r="B490" s="2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5"/>
      <c r="B491" s="2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5"/>
      <c r="B492" s="2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5"/>
      <c r="B493" s="2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5"/>
      <c r="B494" s="2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5"/>
      <c r="B495" s="2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5"/>
      <c r="B496" s="2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5"/>
      <c r="B497" s="2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5"/>
      <c r="B498" s="2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5"/>
      <c r="B499" s="2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5"/>
      <c r="B500" s="2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5"/>
      <c r="B501" s="2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5"/>
      <c r="B502" s="2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5"/>
      <c r="B503" s="2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5"/>
      <c r="B504" s="2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5"/>
      <c r="B505" s="2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5"/>
      <c r="B506" s="2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5"/>
      <c r="B507" s="2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5"/>
      <c r="B508" s="2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5"/>
      <c r="B509" s="2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5"/>
      <c r="B510" s="2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5"/>
      <c r="B511" s="2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5"/>
      <c r="B512" s="2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5"/>
      <c r="B513" s="2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5"/>
      <c r="B514" s="2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5"/>
      <c r="B515" s="2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5"/>
      <c r="B516" s="2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5"/>
      <c r="B517" s="2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5"/>
      <c r="B518" s="2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5"/>
      <c r="B519" s="2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5"/>
      <c r="B520" s="2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5"/>
      <c r="B521" s="2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5"/>
      <c r="B522" s="2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5"/>
      <c r="B523" s="2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5"/>
      <c r="B524" s="2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5"/>
      <c r="B525" s="2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5"/>
      <c r="B526" s="2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5"/>
      <c r="B527" s="2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5"/>
      <c r="B528" s="2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5"/>
      <c r="B529" s="2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5"/>
      <c r="B530" s="2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5"/>
      <c r="B531" s="2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5"/>
      <c r="B532" s="2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5"/>
      <c r="B533" s="2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5"/>
      <c r="B534" s="2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5"/>
      <c r="B535" s="2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5"/>
      <c r="B536" s="2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5"/>
      <c r="B537" s="2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5"/>
      <c r="B538" s="2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5"/>
      <c r="B539" s="2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5"/>
      <c r="B540" s="2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5"/>
      <c r="B541" s="2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5"/>
      <c r="B542" s="2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5"/>
      <c r="B543" s="2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5"/>
      <c r="B544" s="2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5"/>
      <c r="B545" s="2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5"/>
      <c r="B546" s="2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5"/>
      <c r="B547" s="2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5"/>
      <c r="B548" s="2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5"/>
      <c r="B549" s="2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5"/>
      <c r="B550" s="2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5"/>
      <c r="B551" s="2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5"/>
      <c r="B552" s="2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5"/>
      <c r="B553" s="2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5"/>
      <c r="B554" s="2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5"/>
      <c r="B555" s="2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5"/>
      <c r="B556" s="2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5"/>
      <c r="B557" s="2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5"/>
      <c r="B558" s="2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5"/>
      <c r="B559" s="2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5"/>
      <c r="B560" s="2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5"/>
      <c r="B561" s="2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5"/>
      <c r="B562" s="2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5"/>
      <c r="B563" s="2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5"/>
      <c r="B564" s="2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5"/>
      <c r="B565" s="2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5"/>
      <c r="B566" s="2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5"/>
      <c r="B567" s="2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5"/>
      <c r="B568" s="2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5"/>
      <c r="B569" s="2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5"/>
      <c r="B570" s="2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5"/>
      <c r="B571" s="2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5"/>
      <c r="B572" s="2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5"/>
      <c r="B573" s="2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5"/>
      <c r="B574" s="2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5"/>
      <c r="B575" s="2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5"/>
      <c r="B576" s="2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5"/>
      <c r="B577" s="2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5"/>
      <c r="B578" s="2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5"/>
      <c r="B579" s="2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5"/>
      <c r="B580" s="2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5"/>
      <c r="B581" s="2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5"/>
      <c r="B582" s="2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5"/>
      <c r="B583" s="2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5"/>
      <c r="B584" s="2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5"/>
      <c r="B585" s="2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5"/>
      <c r="B586" s="2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5"/>
      <c r="B587" s="2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5"/>
      <c r="B588" s="2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5"/>
      <c r="B589" s="2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5"/>
      <c r="B590" s="2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5"/>
      <c r="B591" s="2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5"/>
      <c r="B592" s="2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5"/>
      <c r="B593" s="2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5"/>
      <c r="B594" s="2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5"/>
      <c r="B595" s="2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5"/>
      <c r="B596" s="2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5"/>
      <c r="B597" s="2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5"/>
      <c r="B598" s="2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5"/>
      <c r="B599" s="2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5"/>
      <c r="B600" s="2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5"/>
      <c r="B601" s="2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5"/>
      <c r="B602" s="2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5"/>
      <c r="B603" s="2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5"/>
      <c r="B604" s="2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5"/>
      <c r="B605" s="2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5"/>
      <c r="B606" s="2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5"/>
      <c r="B607" s="2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5"/>
      <c r="B608" s="2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5"/>
      <c r="B609" s="2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5"/>
      <c r="B610" s="2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5"/>
      <c r="B611" s="2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5"/>
      <c r="B612" s="2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5"/>
      <c r="B613" s="2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5"/>
      <c r="B614" s="2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5"/>
      <c r="B615" s="2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5"/>
      <c r="B616" s="2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5"/>
      <c r="B617" s="2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5"/>
      <c r="B618" s="2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5"/>
      <c r="B619" s="2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5"/>
      <c r="B620" s="2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5"/>
      <c r="B621" s="2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5"/>
      <c r="B622" s="2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5"/>
      <c r="B623" s="2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5"/>
      <c r="B624" s="2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5"/>
      <c r="B625" s="2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5"/>
      <c r="B626" s="2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5"/>
      <c r="B627" s="2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5"/>
      <c r="B628" s="2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5"/>
      <c r="B629" s="2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5"/>
      <c r="B630" s="2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5"/>
      <c r="B631" s="2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5"/>
      <c r="B632" s="2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5"/>
      <c r="B633" s="2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5"/>
      <c r="B634" s="2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5"/>
      <c r="B635" s="2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5"/>
      <c r="B636" s="2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5"/>
      <c r="B637" s="2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5"/>
      <c r="B638" s="2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5"/>
      <c r="B639" s="2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5"/>
      <c r="B640" s="2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5"/>
      <c r="B641" s="2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5"/>
      <c r="B642" s="2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5"/>
      <c r="B643" s="2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5"/>
      <c r="B644" s="2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5"/>
      <c r="B645" s="2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5"/>
      <c r="B646" s="2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5"/>
      <c r="B647" s="2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5"/>
      <c r="B648" s="2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5"/>
      <c r="B649" s="2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5"/>
      <c r="B650" s="2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5"/>
      <c r="B651" s="2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5"/>
      <c r="B652" s="2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5"/>
      <c r="B653" s="2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5"/>
      <c r="B654" s="2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5"/>
      <c r="B655" s="2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5"/>
      <c r="B656" s="2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5"/>
      <c r="B657" s="2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5"/>
      <c r="B658" s="2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5"/>
      <c r="B659" s="2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5"/>
      <c r="B660" s="2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5"/>
      <c r="B661" s="2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5"/>
      <c r="B662" s="2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5"/>
      <c r="B663" s="2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5"/>
      <c r="B664" s="2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5"/>
      <c r="B665" s="2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5"/>
      <c r="B666" s="2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5"/>
      <c r="B667" s="2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5"/>
      <c r="B668" s="2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5"/>
      <c r="B669" s="2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5"/>
      <c r="B670" s="2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5"/>
      <c r="B671" s="2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5"/>
      <c r="B672" s="2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5"/>
      <c r="B673" s="2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5"/>
      <c r="B674" s="2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5"/>
      <c r="B675" s="2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5"/>
      <c r="B676" s="2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5"/>
      <c r="B677" s="2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5"/>
      <c r="B678" s="2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5"/>
      <c r="B679" s="2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5"/>
      <c r="B680" s="2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5"/>
      <c r="B681" s="2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5"/>
      <c r="B682" s="2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5"/>
      <c r="B683" s="2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5"/>
      <c r="B684" s="2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5"/>
      <c r="B685" s="2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5"/>
      <c r="B686" s="2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5"/>
      <c r="B687" s="2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5"/>
      <c r="B688" s="2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5"/>
      <c r="B689" s="2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5"/>
      <c r="B690" s="2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5"/>
      <c r="B691" s="2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5"/>
      <c r="B692" s="2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5"/>
      <c r="B693" s="2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5"/>
      <c r="B694" s="2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5"/>
      <c r="B695" s="2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5"/>
      <c r="B696" s="2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5"/>
      <c r="B697" s="2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5"/>
      <c r="B698" s="2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5"/>
      <c r="B699" s="2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5"/>
      <c r="B700" s="2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5"/>
      <c r="B701" s="2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5"/>
      <c r="B702" s="2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5"/>
      <c r="B703" s="2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5"/>
      <c r="B704" s="2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5"/>
      <c r="B705" s="2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5"/>
      <c r="B706" s="2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5"/>
      <c r="B707" s="2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5"/>
      <c r="B708" s="2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5"/>
      <c r="B709" s="2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5"/>
      <c r="B710" s="2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5"/>
      <c r="B711" s="2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5"/>
      <c r="B712" s="2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5"/>
      <c r="B713" s="2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5"/>
      <c r="B714" s="2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5"/>
      <c r="B715" s="2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5"/>
      <c r="B716" s="2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5"/>
      <c r="B717" s="2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5"/>
      <c r="B718" s="2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5"/>
      <c r="B719" s="2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5"/>
      <c r="B720" s="2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5"/>
      <c r="B721" s="2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5"/>
      <c r="B722" s="2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5"/>
      <c r="B723" s="2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5"/>
      <c r="B724" s="2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5"/>
      <c r="B725" s="2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5"/>
      <c r="B726" s="2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5"/>
      <c r="B727" s="2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5"/>
      <c r="B728" s="2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5"/>
      <c r="B729" s="2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5"/>
      <c r="B730" s="2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5"/>
      <c r="B731" s="2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5"/>
      <c r="B732" s="2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5"/>
      <c r="B733" s="2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5"/>
      <c r="B734" s="2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5"/>
      <c r="B735" s="2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5"/>
      <c r="B736" s="2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5"/>
      <c r="B737" s="2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5"/>
      <c r="B738" s="2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5"/>
      <c r="B739" s="2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5"/>
      <c r="B740" s="2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5"/>
      <c r="B741" s="2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5"/>
      <c r="B742" s="2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5"/>
      <c r="B743" s="2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5"/>
      <c r="B744" s="2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5"/>
      <c r="B745" s="2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5"/>
      <c r="B746" s="2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5"/>
      <c r="B747" s="2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5"/>
      <c r="B748" s="2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5"/>
      <c r="B749" s="2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5"/>
      <c r="B750" s="2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5"/>
      <c r="B751" s="2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5"/>
      <c r="B752" s="2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5"/>
      <c r="B753" s="2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5"/>
      <c r="B754" s="2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5"/>
      <c r="B755" s="2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5"/>
      <c r="B756" s="2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5"/>
      <c r="B757" s="2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5"/>
      <c r="B758" s="2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5"/>
      <c r="B759" s="2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5"/>
      <c r="B760" s="2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5"/>
      <c r="B761" s="2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5"/>
      <c r="B762" s="2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5"/>
      <c r="B763" s="2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5"/>
      <c r="B764" s="2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5"/>
      <c r="B765" s="2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5"/>
      <c r="B766" s="2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5"/>
      <c r="B767" s="2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5"/>
      <c r="B768" s="2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5"/>
      <c r="B769" s="2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5"/>
      <c r="B770" s="2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5"/>
      <c r="B771" s="2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5"/>
      <c r="B772" s="2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5"/>
      <c r="B773" s="2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5"/>
      <c r="B774" s="2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5"/>
      <c r="B775" s="2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5"/>
      <c r="B776" s="2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5"/>
      <c r="B777" s="2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5"/>
      <c r="B778" s="2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5"/>
      <c r="B779" s="2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5"/>
      <c r="B780" s="2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5"/>
      <c r="B781" s="2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5"/>
      <c r="B782" s="2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5"/>
      <c r="B783" s="2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5"/>
      <c r="B784" s="2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5"/>
      <c r="B785" s="2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5"/>
      <c r="B786" s="2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5"/>
      <c r="B787" s="2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5"/>
      <c r="B788" s="2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5"/>
      <c r="B789" s="2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5"/>
      <c r="B790" s="2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5"/>
      <c r="B791" s="2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5"/>
      <c r="B792" s="2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5"/>
      <c r="B793" s="2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5"/>
      <c r="B794" s="2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5"/>
      <c r="B795" s="2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5"/>
      <c r="B796" s="2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5"/>
      <c r="B797" s="2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5"/>
      <c r="B798" s="2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5"/>
      <c r="B799" s="2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5"/>
      <c r="B800" s="2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5"/>
      <c r="B801" s="2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5"/>
      <c r="B802" s="2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5"/>
      <c r="B803" s="2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5"/>
      <c r="B804" s="2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5"/>
      <c r="B805" s="2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5"/>
      <c r="B806" s="2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5"/>
      <c r="B807" s="2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5"/>
      <c r="B808" s="2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5"/>
      <c r="B809" s="2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5"/>
      <c r="B810" s="2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5"/>
      <c r="B811" s="2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5"/>
      <c r="B812" s="2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5"/>
      <c r="B813" s="2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5"/>
      <c r="B814" s="2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5"/>
      <c r="B815" s="2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5"/>
      <c r="B816" s="2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5"/>
      <c r="B817" s="2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5"/>
      <c r="B818" s="2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5"/>
      <c r="B819" s="2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5"/>
      <c r="B820" s="2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5"/>
      <c r="B821" s="2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5"/>
      <c r="B822" s="2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5"/>
      <c r="B823" s="2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5"/>
      <c r="B824" s="2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5"/>
      <c r="B825" s="2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5"/>
      <c r="B826" s="2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5"/>
      <c r="B827" s="2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5"/>
      <c r="B828" s="2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5"/>
      <c r="B829" s="2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5"/>
      <c r="B830" s="2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5"/>
      <c r="B831" s="2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5"/>
      <c r="B832" s="2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5"/>
      <c r="B833" s="2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5"/>
      <c r="B834" s="2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5"/>
      <c r="B835" s="2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5"/>
      <c r="B836" s="2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5"/>
      <c r="B837" s="2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5"/>
      <c r="B838" s="2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5"/>
      <c r="B839" s="2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5"/>
      <c r="B840" s="2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5"/>
      <c r="B841" s="2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5"/>
      <c r="B842" s="2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5"/>
      <c r="B843" s="2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5"/>
      <c r="B844" s="2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5"/>
      <c r="B845" s="2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5"/>
      <c r="B846" s="2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5"/>
      <c r="B847" s="2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5"/>
      <c r="B848" s="2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5"/>
      <c r="B849" s="2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5"/>
      <c r="B850" s="2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5"/>
      <c r="B851" s="2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5"/>
      <c r="B852" s="2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5"/>
      <c r="B853" s="2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5"/>
      <c r="B854" s="2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5"/>
      <c r="B855" s="2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5"/>
      <c r="B856" s="2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5"/>
      <c r="B857" s="2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5"/>
      <c r="B858" s="2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5"/>
      <c r="B859" s="2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5"/>
      <c r="B860" s="2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5"/>
      <c r="B861" s="2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5"/>
      <c r="B862" s="2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5"/>
      <c r="B863" s="2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5"/>
      <c r="B864" s="2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5"/>
      <c r="B865" s="2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5"/>
      <c r="B866" s="2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5"/>
      <c r="B867" s="2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5"/>
      <c r="B868" s="2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5"/>
      <c r="B869" s="2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5"/>
      <c r="B870" s="2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5"/>
      <c r="B871" s="2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5"/>
      <c r="B872" s="2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5"/>
      <c r="B873" s="2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5"/>
      <c r="B874" s="2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5"/>
      <c r="B875" s="2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5"/>
      <c r="B876" s="2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5"/>
      <c r="B877" s="2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5"/>
      <c r="B878" s="2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5"/>
      <c r="B879" s="2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5"/>
      <c r="B880" s="2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5"/>
      <c r="B881" s="2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5"/>
      <c r="B882" s="2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5"/>
      <c r="B883" s="2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5"/>
      <c r="B884" s="2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5"/>
      <c r="B885" s="2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5"/>
      <c r="B886" s="2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5"/>
      <c r="B887" s="2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5"/>
      <c r="B888" s="2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5"/>
      <c r="B889" s="2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5"/>
      <c r="B890" s="2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5"/>
      <c r="B891" s="2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5"/>
      <c r="B892" s="2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5"/>
      <c r="B893" s="2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5"/>
      <c r="B894" s="2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5"/>
      <c r="B895" s="2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5"/>
      <c r="B896" s="2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5"/>
      <c r="B897" s="2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5"/>
      <c r="B898" s="2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5"/>
      <c r="B899" s="2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5"/>
      <c r="B900" s="2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5"/>
      <c r="B901" s="2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5"/>
      <c r="B902" s="2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5"/>
      <c r="B903" s="24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5"/>
      <c r="B904" s="24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5"/>
      <c r="B905" s="24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5"/>
      <c r="B906" s="24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5"/>
      <c r="B907" s="24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5"/>
      <c r="B908" s="24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5"/>
      <c r="B909" s="24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5"/>
      <c r="B910" s="24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5"/>
      <c r="B911" s="24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5"/>
      <c r="B912" s="24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5"/>
      <c r="B913" s="24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5"/>
      <c r="B914" s="24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5"/>
      <c r="B915" s="24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5"/>
      <c r="B916" s="24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5"/>
      <c r="B917" s="24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5"/>
      <c r="B918" s="2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5"/>
      <c r="B919" s="24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5"/>
      <c r="B920" s="24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5"/>
      <c r="B921" s="24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5"/>
      <c r="B922" s="24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5"/>
      <c r="B923" s="24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5"/>
      <c r="B924" s="24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5"/>
      <c r="B925" s="24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5"/>
      <c r="B926" s="24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5"/>
      <c r="B927" s="24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5"/>
      <c r="B928" s="24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5"/>
      <c r="B929" s="24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5"/>
      <c r="B930" s="24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5"/>
      <c r="B931" s="24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5"/>
      <c r="B932" s="24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5"/>
      <c r="B933" s="24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5"/>
      <c r="B934" s="24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5"/>
      <c r="B935" s="24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5"/>
      <c r="B936" s="2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5"/>
      <c r="B937" s="24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5"/>
      <c r="B938" s="24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5"/>
      <c r="B939" s="24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5"/>
      <c r="B940" s="24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5"/>
      <c r="B941" s="24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5"/>
      <c r="B942" s="24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5"/>
      <c r="B943" s="24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5"/>
      <c r="B944" s="24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5"/>
      <c r="B945" s="24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5"/>
      <c r="B946" s="24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5"/>
      <c r="B947" s="24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5"/>
      <c r="B948" s="24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5"/>
      <c r="B949" s="24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5"/>
      <c r="B950" s="24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5"/>
      <c r="B951" s="24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5"/>
      <c r="B952" s="24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5"/>
      <c r="B953" s="24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5"/>
      <c r="B954" s="24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5"/>
      <c r="B955" s="24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5"/>
      <c r="B956" s="24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5"/>
      <c r="B957" s="24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5"/>
      <c r="B958" s="24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5"/>
      <c r="B959" s="24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5"/>
      <c r="B960" s="2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5"/>
      <c r="B961" s="24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5"/>
      <c r="B962" s="24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5"/>
      <c r="B963" s="24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5"/>
      <c r="B964" s="24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5"/>
      <c r="B965" s="24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5"/>
      <c r="B966" s="24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5"/>
      <c r="B967" s="24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5"/>
      <c r="B968" s="24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5"/>
      <c r="B969" s="24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5"/>
      <c r="B970" s="24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5"/>
      <c r="B971" s="24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5"/>
      <c r="B972" s="24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5"/>
      <c r="B973" s="24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5"/>
      <c r="B974" s="24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5"/>
      <c r="B975" s="24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5"/>
      <c r="B976" s="24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5"/>
      <c r="B977" s="24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5"/>
      <c r="B978" s="24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5"/>
      <c r="B979" s="24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5"/>
      <c r="B980" s="24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5"/>
      <c r="B981" s="24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5"/>
      <c r="B982" s="24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5"/>
      <c r="B983" s="24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5"/>
      <c r="B984" s="24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5"/>
      <c r="B985" s="24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5"/>
      <c r="B986" s="24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5"/>
      <c r="B987" s="24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5"/>
      <c r="B988" s="24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5"/>
      <c r="B989" s="24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5"/>
      <c r="B990" s="24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>
      <c r="A991" s="5"/>
      <c r="B991" s="24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>
      <c r="A992" s="5"/>
      <c r="B992" s="24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>
      <c r="A993" s="5"/>
      <c r="B993" s="24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>
      <c r="A994" s="5"/>
      <c r="B994" s="24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>
      <c r="A995" s="5"/>
      <c r="B995" s="24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>
      <c r="A996" s="5"/>
      <c r="B996" s="24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>
      <c r="A997" s="5"/>
      <c r="B997" s="24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>
      <c r="A998" s="5"/>
      <c r="B998" s="24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>
      <c r="A999" s="5"/>
      <c r="B999" s="24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>
      <c r="A1000" s="5"/>
      <c r="B1000" s="24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>
      <c r="A1001" s="5"/>
      <c r="B1001" s="24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  <row r="1002">
      <c r="A1002" s="5"/>
      <c r="B1002" s="24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</row>
    <row r="1003">
      <c r="A1003" s="5"/>
      <c r="B1003" s="24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</row>
    <row r="1004">
      <c r="A1004" s="5"/>
      <c r="B1004" s="24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</row>
    <row r="1005">
      <c r="A1005" s="5"/>
      <c r="B1005" s="24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</row>
    <row r="1006">
      <c r="A1006" s="5"/>
      <c r="B1006" s="24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</row>
  </sheetData>
  <mergeCells count="1">
    <mergeCell ref="A11:Q1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F1" s="2" t="s">
        <v>13</v>
      </c>
    </row>
    <row r="2">
      <c r="F2" s="2" t="s">
        <v>17</v>
      </c>
      <c r="G2" s="2" t="s">
        <v>19</v>
      </c>
      <c r="H2" s="2" t="s">
        <v>21</v>
      </c>
    </row>
    <row r="3">
      <c r="F3" s="2">
        <v>5000000.0</v>
      </c>
      <c r="G3" s="2">
        <v>1000000.0</v>
      </c>
      <c r="H3" s="2">
        <v>50000.0</v>
      </c>
    </row>
    <row r="4">
      <c r="A4" s="2" t="s">
        <v>22</v>
      </c>
    </row>
    <row r="5">
      <c r="A5" s="2" t="s">
        <v>23</v>
      </c>
      <c r="B5" s="2" t="s">
        <v>24</v>
      </c>
      <c r="C5" s="4" t="s">
        <v>25</v>
      </c>
      <c r="D5" s="7" t="s">
        <v>28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34</v>
      </c>
    </row>
    <row r="6">
      <c r="A6" s="2">
        <v>2.0</v>
      </c>
      <c r="B6" s="2">
        <v>2.0</v>
      </c>
      <c r="C6" s="4">
        <v>3.0</v>
      </c>
      <c r="D6" s="11">
        <f>1/1000</f>
        <v>0.001</v>
      </c>
      <c r="E6" s="2">
        <v>0.0</v>
      </c>
      <c r="F6" s="2">
        <v>2.0</v>
      </c>
      <c r="G6" s="2">
        <v>20.0</v>
      </c>
      <c r="H6" s="2">
        <v>12.0</v>
      </c>
      <c r="I6" s="13">
        <f>(A6*B6*C6*D6)*(E6*F3+F6*G3+G6*H3)*H6</f>
        <v>432000</v>
      </c>
    </row>
  </sheetData>
  <drawing r:id="rId2"/>
  <legacyDrawing r:id="rId3"/>
</worksheet>
</file>