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581B35D7-4F7A-C745-B4B1-6DE93719068A}" xr6:coauthVersionLast="47" xr6:coauthVersionMax="47" xr10:uidLastSave="{00000000-0000-0000-0000-000000000000}"/>
  <bookViews>
    <workbookView xWindow="-35180" yWindow="-6940" windowWidth="28800" windowHeight="1584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D9" i="5" s="1"/>
  <c r="I9" i="5" s="1"/>
  <c r="J9" i="5" s="1"/>
  <c r="E12" i="7"/>
  <c r="L12" i="7" s="1"/>
  <c r="J13" i="1"/>
  <c r="L4" i="7"/>
  <c r="L3" i="7"/>
  <c r="L2" i="7"/>
  <c r="F7" i="1" s="1"/>
  <c r="G2" i="8"/>
  <c r="I9" i="1" s="1"/>
  <c r="H12" i="1"/>
  <c r="H6" i="1"/>
  <c r="H5" i="1"/>
  <c r="F6" i="1"/>
  <c r="F5" i="1"/>
  <c r="F19" i="1"/>
  <c r="E9" i="7"/>
  <c r="H21" i="1"/>
  <c r="B4" i="10"/>
  <c r="E8" i="7"/>
  <c r="L6" i="7"/>
  <c r="E11" i="10"/>
  <c r="A4" i="10"/>
  <c r="H19" i="1" l="1"/>
  <c r="E13" i="10"/>
  <c r="A6" i="10"/>
  <c r="B6" i="10"/>
  <c r="G3" i="8" l="1"/>
  <c r="J4" i="7"/>
  <c r="I8" i="1"/>
  <c r="I7" i="1"/>
  <c r="J5" i="5"/>
  <c r="D8" i="5"/>
  <c r="I8" i="5" s="1"/>
  <c r="D7" i="5"/>
  <c r="I7" i="5" s="1"/>
  <c r="J2" i="5"/>
  <c r="B6" i="9"/>
  <c r="B7" i="9" s="1"/>
  <c r="J8" i="7"/>
  <c r="K8" i="7" s="1"/>
  <c r="J7" i="7"/>
  <c r="K7" i="7" s="1"/>
  <c r="D8" i="7"/>
  <c r="D7" i="7"/>
  <c r="E7" i="7" s="1"/>
  <c r="I17" i="1"/>
  <c r="F4" i="8"/>
  <c r="F3" i="8"/>
  <c r="G4" i="8"/>
  <c r="I18" i="1" s="1"/>
  <c r="L5" i="7" l="1"/>
  <c r="L11" i="7"/>
  <c r="L7" i="7"/>
  <c r="F17" i="1" s="1"/>
  <c r="J7" i="5"/>
  <c r="H17" i="1" s="1"/>
  <c r="J8" i="5"/>
  <c r="H18" i="1" s="1"/>
  <c r="L8" i="7"/>
  <c r="F18" i="1" s="1"/>
  <c r="L9" i="7" l="1"/>
  <c r="H13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8" i="1" s="1"/>
  <c r="H7" i="1"/>
  <c r="H4" i="5"/>
  <c r="J4" i="5" s="1"/>
  <c r="H9" i="1" l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  <author>tc={B983BE6B-EB39-438A-8969-C1C7DA7104FF}</author>
  </authors>
  <commentList>
    <comment ref="I10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1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2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H27" authorId="3" shapeId="0" xr:uid="{B983BE6B-EB39-438A-8969-C1C7DA7104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Kapitalkosten hinzurechnen?</t>
      </text>
    </comment>
  </commentList>
</comments>
</file>

<file path=xl/sharedStrings.xml><?xml version="1.0" encoding="utf-8"?>
<sst xmlns="http://schemas.openxmlformats.org/spreadsheetml/2006/main" count="333" uniqueCount="168">
  <si>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</si>
  <si>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</si>
  <si>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</si>
  <si>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</si>
  <si>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</si>
  <si>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</si>
  <si>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</si>
  <si>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</si>
  <si>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</si>
  <si>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</si>
  <si>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</si>
  <si>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</si>
  <si>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</si>
  <si>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</si>
  <si>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</si>
  <si>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</si>
  <si>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</si>
  <si>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</si>
  <si>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</si>
  <si>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</si>
  <si>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</si>
  <si>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</si>
  <si>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</si>
  <si>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</si>
  <si>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</si>
  <si>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</si>
  <si>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</si>
  <si>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</si>
  <si>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</si>
  <si>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</si>
  <si>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</si>
  <si>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</si>
  <si>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</si>
  <si>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</si>
  <si>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</si>
  <si>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</si>
  <si>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</si>
  <si>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</si>
  <si>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</si>
  <si>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</si>
  <si>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</si>
  <si>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</si>
  <si>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</si>
  <si>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</si>
  <si>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</si>
  <si>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</si>
  <si>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</si>
  <si>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</si>
  <si>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NH3 Schiff</t>
  </si>
  <si>
    <t>LOHC Schiff</t>
  </si>
  <si>
    <t>Regasifizierung</t>
  </si>
  <si>
    <t>NH3 Cracker</t>
  </si>
  <si>
    <t>[10] [8]</t>
  </si>
  <si>
    <t>Dehydrierung</t>
  </si>
  <si>
    <t>Stoffliche Verluste!</t>
  </si>
  <si>
    <t>LOHC (Material kauf in $)</t>
  </si>
  <si>
    <t>Wert on Top</t>
  </si>
  <si>
    <t>Transportation BOG</t>
  </si>
  <si>
    <t>%/day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</si>
  <si>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</si>
  <si>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</si>
  <si>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</si>
  <si>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</si>
  <si>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</si>
  <si>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</si>
  <si>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</si>
  <si>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</si>
  <si>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</si>
  <si>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</si>
  <si>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</si>
  <si>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</si>
  <si>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</si>
  <si>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</si>
  <si>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</si>
  <si>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</si>
  <si>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</si>
  <si>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</si>
  <si>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</si>
  <si>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</si>
  <si>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</si>
  <si>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</si>
  <si>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</si>
  <si>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</si>
  <si>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</si>
  <si>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</si>
  <si>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</si>
  <si>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</si>
  <si>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</si>
  <si>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</si>
  <si>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</si>
  <si>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[5]</t>
  </si>
  <si>
    <t>$/m3</t>
  </si>
  <si>
    <t>[6]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</si>
  <si>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</si>
  <si>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</si>
  <si>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</si>
  <si>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</si>
  <si>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</si>
  <si>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</si>
  <si>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</si>
  <si>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</si>
  <si>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</si>
  <si>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</si>
  <si>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</si>
  <si>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</si>
  <si>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</si>
  <si>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</si>
  <si>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</si>
  <si>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</si>
  <si>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</si>
  <si>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</si>
  <si>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</si>
  <si>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</si>
  <si>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</si>
  <si>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</si>
  <si>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</si>
  <si>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</si>
  <si>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</si>
  <si>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</si>
  <si>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</si>
  <si>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</si>
  <si>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</si>
  <si>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</si>
  <si>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</si>
  <si>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</si>
  <si>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</si>
  <si>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</si>
  <si>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</si>
  <si>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</si>
  <si>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</si>
  <si>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</si>
  <si>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</si>
  <si>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</si>
  <si>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</si>
  <si>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</si>
  <si>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</si>
  <si>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</si>
  <si>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</si>
  <si>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</si>
  <si>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</si>
  <si>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</si>
  <si>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</si>
  <si>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</si>
  <si>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</si>
  <si>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</si>
  <si>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</si>
  <si>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</si>
  <si>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</si>
  <si>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</si>
  <si>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</si>
  <si>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</si>
  <si>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</si>
  <si>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</si>
  <si>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</si>
  <si>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</si>
  <si>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</si>
  <si>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</si>
  <si>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</si>
  <si>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</si>
  <si>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</si>
  <si>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</si>
  <si>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</si>
  <si>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</si>
  <si>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</si>
  <si>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</si>
  <si>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</si>
  <si>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Nebenrechnung zur Meerwasserentsalzung</t>
  </si>
  <si>
    <t>[14]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</si>
</sst>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3-01-21T10:54:16.97" personId="{5898AE89-8C31-4315-8551-1A557E33296F}" id="{0C704E41-3D06-4D88-89DC-39DBA7A2C449}">
    <text>Muss noch aktualisiert werden</text>
  </threadedComment>
  <threadedComment ref="I11" dT="2023-01-21T10:53:47.83" personId="{5898AE89-8C31-4315-8551-1A557E33296F}" id="{B944F9CC-5851-4327-8D98-091D21D67D31}">
    <text xml:space="preserve">Muss noch aktualisiert werden
</text>
  </threadedComment>
  <threadedComment ref="I22" dT="2023-01-21T10:55:43.33" personId="{5898AE89-8C31-4315-8551-1A557E33296F}" id="{2A4F1DCE-4A9E-4D4C-B48E-E85164B9C277}">
    <text>Muss noch aktualisiert werden</text>
  </threadedComment>
  <threadedComment ref="H27" dT="2023-01-23T14:57:37.93" personId="{5898AE89-8C31-4315-8551-1A557E33296F}" id="{B983BE6B-EB39-438A-8969-C1C7DA7104FF}">
    <text>Kapitalkosten hinzurechnen?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59"/>
  <sheetViews>
    <sheetView tabSelected="1" zoomScaleNormal="100" workbookViewId="0">
      <selection activeCell="G14" sqref="G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4" width="20.6640625" style="1" customWidth="1"/>
    <col min="5" max="5" width="23.33203125" style="1" bestFit="1" customWidth="1"/>
    <col min="6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4"/>
    </row>
    <row r="3" spans="1:13" ht="15" customHeight="1" x14ac:dyDescent="0.2">
      <c r="A3" s="9"/>
      <c r="B3" s="2"/>
      <c r="C3" s="44" t="s">
        <v>9</v>
      </c>
      <c r="D3" s="44" t="s">
        <v>10</v>
      </c>
      <c r="E3" s="44" t="s">
        <v>11</v>
      </c>
      <c r="F3" s="44" t="s">
        <v>12</v>
      </c>
      <c r="G3" s="44" t="s">
        <v>13</v>
      </c>
      <c r="H3" s="44" t="s">
        <v>14</v>
      </c>
      <c r="I3" s="44" t="s">
        <v>15</v>
      </c>
      <c r="J3" s="44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4">
        <f>Allgemein!$B$2*24.883</f>
        <v>27.12247</v>
      </c>
      <c r="G5" s="13">
        <v>30</v>
      </c>
      <c r="H5" s="24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4">
        <f>Allgemein!$B$2*23.215</f>
        <v>25.304350000000003</v>
      </c>
      <c r="G6" s="12">
        <v>30</v>
      </c>
      <c r="H6" s="24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32</v>
      </c>
      <c r="B7" s="3" t="s">
        <v>29</v>
      </c>
      <c r="C7" s="12" t="s">
        <v>23</v>
      </c>
      <c r="D7" s="12" t="s">
        <v>23</v>
      </c>
      <c r="E7" s="12" t="s">
        <v>30</v>
      </c>
      <c r="F7" s="24">
        <f>marginal_cost!L2</f>
        <v>2.88563645597673</v>
      </c>
      <c r="G7" s="12">
        <v>10</v>
      </c>
      <c r="H7" s="19">
        <f>capital_cost!J2</f>
        <v>720000</v>
      </c>
      <c r="I7" s="27">
        <f>Allgemein!$B$12/marginal_cost!F2</f>
        <v>0.59891107078039929</v>
      </c>
      <c r="J7" s="13" t="s">
        <v>24</v>
      </c>
      <c r="K7" s="1" t="s">
        <v>33</v>
      </c>
    </row>
    <row r="8" spans="1:13" ht="18.75" customHeight="1" x14ac:dyDescent="0.2">
      <c r="A8" s="11" t="s">
        <v>34</v>
      </c>
      <c r="B8" s="3" t="s">
        <v>29</v>
      </c>
      <c r="C8" s="12" t="s">
        <v>23</v>
      </c>
      <c r="D8" s="12" t="s">
        <v>23</v>
      </c>
      <c r="E8" s="12" t="s">
        <v>30</v>
      </c>
      <c r="F8" s="24">
        <f>marginal_cost!L3</f>
        <v>3.6615551356972333</v>
      </c>
      <c r="G8" s="12">
        <v>10</v>
      </c>
      <c r="H8" s="19">
        <f>capital_cost!J3</f>
        <v>630000</v>
      </c>
      <c r="I8" s="27">
        <f>Allgemein!$B$12/marginal_cost!F3</f>
        <v>0.61797752808988771</v>
      </c>
      <c r="J8" s="13" t="s">
        <v>24</v>
      </c>
      <c r="K8" s="1" t="s">
        <v>33</v>
      </c>
    </row>
    <row r="9" spans="1:13" ht="19" x14ac:dyDescent="0.2">
      <c r="A9" s="11" t="s">
        <v>35</v>
      </c>
      <c r="B9" s="3" t="s">
        <v>29</v>
      </c>
      <c r="C9" s="12" t="s">
        <v>23</v>
      </c>
      <c r="D9" s="12" t="s">
        <v>23</v>
      </c>
      <c r="E9" s="12" t="s">
        <v>30</v>
      </c>
      <c r="F9" s="24">
        <v>0</v>
      </c>
      <c r="G9" s="12">
        <v>20</v>
      </c>
      <c r="H9" s="19">
        <f>capital_cost!J4</f>
        <v>3296969.6969696968</v>
      </c>
      <c r="I9" s="27">
        <f>efficiency!$G$2</f>
        <v>0.76744186046511631</v>
      </c>
      <c r="J9" s="13" t="s">
        <v>24</v>
      </c>
      <c r="K9" s="1" t="s">
        <v>36</v>
      </c>
    </row>
    <row r="10" spans="1:13" ht="18.75" customHeight="1" x14ac:dyDescent="0.2">
      <c r="A10" s="11" t="s">
        <v>37</v>
      </c>
      <c r="B10" s="3" t="s">
        <v>29</v>
      </c>
      <c r="C10" s="12" t="s">
        <v>23</v>
      </c>
      <c r="D10" s="12" t="s">
        <v>23</v>
      </c>
      <c r="E10" s="12" t="s">
        <v>30</v>
      </c>
      <c r="F10" s="24">
        <v>0</v>
      </c>
      <c r="G10" s="12">
        <v>20</v>
      </c>
      <c r="H10" s="24">
        <v>1212000</v>
      </c>
      <c r="I10" s="27">
        <v>0.92</v>
      </c>
      <c r="J10" s="13" t="s">
        <v>24</v>
      </c>
    </row>
    <row r="11" spans="1:13" ht="19" x14ac:dyDescent="0.2">
      <c r="A11" s="11" t="s">
        <v>38</v>
      </c>
      <c r="B11" s="3" t="s">
        <v>29</v>
      </c>
      <c r="C11" s="12" t="s">
        <v>23</v>
      </c>
      <c r="D11" s="12" t="s">
        <v>23</v>
      </c>
      <c r="E11" s="12" t="s">
        <v>30</v>
      </c>
      <c r="F11" s="24">
        <v>0</v>
      </c>
      <c r="G11" s="12">
        <v>20</v>
      </c>
      <c r="H11" s="24">
        <v>79500</v>
      </c>
      <c r="I11" s="27">
        <v>0.7</v>
      </c>
      <c r="J11" s="13" t="s">
        <v>24</v>
      </c>
      <c r="K11" s="1" t="s">
        <v>39</v>
      </c>
    </row>
    <row r="12" spans="1:13" ht="19" x14ac:dyDescent="0.2">
      <c r="A12" s="11" t="s">
        <v>40</v>
      </c>
      <c r="B12" s="3" t="s">
        <v>41</v>
      </c>
      <c r="C12" s="12" t="s">
        <v>23</v>
      </c>
      <c r="D12" s="12" t="s">
        <v>23</v>
      </c>
      <c r="E12" s="13" t="s">
        <v>30</v>
      </c>
      <c r="F12" s="24">
        <v>0</v>
      </c>
      <c r="G12" s="12">
        <v>30</v>
      </c>
      <c r="H12" s="19">
        <f>Allgemein!$B$2*1005.201</f>
        <v>1095.6690900000001</v>
      </c>
      <c r="I12" s="42" t="s">
        <v>24</v>
      </c>
      <c r="J12" s="27">
        <v>0</v>
      </c>
      <c r="K12" s="33" t="s">
        <v>167</v>
      </c>
    </row>
    <row r="13" spans="1:13" ht="19" x14ac:dyDescent="0.2">
      <c r="A13" s="11" t="s">
        <v>42</v>
      </c>
      <c r="B13" s="3" t="s">
        <v>41</v>
      </c>
      <c r="C13" s="12" t="s">
        <v>23</v>
      </c>
      <c r="D13" s="12" t="s">
        <v>23</v>
      </c>
      <c r="E13" s="13" t="s">
        <v>30</v>
      </c>
      <c r="F13" s="24">
        <v>0</v>
      </c>
      <c r="G13" s="12">
        <v>25</v>
      </c>
      <c r="H13" s="19">
        <f>capital_cost!J5</f>
        <v>1090.9090909090908</v>
      </c>
      <c r="I13" s="42" t="s">
        <v>24</v>
      </c>
      <c r="J13" s="27">
        <f>0.002/24</f>
        <v>8.3333333333333331E-5</v>
      </c>
      <c r="K13" s="1" t="s">
        <v>36</v>
      </c>
    </row>
    <row r="14" spans="1:13" ht="19.25" customHeight="1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4">
        <v>0</v>
      </c>
      <c r="G14" s="12">
        <v>20</v>
      </c>
      <c r="H14" s="19">
        <v>255</v>
      </c>
      <c r="I14" s="42" t="s">
        <v>24</v>
      </c>
      <c r="J14" s="27">
        <v>4.0000000000000002E-4</v>
      </c>
      <c r="K14" s="1" t="s">
        <v>39</v>
      </c>
    </row>
    <row r="15" spans="1:13" ht="19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4">
        <v>0</v>
      </c>
      <c r="G15" s="12">
        <v>30</v>
      </c>
      <c r="H15" s="19">
        <v>239</v>
      </c>
      <c r="I15" s="42" t="s">
        <v>24</v>
      </c>
      <c r="J15" s="27">
        <v>0</v>
      </c>
      <c r="K15" s="1" t="s">
        <v>39</v>
      </c>
    </row>
    <row r="16" spans="1:13" ht="18.75" customHeight="1" x14ac:dyDescent="0.2">
      <c r="A16" s="11" t="s">
        <v>45</v>
      </c>
      <c r="B16" s="3" t="s">
        <v>29</v>
      </c>
      <c r="C16" s="12" t="s">
        <v>23</v>
      </c>
      <c r="D16" s="12" t="s">
        <v>23</v>
      </c>
      <c r="E16" s="13" t="s">
        <v>30</v>
      </c>
      <c r="F16" s="24">
        <v>3.9</v>
      </c>
      <c r="G16" s="42" t="s">
        <v>24</v>
      </c>
      <c r="H16" s="42" t="s">
        <v>24</v>
      </c>
      <c r="I16" s="42">
        <v>0.99299999999999999</v>
      </c>
      <c r="J16" s="13" t="s">
        <v>24</v>
      </c>
      <c r="K16" s="1" t="s">
        <v>46</v>
      </c>
    </row>
    <row r="17" spans="1:13" ht="18.75" customHeight="1" x14ac:dyDescent="0.2">
      <c r="A17" s="11" t="s">
        <v>47</v>
      </c>
      <c r="B17" s="3" t="s">
        <v>29</v>
      </c>
      <c r="C17" s="12" t="s">
        <v>23</v>
      </c>
      <c r="D17" s="12" t="s">
        <v>23</v>
      </c>
      <c r="E17" s="13" t="s">
        <v>30</v>
      </c>
      <c r="F17" s="24">
        <f>marginal_cost!L7</f>
        <v>0.11107804278831422</v>
      </c>
      <c r="G17" s="13">
        <v>20</v>
      </c>
      <c r="H17" s="30">
        <f>capital_cost!J7</f>
        <v>2291308.8692835532</v>
      </c>
      <c r="I17" s="27">
        <f>efficiency!G3</f>
        <v>0.86221181280202108</v>
      </c>
      <c r="J17" s="13" t="s">
        <v>24</v>
      </c>
      <c r="K17" t="s">
        <v>92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4">
        <f>marginal_cost!L8</f>
        <v>5.8299648826375096E-2</v>
      </c>
      <c r="G18" s="13">
        <v>20</v>
      </c>
      <c r="H18" s="30">
        <f>capital_cost!J8</f>
        <v>1135336.8482718221</v>
      </c>
      <c r="I18" s="27">
        <f>efficiency!G4</f>
        <v>0.99675027863908006</v>
      </c>
      <c r="J18" s="13" t="s">
        <v>24</v>
      </c>
      <c r="K18" t="s">
        <v>92</v>
      </c>
    </row>
    <row r="19" spans="1:13" ht="18.75" customHeight="1" x14ac:dyDescent="0.2">
      <c r="A19" s="11" t="s">
        <v>49</v>
      </c>
      <c r="B19" s="3" t="s">
        <v>29</v>
      </c>
      <c r="C19" s="12" t="s">
        <v>23</v>
      </c>
      <c r="D19" s="12" t="s">
        <v>23</v>
      </c>
      <c r="E19" s="13" t="s">
        <v>30</v>
      </c>
      <c r="F19" s="24">
        <f>marginal_cost!L9</f>
        <v>1.5972610857142858E-2</v>
      </c>
      <c r="G19" s="13">
        <v>20</v>
      </c>
      <c r="H19" s="38">
        <f>capital_cost!J9</f>
        <v>494824.16154071479</v>
      </c>
      <c r="I19" s="27">
        <v>1</v>
      </c>
      <c r="J19" s="13" t="s">
        <v>24</v>
      </c>
      <c r="K19" t="s">
        <v>92</v>
      </c>
    </row>
    <row r="20" spans="1:13" ht="19" x14ac:dyDescent="0.2">
      <c r="A20" s="11" t="s">
        <v>50</v>
      </c>
      <c r="B20" s="3" t="s">
        <v>29</v>
      </c>
      <c r="C20" s="12" t="s">
        <v>23</v>
      </c>
      <c r="D20" s="12" t="s">
        <v>23</v>
      </c>
      <c r="E20" s="13" t="s">
        <v>30</v>
      </c>
      <c r="F20" s="24">
        <v>0</v>
      </c>
      <c r="G20" s="13">
        <v>20</v>
      </c>
      <c r="H20" s="24">
        <v>409500</v>
      </c>
      <c r="I20" s="27">
        <v>0.997</v>
      </c>
      <c r="J20" s="13" t="s">
        <v>24</v>
      </c>
    </row>
    <row r="21" spans="1:13" ht="19" x14ac:dyDescent="0.2">
      <c r="A21" s="34" t="s">
        <v>51</v>
      </c>
      <c r="B21" s="3" t="s">
        <v>29</v>
      </c>
      <c r="C21" s="12" t="s">
        <v>23</v>
      </c>
      <c r="D21" s="12" t="s">
        <v>23</v>
      </c>
      <c r="E21" s="13" t="s">
        <v>30</v>
      </c>
      <c r="F21" s="24">
        <v>0</v>
      </c>
      <c r="G21" s="13">
        <v>20</v>
      </c>
      <c r="H21" s="24">
        <f>capital_cost!J10*(1+marginal_cost!B10*G21)</f>
        <v>376000</v>
      </c>
      <c r="I21" s="27">
        <v>0.86</v>
      </c>
      <c r="J21" s="13" t="s">
        <v>24</v>
      </c>
      <c r="K21" s="1" t="s">
        <v>52</v>
      </c>
      <c r="M21"/>
    </row>
    <row r="22" spans="1:13" ht="19" x14ac:dyDescent="0.2">
      <c r="A22" s="11" t="s">
        <v>53</v>
      </c>
      <c r="B22" s="3" t="s">
        <v>29</v>
      </c>
      <c r="C22" s="12" t="s">
        <v>23</v>
      </c>
      <c r="D22" s="12" t="s">
        <v>23</v>
      </c>
      <c r="E22" s="13" t="s">
        <v>30</v>
      </c>
      <c r="F22" s="24">
        <v>0</v>
      </c>
      <c r="G22" s="13">
        <v>20</v>
      </c>
      <c r="H22" s="24">
        <v>204000</v>
      </c>
      <c r="I22" s="27">
        <v>0.67</v>
      </c>
      <c r="J22" s="13" t="s">
        <v>24</v>
      </c>
      <c r="K22" s="1" t="s">
        <v>39</v>
      </c>
    </row>
    <row r="26" spans="1:13" x14ac:dyDescent="0.2">
      <c r="A26" s="23"/>
      <c r="I26" s="1" t="s">
        <v>54</v>
      </c>
      <c r="J26" s="1" t="s">
        <v>54</v>
      </c>
    </row>
    <row r="27" spans="1:13" ht="19" x14ac:dyDescent="0.2">
      <c r="A27" s="34" t="s">
        <v>55</v>
      </c>
      <c r="B27" s="3"/>
      <c r="E27" s="13" t="s">
        <v>56</v>
      </c>
      <c r="F27" s="13" t="s">
        <v>24</v>
      </c>
      <c r="G27" s="13" t="s">
        <v>24</v>
      </c>
      <c r="H27" s="24">
        <v>46360000</v>
      </c>
      <c r="I27" s="13" t="s">
        <v>24</v>
      </c>
      <c r="J27" s="13" t="s">
        <v>24</v>
      </c>
    </row>
    <row r="29" spans="1:13" x14ac:dyDescent="0.2">
      <c r="I29"/>
    </row>
    <row r="30" spans="1:13" x14ac:dyDescent="0.15">
      <c r="A30" s="14" t="s">
        <v>57</v>
      </c>
      <c r="B30" s="15" t="s">
        <v>58</v>
      </c>
      <c r="C30" s="16">
        <v>0.17</v>
      </c>
      <c r="D30" s="16">
        <v>4.0000000000000001E-3</v>
      </c>
      <c r="E30" s="16">
        <v>1.6000000000000001E-3</v>
      </c>
      <c r="F30" s="16">
        <v>0</v>
      </c>
      <c r="G30" s="17">
        <v>0.2</v>
      </c>
    </row>
    <row r="32" spans="1:13" x14ac:dyDescent="0.2">
      <c r="A32"/>
      <c r="B32"/>
      <c r="C32"/>
      <c r="D32"/>
    </row>
    <row r="33" spans="1:7" x14ac:dyDescent="0.2">
      <c r="A33" s="39"/>
      <c r="B33" s="40"/>
      <c r="C33"/>
      <c r="D33"/>
      <c r="E33" s="26"/>
    </row>
    <row r="34" spans="1:7" x14ac:dyDescent="0.2">
      <c r="A34" s="39"/>
      <c r="B34" s="40"/>
      <c r="C34"/>
      <c r="D34"/>
      <c r="E34" s="26"/>
    </row>
    <row r="35" spans="1:7" x14ac:dyDescent="0.2">
      <c r="A35" s="39"/>
      <c r="B35" s="40"/>
      <c r="C35"/>
      <c r="D35"/>
      <c r="E35" s="26"/>
    </row>
    <row r="36" spans="1:7" x14ac:dyDescent="0.2">
      <c r="A36" s="39"/>
      <c r="B36" s="40"/>
      <c r="C36"/>
      <c r="D36"/>
      <c r="E36" s="26"/>
    </row>
    <row r="38" spans="1:7" x14ac:dyDescent="0.2">
      <c r="A38" s="23"/>
      <c r="C38" s="26"/>
    </row>
    <row r="42" spans="1:7" x14ac:dyDescent="0.2">
      <c r="E42" s="45"/>
      <c r="F42" s="45"/>
      <c r="G42" s="45"/>
    </row>
    <row r="43" spans="1:7" x14ac:dyDescent="0.2">
      <c r="E43" s="45"/>
      <c r="F43" s="45"/>
      <c r="G43" s="45"/>
    </row>
    <row r="44" spans="1:7" x14ac:dyDescent="0.2">
      <c r="E44" s="45"/>
      <c r="F44" s="45"/>
      <c r="G44" s="45"/>
    </row>
    <row r="45" spans="1:7" x14ac:dyDescent="0.2">
      <c r="E45" s="45"/>
      <c r="F45" s="45"/>
      <c r="G45" s="45"/>
    </row>
    <row r="46" spans="1:7" x14ac:dyDescent="0.2">
      <c r="E46" s="45"/>
      <c r="F46" s="45"/>
      <c r="G46" s="45"/>
    </row>
    <row r="47" spans="1:7" x14ac:dyDescent="0.2">
      <c r="E47" s="45"/>
      <c r="F47" s="45"/>
      <c r="G47" s="45"/>
    </row>
    <row r="48" spans="1:7" x14ac:dyDescent="0.2">
      <c r="E48" s="45"/>
      <c r="F48" s="45"/>
      <c r="G48" s="45"/>
    </row>
    <row r="49" spans="1:7" x14ac:dyDescent="0.2">
      <c r="E49" s="45"/>
      <c r="F49" s="45"/>
      <c r="G49" s="45"/>
    </row>
    <row r="50" spans="1:7" x14ac:dyDescent="0.2">
      <c r="E50" s="45"/>
      <c r="F50" s="45"/>
      <c r="G50" s="45"/>
    </row>
    <row r="51" spans="1:7" x14ac:dyDescent="0.2">
      <c r="E51" s="45"/>
      <c r="F51" s="45"/>
      <c r="G51" s="45"/>
    </row>
    <row r="52" spans="1:7" x14ac:dyDescent="0.2">
      <c r="E52" s="45"/>
      <c r="F52" s="45"/>
      <c r="G52" s="45"/>
    </row>
    <row r="53" spans="1:7" x14ac:dyDescent="0.2">
      <c r="E53" s="45"/>
      <c r="F53" s="45"/>
      <c r="G53" s="45"/>
    </row>
    <row r="54" spans="1:7" x14ac:dyDescent="0.2">
      <c r="E54" s="45"/>
      <c r="F54" s="45"/>
      <c r="G54" s="45"/>
    </row>
    <row r="55" spans="1:7" x14ac:dyDescent="0.2">
      <c r="E55" s="45"/>
      <c r="F55" s="45"/>
      <c r="G55" s="45"/>
    </row>
    <row r="56" spans="1:7" x14ac:dyDescent="0.2">
      <c r="E56" s="45"/>
      <c r="F56" s="45"/>
      <c r="G56" s="45"/>
    </row>
    <row r="59" spans="1:7" x14ac:dyDescent="0.2">
      <c r="A59" s="23"/>
    </row>
  </sheetData>
  <mergeCells count="1">
    <mergeCell ref="A1:J1"/>
  </mergeCells>
  <conditionalFormatting sqref="C12:D19 F27:J27 F12:J22 G7:G15 C5:J11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7:J27 E20:J22 C5:J19">
    <cfRule type="containsText" dxfId="6" priority="7" operator="containsText" text="Simulation">
      <formula>NOT(ISERROR(SEARCH("Simulation",C5)))</formula>
    </cfRule>
  </conditionalFormatting>
  <conditionalFormatting sqref="F27:J27 F5:J22">
    <cfRule type="notContainsBlanks" dxfId="5" priority="6">
      <formula>LEN(TRIM(F5))&gt;0</formula>
    </cfRule>
  </conditionalFormatting>
  <conditionalFormatting sqref="C20:D22">
    <cfRule type="containsText" dxfId="4" priority="1" operator="containsText" text="n.v.">
      <formula>NOT(ISERROR(SEARCH("n.v.",C20)))</formula>
    </cfRule>
    <cfRule type="containsBlanks" dxfId="3" priority="3">
      <formula>LEN(TRIM(C20))=0</formula>
    </cfRule>
    <cfRule type="containsText" dxfId="2" priority="4" operator="containsText" text="x">
      <formula>NOT(ISERROR(SEARCH("x",C20)))</formula>
    </cfRule>
  </conditionalFormatting>
  <conditionalFormatting sqref="C20:D22">
    <cfRule type="containsText" dxfId="1" priority="2" operator="containsText" text="Simulation">
      <formula>NOT(ISERROR(SEARCH("Simulation",C20)))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1" t="s">
        <v>59</v>
      </c>
    </row>
    <row r="2" spans="1:3" x14ac:dyDescent="0.2">
      <c r="A2" t="s">
        <v>60</v>
      </c>
      <c r="B2">
        <v>1.0900000000000001</v>
      </c>
      <c r="C2" t="s">
        <v>61</v>
      </c>
    </row>
    <row r="4" spans="1:3" x14ac:dyDescent="0.2">
      <c r="A4" s="31" t="s">
        <v>62</v>
      </c>
      <c r="B4" s="31"/>
      <c r="C4" s="31"/>
    </row>
    <row r="5" spans="1:3" x14ac:dyDescent="0.2">
      <c r="A5" t="s">
        <v>63</v>
      </c>
      <c r="B5">
        <v>10</v>
      </c>
      <c r="C5" t="s">
        <v>64</v>
      </c>
    </row>
    <row r="6" spans="1:3" x14ac:dyDescent="0.2">
      <c r="A6" t="s">
        <v>65</v>
      </c>
      <c r="B6">
        <f>24*15+4</f>
        <v>364</v>
      </c>
      <c r="C6" t="s">
        <v>66</v>
      </c>
    </row>
    <row r="7" spans="1:3" x14ac:dyDescent="0.2">
      <c r="A7" t="s">
        <v>67</v>
      </c>
      <c r="B7">
        <f>B6*B5</f>
        <v>3640</v>
      </c>
      <c r="C7" t="s">
        <v>68</v>
      </c>
    </row>
    <row r="11" spans="1:3" x14ac:dyDescent="0.2">
      <c r="A11" s="31" t="s">
        <v>69</v>
      </c>
    </row>
    <row r="12" spans="1:3" x14ac:dyDescent="0.2">
      <c r="A12" t="s">
        <v>70</v>
      </c>
      <c r="B12">
        <v>33</v>
      </c>
      <c r="C12" t="s">
        <v>71</v>
      </c>
    </row>
    <row r="13" spans="1:3" x14ac:dyDescent="0.2">
      <c r="A13" t="s">
        <v>72</v>
      </c>
    </row>
    <row r="14" spans="1:3" x14ac:dyDescent="0.2">
      <c r="A14" t="s">
        <v>73</v>
      </c>
      <c r="B14">
        <v>71.099999999999994</v>
      </c>
      <c r="C14" t="s">
        <v>74</v>
      </c>
    </row>
    <row r="15" spans="1:3" x14ac:dyDescent="0.2">
      <c r="A15" t="s">
        <v>75</v>
      </c>
      <c r="B15">
        <v>5.2</v>
      </c>
      <c r="C15" t="s">
        <v>71</v>
      </c>
    </row>
    <row r="16" spans="1:3" x14ac:dyDescent="0.2">
      <c r="A16" t="s">
        <v>76</v>
      </c>
      <c r="B16">
        <v>682.8</v>
      </c>
      <c r="C16" t="s">
        <v>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28"/>
  <sheetViews>
    <sheetView zoomScaleNormal="100" workbookViewId="0">
      <selection activeCell="A6" sqref="A6:XFD6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42</v>
      </c>
      <c r="B5" s="18">
        <v>36</v>
      </c>
      <c r="C5" s="18" t="s">
        <v>87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88</v>
      </c>
    </row>
    <row r="6" spans="1:11" x14ac:dyDescent="0.2">
      <c r="A6" t="s">
        <v>43</v>
      </c>
      <c r="B6" s="18"/>
      <c r="C6" s="18"/>
      <c r="D6" s="18"/>
      <c r="E6" s="18"/>
      <c r="F6" s="18"/>
      <c r="G6" s="18"/>
      <c r="H6" s="18"/>
      <c r="I6" s="18"/>
      <c r="J6" s="18"/>
    </row>
    <row r="7" spans="1:11" x14ac:dyDescent="0.2">
      <c r="A7" t="s">
        <v>47</v>
      </c>
      <c r="B7" s="18">
        <v>1355</v>
      </c>
      <c r="C7" s="18" t="s">
        <v>91</v>
      </c>
      <c r="D7" s="18">
        <f>B7*Allgemein!$B$2</f>
        <v>1476.95</v>
      </c>
      <c r="E7" s="18">
        <v>0</v>
      </c>
      <c r="F7" s="18">
        <v>0</v>
      </c>
      <c r="G7" s="18">
        <v>0</v>
      </c>
      <c r="H7" s="18">
        <v>0</v>
      </c>
      <c r="I7" s="18">
        <f>D7/(Allgemein!$B$14*Allgemein!$B$12/1000)</f>
        <v>629.48045859438275</v>
      </c>
      <c r="J7" s="18">
        <f>I7*Allgemein!$B$7</f>
        <v>2291308.8692835532</v>
      </c>
      <c r="K7" t="s">
        <v>92</v>
      </c>
    </row>
    <row r="8" spans="1:11" x14ac:dyDescent="0.2">
      <c r="A8" t="s">
        <v>48</v>
      </c>
      <c r="B8" s="18">
        <v>1016</v>
      </c>
      <c r="C8" s="18" t="s">
        <v>91</v>
      </c>
      <c r="D8" s="18">
        <f>B8*Allgemein!$B$2</f>
        <v>1107.44</v>
      </c>
      <c r="E8" s="18">
        <v>0</v>
      </c>
      <c r="F8" s="18">
        <v>0</v>
      </c>
      <c r="G8" s="18">
        <v>0</v>
      </c>
      <c r="H8" s="18">
        <v>0</v>
      </c>
      <c r="I8" s="18">
        <f>D8/(Allgemein!$B$16*Allgemein!$B$15/1000)</f>
        <v>311.90572754720387</v>
      </c>
      <c r="J8" s="18">
        <f>I8*Allgemein!$B$7</f>
        <v>1135336.8482718221</v>
      </c>
      <c r="K8" t="s">
        <v>92</v>
      </c>
    </row>
    <row r="9" spans="1:11" x14ac:dyDescent="0.2">
      <c r="A9" t="s">
        <v>49</v>
      </c>
      <c r="B9" s="18">
        <f>65000000/efficiency!I5</f>
        <v>406.25</v>
      </c>
      <c r="C9" s="18" t="s">
        <v>91</v>
      </c>
      <c r="D9" s="18">
        <f>B9*Allgemein!$B$2</f>
        <v>442.81250000000006</v>
      </c>
      <c r="I9" s="18">
        <f>D9/(Allgemein!$B$16*Allgemein!$B$15/1000)*Allgemein!$B$2</f>
        <v>135.9407037199766</v>
      </c>
      <c r="J9" s="18">
        <f>I9*Allgemein!$B$7</f>
        <v>494824.16154071479</v>
      </c>
      <c r="K9" t="s">
        <v>93</v>
      </c>
    </row>
    <row r="10" spans="1:11" x14ac:dyDescent="0.2">
      <c r="A10" t="s">
        <v>51</v>
      </c>
      <c r="J10" s="18">
        <v>235000</v>
      </c>
      <c r="K10" t="s">
        <v>39</v>
      </c>
    </row>
    <row r="11" spans="1:11" x14ac:dyDescent="0.2">
      <c r="A11" t="s">
        <v>94</v>
      </c>
      <c r="J11" s="37">
        <v>808000</v>
      </c>
    </row>
    <row r="24" spans="4:5" x14ac:dyDescent="0.2">
      <c r="D24" s="18"/>
      <c r="E24" s="29"/>
    </row>
    <row r="28" spans="4:5" x14ac:dyDescent="0.2">
      <c r="D28" s="18"/>
      <c r="E28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workbookViewId="0">
      <selection activeCell="A12" sqref="A12:XFD12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95</v>
      </c>
      <c r="C1" t="s">
        <v>78</v>
      </c>
      <c r="D1" t="s">
        <v>96</v>
      </c>
      <c r="E1" t="s">
        <v>97</v>
      </c>
      <c r="F1" t="s">
        <v>98</v>
      </c>
      <c r="G1" t="s">
        <v>81</v>
      </c>
      <c r="H1" t="s">
        <v>99</v>
      </c>
      <c r="I1" t="s">
        <v>82</v>
      </c>
      <c r="J1" t="s">
        <v>83</v>
      </c>
      <c r="K1" t="s">
        <v>100</v>
      </c>
      <c r="L1" t="s">
        <v>101</v>
      </c>
      <c r="M1" t="s">
        <v>86</v>
      </c>
    </row>
    <row r="2" spans="1:13" x14ac:dyDescent="0.2">
      <c r="A2" t="s">
        <v>32</v>
      </c>
      <c r="B2" s="18">
        <v>15</v>
      </c>
      <c r="C2" s="18" t="s">
        <v>102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102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42</v>
      </c>
      <c r="B5" s="18">
        <v>2</v>
      </c>
      <c r="C5" s="18" t="s">
        <v>103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104</v>
      </c>
    </row>
    <row r="6" spans="1:13" x14ac:dyDescent="0.2">
      <c r="A6" t="s">
        <v>89</v>
      </c>
      <c r="B6" s="18">
        <v>2</v>
      </c>
      <c r="C6" s="18" t="s">
        <v>103</v>
      </c>
      <c r="D6" s="18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18" t="e">
        <f>capital_cost!#REF!*B6*0.01</f>
        <v>#REF!</v>
      </c>
      <c r="M6" t="s">
        <v>90</v>
      </c>
    </row>
    <row r="7" spans="1:13" x14ac:dyDescent="0.2">
      <c r="A7" t="s">
        <v>47</v>
      </c>
      <c r="B7" s="18">
        <v>24.14</v>
      </c>
      <c r="C7" s="18" t="s">
        <v>105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92</v>
      </c>
    </row>
    <row r="8" spans="1:13" x14ac:dyDescent="0.2">
      <c r="A8" t="s">
        <v>48</v>
      </c>
      <c r="B8" s="18">
        <v>24.14</v>
      </c>
      <c r="C8" s="18" t="s">
        <v>105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92</v>
      </c>
    </row>
    <row r="9" spans="1:13" x14ac:dyDescent="0.2">
      <c r="A9" t="s">
        <v>49</v>
      </c>
      <c r="B9" s="18">
        <v>24.14</v>
      </c>
      <c r="C9" s="18" t="s">
        <v>105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6"/>
    </row>
    <row r="10" spans="1:13" x14ac:dyDescent="0.2">
      <c r="A10" t="s">
        <v>51</v>
      </c>
      <c r="B10" s="41">
        <v>0.03</v>
      </c>
      <c r="C10" t="s">
        <v>106</v>
      </c>
      <c r="M10" s="26"/>
    </row>
    <row r="11" spans="1:13" x14ac:dyDescent="0.2">
      <c r="A11" t="s">
        <v>50</v>
      </c>
      <c r="B11" s="41">
        <v>0.03</v>
      </c>
      <c r="C11" t="s">
        <v>106</v>
      </c>
      <c r="L11" s="36">
        <f>capital_cost!$J$5*B5*0.01</f>
        <v>21.818181818181817</v>
      </c>
    </row>
    <row r="12" spans="1:13" x14ac:dyDescent="0.2">
      <c r="A12" t="s">
        <v>28</v>
      </c>
      <c r="E12" s="18" t="e">
        <f>8966666/Gesamt!#REF!</f>
        <v>#REF!</v>
      </c>
      <c r="F12" t="s">
        <v>107</v>
      </c>
      <c r="L12" s="35" t="e">
        <f>E12/Chile!B17</f>
        <v>#REF!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I5" sqref="I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15</v>
      </c>
      <c r="H1" t="s">
        <v>86</v>
      </c>
    </row>
    <row r="2" spans="1:14" x14ac:dyDescent="0.2">
      <c r="A2" t="s">
        <v>35</v>
      </c>
      <c r="B2">
        <v>10</v>
      </c>
      <c r="C2">
        <v>0</v>
      </c>
      <c r="D2">
        <v>0</v>
      </c>
      <c r="E2">
        <v>0</v>
      </c>
      <c r="F2">
        <v>0</v>
      </c>
      <c r="G2" s="28">
        <f>Allgemein!$B$12/(Allgemein!$B$12+B2)</f>
        <v>0.76744186046511631</v>
      </c>
      <c r="H2" t="s">
        <v>36</v>
      </c>
    </row>
    <row r="3" spans="1:14" x14ac:dyDescent="0.2">
      <c r="A3" t="s">
        <v>47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8">
        <f>1-F3/C3</f>
        <v>0.86221181280202108</v>
      </c>
      <c r="H3" t="s">
        <v>92</v>
      </c>
      <c r="I3" s="18">
        <v>160000</v>
      </c>
      <c r="J3" t="s">
        <v>113</v>
      </c>
      <c r="K3" t="s">
        <v>114</v>
      </c>
      <c r="L3" s="18"/>
      <c r="M3" s="28"/>
      <c r="N3" s="29"/>
    </row>
    <row r="4" spans="1:14" x14ac:dyDescent="0.2">
      <c r="A4" t="s">
        <v>48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8">
        <f>1-F4/C4</f>
        <v>0.99675027863908006</v>
      </c>
      <c r="H4" t="s">
        <v>92</v>
      </c>
      <c r="I4" s="18">
        <v>160000</v>
      </c>
      <c r="J4" t="s">
        <v>113</v>
      </c>
      <c r="K4" t="s">
        <v>114</v>
      </c>
    </row>
    <row r="5" spans="1:14" x14ac:dyDescent="0.2">
      <c r="A5" t="s">
        <v>49</v>
      </c>
      <c r="C5" s="18"/>
      <c r="D5" s="18">
        <v>24.14</v>
      </c>
      <c r="E5" s="18"/>
      <c r="F5" s="18"/>
      <c r="I5" s="18">
        <v>160000</v>
      </c>
      <c r="J5" t="s">
        <v>113</v>
      </c>
      <c r="K5" t="s">
        <v>114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166</v>
      </c>
    </row>
    <row r="2" spans="1:11" x14ac:dyDescent="0.2">
      <c r="A2" t="s">
        <v>115</v>
      </c>
      <c r="B2" t="s">
        <v>116</v>
      </c>
    </row>
    <row r="3" spans="1:11" x14ac:dyDescent="0.2">
      <c r="A3" t="s">
        <v>117</v>
      </c>
      <c r="B3" s="22" t="s">
        <v>118</v>
      </c>
    </row>
    <row r="4" spans="1:11" x14ac:dyDescent="0.2">
      <c r="B4" s="22" t="s">
        <v>119</v>
      </c>
    </row>
    <row r="5" spans="1:11" x14ac:dyDescent="0.2">
      <c r="B5" s="22" t="s">
        <v>120</v>
      </c>
    </row>
    <row r="7" spans="1:11" x14ac:dyDescent="0.2">
      <c r="A7" t="s">
        <v>121</v>
      </c>
    </row>
    <row r="9" spans="1:11" x14ac:dyDescent="0.2">
      <c r="A9" t="s">
        <v>122</v>
      </c>
      <c r="B9" t="s">
        <v>123</v>
      </c>
      <c r="C9" t="s">
        <v>124</v>
      </c>
    </row>
    <row r="10" spans="1:11" x14ac:dyDescent="0.2">
      <c r="B10">
        <v>280</v>
      </c>
      <c r="C10" t="s">
        <v>125</v>
      </c>
      <c r="D10">
        <v>232</v>
      </c>
      <c r="E10" t="s">
        <v>126</v>
      </c>
      <c r="F10">
        <v>8000</v>
      </c>
      <c r="G10" t="s">
        <v>127</v>
      </c>
      <c r="H10">
        <v>9</v>
      </c>
      <c r="I10" t="s">
        <v>128</v>
      </c>
      <c r="J10">
        <v>1</v>
      </c>
      <c r="K10" t="s">
        <v>129</v>
      </c>
    </row>
    <row r="11" spans="1:11" x14ac:dyDescent="0.2">
      <c r="B11">
        <f>F10*D10*F10</f>
        <v>14848000000</v>
      </c>
      <c r="C11" t="s">
        <v>130</v>
      </c>
    </row>
    <row r="12" spans="1:11" x14ac:dyDescent="0.2">
      <c r="B12">
        <f>B11/1000</f>
        <v>14848000</v>
      </c>
      <c r="C12" t="s">
        <v>131</v>
      </c>
      <c r="E12">
        <v>189000</v>
      </c>
      <c r="F12" t="s">
        <v>132</v>
      </c>
      <c r="G12">
        <v>136000</v>
      </c>
      <c r="H12" t="s">
        <v>132</v>
      </c>
    </row>
    <row r="13" spans="1:11" x14ac:dyDescent="0.2">
      <c r="B13">
        <f>G12*365</f>
        <v>49640000</v>
      </c>
      <c r="C13" t="s">
        <v>133</v>
      </c>
      <c r="E13">
        <f>365*E12</f>
        <v>68985000</v>
      </c>
      <c r="F13" t="s">
        <v>133</v>
      </c>
      <c r="G13">
        <f>G12*365</f>
        <v>49640000</v>
      </c>
      <c r="H13" t="s">
        <v>133</v>
      </c>
    </row>
    <row r="15" spans="1:11" x14ac:dyDescent="0.2">
      <c r="B15" s="25">
        <f>B13/3</f>
        <v>16546666.666666666</v>
      </c>
      <c r="D15">
        <v>3.7</v>
      </c>
    </row>
    <row r="17" spans="2:3" x14ac:dyDescent="0.2">
      <c r="B17">
        <f>B12*D15</f>
        <v>54937600</v>
      </c>
      <c r="C17" t="s">
        <v>134</v>
      </c>
    </row>
    <row r="18" spans="2:3" x14ac:dyDescent="0.2">
      <c r="B18">
        <f>B17/1000</f>
        <v>54937.599999999999</v>
      </c>
      <c r="C18" t="s">
        <v>135</v>
      </c>
    </row>
    <row r="27" spans="2:3" x14ac:dyDescent="0.2">
      <c r="C27" t="s">
        <v>136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2" sqref="B12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137</v>
      </c>
    </row>
    <row r="2" spans="1:2" x14ac:dyDescent="0.2">
      <c r="A2" t="s">
        <v>138</v>
      </c>
      <c r="B2" t="s">
        <v>139</v>
      </c>
    </row>
    <row r="3" spans="1:2" ht="34" x14ac:dyDescent="0.2">
      <c r="A3" s="12">
        <v>1</v>
      </c>
      <c r="B3" s="21" t="s">
        <v>140</v>
      </c>
    </row>
    <row r="4" spans="1:2" ht="34" x14ac:dyDescent="0.2">
      <c r="A4" s="12">
        <v>2</v>
      </c>
      <c r="B4" s="21" t="s">
        <v>141</v>
      </c>
    </row>
    <row r="5" spans="1:2" ht="34" x14ac:dyDescent="0.2">
      <c r="A5" s="12">
        <v>3</v>
      </c>
      <c r="B5" s="21" t="s">
        <v>142</v>
      </c>
    </row>
    <row r="6" spans="1:2" ht="34" x14ac:dyDescent="0.2">
      <c r="A6" s="12">
        <v>4</v>
      </c>
      <c r="B6" s="21" t="s">
        <v>143</v>
      </c>
    </row>
    <row r="7" spans="1:2" x14ac:dyDescent="0.2">
      <c r="A7" s="12">
        <v>5</v>
      </c>
      <c r="B7" t="s">
        <v>144</v>
      </c>
    </row>
    <row r="8" spans="1:2" ht="34" x14ac:dyDescent="0.2">
      <c r="A8" s="12">
        <v>6</v>
      </c>
      <c r="B8" s="21" t="s">
        <v>145</v>
      </c>
    </row>
    <row r="9" spans="1:2" ht="17" x14ac:dyDescent="0.2">
      <c r="A9" s="12">
        <v>7</v>
      </c>
      <c r="B9" s="21" t="s">
        <v>146</v>
      </c>
    </row>
    <row r="10" spans="1:2" x14ac:dyDescent="0.2">
      <c r="A10" s="12">
        <v>8</v>
      </c>
      <c r="B10" t="s">
        <v>147</v>
      </c>
    </row>
    <row r="11" spans="1:2" x14ac:dyDescent="0.2">
      <c r="A11" s="12">
        <v>9</v>
      </c>
      <c r="B11" t="s">
        <v>148</v>
      </c>
    </row>
    <row r="12" spans="1:2" ht="34" x14ac:dyDescent="0.2">
      <c r="A12" s="12">
        <v>10</v>
      </c>
      <c r="B12" s="21" t="s">
        <v>149</v>
      </c>
    </row>
    <row r="13" spans="1:2" ht="51" x14ac:dyDescent="0.2">
      <c r="A13" s="12">
        <v>11</v>
      </c>
      <c r="B13" s="21" t="s">
        <v>150</v>
      </c>
    </row>
    <row r="14" spans="1:2" ht="17" x14ac:dyDescent="0.2">
      <c r="A14" s="12">
        <v>12</v>
      </c>
      <c r="B14" s="43" t="s">
        <v>151</v>
      </c>
    </row>
    <row r="15" spans="1:2" ht="17" x14ac:dyDescent="0.2">
      <c r="A15" s="12">
        <v>13</v>
      </c>
      <c r="B15" s="43" t="s">
        <v>152</v>
      </c>
    </row>
    <row r="16" spans="1:2" ht="17" x14ac:dyDescent="0.2">
      <c r="A16" s="12">
        <v>14</v>
      </c>
      <c r="B16" s="43" t="s">
        <v>153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154</v>
      </c>
      <c r="B1" t="s">
        <v>155</v>
      </c>
      <c r="C1" t="s">
        <v>156</v>
      </c>
    </row>
    <row r="2" spans="1:6" x14ac:dyDescent="0.2">
      <c r="A2">
        <v>28</v>
      </c>
      <c r="B2">
        <v>6</v>
      </c>
      <c r="C2">
        <v>34</v>
      </c>
      <c r="D2" t="s">
        <v>157</v>
      </c>
    </row>
    <row r="4" spans="1:6" x14ac:dyDescent="0.2">
      <c r="A4">
        <f>28/34</f>
        <v>0.82352941176470584</v>
      </c>
      <c r="B4">
        <f>6/34</f>
        <v>0.17647058823529413</v>
      </c>
      <c r="D4" t="s">
        <v>158</v>
      </c>
    </row>
    <row r="5" spans="1:6" x14ac:dyDescent="0.2">
      <c r="D5" t="s">
        <v>159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128</v>
      </c>
      <c r="E6" t="s">
        <v>160</v>
      </c>
    </row>
    <row r="8" spans="1:6" x14ac:dyDescent="0.2">
      <c r="E8" t="s">
        <v>161</v>
      </c>
    </row>
    <row r="10" spans="1:6" x14ac:dyDescent="0.2">
      <c r="E10" t="s">
        <v>162</v>
      </c>
    </row>
    <row r="11" spans="1:6" x14ac:dyDescent="0.2">
      <c r="E11">
        <f>176.47*33.33</f>
        <v>5881.7451000000001</v>
      </c>
      <c r="F11" t="s">
        <v>163</v>
      </c>
    </row>
    <row r="12" spans="1:6" x14ac:dyDescent="0.2">
      <c r="E12" t="s">
        <v>164</v>
      </c>
    </row>
    <row r="13" spans="1:6" x14ac:dyDescent="0.2">
      <c r="E13">
        <f>1500/5.88</f>
        <v>255.10204081632654</v>
      </c>
      <c r="F13" t="s">
        <v>165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4fc79a47-31e4-4653-8b27-dca9a17ceac4"/>
    <ds:schemaRef ds:uri="http://schemas.microsoft.com/office/2006/documentManagement/types"/>
    <ds:schemaRef ds:uri="3c3af68f-487b-4532-8d75-15d1498f69fb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2023-01-23T16:56:26Z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