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13_ncr:1_{5B996079-8E7E-A14D-BEBA-1B87DE65D13C}" xr6:coauthVersionLast="47" xr6:coauthVersionMax="47" xr10:uidLastSave="{00000000-0000-0000-0000-000000000000}"/>
  <bookViews>
    <workbookView xWindow="-34960" yWindow="-6300" windowWidth="29740" windowHeight="17260" xr2:uid="{013C1B7E-065E-3842-9CFC-4557F64B0F08}"/>
  </bookViews>
  <sheets>
    <sheet name="Gesamt" sheetId="1" r:id="rId1"/>
    <sheet name="Allgemein" sheetId="9" r:id="rId2"/>
    <sheet name="capital_cost" sheetId="5" r:id="rId3"/>
    <sheet name="marginal_cost" sheetId="7" r:id="rId4"/>
    <sheet name="efficiency" sheetId="8" r:id="rId5"/>
    <sheet name="Chile" sheetId="2" r:id="rId6"/>
    <sheet name="Quellen" sheetId="6" r:id="rId7"/>
    <sheet name="xAmmoniak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E9" i="7"/>
  <c r="H22" i="1"/>
  <c r="H20" i="1"/>
  <c r="J10" i="5"/>
  <c r="I10" i="5"/>
  <c r="D10" i="5"/>
  <c r="B10" i="5"/>
  <c r="B4" i="10"/>
  <c r="J4" i="5"/>
  <c r="F8" i="1"/>
  <c r="L11" i="7"/>
  <c r="E12" i="7"/>
  <c r="L12" i="7" s="1"/>
  <c r="F7" i="1" s="1"/>
  <c r="E8" i="7"/>
  <c r="H7" i="1"/>
  <c r="J12" i="5"/>
  <c r="J6" i="5"/>
  <c r="L6" i="7" s="1"/>
  <c r="H19" i="1"/>
  <c r="L4" i="7"/>
  <c r="E11" i="10"/>
  <c r="A4" i="10"/>
  <c r="E13" i="10" l="1"/>
  <c r="A6" i="10"/>
  <c r="B6" i="10"/>
  <c r="G2" i="8"/>
  <c r="J14" i="1" l="1"/>
  <c r="G3" i="8"/>
  <c r="J4" i="7"/>
  <c r="I9" i="1"/>
  <c r="I8" i="1"/>
  <c r="J5" i="5"/>
  <c r="L5" i="7" s="1"/>
  <c r="D9" i="5"/>
  <c r="I9" i="5" s="1"/>
  <c r="D8" i="5"/>
  <c r="I8" i="5" s="1"/>
  <c r="J2" i="5"/>
  <c r="B6" i="9"/>
  <c r="B7" i="9" s="1"/>
  <c r="J8" i="7"/>
  <c r="K8" i="7" s="1"/>
  <c r="J7" i="7"/>
  <c r="K7" i="7" s="1"/>
  <c r="D8" i="7"/>
  <c r="D7" i="7"/>
  <c r="E7" i="7" s="1"/>
  <c r="I18" i="1"/>
  <c r="F4" i="8"/>
  <c r="F3" i="8"/>
  <c r="G4" i="8"/>
  <c r="I19" i="1" s="1"/>
  <c r="L7" i="7" l="1"/>
  <c r="F18" i="1" s="1"/>
  <c r="J8" i="5"/>
  <c r="H18" i="1" s="1"/>
  <c r="J9" i="5"/>
  <c r="L8" i="7"/>
  <c r="F19" i="1" s="1"/>
  <c r="L9" i="7" l="1"/>
  <c r="H13" i="1"/>
  <c r="H14" i="1"/>
  <c r="B18" i="2"/>
  <c r="B17" i="2"/>
  <c r="B15" i="2"/>
  <c r="B13" i="2"/>
  <c r="G13" i="2"/>
  <c r="E13" i="2"/>
  <c r="B11" i="2"/>
  <c r="B12" i="2" s="1"/>
  <c r="J3" i="7"/>
  <c r="J2" i="7"/>
  <c r="E3" i="7"/>
  <c r="E2" i="7"/>
  <c r="F10" i="1"/>
  <c r="J3" i="5"/>
  <c r="H9" i="1" s="1"/>
  <c r="H8" i="1"/>
  <c r="H4" i="5"/>
  <c r="L2" i="7" l="1"/>
  <c r="H10" i="1"/>
  <c r="L3" i="7"/>
  <c r="F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tc={0C704E41-3D06-4D88-89DC-39DBA7A2C449}</author>
    <author>tc={B944F9CC-5851-4327-8D98-091D21D67D31}</author>
    <author>tc={2A4F1DCE-4A9E-4D4C-B48E-E85164B9C277}</author>
  </authors>
  <commentList>
    <comment ref="I11" authorId="0" shapeId="0" xr:uid="{0C704E41-3D06-4D88-89DC-39DBA7A2C44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  <comment ref="I12" authorId="1" shapeId="0" xr:uid="{B944F9CC-5851-4327-8D98-091D21D67D3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
</t>
      </text>
    </comment>
    <comment ref="I23" authorId="2" shapeId="0" xr:uid="{2A4F1DCE-4A9E-4D4C-B48E-E85164B9C2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</commentList>
</comments>
</file>

<file path=xl/sharedStrings.xml><?xml version="1.0" encoding="utf-8"?>
<sst xmlns="http://schemas.openxmlformats.org/spreadsheetml/2006/main" count="346" uniqueCount="175">
  <si>
    <t>Inputs</t>
  </si>
  <si>
    <t>Name</t>
  </si>
  <si>
    <t>Knotenpunkt</t>
  </si>
  <si>
    <t>Erzeugung/Verbrauch</t>
  </si>
  <si>
    <t>Gestehungskosten</t>
  </si>
  <si>
    <t>Lebensdauer</t>
  </si>
  <si>
    <t>Investitionskosten</t>
  </si>
  <si>
    <t>Wirkungsgrad</t>
  </si>
  <si>
    <t>Speicherverluste</t>
  </si>
  <si>
    <t>name</t>
  </si>
  <si>
    <t>bus</t>
  </si>
  <si>
    <t>p_nom</t>
  </si>
  <si>
    <t>marginal_cost</t>
  </si>
  <si>
    <t>lifetime</t>
  </si>
  <si>
    <t>capital_cost</t>
  </si>
  <si>
    <t>efficiency</t>
  </si>
  <si>
    <t>standing_loss</t>
  </si>
  <si>
    <t>string</t>
  </si>
  <si>
    <t>series</t>
  </si>
  <si>
    <t>static</t>
  </si>
  <si>
    <t>float</t>
  </si>
  <si>
    <t>Photovoltaik (Chile)</t>
  </si>
  <si>
    <t>Generator</t>
  </si>
  <si>
    <t>x</t>
  </si>
  <si>
    <t>n.v.</t>
  </si>
  <si>
    <t>Windkraft (Chile)</t>
  </si>
  <si>
    <t>Entsalzung</t>
  </si>
  <si>
    <t>Link</t>
  </si>
  <si>
    <t>Simulation</t>
  </si>
  <si>
    <t>[9]</t>
  </si>
  <si>
    <t>PEM Elektrolyse</t>
  </si>
  <si>
    <t>[2]</t>
  </si>
  <si>
    <t>AEL Elektrolyse</t>
  </si>
  <si>
    <t>Verflüssigung</t>
  </si>
  <si>
    <t>[1]</t>
  </si>
  <si>
    <t>Haber-Bosch</t>
  </si>
  <si>
    <t>Hydrierung</t>
  </si>
  <si>
    <t>[10]</t>
  </si>
  <si>
    <t>GH2 Speicher</t>
  </si>
  <si>
    <t>Store</t>
  </si>
  <si>
    <t>LH2 Speicher</t>
  </si>
  <si>
    <t>NH3 Speicher</t>
  </si>
  <si>
    <t>LOHC Speicher</t>
  </si>
  <si>
    <t>Pipeline</t>
  </si>
  <si>
    <t>[7]</t>
  </si>
  <si>
    <t>LH2 Schiff</t>
  </si>
  <si>
    <t>Kosten überprüfen</t>
  </si>
  <si>
    <t>NH3 Schiff</t>
  </si>
  <si>
    <t>LOHC Schiff</t>
  </si>
  <si>
    <t>Regasifizierung</t>
  </si>
  <si>
    <t>NH3 Cracker</t>
  </si>
  <si>
    <t>[10] [8]</t>
  </si>
  <si>
    <t>Dehydrierung</t>
  </si>
  <si>
    <t>Wert on Top</t>
  </si>
  <si>
    <t>€/MWh H2</t>
  </si>
  <si>
    <t>a</t>
  </si>
  <si>
    <t>€/MW H2</t>
  </si>
  <si>
    <t>%</t>
  </si>
  <si>
    <t>Stoffliche Verluste!</t>
  </si>
  <si>
    <t>Transportation BOG</t>
  </si>
  <si>
    <t>%/day</t>
  </si>
  <si>
    <t>Quelle</t>
  </si>
  <si>
    <t>LOHC (aus der Tankstelle) €/kWh</t>
  </si>
  <si>
    <t>https://gdch.app/article/energietraeger-wie-teuer-fortbewegung-ist-4116971</t>
  </si>
  <si>
    <t>production</t>
  </si>
  <si>
    <t>LH2 €/kg</t>
  </si>
  <si>
    <t>Währung</t>
  </si>
  <si>
    <t>Umrechnung</t>
  </si>
  <si>
    <t>€/$</t>
  </si>
  <si>
    <t>Transportspezifisch</t>
  </si>
  <si>
    <t>Fahrten pro Jahr</t>
  </si>
  <si>
    <t>n</t>
  </si>
  <si>
    <t>Transportzeit pro Fahrt</t>
  </si>
  <si>
    <t>h/n</t>
  </si>
  <si>
    <t>Transportzeit pro Jahr</t>
  </si>
  <si>
    <t>h/a</t>
  </si>
  <si>
    <t>Stoffspezifisch</t>
  </si>
  <si>
    <t>Gravimetrische Energiedichte Wasserstoff</t>
  </si>
  <si>
    <t>kWh/kg oder MWh/t</t>
  </si>
  <si>
    <t>Volumetrische Energiedichte Wasserstoff (l)</t>
  </si>
  <si>
    <t>Dichte Wasserstoff</t>
  </si>
  <si>
    <t>kg/m3</t>
  </si>
  <si>
    <t>Gravimetrische Energiedichte Ammoniak</t>
  </si>
  <si>
    <t>Dichte Ammoniak</t>
  </si>
  <si>
    <t>spezifische Investitionskosten</t>
  </si>
  <si>
    <t>Einheit</t>
  </si>
  <si>
    <t>Invest [€/m3]</t>
  </si>
  <si>
    <t>CAPEX [€]</t>
  </si>
  <si>
    <t>Betriebsstunden [h/a]</t>
  </si>
  <si>
    <t>Leistung [kg/d]</t>
  </si>
  <si>
    <t>Anlagenkapazität [kg/a]</t>
  </si>
  <si>
    <t>capital_cost [€/MWh]</t>
  </si>
  <si>
    <t>capital_cost [€/MW]</t>
  </si>
  <si>
    <t>€/kg</t>
  </si>
  <si>
    <t>[3]</t>
  </si>
  <si>
    <t>$/kg</t>
  </si>
  <si>
    <t>[5]</t>
  </si>
  <si>
    <t>$/m3</t>
  </si>
  <si>
    <t>[6]</t>
  </si>
  <si>
    <t>spezifische Parameter</t>
  </si>
  <si>
    <t>OPEX [$/a]</t>
  </si>
  <si>
    <t>OPEX [€/a]</t>
  </si>
  <si>
    <t>spezifischer Strombedarf [kWh/kg]</t>
  </si>
  <si>
    <t>Leistung [kg/h]</t>
  </si>
  <si>
    <t>Transportkapazität [MWh/a]</t>
  </si>
  <si>
    <t>marginal_cost [€/MWh]</t>
  </si>
  <si>
    <t>€/kW</t>
  </si>
  <si>
    <t>%/invest*a</t>
  </si>
  <si>
    <t>[4]</t>
  </si>
  <si>
    <t>Fahrten/a</t>
  </si>
  <si>
    <t>3,7 kWh/m3</t>
  </si>
  <si>
    <t>spez Strombedarf [kWh/kg]</t>
  </si>
  <si>
    <t>capacity</t>
  </si>
  <si>
    <t>trips/year</t>
  </si>
  <si>
    <t>boiloff/year</t>
  </si>
  <si>
    <t>boiloff/trip</t>
  </si>
  <si>
    <t>m3</t>
  </si>
  <si>
    <t>max</t>
  </si>
  <si>
    <t>Meerwasserentsalzung</t>
  </si>
  <si>
    <t>Verfahren:</t>
  </si>
  <si>
    <t>Umkehrosmose</t>
  </si>
  <si>
    <t>Quellen:</t>
  </si>
  <si>
    <t>https://www.advisian.com/en/global-perspectives/the-cost-of-desalination#</t>
  </si>
  <si>
    <t>https://watereuse.org/wp-content/uploads/2015/10/WateReuse_Desal_Cost_White_Paper.pdf</t>
  </si>
  <si>
    <t>https://www.tga-fachplaner.de/energietechnik/energietraeger-wasserstoff-wie-viel-wasser-wird-dafuer-benoetigt#:~:text=Um%201%20kg%20Wasserstoff%20durch,9%20kg%20Wasser*)%20erforderlich.</t>
  </si>
  <si>
    <t>Nimmt man den Mittelwert der rund 16 000 in weltweit 177 Ländern in Betrieb befindlichen Entsalzungsanlagen, entsteht 1 l Süßwasser aus 2,5 l Rohwasser (Daten aus: The state of desalination and brine production: A global outlook). Würde man aus diesen Anlagen Wasser zur Wasserstoffgewinnung per Wasserelektrolyse einsetzen, läge der technische Wasserbedarf bei fast 22,5 kg Rohwasser pro 1 kg Wasserstoff</t>
  </si>
  <si>
    <t>PEM</t>
  </si>
  <si>
    <t xml:space="preserve">1000 kg Wasser = </t>
  </si>
  <si>
    <t>1 m3</t>
  </si>
  <si>
    <t>l/h</t>
  </si>
  <si>
    <t>MW</t>
  </si>
  <si>
    <t>h</t>
  </si>
  <si>
    <t>kg</t>
  </si>
  <si>
    <t>kg H2</t>
  </si>
  <si>
    <t>Liter pro Jahr</t>
  </si>
  <si>
    <t>m3 pro Jahr</t>
  </si>
  <si>
    <t>m3/d</t>
  </si>
  <si>
    <t>m3/a</t>
  </si>
  <si>
    <t>kwh/ m3</t>
  </si>
  <si>
    <t>MW/ a</t>
  </si>
  <si>
    <t>AEL</t>
  </si>
  <si>
    <t>H2/h</t>
  </si>
  <si>
    <t>He</t>
  </si>
  <si>
    <t xml:space="preserve">Quellenverzeichnis </t>
  </si>
  <si>
    <t>Nr.</t>
  </si>
  <si>
    <t xml:space="preserve">Quelle </t>
  </si>
  <si>
    <t>Zhenyang Zhang, Cong Miao, Zhijiu, Jianli Gan (2022): Liquid Hydrogen Production, Transportation and Economic Analysis. In: Frontiers in Business, Economics and Management (5 (2)).</t>
  </si>
  <si>
    <t>Marius Holst, Stefan Aschbrenner, Tom Smolinka, Christopher Voglstätter, Gunter Grimm (2022): Cost Forecast for Low-Temperature Electrolysis. Technology Driven Bottom-Up Prognosis for PEM and Alkaline Water Electrolysis Systems. Fraunhofer Institute for Solar Energy Systems ISE.</t>
  </si>
  <si>
    <t>Y. Wang, J. Kowal, M. Leuthold, D. U. Sauer (2014): Economic Analysis of Storage Systems for Renewable Energy Generated Hydrogen. In: Current Topics in Electrochemistry (Vol. 18).</t>
  </si>
  <si>
    <t>J. Hoelzen, M. Flohr, D. Silberhorn, J. Mangold, A. Bensmann, R. Hanke-Rauschenbach: H2-powered aviation at airports - Design and economics of LH2 refueling systems. In: Energy Conversion and Management 2022 (14).</t>
  </si>
  <si>
    <t>Bulk Storage of Hydrogen 4 D. D. Papadias and R. K. Ahluwalia 5 Argonne National Laboratory 6 9700 South Cass Avenue, Lemont, IL 60439</t>
  </si>
  <si>
    <t>Mohammed Al-Breiki, Yusuf Bicer: Comparative cost assessment of sustainable energy carriers produced from natural gas accounting for boil-off gas and social cost of carbon. In: Energy Reports (2020)</t>
  </si>
  <si>
    <t>Jaro Jens, Anthony Wang, Kees van der Leun, Daan Peters, Maud Buseman (2021): Extending the European Hydrogen Backbone</t>
  </si>
  <si>
    <t>AMMONIA ENERGY ASSOCIATION: [https://www.ammoniaenergy.org/articles/round-trip-efficiency-of-ammonia-as-a-renewable-energy-transportation-media/#:~:text=In%20this%20study%2C%20%E2%80%9Cthe%20net,to%201.13%20MWh%2Fton%20ammonia.]</t>
  </si>
  <si>
    <t>The Cost of Desalination: [https://www.advisian.com/en/global-perspectives/the-cost-of-desalination]</t>
  </si>
  <si>
    <t>Study on the Import of Liquid Renewable Energy: technology Cost Assessment  https://www.gie.eu/wp-content/uploads/filr/2598/DNV-GL_Study-GLE-Technologies-and-costs-analysis-on-imports-of-liquid-renewable-energy.pdf</t>
  </si>
  <si>
    <t>N2</t>
  </si>
  <si>
    <t>3H2</t>
  </si>
  <si>
    <t>2NH3</t>
  </si>
  <si>
    <t>g/mol</t>
  </si>
  <si>
    <t>% Massenanteil</t>
  </si>
  <si>
    <t>durch 2</t>
  </si>
  <si>
    <t>1t NH3 gleich 1500Euro</t>
  </si>
  <si>
    <t>176,47 kg H2 gleich 1500Euro</t>
  </si>
  <si>
    <t>176,47*33,33</t>
  </si>
  <si>
    <t>kWh</t>
  </si>
  <si>
    <t>1500Euro/5,88MWh</t>
  </si>
  <si>
    <t>Euro/MwH2</t>
  </si>
  <si>
    <t>NH3 Erzeugung</t>
  </si>
  <si>
    <t>was das für wyldes bild</t>
  </si>
  <si>
    <t>$/m4</t>
  </si>
  <si>
    <t>[11]</t>
  </si>
  <si>
    <t>LOHC (Material kauf in $)</t>
  </si>
  <si>
    <t>invest*a</t>
  </si>
  <si>
    <t>Charles Johnston, Muhammad Haider Ali Khan, Rose Amal, Rahman Daiyan, Iain MacGill, Shipping the sunshine: An open-source model for costing renewable hydrogen transport from Australia, International Journal of Hydrogen Energy, Volume 47, Issue 47, 2022, Pages 20362-20377, ISSN 0360-3199, https://doi.org/10.1016/j.ijhydene.2022.04.156.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</si>
</sst>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6" formatCode="#,##0.00\ &quot;€&quot;"/>
    <numFmt numFmtId="167" formatCode="_-* #,##0.000\ _€_-;\-* #,##0.000\ _€_-;_-* &quot;-&quot;??\ _€_-;_-@_-"/>
  </numFmts>
  <fonts count="1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CA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rgb="FFD2D2DF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D2D2DF"/>
      </right>
      <top style="thin">
        <color rgb="FFD2D2DF"/>
      </top>
      <bottom style="thin">
        <color rgb="FFD2D2DF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wrapText="1"/>
    </xf>
    <xf numFmtId="0" fontId="5" fillId="0" borderId="10" xfId="0" applyFont="1" applyBorder="1" applyAlignment="1">
      <alignment wrapText="1"/>
    </xf>
    <xf numFmtId="0" fontId="6" fillId="3" borderId="10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43" fontId="0" fillId="0" borderId="0" xfId="1" applyFont="1"/>
    <xf numFmtId="43" fontId="0" fillId="0" borderId="0" xfId="0" applyNumberFormat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0" fontId="2" fillId="4" borderId="0" xfId="0" applyFont="1" applyFill="1" applyAlignment="1">
      <alignment vertical="center"/>
    </xf>
    <xf numFmtId="0" fontId="9" fillId="0" borderId="0" xfId="3"/>
    <xf numFmtId="0" fontId="10" fillId="0" borderId="0" xfId="0" applyFont="1" applyAlignment="1">
      <alignment vertical="center"/>
    </xf>
    <xf numFmtId="43" fontId="0" fillId="0" borderId="0" xfId="1" applyFont="1" applyAlignment="1">
      <alignment horizontal="center" vertical="center"/>
    </xf>
    <xf numFmtId="1" fontId="0" fillId="0" borderId="0" xfId="0" applyNumberFormat="1"/>
    <xf numFmtId="0" fontId="9" fillId="0" borderId="0" xfId="3" applyAlignment="1">
      <alignment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/>
    <xf numFmtId="164" fontId="0" fillId="0" borderId="0" xfId="0" applyNumberFormat="1"/>
    <xf numFmtId="43" fontId="3" fillId="0" borderId="0" xfId="1" applyFont="1" applyAlignment="1">
      <alignment horizontal="center" vertical="center"/>
    </xf>
    <xf numFmtId="0" fontId="10" fillId="0" borderId="0" xfId="0" applyFont="1"/>
    <xf numFmtId="43" fontId="0" fillId="0" borderId="0" xfId="1" applyFont="1" applyAlignment="1">
      <alignment horizontal="right"/>
    </xf>
    <xf numFmtId="0" fontId="0" fillId="0" borderId="0" xfId="0" quotePrefix="1" applyAlignment="1">
      <alignment vertical="center"/>
    </xf>
    <xf numFmtId="0" fontId="1" fillId="0" borderId="0" xfId="0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12" fillId="0" borderId="0" xfId="0" applyFont="1"/>
    <xf numFmtId="3" fontId="0" fillId="0" borderId="0" xfId="0" applyNumberFormat="1"/>
    <xf numFmtId="43" fontId="3" fillId="4" borderId="0" xfId="0" applyNumberFormat="1" applyFont="1" applyFill="1" applyAlignment="1">
      <alignment horizontal="center" vertical="center"/>
    </xf>
    <xf numFmtId="0" fontId="11" fillId="0" borderId="0" xfId="0" applyFont="1"/>
    <xf numFmtId="43" fontId="0" fillId="0" borderId="0" xfId="1" applyFont="1" applyFill="1" applyBorder="1"/>
    <xf numFmtId="9" fontId="0" fillId="0" borderId="0" xfId="2" applyFont="1"/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3" fillId="0" borderId="0" xfId="0" applyNumberFormat="1" applyFont="1" applyAlignment="1">
      <alignment horizontal="center" vertical="center"/>
    </xf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10">
    <dxf>
      <alignment horizontal="center" vertical="center" textRotation="0" wrapText="0" indent="0" justifyLastLine="0" shrinkToFit="0" readingOrder="0"/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261471</xdr:colOff>
      <xdr:row>40</xdr:row>
      <xdr:rowOff>37353</xdr:rowOff>
    </xdr:from>
    <xdr:to>
      <xdr:col>3</xdr:col>
      <xdr:colOff>476373</xdr:colOff>
      <xdr:row>42</xdr:row>
      <xdr:rowOff>2802382</xdr:rowOff>
    </xdr:to>
    <xdr:pic>
      <xdr:nvPicPr>
        <xdr:cNvPr id="10" name="Grafik 1">
          <a:extLst>
            <a:ext uri="{FF2B5EF4-FFF2-40B4-BE49-F238E27FC236}">
              <a16:creationId xmlns:a16="http://schemas.microsoft.com/office/drawing/2014/main" id="{E741A582-4149-CB6E-2F48-4B8A6B82C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471" y="8456706"/>
          <a:ext cx="5283472" cy="3206915"/>
        </a:xfrm>
        <a:prstGeom prst="rect">
          <a:avLst/>
        </a:prstGeom>
      </xdr:spPr>
    </xdr:pic>
    <xdr:clientData/>
  </xdr:twoCellAnchor>
  <xdr:twoCellAnchor editAs="oneCell">
    <xdr:from>
      <xdr:col>14</xdr:col>
      <xdr:colOff>256068</xdr:colOff>
      <xdr:row>0</xdr:row>
      <xdr:rowOff>100853</xdr:rowOff>
    </xdr:from>
    <xdr:to>
      <xdr:col>18</xdr:col>
      <xdr:colOff>444555</xdr:colOff>
      <xdr:row>17</xdr:row>
      <xdr:rowOff>83672</xdr:rowOff>
    </xdr:to>
    <xdr:pic>
      <xdr:nvPicPr>
        <xdr:cNvPr id="4" name="Grafik 2" descr="Elon Musk: Der Milliardär schläft bei Freunden, weil er ...">
          <a:extLst>
            <a:ext uri="{FF2B5EF4-FFF2-40B4-BE49-F238E27FC236}">
              <a16:creationId xmlns:a16="http://schemas.microsoft.com/office/drawing/2014/main" id="{D6E38745-8C6E-C768-B4DA-6F763CE19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75000"/>
          <a:alphaModFix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 trans="37000" detail="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34450" y="100853"/>
          <a:ext cx="3422542" cy="4123654"/>
        </a:xfrm>
        <a:prstGeom prst="roundRect">
          <a:avLst>
            <a:gd name="adj" fmla="val 44424"/>
          </a:avLst>
        </a:prstGeom>
        <a:ln>
          <a:noFill/>
        </a:ln>
        <a:effectLst>
          <a:glow rad="1130300">
            <a:srgbClr val="F40000">
              <a:alpha val="40000"/>
            </a:srgbClr>
          </a:glow>
          <a:outerShdw blurRad="76200" dir="18900000" sy="23000" kx="-1200000" algn="bl" rotWithShape="0">
            <a:prstClr val="black">
              <a:alpha val="20000"/>
            </a:prstClr>
          </a:outerShdw>
          <a:reflection blurRad="228600" stA="70000" endPos="69000" dir="5400000" sy="-100000" algn="bl" rotWithShape="0"/>
        </a:effectLst>
        <a:scene3d>
          <a:camera prst="perspectiveRelaxed" fov="3600000">
            <a:rot lat="19800000" lon="1800000" rev="20400000"/>
          </a:camera>
          <a:lightRig rig="threePt" dir="t"/>
        </a:scene3d>
        <a:sp3d contourW="6350" prstMaterial="matte">
          <a:bevelT w="101600" h="101600"/>
          <a:bevelB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his Stange (mstange)" id="{5898AE89-8C31-4315-8551-1A557E33296F}" userId="Mathis Stange (mstange)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724C-0FDC-7349-8996-BFF3CB3D20E7}" name="Tabelle1" displayName="Tabelle1" ref="A2:B28" totalsRowShown="0">
  <autoFilter ref="A2:B28" xr:uid="{145B724C-0FDC-7349-8996-BFF3CB3D20E7}"/>
  <tableColumns count="2">
    <tableColumn id="1" xr3:uid="{E95D9A84-43BE-8541-B693-84FC36DE6FD1}" name="Nr." dataDxfId="0"/>
    <tableColumn id="2" xr3:uid="{9C8ABFA1-DCBA-9944-8549-EEC7F214E37A}" name="Quelle 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1" dT="2023-01-21T10:54:16.97" personId="{5898AE89-8C31-4315-8551-1A557E33296F}" id="{0C704E41-3D06-4D88-89DC-39DBA7A2C449}">
    <text>Muss noch aktualisiert werden</text>
  </threadedComment>
  <threadedComment ref="I12" dT="2023-01-21T10:53:47.83" personId="{5898AE89-8C31-4315-8551-1A557E33296F}" id="{B944F9CC-5851-4327-8D98-091D21D67D31}">
    <text xml:space="preserve">Muss noch aktualisiert werden
</text>
  </threadedComment>
  <threadedComment ref="I23" dT="2023-01-21T10:55:43.33" personId="{5898AE89-8C31-4315-8551-1A557E33296F}" id="{2A4F1DCE-4A9E-4D4C-B48E-E85164B9C277}">
    <text>Muss noch aktualisiert werden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dch.app/article/energietraeger-wie-teuer-fortbewegung-ist-4116971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ga-fachplaner.de/energietechnik/energietraeger-wasserstoff-wie-viel-wasser-wird-dafuer-benoetigt" TargetMode="External"/><Relationship Id="rId2" Type="http://schemas.openxmlformats.org/officeDocument/2006/relationships/hyperlink" Target="https://watereuse.org/wp-content/uploads/2015/10/WateReuse_Desal_Cost_White_Paper.pdf" TargetMode="External"/><Relationship Id="rId1" Type="http://schemas.openxmlformats.org/officeDocument/2006/relationships/hyperlink" Target="https://www.advisian.com/en/global-perspectives/the-cost-of-desalinatio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DACE-E658-6948-9904-3793876CEF37}">
  <sheetPr codeName="Tabelle1"/>
  <dimension ref="A1:M60"/>
  <sheetViews>
    <sheetView tabSelected="1" zoomScale="85" zoomScaleNormal="85" workbookViewId="0">
      <selection activeCell="F14" sqref="F14"/>
    </sheetView>
  </sheetViews>
  <sheetFormatPr baseColWidth="10" defaultColWidth="10.6640625" defaultRowHeight="16" x14ac:dyDescent="0.2"/>
  <cols>
    <col min="1" max="1" width="34.5" style="1" customWidth="1"/>
    <col min="2" max="2" width="11" style="1" customWidth="1"/>
    <col min="3" max="9" width="20.6640625" style="1" customWidth="1"/>
    <col min="10" max="10" width="17.5" style="1" bestFit="1" customWidth="1"/>
    <col min="11" max="11" width="19" style="1" customWidth="1"/>
    <col min="12" max="16384" width="10.6640625" style="1"/>
  </cols>
  <sheetData>
    <row r="1" spans="1:13" ht="32.25" customHeight="1" thickBot="1" x14ac:dyDescent="0.2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</row>
    <row r="2" spans="1:13" ht="19.5" customHeight="1" thickTop="1" x14ac:dyDescent="0.2">
      <c r="A2" s="6"/>
      <c r="B2" s="7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M2" s="35"/>
    </row>
    <row r="3" spans="1:13" ht="15" customHeight="1" x14ac:dyDescent="0.2">
      <c r="A3" s="9"/>
      <c r="B3" s="2"/>
      <c r="C3" s="22" t="s">
        <v>9</v>
      </c>
      <c r="D3" s="22" t="s">
        <v>10</v>
      </c>
      <c r="E3" s="22" t="s">
        <v>11</v>
      </c>
      <c r="F3" s="22" t="s">
        <v>12</v>
      </c>
      <c r="G3" s="22" t="s">
        <v>13</v>
      </c>
      <c r="H3" s="22" t="s">
        <v>14</v>
      </c>
      <c r="I3" s="22" t="s">
        <v>15</v>
      </c>
      <c r="J3" s="22" t="s">
        <v>16</v>
      </c>
    </row>
    <row r="4" spans="1:13" ht="15.75" customHeight="1" thickBot="1" x14ac:dyDescent="0.25">
      <c r="A4" s="10"/>
      <c r="B4" s="4"/>
      <c r="C4" s="5" t="s">
        <v>17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20</v>
      </c>
      <c r="I4" s="5" t="s">
        <v>20</v>
      </c>
      <c r="J4" s="5" t="s">
        <v>20</v>
      </c>
    </row>
    <row r="5" spans="1:13" ht="19.5" customHeight="1" thickTop="1" x14ac:dyDescent="0.2">
      <c r="A5" s="11" t="s">
        <v>21</v>
      </c>
      <c r="B5" s="3" t="s">
        <v>22</v>
      </c>
      <c r="C5" s="12" t="s">
        <v>23</v>
      </c>
      <c r="D5" s="12" t="s">
        <v>23</v>
      </c>
      <c r="E5" s="12" t="s">
        <v>23</v>
      </c>
      <c r="F5" s="25">
        <v>38.299999999999997</v>
      </c>
      <c r="G5" s="13">
        <v>20</v>
      </c>
      <c r="H5" s="25">
        <v>1333000</v>
      </c>
      <c r="I5" s="13" t="s">
        <v>24</v>
      </c>
      <c r="J5" s="13" t="s">
        <v>24</v>
      </c>
    </row>
    <row r="6" spans="1:13" ht="18.75" customHeight="1" x14ac:dyDescent="0.2">
      <c r="A6" s="11" t="s">
        <v>25</v>
      </c>
      <c r="B6" s="3" t="s">
        <v>22</v>
      </c>
      <c r="C6" s="12" t="s">
        <v>23</v>
      </c>
      <c r="D6" s="12" t="s">
        <v>23</v>
      </c>
      <c r="E6" s="12" t="s">
        <v>23</v>
      </c>
      <c r="F6" s="25">
        <v>30</v>
      </c>
      <c r="G6" s="12">
        <v>20</v>
      </c>
      <c r="H6" s="25">
        <v>1462000</v>
      </c>
      <c r="I6" s="13" t="s">
        <v>24</v>
      </c>
      <c r="J6" s="13" t="s">
        <v>24</v>
      </c>
    </row>
    <row r="7" spans="1:13" ht="18.75" customHeight="1" x14ac:dyDescent="0.2">
      <c r="A7" s="11" t="s">
        <v>26</v>
      </c>
      <c r="B7" s="3" t="s">
        <v>27</v>
      </c>
      <c r="C7" s="12" t="s">
        <v>23</v>
      </c>
      <c r="D7" s="12" t="s">
        <v>23</v>
      </c>
      <c r="E7" s="12" t="s">
        <v>28</v>
      </c>
      <c r="F7" s="25">
        <f>marginal_cost!L12</f>
        <v>8.160773313723205E-3</v>
      </c>
      <c r="G7" s="12">
        <v>20</v>
      </c>
      <c r="H7" s="25">
        <f>capital_cost!J12</f>
        <v>1213.4979686043803</v>
      </c>
      <c r="I7" s="28">
        <v>1</v>
      </c>
      <c r="J7" s="13" t="s">
        <v>24</v>
      </c>
      <c r="K7" s="1" t="s">
        <v>29</v>
      </c>
    </row>
    <row r="8" spans="1:13" ht="18.75" customHeight="1" x14ac:dyDescent="0.2">
      <c r="A8" s="11" t="s">
        <v>30</v>
      </c>
      <c r="B8" s="3" t="s">
        <v>27</v>
      </c>
      <c r="C8" s="12" t="s">
        <v>23</v>
      </c>
      <c r="D8" s="12" t="s">
        <v>23</v>
      </c>
      <c r="E8" s="12" t="s">
        <v>28</v>
      </c>
      <c r="F8" s="25">
        <f>marginal_cost!L2</f>
        <v>95.226003047232098</v>
      </c>
      <c r="G8" s="12">
        <v>10</v>
      </c>
      <c r="H8" s="19">
        <f>capital_cost!J2</f>
        <v>720000</v>
      </c>
      <c r="I8" s="28">
        <f>Allgemein!$B$12/marginal_cost!F2</f>
        <v>0.59891107078039929</v>
      </c>
      <c r="J8" s="13" t="s">
        <v>24</v>
      </c>
      <c r="K8" s="1" t="s">
        <v>31</v>
      </c>
    </row>
    <row r="9" spans="1:13" ht="18.75" customHeight="1" x14ac:dyDescent="0.2">
      <c r="A9" s="11" t="s">
        <v>32</v>
      </c>
      <c r="B9" s="3" t="s">
        <v>27</v>
      </c>
      <c r="C9" s="12" t="s">
        <v>23</v>
      </c>
      <c r="D9" s="12" t="s">
        <v>23</v>
      </c>
      <c r="E9" s="12" t="s">
        <v>28</v>
      </c>
      <c r="F9" s="25">
        <f>marginal_cost!L3</f>
        <v>120.83131947800869</v>
      </c>
      <c r="G9" s="12">
        <v>10</v>
      </c>
      <c r="H9" s="19">
        <f>capital_cost!J3</f>
        <v>630000</v>
      </c>
      <c r="I9" s="28">
        <f>Allgemein!$B$12/marginal_cost!F3</f>
        <v>0.61797752808988771</v>
      </c>
      <c r="J9" s="13" t="s">
        <v>24</v>
      </c>
      <c r="K9" s="1" t="s">
        <v>31</v>
      </c>
    </row>
    <row r="10" spans="1:13" ht="19" x14ac:dyDescent="0.2">
      <c r="A10" s="11" t="s">
        <v>33</v>
      </c>
      <c r="B10" s="3" t="s">
        <v>27</v>
      </c>
      <c r="C10" s="12" t="s">
        <v>23</v>
      </c>
      <c r="D10" s="12" t="s">
        <v>23</v>
      </c>
      <c r="E10" s="12" t="s">
        <v>28</v>
      </c>
      <c r="F10" s="25">
        <f>marginal_cost!L4</f>
        <v>6.0606060606060606</v>
      </c>
      <c r="G10" s="12">
        <v>20</v>
      </c>
      <c r="H10" s="19">
        <f>capital_cost!J4</f>
        <v>3296969.6969696968</v>
      </c>
      <c r="I10" s="28">
        <v>1</v>
      </c>
      <c r="J10" s="13" t="s">
        <v>24</v>
      </c>
      <c r="K10" s="1" t="s">
        <v>34</v>
      </c>
    </row>
    <row r="11" spans="1:13" ht="18.75" customHeight="1" x14ac:dyDescent="0.2">
      <c r="A11" s="11" t="s">
        <v>35</v>
      </c>
      <c r="B11" s="3" t="s">
        <v>27</v>
      </c>
      <c r="C11" s="12" t="s">
        <v>23</v>
      </c>
      <c r="D11" s="12" t="s">
        <v>23</v>
      </c>
      <c r="E11" s="12" t="s">
        <v>28</v>
      </c>
      <c r="F11" s="25">
        <v>0</v>
      </c>
      <c r="G11" s="12">
        <v>20</v>
      </c>
      <c r="H11" s="25">
        <v>1212000</v>
      </c>
      <c r="I11" s="28">
        <v>0.92</v>
      </c>
      <c r="J11" s="13" t="s">
        <v>24</v>
      </c>
    </row>
    <row r="12" spans="1:13" ht="19" x14ac:dyDescent="0.2">
      <c r="A12" s="11" t="s">
        <v>36</v>
      </c>
      <c r="B12" s="3" t="s">
        <v>27</v>
      </c>
      <c r="C12" s="12" t="s">
        <v>23</v>
      </c>
      <c r="D12" s="12" t="s">
        <v>23</v>
      </c>
      <c r="E12" s="12" t="s">
        <v>28</v>
      </c>
      <c r="F12" s="25">
        <v>0</v>
      </c>
      <c r="G12" s="12">
        <v>20</v>
      </c>
      <c r="H12" s="25">
        <v>79500</v>
      </c>
      <c r="I12" s="28">
        <v>0.7</v>
      </c>
      <c r="J12" s="13" t="s">
        <v>24</v>
      </c>
      <c r="K12" s="1" t="s">
        <v>37</v>
      </c>
    </row>
    <row r="13" spans="1:13" ht="19" x14ac:dyDescent="0.2">
      <c r="A13" s="11" t="s">
        <v>38</v>
      </c>
      <c r="B13" s="3" t="s">
        <v>39</v>
      </c>
      <c r="C13" s="12" t="s">
        <v>23</v>
      </c>
      <c r="D13" s="12" t="s">
        <v>23</v>
      </c>
      <c r="E13" s="13" t="s">
        <v>28</v>
      </c>
      <c r="F13" s="25"/>
      <c r="G13" s="12">
        <v>20</v>
      </c>
      <c r="H13" s="19">
        <f>capital_cost!J6</f>
        <v>1222.1212121212125</v>
      </c>
      <c r="I13" s="47" t="s">
        <v>24</v>
      </c>
      <c r="J13" s="28">
        <v>3.3000000000000002E-2</v>
      </c>
      <c r="K13" s="34"/>
    </row>
    <row r="14" spans="1:13" ht="19" x14ac:dyDescent="0.2">
      <c r="A14" s="11" t="s">
        <v>40</v>
      </c>
      <c r="B14" s="3" t="s">
        <v>39</v>
      </c>
      <c r="C14" s="12" t="s">
        <v>23</v>
      </c>
      <c r="D14" s="12" t="s">
        <v>23</v>
      </c>
      <c r="E14" s="13" t="s">
        <v>28</v>
      </c>
      <c r="F14" s="25"/>
      <c r="G14" s="12">
        <v>25</v>
      </c>
      <c r="H14" s="19">
        <f>capital_cost!J5</f>
        <v>1090.9090909090908</v>
      </c>
      <c r="I14" s="47" t="s">
        <v>24</v>
      </c>
      <c r="J14" s="28">
        <f>0.002*24</f>
        <v>4.8000000000000001E-2</v>
      </c>
    </row>
    <row r="15" spans="1:13" ht="19.25" customHeight="1" x14ac:dyDescent="0.2">
      <c r="A15" s="11" t="s">
        <v>41</v>
      </c>
      <c r="B15" s="3" t="s">
        <v>39</v>
      </c>
      <c r="C15" s="12" t="s">
        <v>23</v>
      </c>
      <c r="D15" s="12" t="s">
        <v>23</v>
      </c>
      <c r="E15" s="13" t="s">
        <v>28</v>
      </c>
      <c r="F15" s="25"/>
      <c r="G15" s="12">
        <v>20</v>
      </c>
      <c r="H15" s="19">
        <v>255</v>
      </c>
      <c r="I15" s="47" t="s">
        <v>24</v>
      </c>
      <c r="J15" s="28">
        <v>4.0000000000000002E-4</v>
      </c>
      <c r="K15" s="1" t="s">
        <v>37</v>
      </c>
    </row>
    <row r="16" spans="1:13" ht="19" x14ac:dyDescent="0.2">
      <c r="A16" s="11" t="s">
        <v>42</v>
      </c>
      <c r="B16" s="3" t="s">
        <v>39</v>
      </c>
      <c r="C16" s="12" t="s">
        <v>23</v>
      </c>
      <c r="D16" s="12" t="s">
        <v>23</v>
      </c>
      <c r="E16" s="13" t="s">
        <v>28</v>
      </c>
      <c r="F16" s="25"/>
      <c r="G16" s="12">
        <v>30</v>
      </c>
      <c r="H16" s="19">
        <v>239</v>
      </c>
      <c r="I16" s="47" t="s">
        <v>24</v>
      </c>
      <c r="J16" s="28">
        <v>0</v>
      </c>
      <c r="K16" s="1" t="s">
        <v>37</v>
      </c>
    </row>
    <row r="17" spans="1:13" ht="18.75" customHeight="1" x14ac:dyDescent="0.2">
      <c r="A17" s="11" t="s">
        <v>43</v>
      </c>
      <c r="B17" s="3" t="s">
        <v>27</v>
      </c>
      <c r="C17" s="12" t="s">
        <v>23</v>
      </c>
      <c r="D17" s="12" t="s">
        <v>23</v>
      </c>
      <c r="E17" s="13" t="s">
        <v>28</v>
      </c>
      <c r="F17" s="25">
        <v>3.9</v>
      </c>
      <c r="G17" s="13" t="s">
        <v>24</v>
      </c>
      <c r="H17" s="13"/>
      <c r="I17" s="13"/>
      <c r="J17" s="13" t="s">
        <v>24</v>
      </c>
      <c r="K17" s="1" t="s">
        <v>44</v>
      </c>
    </row>
    <row r="18" spans="1:13" ht="18.75" customHeight="1" x14ac:dyDescent="0.2">
      <c r="A18" s="11" t="s">
        <v>45</v>
      </c>
      <c r="B18" s="3" t="s">
        <v>27</v>
      </c>
      <c r="C18" s="12" t="s">
        <v>23</v>
      </c>
      <c r="D18" s="12" t="s">
        <v>23</v>
      </c>
      <c r="E18" s="13" t="s">
        <v>28</v>
      </c>
      <c r="F18" s="25">
        <f>marginal_cost!L7</f>
        <v>0.11107804278831422</v>
      </c>
      <c r="G18" s="13">
        <v>20</v>
      </c>
      <c r="H18" s="31">
        <f>capital_cost!J8</f>
        <v>2291308.8692835532</v>
      </c>
      <c r="I18" s="28">
        <f>efficiency!G3</f>
        <v>0.86221181280202108</v>
      </c>
      <c r="J18" s="13" t="s">
        <v>24</v>
      </c>
      <c r="K18" s="1" t="s">
        <v>46</v>
      </c>
    </row>
    <row r="19" spans="1:13" ht="18.75" customHeight="1" x14ac:dyDescent="0.2">
      <c r="A19" s="11" t="s">
        <v>47</v>
      </c>
      <c r="B19" s="3" t="s">
        <v>27</v>
      </c>
      <c r="C19" s="12" t="s">
        <v>23</v>
      </c>
      <c r="D19" s="12" t="s">
        <v>23</v>
      </c>
      <c r="E19" s="13" t="s">
        <v>28</v>
      </c>
      <c r="F19" s="25">
        <f>marginal_cost!L8</f>
        <v>5.8299648826375096E-2</v>
      </c>
      <c r="G19" s="13">
        <v>20</v>
      </c>
      <c r="H19" s="31">
        <f>capital_cost!J9</f>
        <v>1135336.8482718221</v>
      </c>
      <c r="I19" s="28">
        <f>efficiency!G4</f>
        <v>0.99675027863908006</v>
      </c>
      <c r="J19" s="13" t="s">
        <v>24</v>
      </c>
      <c r="K19" s="1" t="s">
        <v>46</v>
      </c>
      <c r="L19" s="1" t="s">
        <v>169</v>
      </c>
    </row>
    <row r="20" spans="1:13" ht="18.75" customHeight="1" x14ac:dyDescent="0.2">
      <c r="A20" s="11" t="s">
        <v>48</v>
      </c>
      <c r="B20" s="3" t="s">
        <v>27</v>
      </c>
      <c r="C20" s="12" t="s">
        <v>23</v>
      </c>
      <c r="D20" s="12" t="s">
        <v>23</v>
      </c>
      <c r="E20" s="13" t="s">
        <v>28</v>
      </c>
      <c r="F20" s="25">
        <f>marginal_cost!L9</f>
        <v>1.5972610857142858E-2</v>
      </c>
      <c r="G20" s="13">
        <v>20</v>
      </c>
      <c r="H20" s="40">
        <f>capital_cost!J10</f>
        <v>453967.12067955482</v>
      </c>
      <c r="I20" s="28">
        <v>1</v>
      </c>
      <c r="J20" s="13" t="s">
        <v>24</v>
      </c>
    </row>
    <row r="21" spans="1:13" ht="19" x14ac:dyDescent="0.2">
      <c r="A21" s="11" t="s">
        <v>49</v>
      </c>
      <c r="B21" s="3" t="s">
        <v>27</v>
      </c>
      <c r="C21" s="12" t="s">
        <v>23</v>
      </c>
      <c r="D21" s="12" t="s">
        <v>23</v>
      </c>
      <c r="E21" s="13" t="s">
        <v>28</v>
      </c>
      <c r="F21" s="25">
        <v>0</v>
      </c>
      <c r="G21" s="25">
        <v>20</v>
      </c>
      <c r="H21" s="25">
        <v>409500</v>
      </c>
      <c r="I21" s="28">
        <v>0.997</v>
      </c>
      <c r="J21" s="13" t="s">
        <v>24</v>
      </c>
    </row>
    <row r="22" spans="1:13" ht="19" x14ac:dyDescent="0.2">
      <c r="A22" s="35" t="s">
        <v>50</v>
      </c>
      <c r="B22" s="3" t="s">
        <v>27</v>
      </c>
      <c r="C22" s="12" t="s">
        <v>23</v>
      </c>
      <c r="D22" s="12" t="s">
        <v>23</v>
      </c>
      <c r="E22" s="13" t="s">
        <v>28</v>
      </c>
      <c r="F22" s="25">
        <v>0</v>
      </c>
      <c r="G22" s="25">
        <v>20</v>
      </c>
      <c r="H22" s="25">
        <f>capital_cost!J11*(1+marginal_cost!B10*G22)</f>
        <v>376000</v>
      </c>
      <c r="I22" s="28">
        <v>0.86</v>
      </c>
      <c r="J22" s="13" t="s">
        <v>24</v>
      </c>
      <c r="K22" s="1" t="s">
        <v>51</v>
      </c>
      <c r="M22"/>
    </row>
    <row r="23" spans="1:13" ht="19" x14ac:dyDescent="0.2">
      <c r="A23" s="11" t="s">
        <v>52</v>
      </c>
      <c r="B23" s="3" t="s">
        <v>27</v>
      </c>
      <c r="C23" s="12" t="s">
        <v>23</v>
      </c>
      <c r="D23" s="12" t="s">
        <v>23</v>
      </c>
      <c r="E23" s="13" t="s">
        <v>28</v>
      </c>
      <c r="F23" s="25">
        <v>0</v>
      </c>
      <c r="G23" s="25">
        <v>20</v>
      </c>
      <c r="H23" s="25">
        <v>204000</v>
      </c>
      <c r="I23" s="28">
        <v>0.67</v>
      </c>
      <c r="J23" s="13" t="s">
        <v>24</v>
      </c>
      <c r="K23" s="1" t="s">
        <v>37</v>
      </c>
    </row>
    <row r="26" spans="1:13" x14ac:dyDescent="0.2">
      <c r="F26" s="1" t="s">
        <v>54</v>
      </c>
      <c r="G26" s="1" t="s">
        <v>55</v>
      </c>
      <c r="H26" s="1" t="s">
        <v>56</v>
      </c>
      <c r="I26" s="1" t="s">
        <v>57</v>
      </c>
      <c r="J26" s="1" t="s">
        <v>57</v>
      </c>
    </row>
    <row r="27" spans="1:13" x14ac:dyDescent="0.2">
      <c r="A27" s="24"/>
      <c r="I27" s="1" t="s">
        <v>58</v>
      </c>
      <c r="J27" s="1" t="s">
        <v>58</v>
      </c>
    </row>
    <row r="28" spans="1:13" ht="19" x14ac:dyDescent="0.2">
      <c r="A28" s="35" t="s">
        <v>172</v>
      </c>
      <c r="B28" s="3"/>
      <c r="E28" s="13" t="s">
        <v>53</v>
      </c>
      <c r="F28" s="13" t="s">
        <v>24</v>
      </c>
      <c r="G28" s="13" t="s">
        <v>24</v>
      </c>
      <c r="H28" s="25">
        <v>46360000</v>
      </c>
      <c r="I28" s="13" t="s">
        <v>24</v>
      </c>
      <c r="J28" s="13" t="s">
        <v>24</v>
      </c>
    </row>
    <row r="30" spans="1:13" x14ac:dyDescent="0.2">
      <c r="I30"/>
    </row>
    <row r="31" spans="1:13" x14ac:dyDescent="0.15">
      <c r="A31" s="14" t="s">
        <v>59</v>
      </c>
      <c r="B31" s="15" t="s">
        <v>60</v>
      </c>
      <c r="C31" s="16">
        <v>0.17</v>
      </c>
      <c r="D31" s="16">
        <v>4.0000000000000001E-3</v>
      </c>
      <c r="E31" s="16">
        <v>1.6000000000000001E-3</v>
      </c>
      <c r="F31" s="16">
        <v>0</v>
      </c>
      <c r="G31" s="17">
        <v>0.2</v>
      </c>
    </row>
    <row r="33" spans="1:7" x14ac:dyDescent="0.2">
      <c r="A33"/>
      <c r="B33"/>
      <c r="C33"/>
      <c r="D33"/>
    </row>
    <row r="34" spans="1:7" x14ac:dyDescent="0.2">
      <c r="A34" s="41"/>
      <c r="B34" s="42"/>
      <c r="C34"/>
      <c r="D34"/>
      <c r="E34" s="27"/>
    </row>
    <row r="35" spans="1:7" x14ac:dyDescent="0.2">
      <c r="A35" s="41"/>
      <c r="B35" s="42"/>
      <c r="C35"/>
      <c r="D35"/>
      <c r="E35" s="27"/>
    </row>
    <row r="36" spans="1:7" x14ac:dyDescent="0.2">
      <c r="A36" s="41"/>
      <c r="B36" s="42"/>
      <c r="C36"/>
      <c r="D36"/>
      <c r="E36" s="27"/>
    </row>
    <row r="37" spans="1:7" x14ac:dyDescent="0.2">
      <c r="A37" s="41"/>
      <c r="B37" s="42"/>
      <c r="C37"/>
      <c r="D37"/>
      <c r="E37" s="27"/>
    </row>
    <row r="39" spans="1:7" x14ac:dyDescent="0.2">
      <c r="A39" s="24" t="s">
        <v>62</v>
      </c>
      <c r="B39" s="1">
        <v>0.27</v>
      </c>
      <c r="C39" s="27" t="s">
        <v>63</v>
      </c>
    </row>
    <row r="43" spans="1:7" ht="409.5" customHeight="1" x14ac:dyDescent="0.2">
      <c r="E43" s="46"/>
      <c r="F43" s="46"/>
      <c r="G43" s="46"/>
    </row>
    <row r="44" spans="1:7" x14ac:dyDescent="0.2">
      <c r="E44" s="46"/>
      <c r="F44" s="46"/>
      <c r="G44" s="46"/>
    </row>
    <row r="45" spans="1:7" x14ac:dyDescent="0.2">
      <c r="E45" s="46"/>
      <c r="F45" s="46"/>
      <c r="G45" s="46"/>
    </row>
    <row r="46" spans="1:7" x14ac:dyDescent="0.2">
      <c r="E46" s="46"/>
      <c r="F46" s="46"/>
      <c r="G46" s="46"/>
    </row>
    <row r="47" spans="1:7" x14ac:dyDescent="0.2">
      <c r="E47" s="46"/>
      <c r="F47" s="46"/>
      <c r="G47" s="46"/>
    </row>
    <row r="48" spans="1:7" x14ac:dyDescent="0.2">
      <c r="E48" s="46"/>
      <c r="F48" s="46"/>
      <c r="G48" s="46"/>
    </row>
    <row r="49" spans="1:7" x14ac:dyDescent="0.2">
      <c r="E49" s="46"/>
      <c r="F49" s="46"/>
      <c r="G49" s="46"/>
    </row>
    <row r="50" spans="1:7" x14ac:dyDescent="0.2">
      <c r="E50" s="46"/>
      <c r="F50" s="46"/>
      <c r="G50" s="46"/>
    </row>
    <row r="51" spans="1:7" x14ac:dyDescent="0.2">
      <c r="E51" s="46"/>
      <c r="F51" s="46"/>
      <c r="G51" s="46"/>
    </row>
    <row r="52" spans="1:7" x14ac:dyDescent="0.2">
      <c r="E52" s="46"/>
      <c r="F52" s="46"/>
      <c r="G52" s="46"/>
    </row>
    <row r="53" spans="1:7" x14ac:dyDescent="0.2">
      <c r="E53" s="46"/>
      <c r="F53" s="46"/>
      <c r="G53" s="46"/>
    </row>
    <row r="54" spans="1:7" x14ac:dyDescent="0.2">
      <c r="E54" s="46"/>
      <c r="F54" s="46"/>
      <c r="G54" s="46"/>
    </row>
    <row r="55" spans="1:7" x14ac:dyDescent="0.2">
      <c r="E55" s="46"/>
      <c r="F55" s="46"/>
      <c r="G55" s="46"/>
    </row>
    <row r="56" spans="1:7" x14ac:dyDescent="0.2">
      <c r="E56" s="46"/>
      <c r="F56" s="46"/>
      <c r="G56" s="46"/>
    </row>
    <row r="57" spans="1:7" x14ac:dyDescent="0.2">
      <c r="E57" s="46"/>
      <c r="F57" s="46"/>
      <c r="G57" s="46"/>
    </row>
    <row r="59" spans="1:7" x14ac:dyDescent="0.2">
      <c r="B59" s="1" t="s">
        <v>64</v>
      </c>
    </row>
    <row r="60" spans="1:7" x14ac:dyDescent="0.2">
      <c r="A60" s="24" t="s">
        <v>65</v>
      </c>
    </row>
  </sheetData>
  <mergeCells count="2">
    <mergeCell ref="A1:J1"/>
    <mergeCell ref="E43:G57"/>
  </mergeCells>
  <conditionalFormatting sqref="C13:D20 F28:J28 G7:G16 C5:J12 F13:J23">
    <cfRule type="containsText" dxfId="9" priority="5" operator="containsText" text="n.v.">
      <formula>NOT(ISERROR(SEARCH("n.v.",C5)))</formula>
    </cfRule>
    <cfRule type="containsBlanks" dxfId="8" priority="10">
      <formula>LEN(TRIM(C5))=0</formula>
    </cfRule>
    <cfRule type="containsText" dxfId="7" priority="11" operator="containsText" text="x">
      <formula>NOT(ISERROR(SEARCH("x",C5)))</formula>
    </cfRule>
  </conditionalFormatting>
  <conditionalFormatting sqref="E28:J28 E21:J23 C5:J20">
    <cfRule type="containsText" dxfId="6" priority="7" operator="containsText" text="Simulation">
      <formula>NOT(ISERROR(SEARCH("Simulation",C5)))</formula>
    </cfRule>
  </conditionalFormatting>
  <conditionalFormatting sqref="F28:J28 F5:J23">
    <cfRule type="notContainsBlanks" dxfId="5" priority="6">
      <formula>LEN(TRIM(F5))&gt;0</formula>
    </cfRule>
  </conditionalFormatting>
  <conditionalFormatting sqref="C21:D23">
    <cfRule type="containsText" dxfId="4" priority="1" operator="containsText" text="n.v.">
      <formula>NOT(ISERROR(SEARCH("n.v.",C21)))</formula>
    </cfRule>
    <cfRule type="containsBlanks" dxfId="3" priority="3">
      <formula>LEN(TRIM(C21))=0</formula>
    </cfRule>
    <cfRule type="containsText" dxfId="2" priority="4" operator="containsText" text="x">
      <formula>NOT(ISERROR(SEARCH("x",C21)))</formula>
    </cfRule>
  </conditionalFormatting>
  <conditionalFormatting sqref="C21:D23">
    <cfRule type="containsText" dxfId="1" priority="2" operator="containsText" text="Simulation">
      <formula>NOT(ISERROR(SEARCH("Simulation",C21)))</formula>
    </cfRule>
  </conditionalFormatting>
  <hyperlinks>
    <hyperlink ref="C39" r:id="rId1" xr:uid="{77646C58-65A7-44BC-90AB-A20D7EC7683E}"/>
  </hyperlinks>
  <pageMargins left="0.7" right="0.7" top="0.78740157499999996" bottom="0.78740157499999996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1451-8AFD-2242-90C2-49C48CD5C077}">
  <sheetPr codeName="Tabelle2"/>
  <dimension ref="A1:C16"/>
  <sheetViews>
    <sheetView workbookViewId="0">
      <selection activeCell="A38" sqref="A38"/>
    </sheetView>
  </sheetViews>
  <sheetFormatPr baseColWidth="10" defaultColWidth="11" defaultRowHeight="16" x14ac:dyDescent="0.2"/>
  <cols>
    <col min="1" max="1" width="38.1640625" bestFit="1" customWidth="1"/>
    <col min="2" max="2" width="20" bestFit="1" customWidth="1"/>
    <col min="3" max="3" width="19" bestFit="1" customWidth="1"/>
  </cols>
  <sheetData>
    <row r="1" spans="1:3" x14ac:dyDescent="0.2">
      <c r="A1" s="32" t="s">
        <v>66</v>
      </c>
    </row>
    <row r="2" spans="1:3" x14ac:dyDescent="0.2">
      <c r="A2" t="s">
        <v>67</v>
      </c>
      <c r="B2">
        <v>1.0900000000000001</v>
      </c>
      <c r="C2" t="s">
        <v>68</v>
      </c>
    </row>
    <row r="4" spans="1:3" x14ac:dyDescent="0.2">
      <c r="A4" s="32" t="s">
        <v>69</v>
      </c>
      <c r="B4" s="32"/>
      <c r="C4" s="32"/>
    </row>
    <row r="5" spans="1:3" x14ac:dyDescent="0.2">
      <c r="A5" t="s">
        <v>70</v>
      </c>
      <c r="B5">
        <v>10</v>
      </c>
      <c r="C5" t="s">
        <v>71</v>
      </c>
    </row>
    <row r="6" spans="1:3" x14ac:dyDescent="0.2">
      <c r="A6" t="s">
        <v>72</v>
      </c>
      <c r="B6">
        <f>24*15+4</f>
        <v>364</v>
      </c>
      <c r="C6" t="s">
        <v>73</v>
      </c>
    </row>
    <row r="7" spans="1:3" x14ac:dyDescent="0.2">
      <c r="A7" t="s">
        <v>74</v>
      </c>
      <c r="B7">
        <f>B6*B5</f>
        <v>3640</v>
      </c>
      <c r="C7" t="s">
        <v>75</v>
      </c>
    </row>
    <row r="11" spans="1:3" x14ac:dyDescent="0.2">
      <c r="A11" s="32" t="s">
        <v>76</v>
      </c>
    </row>
    <row r="12" spans="1:3" x14ac:dyDescent="0.2">
      <c r="A12" t="s">
        <v>77</v>
      </c>
      <c r="B12">
        <v>33</v>
      </c>
      <c r="C12" t="s">
        <v>78</v>
      </c>
    </row>
    <row r="13" spans="1:3" x14ac:dyDescent="0.2">
      <c r="A13" t="s">
        <v>79</v>
      </c>
    </row>
    <row r="14" spans="1:3" x14ac:dyDescent="0.2">
      <c r="A14" t="s">
        <v>80</v>
      </c>
      <c r="B14">
        <v>71.099999999999994</v>
      </c>
      <c r="C14" t="s">
        <v>81</v>
      </c>
    </row>
    <row r="15" spans="1:3" x14ac:dyDescent="0.2">
      <c r="A15" t="s">
        <v>82</v>
      </c>
      <c r="B15">
        <v>5.2</v>
      </c>
      <c r="C15" t="s">
        <v>78</v>
      </c>
    </row>
    <row r="16" spans="1:3" x14ac:dyDescent="0.2">
      <c r="A16" t="s">
        <v>83</v>
      </c>
      <c r="B16">
        <v>682.8</v>
      </c>
      <c r="C16" t="s">
        <v>81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7E3-0315-E74D-BF3E-7E7A6A01568D}">
  <sheetPr codeName="Tabelle3"/>
  <dimension ref="A1:K30"/>
  <sheetViews>
    <sheetView zoomScaleNormal="100" workbookViewId="0">
      <selection activeCell="K10" sqref="K10"/>
    </sheetView>
  </sheetViews>
  <sheetFormatPr baseColWidth="10" defaultColWidth="11" defaultRowHeight="16" x14ac:dyDescent="0.2"/>
  <cols>
    <col min="1" max="1" width="14" bestFit="1" customWidth="1"/>
    <col min="2" max="2" width="25.5" bestFit="1" customWidth="1"/>
    <col min="3" max="4" width="25.5" customWidth="1"/>
    <col min="5" max="5" width="18" bestFit="1" customWidth="1"/>
    <col min="6" max="6" width="19.1640625" bestFit="1" customWidth="1"/>
    <col min="7" max="7" width="13.5" bestFit="1" customWidth="1"/>
    <col min="8" max="8" width="20.5" bestFit="1" customWidth="1"/>
    <col min="9" max="9" width="20.5" customWidth="1"/>
    <col min="10" max="10" width="18" bestFit="1" customWidth="1"/>
  </cols>
  <sheetData>
    <row r="1" spans="1:11" x14ac:dyDescent="0.2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61</v>
      </c>
    </row>
    <row r="2" spans="1:11" x14ac:dyDescent="0.2">
      <c r="A2" t="s">
        <v>30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f>720*1000</f>
        <v>720000</v>
      </c>
      <c r="K2" t="s">
        <v>31</v>
      </c>
    </row>
    <row r="3" spans="1:11" x14ac:dyDescent="0.2">
      <c r="A3" t="s">
        <v>32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f>630*1000</f>
        <v>630000</v>
      </c>
      <c r="K3" t="s">
        <v>31</v>
      </c>
    </row>
    <row r="4" spans="1:11" x14ac:dyDescent="0.2">
      <c r="A4" t="s">
        <v>33</v>
      </c>
      <c r="B4" s="18">
        <v>0</v>
      </c>
      <c r="C4" s="18">
        <v>0</v>
      </c>
      <c r="D4" s="18">
        <v>0</v>
      </c>
      <c r="E4" s="18">
        <v>136000000</v>
      </c>
      <c r="F4" s="18">
        <v>8000</v>
      </c>
      <c r="G4" s="18">
        <v>30000</v>
      </c>
      <c r="H4" s="18">
        <f>(F4/24)*G4</f>
        <v>10000000</v>
      </c>
      <c r="I4" s="18">
        <v>0</v>
      </c>
      <c r="J4" s="18">
        <f>E4/(H4*Allgemein!$B$12/F4)*1000</f>
        <v>3296969.6969696968</v>
      </c>
      <c r="K4" t="s">
        <v>34</v>
      </c>
    </row>
    <row r="5" spans="1:11" x14ac:dyDescent="0.2">
      <c r="A5" t="s">
        <v>40</v>
      </c>
      <c r="B5" s="18">
        <v>36</v>
      </c>
      <c r="C5" s="18" t="s">
        <v>93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f>B5/Allgemein!$B$12*1000</f>
        <v>1090.9090909090908</v>
      </c>
      <c r="K5" t="s">
        <v>94</v>
      </c>
    </row>
    <row r="6" spans="1:11" x14ac:dyDescent="0.2">
      <c r="A6" t="s">
        <v>38</v>
      </c>
      <c r="B6" s="18">
        <v>37</v>
      </c>
      <c r="C6" s="18" t="s">
        <v>95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f>B6*Allgemein!$B$2/Allgemein!$B$12*1000</f>
        <v>1222.1212121212125</v>
      </c>
      <c r="K6" t="s">
        <v>96</v>
      </c>
    </row>
    <row r="7" spans="1:11" x14ac:dyDescent="0.2">
      <c r="A7" t="s">
        <v>41</v>
      </c>
      <c r="B7" s="18"/>
      <c r="C7" s="18"/>
      <c r="D7" s="18"/>
      <c r="E7" s="18"/>
      <c r="F7" s="18"/>
      <c r="G7" s="18"/>
      <c r="H7" s="18"/>
      <c r="I7" s="18"/>
      <c r="J7" s="18"/>
    </row>
    <row r="8" spans="1:11" x14ac:dyDescent="0.2">
      <c r="A8" t="s">
        <v>45</v>
      </c>
      <c r="B8" s="18">
        <v>1355</v>
      </c>
      <c r="C8" s="18" t="s">
        <v>97</v>
      </c>
      <c r="D8" s="18">
        <f>B8*Allgemein!$B$2</f>
        <v>1476.95</v>
      </c>
      <c r="E8" s="18">
        <v>0</v>
      </c>
      <c r="F8" s="18">
        <v>0</v>
      </c>
      <c r="G8" s="18">
        <v>0</v>
      </c>
      <c r="H8" s="18">
        <v>0</v>
      </c>
      <c r="I8" s="18">
        <f>D8/(Allgemein!$B$14*Allgemein!$B$12/1000)</f>
        <v>629.48045859438275</v>
      </c>
      <c r="J8" s="18">
        <f>I8*Allgemein!$B$7</f>
        <v>2291308.8692835532</v>
      </c>
      <c r="K8" t="s">
        <v>98</v>
      </c>
    </row>
    <row r="9" spans="1:11" x14ac:dyDescent="0.2">
      <c r="A9" t="s">
        <v>47</v>
      </c>
      <c r="B9" s="18">
        <v>1016</v>
      </c>
      <c r="C9" s="18" t="s">
        <v>97</v>
      </c>
      <c r="D9" s="18">
        <f>B9*Allgemein!$B$2</f>
        <v>1107.44</v>
      </c>
      <c r="E9" s="18">
        <v>0</v>
      </c>
      <c r="F9" s="18">
        <v>0</v>
      </c>
      <c r="G9" s="18">
        <v>0</v>
      </c>
      <c r="H9" s="18">
        <v>0</v>
      </c>
      <c r="I9" s="18">
        <f>D9/(Allgemein!$B$16*Allgemein!$B$15/1000)</f>
        <v>311.90572754720387</v>
      </c>
      <c r="J9" s="18">
        <f>I9*Allgemein!$B$7</f>
        <v>1135336.8482718221</v>
      </c>
      <c r="K9" t="s">
        <v>98</v>
      </c>
    </row>
    <row r="10" spans="1:11" x14ac:dyDescent="0.2">
      <c r="A10" t="s">
        <v>48</v>
      </c>
      <c r="B10" s="30">
        <f>65000000/efficiency!I5</f>
        <v>406.25</v>
      </c>
      <c r="C10" s="18" t="s">
        <v>170</v>
      </c>
      <c r="D10" s="18">
        <f>B10*Allgemein!$B$2</f>
        <v>442.81250000000006</v>
      </c>
      <c r="I10" s="18">
        <f>D10/(Allgemein!$B$16*Allgemein!$B$15/1000)</f>
        <v>124.71624194493265</v>
      </c>
      <c r="J10" s="18">
        <f>I10*Allgemein!$B$7</f>
        <v>453967.12067955482</v>
      </c>
      <c r="K10" t="s">
        <v>171</v>
      </c>
    </row>
    <row r="11" spans="1:11" x14ac:dyDescent="0.2">
      <c r="A11" t="s">
        <v>50</v>
      </c>
      <c r="J11" s="18">
        <v>235000</v>
      </c>
      <c r="K11" t="s">
        <v>37</v>
      </c>
    </row>
    <row r="12" spans="1:11" x14ac:dyDescent="0.2">
      <c r="A12" t="s">
        <v>26</v>
      </c>
      <c r="E12" s="36">
        <v>66666666</v>
      </c>
      <c r="J12" s="36">
        <f>E12/Chile!B18</f>
        <v>1213.4979686043803</v>
      </c>
    </row>
    <row r="13" spans="1:11" x14ac:dyDescent="0.2">
      <c r="A13" t="s">
        <v>168</v>
      </c>
      <c r="J13" s="39">
        <v>808000</v>
      </c>
    </row>
    <row r="26" spans="4:5" x14ac:dyDescent="0.2">
      <c r="D26" s="18"/>
      <c r="E26" s="30"/>
    </row>
    <row r="30" spans="4:5" x14ac:dyDescent="0.2">
      <c r="D30" s="18"/>
      <c r="E30" s="18"/>
    </row>
  </sheetData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44FC-EF93-D147-9510-9BB668504AEF}">
  <sheetPr codeName="Tabelle4"/>
  <dimension ref="A1:M12"/>
  <sheetViews>
    <sheetView workbookViewId="0">
      <selection activeCell="B6" sqref="B6"/>
    </sheetView>
  </sheetViews>
  <sheetFormatPr baseColWidth="10" defaultColWidth="11" defaultRowHeight="16" x14ac:dyDescent="0.2"/>
  <cols>
    <col min="1" max="1" width="14" bestFit="1" customWidth="1"/>
    <col min="2" max="2" width="23" bestFit="1" customWidth="1"/>
    <col min="3" max="4" width="29.1640625" customWidth="1"/>
    <col min="5" max="5" width="14.5" bestFit="1" customWidth="1"/>
    <col min="6" max="6" width="30.1640625" bestFit="1" customWidth="1"/>
    <col min="7" max="7" width="19.1640625" bestFit="1" customWidth="1"/>
    <col min="8" max="8" width="13.5" bestFit="1" customWidth="1"/>
    <col min="9" max="9" width="13.6640625" customWidth="1"/>
    <col min="10" max="10" width="20.5" bestFit="1" customWidth="1"/>
    <col min="11" max="11" width="24.6640625" bestFit="1" customWidth="1"/>
    <col min="12" max="12" width="21" bestFit="1" customWidth="1"/>
    <col min="13" max="13" width="11" customWidth="1"/>
  </cols>
  <sheetData>
    <row r="1" spans="1:13" x14ac:dyDescent="0.2">
      <c r="B1" t="s">
        <v>99</v>
      </c>
      <c r="C1" t="s">
        <v>85</v>
      </c>
      <c r="D1" t="s">
        <v>100</v>
      </c>
      <c r="E1" t="s">
        <v>101</v>
      </c>
      <c r="F1" t="s">
        <v>102</v>
      </c>
      <c r="G1" t="s">
        <v>88</v>
      </c>
      <c r="H1" t="s">
        <v>103</v>
      </c>
      <c r="I1" t="s">
        <v>89</v>
      </c>
      <c r="J1" t="s">
        <v>90</v>
      </c>
      <c r="K1" t="s">
        <v>104</v>
      </c>
      <c r="L1" t="s">
        <v>105</v>
      </c>
      <c r="M1" t="s">
        <v>61</v>
      </c>
    </row>
    <row r="2" spans="1:13" x14ac:dyDescent="0.2">
      <c r="A2" t="s">
        <v>30</v>
      </c>
      <c r="B2" s="18">
        <v>15</v>
      </c>
      <c r="C2" s="18" t="s">
        <v>106</v>
      </c>
      <c r="D2" s="18">
        <v>0</v>
      </c>
      <c r="E2" s="18">
        <f>B2*100000</f>
        <v>1500000</v>
      </c>
      <c r="F2" s="18">
        <v>55.1</v>
      </c>
      <c r="G2" s="18">
        <v>8000</v>
      </c>
      <c r="H2" s="18">
        <v>1969</v>
      </c>
      <c r="I2" s="18">
        <v>0</v>
      </c>
      <c r="J2" s="18">
        <f>G2*H2</f>
        <v>15752000</v>
      </c>
      <c r="K2" s="18">
        <v>0</v>
      </c>
      <c r="L2" s="18">
        <f>E2/J2*1000</f>
        <v>95.226003047232098</v>
      </c>
      <c r="M2" t="s">
        <v>31</v>
      </c>
    </row>
    <row r="3" spans="1:13" x14ac:dyDescent="0.2">
      <c r="A3" t="s">
        <v>32</v>
      </c>
      <c r="B3" s="18">
        <v>20</v>
      </c>
      <c r="C3" s="18" t="s">
        <v>106</v>
      </c>
      <c r="D3" s="18">
        <v>0</v>
      </c>
      <c r="E3" s="18">
        <f>B3*100000</f>
        <v>2000000</v>
      </c>
      <c r="F3" s="18">
        <v>53.4</v>
      </c>
      <c r="G3" s="18">
        <v>8000</v>
      </c>
      <c r="H3" s="18">
        <v>2069</v>
      </c>
      <c r="I3" s="18">
        <v>0</v>
      </c>
      <c r="J3" s="18">
        <f>G3*H3</f>
        <v>16552000</v>
      </c>
      <c r="K3" s="18">
        <v>0</v>
      </c>
      <c r="L3" s="18">
        <f>E3/J3*1000</f>
        <v>120.83131947800869</v>
      </c>
      <c r="M3" t="s">
        <v>31</v>
      </c>
    </row>
    <row r="4" spans="1:13" x14ac:dyDescent="0.2">
      <c r="A4" t="s">
        <v>33</v>
      </c>
      <c r="B4" s="18">
        <v>0</v>
      </c>
      <c r="C4" s="18">
        <v>0</v>
      </c>
      <c r="D4" s="18">
        <v>0</v>
      </c>
      <c r="E4" s="18">
        <v>2000000</v>
      </c>
      <c r="F4" s="18">
        <v>10</v>
      </c>
      <c r="G4" s="18">
        <v>8000</v>
      </c>
      <c r="H4" s="18">
        <v>0</v>
      </c>
      <c r="I4" s="18">
        <v>30000</v>
      </c>
      <c r="J4" s="18">
        <f>(G4/24)*I4</f>
        <v>10000000</v>
      </c>
      <c r="K4" s="18">
        <v>0</v>
      </c>
      <c r="L4" s="18">
        <f>E4/(J4*Allgemein!$B$12)*1000</f>
        <v>6.0606060606060606</v>
      </c>
      <c r="M4" t="s">
        <v>34</v>
      </c>
    </row>
    <row r="5" spans="1:13" x14ac:dyDescent="0.2">
      <c r="A5" t="s">
        <v>40</v>
      </c>
      <c r="B5" s="18">
        <v>2</v>
      </c>
      <c r="C5" s="18" t="s">
        <v>107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f>capital_cost!$J$5*B5*0.01</f>
        <v>21.818181818181817</v>
      </c>
      <c r="M5" t="s">
        <v>108</v>
      </c>
    </row>
    <row r="6" spans="1:13" x14ac:dyDescent="0.2">
      <c r="A6" t="s">
        <v>38</v>
      </c>
      <c r="B6" s="18">
        <v>2</v>
      </c>
      <c r="C6" s="18" t="s">
        <v>107</v>
      </c>
      <c r="D6" s="18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18">
        <f>capital_cost!$J$6*B6*0.01</f>
        <v>24.442424242424249</v>
      </c>
      <c r="M6" t="s">
        <v>96</v>
      </c>
    </row>
    <row r="7" spans="1:13" x14ac:dyDescent="0.2">
      <c r="A7" t="s">
        <v>45</v>
      </c>
      <c r="B7" s="18">
        <v>24.14</v>
      </c>
      <c r="C7" s="18" t="s">
        <v>109</v>
      </c>
      <c r="D7" s="18">
        <f>24300000/B7</f>
        <v>1006628.0033140016</v>
      </c>
      <c r="E7" s="18">
        <f>D7*Allgemein!$B$2</f>
        <v>1097224.5236122617</v>
      </c>
      <c r="F7" s="18">
        <v>0</v>
      </c>
      <c r="G7" s="18">
        <v>0</v>
      </c>
      <c r="H7" s="18">
        <v>0</v>
      </c>
      <c r="I7" s="18">
        <v>0</v>
      </c>
      <c r="J7" s="18">
        <f>efficiency!C3*efficiency!D3</f>
        <v>274616640</v>
      </c>
      <c r="K7" s="18">
        <f>J7*Allgemein!$B$12/1000</f>
        <v>9062349.1199999992</v>
      </c>
      <c r="L7" s="18">
        <f>D7/K7</f>
        <v>0.11107804278831422</v>
      </c>
      <c r="M7" t="s">
        <v>98</v>
      </c>
    </row>
    <row r="8" spans="1:13" x14ac:dyDescent="0.2">
      <c r="A8" t="s">
        <v>47</v>
      </c>
      <c r="B8" s="18">
        <v>24.14</v>
      </c>
      <c r="C8" s="18" t="s">
        <v>109</v>
      </c>
      <c r="D8" s="18">
        <f>19300000/B8</f>
        <v>799502.89975144982</v>
      </c>
      <c r="E8" s="18">
        <f>D8*Allgemein!$B$2</f>
        <v>871458.16072908032</v>
      </c>
      <c r="F8" s="18">
        <v>0</v>
      </c>
      <c r="G8" s="18">
        <v>0</v>
      </c>
      <c r="H8" s="18">
        <v>0</v>
      </c>
      <c r="I8" s="18">
        <v>0</v>
      </c>
      <c r="J8" s="18">
        <f>efficiency!C4*efficiency!D4</f>
        <v>2637246720</v>
      </c>
      <c r="K8" s="18">
        <f>J8*Allgemein!$B$15/1000</f>
        <v>13713682.944</v>
      </c>
      <c r="L8" s="18">
        <f>D8/K8</f>
        <v>5.8299648826375096E-2</v>
      </c>
      <c r="M8" t="s">
        <v>98</v>
      </c>
    </row>
    <row r="9" spans="1:13" x14ac:dyDescent="0.2">
      <c r="A9" t="s">
        <v>48</v>
      </c>
      <c r="B9" s="18">
        <v>24.14</v>
      </c>
      <c r="C9" s="18" t="s">
        <v>109</v>
      </c>
      <c r="D9" s="18">
        <v>512882</v>
      </c>
      <c r="E9" s="18">
        <f>D9*Allgemein!$B$2</f>
        <v>559041.38</v>
      </c>
      <c r="F9" s="18"/>
      <c r="G9" s="18"/>
      <c r="H9" s="18"/>
      <c r="I9" s="18"/>
      <c r="J9" s="18"/>
      <c r="K9" s="18"/>
      <c r="L9" s="18">
        <f>E9/(35*1000*1000)</f>
        <v>1.5972610857142858E-2</v>
      </c>
      <c r="M9" s="27"/>
    </row>
    <row r="10" spans="1:13" x14ac:dyDescent="0.2">
      <c r="A10" t="s">
        <v>50</v>
      </c>
      <c r="B10" s="43">
        <v>0.03</v>
      </c>
      <c r="C10" t="s">
        <v>173</v>
      </c>
      <c r="M10" s="27"/>
    </row>
    <row r="11" spans="1:13" x14ac:dyDescent="0.2">
      <c r="A11" t="s">
        <v>49</v>
      </c>
      <c r="B11" s="43">
        <v>0.03</v>
      </c>
      <c r="C11" t="s">
        <v>173</v>
      </c>
      <c r="L11" s="38">
        <f>capital_cost!$J$5*B5*0.01</f>
        <v>21.818181818181817</v>
      </c>
    </row>
    <row r="12" spans="1:13" x14ac:dyDescent="0.2">
      <c r="A12" t="s">
        <v>26</v>
      </c>
      <c r="E12" s="18">
        <f>8966666/Gesamt!G7</f>
        <v>448333.3</v>
      </c>
      <c r="F12" t="s">
        <v>110</v>
      </c>
      <c r="L12" s="37">
        <f>E12/Chile!B17</f>
        <v>8.160773313723205E-3</v>
      </c>
      <c r="M12" t="s">
        <v>29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D1B0-F1F9-1E40-B5E2-84D75BDB73F9}">
  <sheetPr codeName="Tabelle5"/>
  <dimension ref="A1:N6"/>
  <sheetViews>
    <sheetView workbookViewId="0">
      <selection activeCell="F5" sqref="F5"/>
    </sheetView>
  </sheetViews>
  <sheetFormatPr baseColWidth="10" defaultColWidth="11" defaultRowHeight="16" x14ac:dyDescent="0.2"/>
  <cols>
    <col min="1" max="1" width="12.1640625" bestFit="1" customWidth="1"/>
    <col min="2" max="2" width="15.6640625" bestFit="1" customWidth="1"/>
    <col min="3" max="3" width="15" bestFit="1" customWidth="1"/>
    <col min="4" max="4" width="11" bestFit="1" customWidth="1"/>
    <col min="5" max="5" width="14" bestFit="1" customWidth="1"/>
    <col min="6" max="6" width="15" bestFit="1" customWidth="1"/>
    <col min="9" max="9" width="11.5" bestFit="1" customWidth="1"/>
    <col min="12" max="12" width="14" bestFit="1" customWidth="1"/>
    <col min="14" max="14" width="15.5" bestFit="1" customWidth="1"/>
  </cols>
  <sheetData>
    <row r="1" spans="1:14" x14ac:dyDescent="0.2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15</v>
      </c>
      <c r="H1" t="s">
        <v>61</v>
      </c>
    </row>
    <row r="2" spans="1:14" x14ac:dyDescent="0.2">
      <c r="A2" t="s">
        <v>33</v>
      </c>
      <c r="B2">
        <v>10</v>
      </c>
      <c r="C2">
        <v>0</v>
      </c>
      <c r="D2">
        <v>0</v>
      </c>
      <c r="E2">
        <v>0</v>
      </c>
      <c r="F2">
        <v>0</v>
      </c>
      <c r="G2" s="29">
        <f>B2/Allgemein!$B$12</f>
        <v>0.30303030303030304</v>
      </c>
    </row>
    <row r="3" spans="1:14" x14ac:dyDescent="0.2">
      <c r="A3" t="s">
        <v>45</v>
      </c>
      <c r="C3" s="18">
        <v>11376000</v>
      </c>
      <c r="D3" s="18">
        <v>24.14</v>
      </c>
      <c r="E3" s="18">
        <v>37838929</v>
      </c>
      <c r="F3" s="18">
        <f>E3/D3</f>
        <v>1567478.4175642089</v>
      </c>
      <c r="G3" s="29">
        <f>1-F3/C3</f>
        <v>0.86221181280202108</v>
      </c>
      <c r="H3" t="s">
        <v>98</v>
      </c>
      <c r="I3" s="18">
        <v>160000</v>
      </c>
      <c r="J3" t="s">
        <v>116</v>
      </c>
      <c r="K3" t="s">
        <v>117</v>
      </c>
      <c r="L3" s="18"/>
      <c r="M3" s="29"/>
      <c r="N3" s="30"/>
    </row>
    <row r="4" spans="1:14" x14ac:dyDescent="0.2">
      <c r="A4" t="s">
        <v>47</v>
      </c>
      <c r="C4" s="18">
        <v>109248000</v>
      </c>
      <c r="D4" s="18">
        <v>24.14</v>
      </c>
      <c r="E4" s="18">
        <v>8570317</v>
      </c>
      <c r="F4" s="18">
        <f>E4/D4</f>
        <v>355025.55923777958</v>
      </c>
      <c r="G4" s="29">
        <f>1-F4/C4</f>
        <v>0.99675027863908006</v>
      </c>
      <c r="H4" t="s">
        <v>98</v>
      </c>
      <c r="I4" s="18">
        <v>160000</v>
      </c>
      <c r="J4" t="s">
        <v>116</v>
      </c>
      <c r="K4" t="s">
        <v>117</v>
      </c>
    </row>
    <row r="5" spans="1:14" x14ac:dyDescent="0.2">
      <c r="A5" t="s">
        <v>48</v>
      </c>
      <c r="C5" s="18"/>
      <c r="D5" s="18">
        <v>24.14</v>
      </c>
      <c r="E5" s="18"/>
      <c r="F5" s="18"/>
      <c r="I5" s="18">
        <v>160000</v>
      </c>
      <c r="J5" t="s">
        <v>116</v>
      </c>
      <c r="K5" t="s">
        <v>117</v>
      </c>
    </row>
    <row r="6" spans="1:14" x14ac:dyDescent="0.2">
      <c r="A6" t="s">
        <v>26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AFB3-6641-4214-A1BC-4CB4769BA3D9}">
  <sheetPr codeName="Tabelle6"/>
  <dimension ref="A1:K27"/>
  <sheetViews>
    <sheetView topLeftCell="A4" zoomScaleNormal="100" workbookViewId="0">
      <selection activeCell="F17" sqref="F17"/>
    </sheetView>
  </sheetViews>
  <sheetFormatPr baseColWidth="10" defaultColWidth="10.6640625" defaultRowHeight="16" x14ac:dyDescent="0.2"/>
  <cols>
    <col min="2" max="2" width="14.1640625" customWidth="1"/>
  </cols>
  <sheetData>
    <row r="1" spans="1:11" x14ac:dyDescent="0.2">
      <c r="A1" t="s">
        <v>118</v>
      </c>
    </row>
    <row r="2" spans="1:11" x14ac:dyDescent="0.2">
      <c r="A2" t="s">
        <v>119</v>
      </c>
      <c r="B2" t="s">
        <v>120</v>
      </c>
    </row>
    <row r="3" spans="1:11" x14ac:dyDescent="0.2">
      <c r="A3" t="s">
        <v>121</v>
      </c>
      <c r="B3" s="23" t="s">
        <v>122</v>
      </c>
    </row>
    <row r="4" spans="1:11" x14ac:dyDescent="0.2">
      <c r="B4" s="23" t="s">
        <v>123</v>
      </c>
    </row>
    <row r="5" spans="1:11" x14ac:dyDescent="0.2">
      <c r="B5" s="23" t="s">
        <v>124</v>
      </c>
    </row>
    <row r="7" spans="1:11" x14ac:dyDescent="0.2">
      <c r="A7" t="s">
        <v>125</v>
      </c>
    </row>
    <row r="9" spans="1:11" x14ac:dyDescent="0.2">
      <c r="A9" t="s">
        <v>126</v>
      </c>
      <c r="B9" t="s">
        <v>127</v>
      </c>
      <c r="C9" t="s">
        <v>128</v>
      </c>
    </row>
    <row r="10" spans="1:11" x14ac:dyDescent="0.2">
      <c r="B10">
        <v>280</v>
      </c>
      <c r="C10" t="s">
        <v>129</v>
      </c>
      <c r="D10">
        <v>232</v>
      </c>
      <c r="E10" t="s">
        <v>130</v>
      </c>
      <c r="F10">
        <v>8000</v>
      </c>
      <c r="G10" t="s">
        <v>131</v>
      </c>
      <c r="H10">
        <v>9</v>
      </c>
      <c r="I10" t="s">
        <v>132</v>
      </c>
      <c r="J10">
        <v>1</v>
      </c>
      <c r="K10" t="s">
        <v>133</v>
      </c>
    </row>
    <row r="11" spans="1:11" x14ac:dyDescent="0.2">
      <c r="B11">
        <f>F10*D10*F10</f>
        <v>14848000000</v>
      </c>
      <c r="C11" t="s">
        <v>134</v>
      </c>
    </row>
    <row r="12" spans="1:11" x14ac:dyDescent="0.2">
      <c r="B12">
        <f>B11/1000</f>
        <v>14848000</v>
      </c>
      <c r="C12" t="s">
        <v>135</v>
      </c>
      <c r="E12">
        <v>189000</v>
      </c>
      <c r="F12" t="s">
        <v>136</v>
      </c>
      <c r="G12">
        <v>136000</v>
      </c>
      <c r="H12" t="s">
        <v>136</v>
      </c>
    </row>
    <row r="13" spans="1:11" x14ac:dyDescent="0.2">
      <c r="B13">
        <f>G12*365</f>
        <v>49640000</v>
      </c>
      <c r="C13" t="s">
        <v>137</v>
      </c>
      <c r="E13">
        <f>365*E12</f>
        <v>68985000</v>
      </c>
      <c r="F13" t="s">
        <v>137</v>
      </c>
      <c r="G13">
        <f>G12*365</f>
        <v>49640000</v>
      </c>
      <c r="H13" t="s">
        <v>137</v>
      </c>
    </row>
    <row r="15" spans="1:11" x14ac:dyDescent="0.2">
      <c r="B15" s="26">
        <f>B13/3</f>
        <v>16546666.666666666</v>
      </c>
      <c r="D15">
        <v>3.7</v>
      </c>
    </row>
    <row r="17" spans="1:3" x14ac:dyDescent="0.2">
      <c r="B17">
        <f>B12*D15</f>
        <v>54937600</v>
      </c>
      <c r="C17" t="s">
        <v>138</v>
      </c>
    </row>
    <row r="18" spans="1:3" x14ac:dyDescent="0.2">
      <c r="B18">
        <f>B17/1000</f>
        <v>54937.599999999999</v>
      </c>
      <c r="C18" t="s">
        <v>139</v>
      </c>
    </row>
    <row r="21" spans="1:3" x14ac:dyDescent="0.2">
      <c r="A21" t="s">
        <v>140</v>
      </c>
      <c r="B21">
        <v>222</v>
      </c>
      <c r="C21" t="s">
        <v>141</v>
      </c>
    </row>
    <row r="27" spans="1:3" x14ac:dyDescent="0.2">
      <c r="C27" t="s">
        <v>142</v>
      </c>
    </row>
  </sheetData>
  <hyperlinks>
    <hyperlink ref="B3" r:id="rId1" xr:uid="{57337292-9CBC-4AD7-9E84-C7DB08DF1105}"/>
    <hyperlink ref="B4" r:id="rId2" xr:uid="{D640AF44-3E3F-4121-8014-C0996ECBF63D}"/>
    <hyperlink ref="B5" r:id="rId3" location=":~:text=Um%201%20kg%20Wasserstoff%20durch,9%20kg%20Wasser*)%20erforderlich." xr:uid="{76ED7C4F-3EE1-4D15-AA25-B9257090F40E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88AA-69C9-F548-BB05-A24A4E882F1A}">
  <sheetPr codeName="Tabelle7"/>
  <dimension ref="A1:B28"/>
  <sheetViews>
    <sheetView zoomScale="85" zoomScaleNormal="85" workbookViewId="0">
      <selection activeCell="B21" sqref="B21"/>
    </sheetView>
  </sheetViews>
  <sheetFormatPr baseColWidth="10" defaultColWidth="11.5" defaultRowHeight="16" x14ac:dyDescent="0.2"/>
  <cols>
    <col min="1" max="1" width="18.1640625" bestFit="1" customWidth="1"/>
    <col min="2" max="2" width="144.1640625" customWidth="1"/>
  </cols>
  <sheetData>
    <row r="1" spans="1:2" ht="21" x14ac:dyDescent="0.25">
      <c r="A1" s="20" t="s">
        <v>143</v>
      </c>
    </row>
    <row r="2" spans="1:2" x14ac:dyDescent="0.2">
      <c r="A2" t="s">
        <v>144</v>
      </c>
      <c r="B2" t="s">
        <v>145</v>
      </c>
    </row>
    <row r="3" spans="1:2" ht="34" x14ac:dyDescent="0.2">
      <c r="A3" s="12">
        <v>1</v>
      </c>
      <c r="B3" s="21" t="s">
        <v>146</v>
      </c>
    </row>
    <row r="4" spans="1:2" ht="34" x14ac:dyDescent="0.2">
      <c r="A4" s="12">
        <v>2</v>
      </c>
      <c r="B4" s="21" t="s">
        <v>147</v>
      </c>
    </row>
    <row r="5" spans="1:2" ht="34" x14ac:dyDescent="0.2">
      <c r="A5" s="12">
        <v>3</v>
      </c>
      <c r="B5" s="21" t="s">
        <v>148</v>
      </c>
    </row>
    <row r="6" spans="1:2" ht="34" x14ac:dyDescent="0.2">
      <c r="A6" s="12">
        <v>4</v>
      </c>
      <c r="B6" s="21" t="s">
        <v>149</v>
      </c>
    </row>
    <row r="7" spans="1:2" x14ac:dyDescent="0.2">
      <c r="A7" s="12">
        <v>5</v>
      </c>
      <c r="B7" t="s">
        <v>150</v>
      </c>
    </row>
    <row r="8" spans="1:2" ht="34" x14ac:dyDescent="0.2">
      <c r="A8" s="12">
        <v>6</v>
      </c>
      <c r="B8" s="21" t="s">
        <v>151</v>
      </c>
    </row>
    <row r="9" spans="1:2" ht="17" x14ac:dyDescent="0.2">
      <c r="A9" s="12">
        <v>7</v>
      </c>
      <c r="B9" s="21" t="s">
        <v>152</v>
      </c>
    </row>
    <row r="10" spans="1:2" x14ac:dyDescent="0.2">
      <c r="A10" s="12">
        <v>8</v>
      </c>
      <c r="B10" t="s">
        <v>153</v>
      </c>
    </row>
    <row r="11" spans="1:2" x14ac:dyDescent="0.2">
      <c r="A11" s="12">
        <v>9</v>
      </c>
      <c r="B11" t="s">
        <v>154</v>
      </c>
    </row>
    <row r="12" spans="1:2" ht="34" x14ac:dyDescent="0.2">
      <c r="A12" s="12">
        <v>10</v>
      </c>
      <c r="B12" s="21" t="s">
        <v>155</v>
      </c>
    </row>
    <row r="13" spans="1:2" ht="51" x14ac:dyDescent="0.2">
      <c r="A13" s="12">
        <v>11</v>
      </c>
      <c r="B13" s="21" t="s">
        <v>174</v>
      </c>
    </row>
    <row r="14" spans="1:2" x14ac:dyDescent="0.2">
      <c r="A14" s="12"/>
      <c r="B14" s="21"/>
    </row>
    <row r="15" spans="1:2" x14ac:dyDescent="0.2">
      <c r="A15" s="12"/>
    </row>
    <row r="16" spans="1:2" x14ac:dyDescent="0.2">
      <c r="A16" s="12"/>
      <c r="B16" s="21"/>
    </row>
    <row r="17" spans="1:2" x14ac:dyDescent="0.2">
      <c r="A17" s="12"/>
      <c r="B17" s="21"/>
    </row>
    <row r="18" spans="1:2" x14ac:dyDescent="0.2">
      <c r="A18" s="12"/>
      <c r="B18" s="21"/>
    </row>
    <row r="19" spans="1:2" x14ac:dyDescent="0.2">
      <c r="A19" s="12"/>
      <c r="B19" s="21"/>
    </row>
    <row r="20" spans="1:2" x14ac:dyDescent="0.2">
      <c r="A20" s="12"/>
      <c r="B20" s="21"/>
    </row>
    <row r="21" spans="1:2" x14ac:dyDescent="0.2">
      <c r="A21" s="12"/>
      <c r="B21" s="21"/>
    </row>
    <row r="22" spans="1:2" x14ac:dyDescent="0.2">
      <c r="A22" s="12"/>
      <c r="B22" s="21"/>
    </row>
    <row r="23" spans="1:2" x14ac:dyDescent="0.2">
      <c r="A23" s="12"/>
    </row>
    <row r="24" spans="1:2" x14ac:dyDescent="0.2">
      <c r="A24" s="12"/>
      <c r="B24" s="21"/>
    </row>
    <row r="25" spans="1:2" x14ac:dyDescent="0.2">
      <c r="A25" s="12"/>
      <c r="B25" s="21"/>
    </row>
    <row r="26" spans="1:2" x14ac:dyDescent="0.2">
      <c r="A26" s="12"/>
      <c r="B26" s="21"/>
    </row>
    <row r="27" spans="1:2" x14ac:dyDescent="0.2">
      <c r="A27" s="12"/>
      <c r="B27" s="21"/>
    </row>
    <row r="28" spans="1:2" x14ac:dyDescent="0.2">
      <c r="A28" s="12"/>
      <c r="B28" s="21"/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E21F-9521-427B-9B87-75B05CEB0313}">
  <sheetPr codeName="Tabelle8"/>
  <dimension ref="A1:F13"/>
  <sheetViews>
    <sheetView workbookViewId="0">
      <selection activeCell="E13" sqref="E13"/>
    </sheetView>
  </sheetViews>
  <sheetFormatPr baseColWidth="10" defaultColWidth="11" defaultRowHeight="16" x14ac:dyDescent="0.2"/>
  <sheetData>
    <row r="1" spans="1:6" x14ac:dyDescent="0.2">
      <c r="A1" t="s">
        <v>156</v>
      </c>
      <c r="B1" t="s">
        <v>157</v>
      </c>
      <c r="C1" t="s">
        <v>158</v>
      </c>
    </row>
    <row r="2" spans="1:6" x14ac:dyDescent="0.2">
      <c r="A2">
        <v>28</v>
      </c>
      <c r="B2">
        <v>6</v>
      </c>
      <c r="C2">
        <v>34</v>
      </c>
      <c r="D2" t="s">
        <v>159</v>
      </c>
    </row>
    <row r="4" spans="1:6" x14ac:dyDescent="0.2">
      <c r="A4">
        <f>28/34</f>
        <v>0.82352941176470584</v>
      </c>
      <c r="B4">
        <f>6/34</f>
        <v>0.17647058823529413</v>
      </c>
      <c r="D4" t="s">
        <v>160</v>
      </c>
    </row>
    <row r="5" spans="1:6" x14ac:dyDescent="0.2">
      <c r="D5" t="s">
        <v>161</v>
      </c>
    </row>
    <row r="6" spans="1:6" x14ac:dyDescent="0.2">
      <c r="A6">
        <f>1000*A4</f>
        <v>823.52941176470586</v>
      </c>
      <c r="B6">
        <f>1000*B4</f>
        <v>176.47058823529412</v>
      </c>
      <c r="C6">
        <v>1000</v>
      </c>
      <c r="D6" t="s">
        <v>132</v>
      </c>
      <c r="E6" t="s">
        <v>162</v>
      </c>
    </row>
    <row r="8" spans="1:6" x14ac:dyDescent="0.2">
      <c r="E8" t="s">
        <v>163</v>
      </c>
    </row>
    <row r="10" spans="1:6" x14ac:dyDescent="0.2">
      <c r="E10" t="s">
        <v>164</v>
      </c>
    </row>
    <row r="11" spans="1:6" x14ac:dyDescent="0.2">
      <c r="E11">
        <f>176.47*33.33</f>
        <v>5881.7451000000001</v>
      </c>
      <c r="F11" t="s">
        <v>165</v>
      </c>
    </row>
    <row r="12" spans="1:6" x14ac:dyDescent="0.2">
      <c r="E12" t="s">
        <v>166</v>
      </c>
    </row>
    <row r="13" spans="1:6" x14ac:dyDescent="0.2">
      <c r="E13">
        <f>1500/5.88</f>
        <v>255.10204081632654</v>
      </c>
      <c r="F13" t="s">
        <v>167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8" ma:contentTypeDescription="Ein neues Dokument erstellen." ma:contentTypeScope="" ma:versionID="aca6c290d7270e062501f87f2390e508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b3e4e919cbdb82cbbd1a44b9c8ca9704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c43632d-e8a0-4f66-a993-9980d893ca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1923598-B81F-46EF-8D6F-A57DA486E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af68f-487b-4532-8d75-15d1498f69fb"/>
    <ds:schemaRef ds:uri="4fc79a47-31e4-4653-8b27-dca9a17ce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D4E73C-EABB-4583-9CD8-EE384797D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7AB49E-189D-4848-B4EA-561D0793F824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3c3af68f-487b-4532-8d75-15d1498f69fb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4fc79a47-31e4-4653-8b27-dca9a17ceac4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Gesamt</vt:lpstr>
      <vt:lpstr>Allgemein</vt:lpstr>
      <vt:lpstr>capital_cost</vt:lpstr>
      <vt:lpstr>marginal_cost</vt:lpstr>
      <vt:lpstr>efficiency</vt:lpstr>
      <vt:lpstr>Chile</vt:lpstr>
      <vt:lpstr>Quellen</vt:lpstr>
      <vt:lpstr>xAmmoniak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2022-11-17T10:32:44Z</dcterms:created>
  <dcterms:modified xsi:type="dcterms:W3CDTF">2023-01-22T11:17:08Z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  <property fmtid="{D5CDD505-2E9C-101B-9397-08002B2CF9AE}" pid="4" name="WorkbookGuid">
    <vt:lpwstr>ab7737fc-b9b1-426b-8b54-2efa8fb04c81</vt:lpwstr>
  </property>
</Properties>
</file>