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8_{8604F647-09C2-4648-B36C-06222763B219}" xr6:coauthVersionLast="47" xr6:coauthVersionMax="47" xr10:uidLastSave="{00000000-0000-0000-0000-000000000000}"/>
  <bookViews>
    <workbookView xWindow="0" yWindow="500" windowWidth="28800" windowHeight="17500" activeTab="2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state="hidden" r:id="rId6"/>
    <sheet name="Quellen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B9" i="5"/>
  <c r="D9" i="5" s="1"/>
  <c r="I9" i="5" s="1"/>
  <c r="J9" i="5" s="1"/>
  <c r="L12" i="7"/>
  <c r="I9" i="1"/>
  <c r="J13" i="1"/>
  <c r="L4" i="7"/>
  <c r="L3" i="7"/>
  <c r="L2" i="7"/>
  <c r="G2" i="8"/>
  <c r="H6" i="1"/>
  <c r="H5" i="1"/>
  <c r="F6" i="1"/>
  <c r="F5" i="1"/>
  <c r="F19" i="1"/>
  <c r="E9" i="7"/>
  <c r="H21" i="1"/>
  <c r="F7" i="1"/>
  <c r="E8" i="7"/>
  <c r="L6" i="7"/>
  <c r="H19" i="1" l="1"/>
  <c r="G3" i="8" l="1"/>
  <c r="J4" i="7"/>
  <c r="I8" i="1"/>
  <c r="I7" i="1"/>
  <c r="J5" i="5"/>
  <c r="D8" i="5"/>
  <c r="I8" i="5" s="1"/>
  <c r="D7" i="5"/>
  <c r="I7" i="5" s="1"/>
  <c r="J2" i="5"/>
  <c r="B6" i="9"/>
  <c r="B7" i="9" s="1"/>
  <c r="J8" i="7"/>
  <c r="K8" i="7" s="1"/>
  <c r="J7" i="7"/>
  <c r="K7" i="7" s="1"/>
  <c r="D8" i="7"/>
  <c r="D7" i="7"/>
  <c r="E7" i="7" s="1"/>
  <c r="I17" i="1"/>
  <c r="F4" i="8"/>
  <c r="F3" i="8"/>
  <c r="G4" i="8"/>
  <c r="I18" i="1" s="1"/>
  <c r="L5" i="7" l="1"/>
  <c r="L11" i="7"/>
  <c r="L7" i="7"/>
  <c r="F17" i="1" s="1"/>
  <c r="J7" i="5"/>
  <c r="H17" i="1" s="1"/>
  <c r="J8" i="5"/>
  <c r="H18" i="1" s="1"/>
  <c r="L8" i="7"/>
  <c r="F18" i="1" s="1"/>
  <c r="L9" i="7" l="1"/>
  <c r="H13" i="1"/>
  <c r="B18" i="2"/>
  <c r="B17" i="2"/>
  <c r="B15" i="2"/>
  <c r="B13" i="2"/>
  <c r="G13" i="2"/>
  <c r="E13" i="2"/>
  <c r="B11" i="2"/>
  <c r="B12" i="2" s="1"/>
  <c r="J3" i="7"/>
  <c r="J2" i="7"/>
  <c r="E3" i="7"/>
  <c r="E2" i="7"/>
  <c r="J3" i="5"/>
  <c r="H8" i="1" s="1"/>
  <c r="H7" i="1"/>
  <c r="H4" i="5"/>
  <c r="J4" i="5" s="1"/>
  <c r="H9" i="1" l="1"/>
  <c r="F8" i="1"/>
</calcChain>
</file>

<file path=xl/sharedStrings.xml><?xml version="1.0" encoding="utf-8"?>
<sst xmlns="http://schemas.openxmlformats.org/spreadsheetml/2006/main" count="309" uniqueCount="150">
  <si>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</si>
  <si>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</si>
  <si>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</si>
  <si>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</si>
  <si>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</si>
  <si>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</si>
  <si>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</si>
  <si>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</si>
  <si>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</si>
  <si>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</si>
  <si>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</si>
  <si>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</si>
  <si>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</si>
  <si>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</si>
  <si>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</si>
  <si>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</si>
  <si>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</si>
  <si>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</si>
  <si>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</si>
  <si>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</si>
  <si>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</si>
  <si>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</si>
  <si>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</si>
  <si>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</si>
  <si>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</si>
  <si>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</si>
  <si>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</si>
  <si>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</si>
  <si>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</si>
  <si>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</si>
  <si>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</si>
  <si>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</si>
  <si>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</si>
  <si>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</si>
  <si>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</si>
  <si>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</si>
  <si>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</si>
  <si>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</si>
  <si>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GH2 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</si>
  <si>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</si>
  <si>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</si>
  <si>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</si>
  <si>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</si>
  <si>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</si>
  <si>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</si>
  <si>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</si>
  <si>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NH3 Schiff</t>
  </si>
  <si>
    <t>LOHC Schiff</t>
  </si>
  <si>
    <t>Regasifizierung</t>
  </si>
  <si>
    <t>NH3 Cracker</t>
  </si>
  <si>
    <t>[10] [8]</t>
  </si>
  <si>
    <t>Dehydrierung</t>
  </si>
  <si>
    <t>Quelle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</si>
  <si>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</si>
  <si>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</si>
  <si>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</si>
  <si>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</si>
  <si>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</si>
  <si>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</si>
  <si>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</si>
  <si>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</si>
  <si>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</si>
  <si>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</si>
  <si>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</si>
  <si>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</si>
  <si>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</si>
  <si>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</si>
  <si>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</si>
  <si>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</si>
  <si>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</si>
  <si>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</si>
  <si>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</si>
  <si>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</si>
  <si>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</si>
  <si>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</si>
  <si>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</si>
  <si>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</si>
  <si>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</si>
  <si>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</si>
  <si>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</si>
  <si>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€/kg</t>
  </si>
  <si>
    <t>[3]</t>
  </si>
  <si>
    <t>[5]</t>
  </si>
  <si>
    <t>$/m3</t>
  </si>
  <si>
    <t>[6]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</si>
  <si>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</si>
  <si>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</si>
  <si>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</si>
  <si>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</si>
  <si>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</si>
  <si>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</si>
  <si>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</si>
  <si>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</si>
  <si>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</si>
  <si>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</si>
  <si>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</si>
  <si>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</si>
  <si>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</si>
  <si>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</si>
  <si>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</si>
  <si>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</si>
  <si>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</si>
  <si>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</si>
  <si>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</si>
  <si>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</si>
  <si>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</si>
  <si>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</si>
  <si>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</si>
  <si>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</si>
  <si>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</si>
  <si>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</si>
  <si>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</si>
  <si>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</si>
  <si>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</si>
  <si>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</si>
  <si>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</si>
  <si>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</si>
  <si>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</si>
  <si>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</si>
  <si>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</si>
  <si>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</si>
  <si>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</si>
  <si>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</si>
  <si>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</si>
  <si>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</si>
  <si>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</si>
  <si>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</si>
  <si>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</si>
  <si>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</si>
  <si>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</si>
  <si>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</si>
  <si>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</si>
  <si>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</si>
  <si>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</si>
  <si>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</si>
  <si>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</si>
  <si>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</si>
  <si>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</si>
  <si>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NH3 Erzeugung</t>
  </si>
  <si>
    <t>[11]</t>
  </si>
  <si>
    <t>invest*a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</si>
  <si>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</si>
  <si>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Stromspeicher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</si>
  <si>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</si>
  <si>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</si>
  <si>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</si>
  <si>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[13]</t>
  </si>
  <si>
    <t>[12]</t>
  </si>
  <si>
    <t>Nebenrechnung zur Meerwasserentsalzung</t>
  </si>
  <si>
    <t>[14]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</si>
</sst>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2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9" fillId="0" borderId="0" xfId="3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59"/>
  <sheetViews>
    <sheetView zoomScaleNormal="100" workbookViewId="0">
      <selection activeCell="F14" sqref="F14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4" width="20.6640625" style="1" customWidth="1"/>
    <col min="5" max="5" width="22.83203125" style="1" bestFit="1" customWidth="1"/>
    <col min="6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0"/>
    </row>
    <row r="3" spans="1:13" ht="15" customHeight="1" x14ac:dyDescent="0.2">
      <c r="A3" s="9"/>
      <c r="B3" s="2"/>
      <c r="C3" s="40" t="s">
        <v>9</v>
      </c>
      <c r="D3" s="40" t="s">
        <v>10</v>
      </c>
      <c r="E3" s="40" t="s">
        <v>11</v>
      </c>
      <c r="F3" s="40" t="s">
        <v>12</v>
      </c>
      <c r="G3" s="40" t="s">
        <v>13</v>
      </c>
      <c r="H3" s="40" t="s">
        <v>14</v>
      </c>
      <c r="I3" s="40" t="s">
        <v>15</v>
      </c>
      <c r="J3" s="40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0">
        <f>Allgemein!$B$2*24.883</f>
        <v>27.12247</v>
      </c>
      <c r="G5" s="13">
        <v>30</v>
      </c>
      <c r="H5" s="20">
        <f>Allgemein!$B$2*922225</f>
        <v>1005225.2500000001</v>
      </c>
      <c r="I5" s="13" t="s">
        <v>24</v>
      </c>
      <c r="J5" s="13" t="s">
        <v>24</v>
      </c>
      <c r="K5" s="1" t="s">
        <v>146</v>
      </c>
    </row>
    <row r="6" spans="1:13" ht="18.75" customHeight="1" x14ac:dyDescent="0.2">
      <c r="A6" s="11" t="s">
        <v>25</v>
      </c>
      <c r="B6" s="3" t="s">
        <v>22</v>
      </c>
      <c r="C6" s="12" t="s">
        <v>23</v>
      </c>
      <c r="D6" s="12" t="s">
        <v>23</v>
      </c>
      <c r="E6" s="12" t="s">
        <v>23</v>
      </c>
      <c r="F6" s="20">
        <f>Allgemein!$B$2*23.215</f>
        <v>25.304350000000003</v>
      </c>
      <c r="G6" s="12">
        <v>30</v>
      </c>
      <c r="H6" s="20">
        <f>Allgemein!$B$2*1081000</f>
        <v>1178290</v>
      </c>
      <c r="I6" s="13" t="s">
        <v>24</v>
      </c>
      <c r="J6" s="13" t="s">
        <v>24</v>
      </c>
      <c r="K6" s="1" t="s">
        <v>147</v>
      </c>
    </row>
    <row r="7" spans="1:13" ht="18.75" customHeight="1" x14ac:dyDescent="0.2">
      <c r="A7" s="11" t="s">
        <v>30</v>
      </c>
      <c r="B7" s="3" t="s">
        <v>27</v>
      </c>
      <c r="C7" s="12" t="s">
        <v>23</v>
      </c>
      <c r="D7" s="12" t="s">
        <v>23</v>
      </c>
      <c r="E7" s="12" t="s">
        <v>28</v>
      </c>
      <c r="F7" s="20">
        <f>marginal_cost!L2</f>
        <v>2.88563645597673</v>
      </c>
      <c r="G7" s="12">
        <v>10</v>
      </c>
      <c r="H7" s="15">
        <f>capital_cost!J2</f>
        <v>720000</v>
      </c>
      <c r="I7" s="23">
        <f>Allgemein!$B$12/marginal_cost!F2</f>
        <v>0.59891107078039929</v>
      </c>
      <c r="J7" s="13" t="s">
        <v>24</v>
      </c>
      <c r="K7" s="1" t="s">
        <v>31</v>
      </c>
    </row>
    <row r="8" spans="1:13" ht="18.75" customHeight="1" x14ac:dyDescent="0.2">
      <c r="A8" s="11" t="s">
        <v>32</v>
      </c>
      <c r="B8" s="3" t="s">
        <v>27</v>
      </c>
      <c r="C8" s="12" t="s">
        <v>23</v>
      </c>
      <c r="D8" s="12" t="s">
        <v>23</v>
      </c>
      <c r="E8" s="12" t="s">
        <v>28</v>
      </c>
      <c r="F8" s="20">
        <f>marginal_cost!L3</f>
        <v>3.6615551356972333</v>
      </c>
      <c r="G8" s="12">
        <v>10</v>
      </c>
      <c r="H8" s="15">
        <f>capital_cost!J3</f>
        <v>630000</v>
      </c>
      <c r="I8" s="23">
        <f>Allgemein!$B$12/marginal_cost!F3</f>
        <v>0.61797752808988771</v>
      </c>
      <c r="J8" s="13" t="s">
        <v>24</v>
      </c>
      <c r="K8" s="1" t="s">
        <v>31</v>
      </c>
    </row>
    <row r="9" spans="1:13" ht="19" x14ac:dyDescent="0.2">
      <c r="A9" s="11" t="s">
        <v>33</v>
      </c>
      <c r="B9" s="3" t="s">
        <v>27</v>
      </c>
      <c r="C9" s="12" t="s">
        <v>23</v>
      </c>
      <c r="D9" s="12" t="s">
        <v>23</v>
      </c>
      <c r="E9" s="12" t="s">
        <v>28</v>
      </c>
      <c r="F9" s="20">
        <v>0</v>
      </c>
      <c r="G9" s="12">
        <v>20</v>
      </c>
      <c r="H9" s="15">
        <f>capital_cost!J4</f>
        <v>3296969.6969696968</v>
      </c>
      <c r="I9" s="23">
        <f>efficiency!$G$2</f>
        <v>0.76744186046511631</v>
      </c>
      <c r="J9" s="13" t="s">
        <v>24</v>
      </c>
      <c r="K9" s="1" t="s">
        <v>34</v>
      </c>
    </row>
    <row r="10" spans="1:13" ht="18.75" customHeight="1" x14ac:dyDescent="0.2">
      <c r="A10" s="11" t="s">
        <v>35</v>
      </c>
      <c r="B10" s="3" t="s">
        <v>27</v>
      </c>
      <c r="C10" s="12" t="s">
        <v>23</v>
      </c>
      <c r="D10" s="12" t="s">
        <v>23</v>
      </c>
      <c r="E10" s="12" t="s">
        <v>28</v>
      </c>
      <c r="F10" s="20">
        <v>0</v>
      </c>
      <c r="G10" s="12">
        <v>20</v>
      </c>
      <c r="H10" s="20">
        <v>1212000</v>
      </c>
      <c r="I10" s="23">
        <v>0.92</v>
      </c>
      <c r="J10" s="13" t="s">
        <v>24</v>
      </c>
    </row>
    <row r="11" spans="1:13" ht="19" x14ac:dyDescent="0.2">
      <c r="A11" s="11" t="s">
        <v>36</v>
      </c>
      <c r="B11" s="3" t="s">
        <v>27</v>
      </c>
      <c r="C11" s="12" t="s">
        <v>23</v>
      </c>
      <c r="D11" s="12" t="s">
        <v>23</v>
      </c>
      <c r="E11" s="12" t="s">
        <v>28</v>
      </c>
      <c r="F11" s="20">
        <v>0</v>
      </c>
      <c r="G11" s="12">
        <v>20</v>
      </c>
      <c r="H11" s="20">
        <v>79500</v>
      </c>
      <c r="I11" s="23">
        <v>0.7</v>
      </c>
      <c r="J11" s="13" t="s">
        <v>24</v>
      </c>
      <c r="K11" s="1" t="s">
        <v>37</v>
      </c>
    </row>
    <row r="12" spans="1:13" ht="19" x14ac:dyDescent="0.2">
      <c r="A12" s="11" t="s">
        <v>142</v>
      </c>
      <c r="B12" s="3" t="s">
        <v>39</v>
      </c>
      <c r="C12" s="12" t="s">
        <v>23</v>
      </c>
      <c r="D12" s="12" t="s">
        <v>23</v>
      </c>
      <c r="E12" s="13" t="s">
        <v>28</v>
      </c>
      <c r="F12" s="20">
        <v>0</v>
      </c>
      <c r="G12" s="12">
        <v>30</v>
      </c>
      <c r="H12" s="15">
        <f>Allgemein!$B$2*1005.201*1000</f>
        <v>1095669.0900000001</v>
      </c>
      <c r="I12" s="38" t="s">
        <v>24</v>
      </c>
      <c r="J12" s="23">
        <v>0</v>
      </c>
      <c r="K12" s="29" t="s">
        <v>149</v>
      </c>
    </row>
    <row r="13" spans="1:13" ht="19" x14ac:dyDescent="0.2">
      <c r="A13" s="11" t="s">
        <v>40</v>
      </c>
      <c r="B13" s="3" t="s">
        <v>39</v>
      </c>
      <c r="C13" s="12" t="s">
        <v>23</v>
      </c>
      <c r="D13" s="12" t="s">
        <v>23</v>
      </c>
      <c r="E13" s="13" t="s">
        <v>28</v>
      </c>
      <c r="F13" s="20">
        <v>0</v>
      </c>
      <c r="G13" s="12">
        <v>25</v>
      </c>
      <c r="H13" s="15">
        <f>capital_cost!J5</f>
        <v>1090.9090909090908</v>
      </c>
      <c r="I13" s="38" t="s">
        <v>24</v>
      </c>
      <c r="J13" s="23">
        <f>0.002/24</f>
        <v>8.3333333333333331E-5</v>
      </c>
      <c r="K13" s="1" t="s">
        <v>34</v>
      </c>
    </row>
    <row r="14" spans="1:13" ht="19.25" customHeight="1" x14ac:dyDescent="0.2">
      <c r="A14" s="11" t="s">
        <v>41</v>
      </c>
      <c r="B14" s="3" t="s">
        <v>39</v>
      </c>
      <c r="C14" s="12" t="s">
        <v>23</v>
      </c>
      <c r="D14" s="12" t="s">
        <v>23</v>
      </c>
      <c r="E14" s="13" t="s">
        <v>28</v>
      </c>
      <c r="F14" s="20">
        <v>0</v>
      </c>
      <c r="G14" s="12">
        <v>20</v>
      </c>
      <c r="H14" s="15">
        <v>255</v>
      </c>
      <c r="I14" s="38" t="s">
        <v>24</v>
      </c>
      <c r="J14" s="23">
        <v>4.0000000000000002E-4</v>
      </c>
      <c r="K14" s="1" t="s">
        <v>37</v>
      </c>
    </row>
    <row r="15" spans="1:13" ht="19" x14ac:dyDescent="0.2">
      <c r="A15" s="11" t="s">
        <v>42</v>
      </c>
      <c r="B15" s="3" t="s">
        <v>39</v>
      </c>
      <c r="C15" s="12" t="s">
        <v>23</v>
      </c>
      <c r="D15" s="12" t="s">
        <v>23</v>
      </c>
      <c r="E15" s="13" t="s">
        <v>28</v>
      </c>
      <c r="F15" s="20">
        <v>0</v>
      </c>
      <c r="G15" s="12">
        <v>30</v>
      </c>
      <c r="H15" s="15">
        <v>239</v>
      </c>
      <c r="I15" s="38" t="s">
        <v>24</v>
      </c>
      <c r="J15" s="23">
        <v>0</v>
      </c>
      <c r="K15" s="1" t="s">
        <v>37</v>
      </c>
    </row>
    <row r="16" spans="1:13" ht="18.75" customHeight="1" x14ac:dyDescent="0.2">
      <c r="A16" s="11" t="s">
        <v>43</v>
      </c>
      <c r="B16" s="3" t="s">
        <v>27</v>
      </c>
      <c r="C16" s="12" t="s">
        <v>23</v>
      </c>
      <c r="D16" s="12" t="s">
        <v>23</v>
      </c>
      <c r="E16" s="13" t="s">
        <v>28</v>
      </c>
      <c r="F16" s="20">
        <v>3.9</v>
      </c>
      <c r="G16" s="38" t="s">
        <v>24</v>
      </c>
      <c r="H16" s="38" t="s">
        <v>24</v>
      </c>
      <c r="I16" s="38">
        <v>0.99299999999999999</v>
      </c>
      <c r="J16" s="13" t="s">
        <v>24</v>
      </c>
      <c r="K16" s="1" t="s">
        <v>44</v>
      </c>
    </row>
    <row r="17" spans="1:13" ht="18.75" customHeight="1" x14ac:dyDescent="0.2">
      <c r="A17" s="11" t="s">
        <v>45</v>
      </c>
      <c r="B17" s="3" t="s">
        <v>27</v>
      </c>
      <c r="C17" s="12" t="s">
        <v>23</v>
      </c>
      <c r="D17" s="12" t="s">
        <v>23</v>
      </c>
      <c r="E17" s="13" t="s">
        <v>28</v>
      </c>
      <c r="F17" s="20">
        <f>marginal_cost!L7</f>
        <v>0.11107804278831422</v>
      </c>
      <c r="G17" s="13">
        <v>20</v>
      </c>
      <c r="H17" s="26">
        <f>capital_cost!J7</f>
        <v>2291308.8692835532</v>
      </c>
      <c r="I17" s="23">
        <f>efficiency!G3</f>
        <v>0.86221181280202108</v>
      </c>
      <c r="J17" s="13" t="s">
        <v>24</v>
      </c>
      <c r="K17" t="s">
        <v>84</v>
      </c>
    </row>
    <row r="18" spans="1:13" ht="18.75" customHeight="1" x14ac:dyDescent="0.2">
      <c r="A18" s="11" t="s">
        <v>46</v>
      </c>
      <c r="B18" s="3" t="s">
        <v>27</v>
      </c>
      <c r="C18" s="12" t="s">
        <v>23</v>
      </c>
      <c r="D18" s="12" t="s">
        <v>23</v>
      </c>
      <c r="E18" s="13" t="s">
        <v>28</v>
      </c>
      <c r="F18" s="20">
        <f>marginal_cost!L8</f>
        <v>5.8299648826375096E-2</v>
      </c>
      <c r="G18" s="13">
        <v>20</v>
      </c>
      <c r="H18" s="26">
        <f>capital_cost!J8</f>
        <v>1135336.8482718221</v>
      </c>
      <c r="I18" s="23">
        <f>efficiency!G4</f>
        <v>0.99675027863908006</v>
      </c>
      <c r="J18" s="13" t="s">
        <v>24</v>
      </c>
      <c r="K18" t="s">
        <v>84</v>
      </c>
    </row>
    <row r="19" spans="1:13" ht="18.75" customHeight="1" x14ac:dyDescent="0.2">
      <c r="A19" s="11" t="s">
        <v>47</v>
      </c>
      <c r="B19" s="3" t="s">
        <v>27</v>
      </c>
      <c r="C19" s="12" t="s">
        <v>23</v>
      </c>
      <c r="D19" s="12" t="s">
        <v>23</v>
      </c>
      <c r="E19" s="13" t="s">
        <v>28</v>
      </c>
      <c r="F19" s="20">
        <f>marginal_cost!L9</f>
        <v>1.5972610857142858E-2</v>
      </c>
      <c r="G19" s="13">
        <v>20</v>
      </c>
      <c r="H19" s="34">
        <f>capital_cost!J9</f>
        <v>494824.16154071479</v>
      </c>
      <c r="I19" s="23">
        <v>1</v>
      </c>
      <c r="J19" s="13" t="s">
        <v>24</v>
      </c>
      <c r="K19" t="s">
        <v>84</v>
      </c>
    </row>
    <row r="20" spans="1:13" ht="19" x14ac:dyDescent="0.2">
      <c r="A20" s="11" t="s">
        <v>48</v>
      </c>
      <c r="B20" s="3" t="s">
        <v>27</v>
      </c>
      <c r="C20" s="12" t="s">
        <v>23</v>
      </c>
      <c r="D20" s="12" t="s">
        <v>23</v>
      </c>
      <c r="E20" s="13" t="s">
        <v>28</v>
      </c>
      <c r="F20" s="20">
        <v>0</v>
      </c>
      <c r="G20" s="13">
        <v>20</v>
      </c>
      <c r="H20" s="20">
        <v>409500</v>
      </c>
      <c r="I20" s="23">
        <v>0.997</v>
      </c>
      <c r="J20" s="13" t="s">
        <v>24</v>
      </c>
    </row>
    <row r="21" spans="1:13" ht="19" x14ac:dyDescent="0.2">
      <c r="A21" s="30" t="s">
        <v>49</v>
      </c>
      <c r="B21" s="3" t="s">
        <v>27</v>
      </c>
      <c r="C21" s="12" t="s">
        <v>23</v>
      </c>
      <c r="D21" s="12" t="s">
        <v>23</v>
      </c>
      <c r="E21" s="13" t="s">
        <v>28</v>
      </c>
      <c r="F21" s="20">
        <v>0</v>
      </c>
      <c r="G21" s="13">
        <v>20</v>
      </c>
      <c r="H21" s="20">
        <f>capital_cost!J10*(1+marginal_cost!B10*G21)</f>
        <v>376000</v>
      </c>
      <c r="I21" s="23">
        <v>0.86</v>
      </c>
      <c r="J21" s="13" t="s">
        <v>24</v>
      </c>
      <c r="K21" s="1" t="s">
        <v>50</v>
      </c>
      <c r="M21"/>
    </row>
    <row r="22" spans="1:13" ht="19" x14ac:dyDescent="0.2">
      <c r="A22" s="11" t="s">
        <v>51</v>
      </c>
      <c r="B22" s="3" t="s">
        <v>27</v>
      </c>
      <c r="C22" s="12" t="s">
        <v>23</v>
      </c>
      <c r="D22" s="12" t="s">
        <v>23</v>
      </c>
      <c r="E22" s="13" t="s">
        <v>28</v>
      </c>
      <c r="F22" s="20">
        <v>0</v>
      </c>
      <c r="G22" s="13">
        <v>20</v>
      </c>
      <c r="H22" s="20">
        <v>204000</v>
      </c>
      <c r="I22" s="23">
        <v>0.67</v>
      </c>
      <c r="J22" s="13" t="s">
        <v>24</v>
      </c>
      <c r="K22" s="1" t="s">
        <v>37</v>
      </c>
    </row>
    <row r="26" spans="1:13" x14ac:dyDescent="0.2">
      <c r="A26" s="19"/>
    </row>
    <row r="27" spans="1:13" ht="19" x14ac:dyDescent="0.2">
      <c r="B27" s="40"/>
      <c r="E27" s="13"/>
      <c r="F27" s="13"/>
      <c r="G27" s="30"/>
      <c r="H27" s="20"/>
      <c r="I27" s="13"/>
      <c r="J27" s="13"/>
    </row>
    <row r="29" spans="1:13" x14ac:dyDescent="0.2">
      <c r="I29"/>
    </row>
    <row r="30" spans="1:13" x14ac:dyDescent="0.15">
      <c r="A30" s="42"/>
      <c r="B30" s="42"/>
      <c r="C30" s="43"/>
      <c r="D30" s="43"/>
      <c r="E30" s="43"/>
      <c r="F30" s="43"/>
      <c r="G30" s="43"/>
    </row>
    <row r="32" spans="1:13" x14ac:dyDescent="0.2">
      <c r="A32"/>
      <c r="B32"/>
      <c r="C32"/>
      <c r="D32"/>
    </row>
    <row r="33" spans="1:7" x14ac:dyDescent="0.2">
      <c r="A33" s="35"/>
      <c r="B33" s="36"/>
      <c r="C33"/>
      <c r="D33"/>
      <c r="E33" s="22"/>
    </row>
    <row r="34" spans="1:7" x14ac:dyDescent="0.2">
      <c r="A34" s="35"/>
      <c r="B34" s="36"/>
      <c r="C34"/>
      <c r="D34"/>
      <c r="E34" s="22"/>
    </row>
    <row r="35" spans="1:7" x14ac:dyDescent="0.2">
      <c r="A35" s="35"/>
      <c r="B35" s="36"/>
      <c r="C35"/>
      <c r="D35"/>
      <c r="E35" s="22"/>
    </row>
    <row r="36" spans="1:7" x14ac:dyDescent="0.2">
      <c r="A36" s="35"/>
      <c r="B36" s="36"/>
      <c r="C36"/>
      <c r="D36"/>
      <c r="E36" s="22"/>
    </row>
    <row r="38" spans="1:7" x14ac:dyDescent="0.2">
      <c r="A38" s="19"/>
      <c r="C38" s="22"/>
    </row>
    <row r="42" spans="1:7" x14ac:dyDescent="0.2">
      <c r="E42" s="41"/>
      <c r="F42" s="41"/>
      <c r="G42" s="41"/>
    </row>
    <row r="43" spans="1:7" x14ac:dyDescent="0.2">
      <c r="E43" s="41"/>
      <c r="F43" s="41"/>
      <c r="G43" s="41"/>
    </row>
    <row r="44" spans="1:7" x14ac:dyDescent="0.2">
      <c r="E44" s="41"/>
      <c r="F44" s="41"/>
      <c r="G44" s="41"/>
    </row>
    <row r="45" spans="1:7" x14ac:dyDescent="0.2">
      <c r="E45" s="41"/>
      <c r="F45" s="41"/>
      <c r="G45" s="41"/>
    </row>
    <row r="46" spans="1:7" x14ac:dyDescent="0.2">
      <c r="E46" s="41"/>
      <c r="F46" s="41"/>
      <c r="G46" s="41"/>
    </row>
    <row r="47" spans="1:7" x14ac:dyDescent="0.2">
      <c r="E47" s="41"/>
      <c r="F47" s="41"/>
      <c r="G47" s="41"/>
    </row>
    <row r="48" spans="1:7" x14ac:dyDescent="0.2">
      <c r="E48" s="41"/>
      <c r="F48" s="41"/>
      <c r="G48" s="41"/>
    </row>
    <row r="49" spans="1:7" x14ac:dyDescent="0.2">
      <c r="E49" s="41"/>
      <c r="F49" s="41"/>
      <c r="G49" s="41"/>
    </row>
    <row r="50" spans="1:7" x14ac:dyDescent="0.2">
      <c r="E50" s="41"/>
      <c r="F50" s="41"/>
      <c r="G50" s="41"/>
    </row>
    <row r="51" spans="1:7" x14ac:dyDescent="0.2">
      <c r="E51" s="41"/>
      <c r="F51" s="41"/>
      <c r="G51" s="41"/>
    </row>
    <row r="52" spans="1:7" x14ac:dyDescent="0.2">
      <c r="E52" s="41"/>
      <c r="F52" s="41"/>
      <c r="G52" s="41"/>
    </row>
    <row r="53" spans="1:7" x14ac:dyDescent="0.2">
      <c r="E53" s="41"/>
      <c r="F53" s="41"/>
      <c r="G53" s="41"/>
    </row>
    <row r="54" spans="1:7" x14ac:dyDescent="0.2">
      <c r="E54" s="41"/>
      <c r="F54" s="41"/>
      <c r="G54" s="41"/>
    </row>
    <row r="55" spans="1:7" x14ac:dyDescent="0.2">
      <c r="E55" s="41"/>
      <c r="F55" s="41"/>
      <c r="G55" s="41"/>
    </row>
    <row r="56" spans="1:7" x14ac:dyDescent="0.2">
      <c r="E56" s="41"/>
      <c r="F56" s="41"/>
      <c r="G56" s="41"/>
    </row>
    <row r="59" spans="1:7" x14ac:dyDescent="0.2">
      <c r="A59" s="19"/>
    </row>
  </sheetData>
  <mergeCells count="1">
    <mergeCell ref="A1:J1"/>
  </mergeCells>
  <conditionalFormatting sqref="C12:D19 F12:J22 G7:G15 C5:J11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7 E20:J22 C5:J19">
    <cfRule type="containsText" dxfId="6" priority="7" operator="containsText" text="Simulation">
      <formula>NOT(ISERROR(SEARCH("Simulation",C5)))</formula>
    </cfRule>
  </conditionalFormatting>
  <conditionalFormatting sqref="F5:J22">
    <cfRule type="notContainsBlanks" dxfId="5" priority="6">
      <formula>LEN(TRIM(F5))&gt;0</formula>
    </cfRule>
  </conditionalFormatting>
  <conditionalFormatting sqref="C20:D22">
    <cfRule type="containsText" dxfId="4" priority="1" operator="containsText" text="n.v.">
      <formula>NOT(ISERROR(SEARCH("n.v.",C20)))</formula>
    </cfRule>
    <cfRule type="containsBlanks" dxfId="3" priority="3">
      <formula>LEN(TRIM(C20))=0</formula>
    </cfRule>
    <cfRule type="containsText" dxfId="2" priority="4" operator="containsText" text="x">
      <formula>NOT(ISERROR(SEARCH("x",C20)))</formula>
    </cfRule>
  </conditionalFormatting>
  <conditionalFormatting sqref="C20:D22">
    <cfRule type="containsText" dxfId="1" priority="2" operator="containsText" text="Simulation">
      <formula>NOT(ISERROR(SEARCH("Simulation",C20)))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topLeftCell="A2" workbookViewId="0">
      <selection activeCell="A27" sqref="A26:A27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27" t="s">
        <v>53</v>
      </c>
    </row>
    <row r="2" spans="1:3" x14ac:dyDescent="0.2">
      <c r="A2" t="s">
        <v>54</v>
      </c>
      <c r="B2">
        <v>1.0900000000000001</v>
      </c>
      <c r="C2" t="s">
        <v>55</v>
      </c>
    </row>
    <row r="4" spans="1:3" x14ac:dyDescent="0.2">
      <c r="A4" s="27" t="s">
        <v>56</v>
      </c>
      <c r="B4" s="27"/>
      <c r="C4" s="27"/>
    </row>
    <row r="5" spans="1:3" x14ac:dyDescent="0.2">
      <c r="A5" t="s">
        <v>57</v>
      </c>
      <c r="B5">
        <v>10</v>
      </c>
      <c r="C5" t="s">
        <v>58</v>
      </c>
    </row>
    <row r="6" spans="1:3" x14ac:dyDescent="0.2">
      <c r="A6" t="s">
        <v>59</v>
      </c>
      <c r="B6">
        <f>24*15+4</f>
        <v>364</v>
      </c>
      <c r="C6" t="s">
        <v>60</v>
      </c>
    </row>
    <row r="7" spans="1:3" x14ac:dyDescent="0.2">
      <c r="A7" t="s">
        <v>61</v>
      </c>
      <c r="B7">
        <f>B6*B5</f>
        <v>3640</v>
      </c>
      <c r="C7" t="s">
        <v>62</v>
      </c>
    </row>
    <row r="11" spans="1:3" x14ac:dyDescent="0.2">
      <c r="A11" s="27" t="s">
        <v>63</v>
      </c>
    </row>
    <row r="12" spans="1:3" x14ac:dyDescent="0.2">
      <c r="A12" t="s">
        <v>64</v>
      </c>
      <c r="B12">
        <v>33</v>
      </c>
      <c r="C12" t="s">
        <v>65</v>
      </c>
    </row>
    <row r="13" spans="1:3" x14ac:dyDescent="0.2">
      <c r="A13" t="s">
        <v>66</v>
      </c>
    </row>
    <row r="14" spans="1:3" x14ac:dyDescent="0.2">
      <c r="A14" t="s">
        <v>67</v>
      </c>
      <c r="B14">
        <v>71.099999999999994</v>
      </c>
      <c r="C14" t="s">
        <v>68</v>
      </c>
    </row>
    <row r="15" spans="1:3" x14ac:dyDescent="0.2">
      <c r="A15" t="s">
        <v>69</v>
      </c>
      <c r="B15">
        <v>5.2</v>
      </c>
      <c r="C15" t="s">
        <v>65</v>
      </c>
    </row>
    <row r="16" spans="1:3" x14ac:dyDescent="0.2">
      <c r="A16" t="s">
        <v>70</v>
      </c>
      <c r="B16">
        <v>682.8</v>
      </c>
      <c r="C16" t="s">
        <v>68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28"/>
  <sheetViews>
    <sheetView tabSelected="1" zoomScaleNormal="100" workbookViewId="0">
      <selection activeCell="C15" sqref="C15"/>
    </sheetView>
  </sheetViews>
  <sheetFormatPr baseColWidth="10" defaultColWidth="11" defaultRowHeight="16" x14ac:dyDescent="0.2"/>
  <cols>
    <col min="1" max="1" width="17.83203125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52</v>
      </c>
    </row>
    <row r="2" spans="1:11" x14ac:dyDescent="0.2">
      <c r="A2" t="s">
        <v>30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f>720*1000</f>
        <v>720000</v>
      </c>
      <c r="K2" t="s">
        <v>31</v>
      </c>
    </row>
    <row r="3" spans="1:11" x14ac:dyDescent="0.2">
      <c r="A3" t="s">
        <v>32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f>630*1000</f>
        <v>630000</v>
      </c>
      <c r="K3" t="s">
        <v>31</v>
      </c>
    </row>
    <row r="4" spans="1:11" x14ac:dyDescent="0.2">
      <c r="A4" t="s">
        <v>33</v>
      </c>
      <c r="B4" s="14">
        <v>0</v>
      </c>
      <c r="C4" s="14">
        <v>0</v>
      </c>
      <c r="D4" s="14">
        <v>0</v>
      </c>
      <c r="E4" s="14">
        <v>136000000</v>
      </c>
      <c r="F4" s="14">
        <v>8000</v>
      </c>
      <c r="G4" s="14">
        <v>30000</v>
      </c>
      <c r="H4" s="14">
        <f>(F4/24)*G4</f>
        <v>10000000</v>
      </c>
      <c r="I4" s="14">
        <v>0</v>
      </c>
      <c r="J4" s="14">
        <f>E4/(H4*Allgemein!$B$12/F4)*1000</f>
        <v>3296969.6969696968</v>
      </c>
      <c r="K4" t="s">
        <v>34</v>
      </c>
    </row>
    <row r="5" spans="1:11" x14ac:dyDescent="0.2">
      <c r="A5" t="s">
        <v>40</v>
      </c>
      <c r="B5" s="14">
        <v>36</v>
      </c>
      <c r="C5" s="14" t="s">
        <v>80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f>B5/Allgemein!$B$12*1000</f>
        <v>1090.9090909090908</v>
      </c>
      <c r="K5" t="s">
        <v>81</v>
      </c>
    </row>
    <row r="6" spans="1:11" x14ac:dyDescent="0.2">
      <c r="A6" t="s">
        <v>41</v>
      </c>
      <c r="B6" s="14"/>
      <c r="C6" s="14"/>
      <c r="D6" s="14"/>
      <c r="E6" s="14"/>
      <c r="F6" s="14"/>
      <c r="G6" s="14"/>
      <c r="H6" s="14"/>
      <c r="I6" s="14"/>
      <c r="J6" s="14"/>
    </row>
    <row r="7" spans="1:11" x14ac:dyDescent="0.2">
      <c r="A7" t="s">
        <v>45</v>
      </c>
      <c r="B7" s="14">
        <v>1355</v>
      </c>
      <c r="C7" s="14" t="s">
        <v>83</v>
      </c>
      <c r="D7" s="14">
        <f>B7*Allgemein!$B$2</f>
        <v>1476.95</v>
      </c>
      <c r="E7" s="14">
        <v>0</v>
      </c>
      <c r="F7" s="14">
        <v>0</v>
      </c>
      <c r="G7" s="14">
        <v>0</v>
      </c>
      <c r="H7" s="14">
        <v>0</v>
      </c>
      <c r="I7" s="14">
        <f>D7/(Allgemein!$B$14*Allgemein!$B$12/1000)</f>
        <v>629.48045859438275</v>
      </c>
      <c r="J7" s="14">
        <f>I7*Allgemein!$B$7</f>
        <v>2291308.8692835532</v>
      </c>
      <c r="K7" t="s">
        <v>84</v>
      </c>
    </row>
    <row r="8" spans="1:11" x14ac:dyDescent="0.2">
      <c r="A8" t="s">
        <v>46</v>
      </c>
      <c r="B8" s="14">
        <v>1016</v>
      </c>
      <c r="C8" s="14" t="s">
        <v>83</v>
      </c>
      <c r="D8" s="14">
        <f>B8*Allgemein!$B$2</f>
        <v>1107.44</v>
      </c>
      <c r="E8" s="14">
        <v>0</v>
      </c>
      <c r="F8" s="14">
        <v>0</v>
      </c>
      <c r="G8" s="14">
        <v>0</v>
      </c>
      <c r="H8" s="14">
        <v>0</v>
      </c>
      <c r="I8" s="14">
        <f>D8/(Allgemein!$B$16*Allgemein!$B$15/1000)</f>
        <v>311.90572754720387</v>
      </c>
      <c r="J8" s="14">
        <f>I8*Allgemein!$B$7</f>
        <v>1135336.8482718221</v>
      </c>
      <c r="K8" t="s">
        <v>84</v>
      </c>
    </row>
    <row r="9" spans="1:11" x14ac:dyDescent="0.2">
      <c r="A9" t="s">
        <v>47</v>
      </c>
      <c r="B9" s="14">
        <f>65000000/efficiency!I5</f>
        <v>406.25</v>
      </c>
      <c r="C9" s="14" t="s">
        <v>83</v>
      </c>
      <c r="D9" s="14">
        <f>B9*Allgemein!$B$2</f>
        <v>442.81250000000006</v>
      </c>
      <c r="I9" s="14">
        <f>D9/(Allgemein!$B$16*Allgemein!$B$15/1000)*Allgemein!$B$2</f>
        <v>135.9407037199766</v>
      </c>
      <c r="J9" s="14">
        <f>I9*Allgemein!$B$7</f>
        <v>494824.16154071479</v>
      </c>
      <c r="K9" t="s">
        <v>139</v>
      </c>
    </row>
    <row r="10" spans="1:11" x14ac:dyDescent="0.2">
      <c r="A10" t="s">
        <v>49</v>
      </c>
      <c r="J10" s="14">
        <v>235000</v>
      </c>
      <c r="K10" t="s">
        <v>37</v>
      </c>
    </row>
    <row r="11" spans="1:11" x14ac:dyDescent="0.2">
      <c r="A11" t="s">
        <v>138</v>
      </c>
      <c r="J11" s="33">
        <v>808000</v>
      </c>
    </row>
    <row r="12" spans="1:11" x14ac:dyDescent="0.2">
      <c r="B12" s="14"/>
      <c r="C12" s="14"/>
    </row>
    <row r="13" spans="1:11" x14ac:dyDescent="0.2">
      <c r="B13" s="25"/>
      <c r="C13" s="14"/>
    </row>
    <row r="24" spans="4:5" x14ac:dyDescent="0.2">
      <c r="D24" s="14"/>
      <c r="E24" s="25"/>
    </row>
    <row r="28" spans="4:5" x14ac:dyDescent="0.2">
      <c r="D28" s="14"/>
      <c r="E28" s="14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workbookViewId="0">
      <selection activeCell="L11" sqref="L11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85</v>
      </c>
      <c r="C1" t="s">
        <v>72</v>
      </c>
      <c r="D1" t="s">
        <v>86</v>
      </c>
      <c r="E1" t="s">
        <v>87</v>
      </c>
      <c r="F1" t="s">
        <v>88</v>
      </c>
      <c r="G1" t="s">
        <v>75</v>
      </c>
      <c r="H1" t="s">
        <v>89</v>
      </c>
      <c r="I1" t="s">
        <v>76</v>
      </c>
      <c r="J1" t="s">
        <v>77</v>
      </c>
      <c r="K1" t="s">
        <v>90</v>
      </c>
      <c r="L1" t="s">
        <v>91</v>
      </c>
      <c r="M1" t="s">
        <v>52</v>
      </c>
    </row>
    <row r="2" spans="1:13" x14ac:dyDescent="0.2">
      <c r="A2" t="s">
        <v>30</v>
      </c>
      <c r="B2" s="14">
        <v>15</v>
      </c>
      <c r="C2" s="14" t="s">
        <v>92</v>
      </c>
      <c r="D2" s="14">
        <v>0</v>
      </c>
      <c r="E2" s="14">
        <f>B2*100000</f>
        <v>1500000</v>
      </c>
      <c r="F2" s="14">
        <v>55.1</v>
      </c>
      <c r="G2" s="14">
        <v>8000</v>
      </c>
      <c r="H2" s="14">
        <v>1969</v>
      </c>
      <c r="I2" s="14">
        <v>0</v>
      </c>
      <c r="J2" s="14">
        <f>G2*H2</f>
        <v>15752000</v>
      </c>
      <c r="K2" s="14">
        <v>0</v>
      </c>
      <c r="L2" s="14">
        <f>E2/(J2/1000*33)</f>
        <v>2.88563645597673</v>
      </c>
      <c r="M2" t="s">
        <v>31</v>
      </c>
    </row>
    <row r="3" spans="1:13" x14ac:dyDescent="0.2">
      <c r="A3" t="s">
        <v>32</v>
      </c>
      <c r="B3" s="14">
        <v>20</v>
      </c>
      <c r="C3" s="14" t="s">
        <v>92</v>
      </c>
      <c r="D3" s="14">
        <v>0</v>
      </c>
      <c r="E3" s="14">
        <f>B3*100000</f>
        <v>2000000</v>
      </c>
      <c r="F3" s="14">
        <v>53.4</v>
      </c>
      <c r="G3" s="14">
        <v>8000</v>
      </c>
      <c r="H3" s="14">
        <v>2069</v>
      </c>
      <c r="I3" s="14">
        <v>0</v>
      </c>
      <c r="J3" s="14">
        <f>G3*H3</f>
        <v>16552000</v>
      </c>
      <c r="K3" s="14">
        <v>0</v>
      </c>
      <c r="L3" s="14">
        <f>E3/(J3/1000*33)</f>
        <v>3.6615551356972333</v>
      </c>
      <c r="M3" t="s">
        <v>31</v>
      </c>
    </row>
    <row r="4" spans="1:13" x14ac:dyDescent="0.2">
      <c r="A4" t="s">
        <v>33</v>
      </c>
      <c r="B4" s="14">
        <v>0</v>
      </c>
      <c r="C4" s="14">
        <v>0</v>
      </c>
      <c r="D4" s="14">
        <v>0</v>
      </c>
      <c r="E4" s="14">
        <v>2000000</v>
      </c>
      <c r="F4" s="14">
        <v>6</v>
      </c>
      <c r="G4" s="14">
        <v>8000</v>
      </c>
      <c r="H4" s="14">
        <v>0</v>
      </c>
      <c r="I4" s="14">
        <v>30000</v>
      </c>
      <c r="J4" s="14">
        <f>(G4/24)*I4</f>
        <v>10000000</v>
      </c>
      <c r="K4" s="14">
        <v>0</v>
      </c>
      <c r="L4" s="14">
        <f>E4/(J4/1000*33)</f>
        <v>6.0606060606060606</v>
      </c>
      <c r="M4" t="s">
        <v>34</v>
      </c>
    </row>
    <row r="5" spans="1:13" x14ac:dyDescent="0.2">
      <c r="A5" t="s">
        <v>40</v>
      </c>
      <c r="B5" s="14">
        <v>2</v>
      </c>
      <c r="C5" s="14" t="s">
        <v>93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f>capital_cost!$J$5*B5*0.01</f>
        <v>21.818181818181817</v>
      </c>
      <c r="M5" t="s">
        <v>94</v>
      </c>
    </row>
    <row r="6" spans="1:13" x14ac:dyDescent="0.2">
      <c r="A6" t="s">
        <v>38</v>
      </c>
      <c r="B6" s="14">
        <v>2</v>
      </c>
      <c r="C6" s="14" t="s">
        <v>93</v>
      </c>
      <c r="D6" s="14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14" t="e">
        <f>capital_cost!#REF!*B6*0.01</f>
        <v>#REF!</v>
      </c>
      <c r="M6" t="s">
        <v>82</v>
      </c>
    </row>
    <row r="7" spans="1:13" x14ac:dyDescent="0.2">
      <c r="A7" t="s">
        <v>45</v>
      </c>
      <c r="B7" s="14">
        <v>24.14</v>
      </c>
      <c r="C7" s="14" t="s">
        <v>95</v>
      </c>
      <c r="D7" s="14">
        <f>24300000/B7</f>
        <v>1006628.0033140016</v>
      </c>
      <c r="E7" s="14">
        <f>D7*Allgemein!$B$2</f>
        <v>1097224.5236122617</v>
      </c>
      <c r="F7" s="14">
        <v>0</v>
      </c>
      <c r="G7" s="14">
        <v>0</v>
      </c>
      <c r="H7" s="14">
        <v>0</v>
      </c>
      <c r="I7" s="14">
        <v>0</v>
      </c>
      <c r="J7" s="14">
        <f>efficiency!C3*efficiency!D3</f>
        <v>274616640</v>
      </c>
      <c r="K7" s="14">
        <f>J7*Allgemein!$B$12/1000</f>
        <v>9062349.1199999992</v>
      </c>
      <c r="L7" s="14">
        <f>D7/K7</f>
        <v>0.11107804278831422</v>
      </c>
      <c r="M7" t="s">
        <v>84</v>
      </c>
    </row>
    <row r="8" spans="1:13" x14ac:dyDescent="0.2">
      <c r="A8" t="s">
        <v>46</v>
      </c>
      <c r="B8" s="14">
        <v>24.14</v>
      </c>
      <c r="C8" s="14" t="s">
        <v>95</v>
      </c>
      <c r="D8" s="14">
        <f>19300000/B8</f>
        <v>799502.89975144982</v>
      </c>
      <c r="E8" s="14">
        <f>D8*Allgemein!$B$2</f>
        <v>871458.16072908032</v>
      </c>
      <c r="F8" s="14">
        <v>0</v>
      </c>
      <c r="G8" s="14">
        <v>0</v>
      </c>
      <c r="H8" s="14">
        <v>0</v>
      </c>
      <c r="I8" s="14">
        <v>0</v>
      </c>
      <c r="J8" s="14">
        <f>efficiency!C4*efficiency!D4</f>
        <v>2637246720</v>
      </c>
      <c r="K8" s="14">
        <f>J8*Allgemein!$B$15/1000</f>
        <v>13713682.944</v>
      </c>
      <c r="L8" s="14">
        <f>D8/K8</f>
        <v>5.8299648826375096E-2</v>
      </c>
      <c r="M8" t="s">
        <v>84</v>
      </c>
    </row>
    <row r="9" spans="1:13" x14ac:dyDescent="0.2">
      <c r="A9" t="s">
        <v>47</v>
      </c>
      <c r="B9" s="14">
        <v>24.14</v>
      </c>
      <c r="C9" s="14" t="s">
        <v>95</v>
      </c>
      <c r="D9" s="14">
        <v>512882</v>
      </c>
      <c r="E9" s="14">
        <f>D9*Allgemein!$B$2</f>
        <v>559041.38</v>
      </c>
      <c r="F9" s="14"/>
      <c r="G9" s="14"/>
      <c r="H9" s="14"/>
      <c r="I9" s="14"/>
      <c r="J9" s="14"/>
      <c r="K9" s="14"/>
      <c r="L9" s="14">
        <f>E9/(35*1000*1000)</f>
        <v>1.5972610857142858E-2</v>
      </c>
      <c r="M9" s="22"/>
    </row>
    <row r="10" spans="1:13" x14ac:dyDescent="0.2">
      <c r="A10" t="s">
        <v>49</v>
      </c>
      <c r="B10" s="37">
        <v>0.03</v>
      </c>
      <c r="C10" t="s">
        <v>140</v>
      </c>
      <c r="M10" s="22"/>
    </row>
    <row r="11" spans="1:13" x14ac:dyDescent="0.2">
      <c r="A11" t="s">
        <v>48</v>
      </c>
      <c r="B11" s="37">
        <v>0.03</v>
      </c>
      <c r="C11" t="s">
        <v>140</v>
      </c>
      <c r="L11" s="32">
        <f>capital_cost!$J$5*B5*0.01</f>
        <v>21.818181818181817</v>
      </c>
    </row>
    <row r="12" spans="1:13" x14ac:dyDescent="0.2">
      <c r="A12" t="s">
        <v>26</v>
      </c>
      <c r="E12" s="14"/>
      <c r="F12" t="s">
        <v>96</v>
      </c>
      <c r="L12" s="31">
        <f>E12/Chile!B17</f>
        <v>0</v>
      </c>
      <c r="M12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F5" sqref="F5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15</v>
      </c>
      <c r="H1" t="s">
        <v>52</v>
      </c>
    </row>
    <row r="2" spans="1:14" x14ac:dyDescent="0.2">
      <c r="A2" t="s">
        <v>33</v>
      </c>
      <c r="B2">
        <v>10</v>
      </c>
      <c r="C2">
        <v>0</v>
      </c>
      <c r="D2">
        <v>0</v>
      </c>
      <c r="E2">
        <v>0</v>
      </c>
      <c r="F2">
        <v>0</v>
      </c>
      <c r="G2" s="24">
        <f>Allgemein!$B$12/(Allgemein!$B$12+B2)</f>
        <v>0.76744186046511631</v>
      </c>
      <c r="H2" t="s">
        <v>34</v>
      </c>
    </row>
    <row r="3" spans="1:14" x14ac:dyDescent="0.2">
      <c r="A3" t="s">
        <v>45</v>
      </c>
      <c r="C3" s="14">
        <v>11376000</v>
      </c>
      <c r="D3" s="14">
        <v>24.14</v>
      </c>
      <c r="E3" s="14">
        <v>37838929</v>
      </c>
      <c r="F3" s="14">
        <f>E3/D3</f>
        <v>1567478.4175642089</v>
      </c>
      <c r="G3" s="24">
        <f>1-F3/C3</f>
        <v>0.86221181280202108</v>
      </c>
      <c r="H3" t="s">
        <v>84</v>
      </c>
      <c r="I3" s="14">
        <v>160000</v>
      </c>
      <c r="J3" t="s">
        <v>102</v>
      </c>
      <c r="K3" t="s">
        <v>103</v>
      </c>
      <c r="L3" s="14"/>
      <c r="M3" s="24"/>
      <c r="N3" s="25"/>
    </row>
    <row r="4" spans="1:14" x14ac:dyDescent="0.2">
      <c r="A4" t="s">
        <v>46</v>
      </c>
      <c r="C4" s="14">
        <v>109248000</v>
      </c>
      <c r="D4" s="14">
        <v>24.14</v>
      </c>
      <c r="E4" s="14">
        <v>8570317</v>
      </c>
      <c r="F4" s="14">
        <f>E4/D4</f>
        <v>355025.55923777958</v>
      </c>
      <c r="G4" s="24">
        <f>1-F4/C4</f>
        <v>0.99675027863908006</v>
      </c>
      <c r="H4" t="s">
        <v>84</v>
      </c>
      <c r="I4" s="14">
        <v>160000</v>
      </c>
      <c r="J4" t="s">
        <v>102</v>
      </c>
      <c r="K4" t="s">
        <v>103</v>
      </c>
    </row>
    <row r="5" spans="1:14" x14ac:dyDescent="0.2">
      <c r="A5" t="s">
        <v>47</v>
      </c>
      <c r="C5" s="14"/>
      <c r="D5" s="14">
        <v>24.14</v>
      </c>
      <c r="E5" s="14"/>
      <c r="F5" s="14"/>
      <c r="I5" s="14">
        <v>160000</v>
      </c>
      <c r="J5" t="s">
        <v>102</v>
      </c>
      <c r="K5" t="s">
        <v>103</v>
      </c>
    </row>
    <row r="6" spans="1:14" x14ac:dyDescent="0.2">
      <c r="A6" t="s">
        <v>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18"/>
  <sheetViews>
    <sheetView topLeftCell="A7" zoomScaleNormal="100" workbookViewId="0">
      <selection activeCell="D26" sqref="D26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148</v>
      </c>
    </row>
    <row r="2" spans="1:11" x14ac:dyDescent="0.2">
      <c r="A2" t="s">
        <v>104</v>
      </c>
      <c r="B2" t="s">
        <v>105</v>
      </c>
    </row>
    <row r="3" spans="1:11" x14ac:dyDescent="0.2">
      <c r="A3" t="s">
        <v>106</v>
      </c>
      <c r="B3" s="18" t="s">
        <v>107</v>
      </c>
    </row>
    <row r="4" spans="1:11" x14ac:dyDescent="0.2">
      <c r="B4" s="18" t="s">
        <v>108</v>
      </c>
    </row>
    <row r="5" spans="1:11" x14ac:dyDescent="0.2">
      <c r="B5" s="18" t="s">
        <v>109</v>
      </c>
    </row>
    <row r="7" spans="1:11" x14ac:dyDescent="0.2">
      <c r="A7" t="s">
        <v>110</v>
      </c>
    </row>
    <row r="9" spans="1:11" x14ac:dyDescent="0.2">
      <c r="A9" t="s">
        <v>111</v>
      </c>
      <c r="B9" t="s">
        <v>112</v>
      </c>
      <c r="C9" t="s">
        <v>113</v>
      </c>
    </row>
    <row r="10" spans="1:11" x14ac:dyDescent="0.2">
      <c r="B10">
        <v>280</v>
      </c>
      <c r="C10" t="s">
        <v>114</v>
      </c>
      <c r="D10">
        <v>232</v>
      </c>
      <c r="E10" t="s">
        <v>115</v>
      </c>
      <c r="F10">
        <v>8000</v>
      </c>
      <c r="G10" t="s">
        <v>116</v>
      </c>
      <c r="H10">
        <v>9</v>
      </c>
      <c r="I10" t="s">
        <v>117</v>
      </c>
      <c r="J10">
        <v>1</v>
      </c>
      <c r="K10" t="s">
        <v>118</v>
      </c>
    </row>
    <row r="11" spans="1:11" x14ac:dyDescent="0.2">
      <c r="B11">
        <f>F10*D10*F10</f>
        <v>14848000000</v>
      </c>
      <c r="C11" t="s">
        <v>119</v>
      </c>
    </row>
    <row r="12" spans="1:11" x14ac:dyDescent="0.2">
      <c r="B12">
        <f>B11/1000</f>
        <v>14848000</v>
      </c>
      <c r="C12" t="s">
        <v>120</v>
      </c>
      <c r="E12">
        <v>189000</v>
      </c>
      <c r="F12" t="s">
        <v>121</v>
      </c>
      <c r="G12">
        <v>136000</v>
      </c>
      <c r="H12" t="s">
        <v>121</v>
      </c>
    </row>
    <row r="13" spans="1:11" x14ac:dyDescent="0.2">
      <c r="B13">
        <f>G12*365</f>
        <v>49640000</v>
      </c>
      <c r="C13" t="s">
        <v>122</v>
      </c>
      <c r="E13">
        <f>365*E12</f>
        <v>68985000</v>
      </c>
      <c r="F13" t="s">
        <v>122</v>
      </c>
      <c r="G13">
        <f>G12*365</f>
        <v>49640000</v>
      </c>
      <c r="H13" t="s">
        <v>122</v>
      </c>
    </row>
    <row r="15" spans="1:11" x14ac:dyDescent="0.2">
      <c r="B15" s="21">
        <f>B13/3</f>
        <v>16546666.666666666</v>
      </c>
      <c r="D15">
        <v>3.7</v>
      </c>
    </row>
    <row r="17" spans="2:3" x14ac:dyDescent="0.2">
      <c r="B17">
        <f>B12*D15</f>
        <v>54937600</v>
      </c>
      <c r="C17" t="s">
        <v>123</v>
      </c>
    </row>
    <row r="18" spans="2:3" x14ac:dyDescent="0.2">
      <c r="B18">
        <f>B17/1000</f>
        <v>54937.599999999999</v>
      </c>
      <c r="C18" t="s">
        <v>124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21" sqref="B21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16" t="s">
        <v>125</v>
      </c>
    </row>
    <row r="2" spans="1:2" x14ac:dyDescent="0.2">
      <c r="A2" t="s">
        <v>126</v>
      </c>
      <c r="B2" t="s">
        <v>127</v>
      </c>
    </row>
    <row r="3" spans="1:2" ht="34" x14ac:dyDescent="0.2">
      <c r="A3" s="12">
        <v>1</v>
      </c>
      <c r="B3" s="17" t="s">
        <v>128</v>
      </c>
    </row>
    <row r="4" spans="1:2" ht="34" x14ac:dyDescent="0.2">
      <c r="A4" s="12">
        <v>2</v>
      </c>
      <c r="B4" s="17" t="s">
        <v>129</v>
      </c>
    </row>
    <row r="5" spans="1:2" ht="34" x14ac:dyDescent="0.2">
      <c r="A5" s="12">
        <v>3</v>
      </c>
      <c r="B5" s="17" t="s">
        <v>130</v>
      </c>
    </row>
    <row r="6" spans="1:2" ht="34" x14ac:dyDescent="0.2">
      <c r="A6" s="12">
        <v>4</v>
      </c>
      <c r="B6" s="17" t="s">
        <v>131</v>
      </c>
    </row>
    <row r="7" spans="1:2" x14ac:dyDescent="0.2">
      <c r="A7" s="12">
        <v>5</v>
      </c>
      <c r="B7" t="s">
        <v>132</v>
      </c>
    </row>
    <row r="8" spans="1:2" ht="34" x14ac:dyDescent="0.2">
      <c r="A8" s="12">
        <v>6</v>
      </c>
      <c r="B8" s="17" t="s">
        <v>133</v>
      </c>
    </row>
    <row r="9" spans="1:2" ht="17" x14ac:dyDescent="0.2">
      <c r="A9" s="12">
        <v>7</v>
      </c>
      <c r="B9" s="17" t="s">
        <v>134</v>
      </c>
    </row>
    <row r="10" spans="1:2" x14ac:dyDescent="0.2">
      <c r="A10" s="12">
        <v>8</v>
      </c>
      <c r="B10" t="s">
        <v>135</v>
      </c>
    </row>
    <row r="11" spans="1:2" x14ac:dyDescent="0.2">
      <c r="A11" s="12">
        <v>9</v>
      </c>
      <c r="B11" t="s">
        <v>136</v>
      </c>
    </row>
    <row r="12" spans="1:2" ht="34" x14ac:dyDescent="0.2">
      <c r="A12" s="12">
        <v>10</v>
      </c>
      <c r="B12" s="17" t="s">
        <v>137</v>
      </c>
    </row>
    <row r="13" spans="1:2" ht="51" x14ac:dyDescent="0.2">
      <c r="A13" s="12">
        <v>11</v>
      </c>
      <c r="B13" s="17" t="s">
        <v>141</v>
      </c>
    </row>
    <row r="14" spans="1:2" ht="17" x14ac:dyDescent="0.2">
      <c r="A14" s="12">
        <v>12</v>
      </c>
      <c r="B14" s="39" t="s">
        <v>143</v>
      </c>
    </row>
    <row r="15" spans="1:2" ht="17" x14ac:dyDescent="0.2">
      <c r="A15" s="12">
        <v>13</v>
      </c>
      <c r="B15" s="39" t="s">
        <v>144</v>
      </c>
    </row>
    <row r="16" spans="1:2" ht="17" x14ac:dyDescent="0.2">
      <c r="A16" s="12">
        <v>14</v>
      </c>
      <c r="B16" s="39" t="s">
        <v>145</v>
      </c>
    </row>
    <row r="17" spans="1:2" x14ac:dyDescent="0.2">
      <c r="A17" s="12"/>
      <c r="B17" s="17"/>
    </row>
    <row r="18" spans="1:2" x14ac:dyDescent="0.2">
      <c r="A18" s="12"/>
      <c r="B18" s="17"/>
    </row>
    <row r="19" spans="1:2" x14ac:dyDescent="0.2">
      <c r="A19" s="12"/>
      <c r="B19" s="17"/>
    </row>
    <row r="20" spans="1:2" x14ac:dyDescent="0.2">
      <c r="A20" s="12"/>
      <c r="B20" s="17"/>
    </row>
    <row r="21" spans="1:2" x14ac:dyDescent="0.2">
      <c r="A21" s="12"/>
      <c r="B21" s="17"/>
    </row>
    <row r="22" spans="1:2" x14ac:dyDescent="0.2">
      <c r="A22" s="12"/>
      <c r="B22" s="17"/>
    </row>
    <row r="23" spans="1:2" x14ac:dyDescent="0.2">
      <c r="A23" s="12"/>
    </row>
    <row r="24" spans="1:2" x14ac:dyDescent="0.2">
      <c r="A24" s="12"/>
      <c r="B24" s="17"/>
    </row>
    <row r="25" spans="1:2" x14ac:dyDescent="0.2">
      <c r="A25" s="12"/>
      <c r="B25" s="17"/>
    </row>
    <row r="26" spans="1:2" x14ac:dyDescent="0.2">
      <c r="A26" s="12"/>
      <c r="B26" s="17"/>
    </row>
    <row r="27" spans="1:2" x14ac:dyDescent="0.2">
      <c r="A27" s="12"/>
      <c r="B27" s="17"/>
    </row>
    <row r="28" spans="1:2" x14ac:dyDescent="0.2">
      <c r="A28" s="12"/>
      <c r="B28" s="17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7AB49E-189D-4848-B4EA-561D0793F824}">
  <ds:schemaRefs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4fc79a47-31e4-4653-8b27-dca9a17ceac4"/>
    <ds:schemaRef ds:uri="3c3af68f-487b-4532-8d75-15d1498f69fb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Christof Gipser</cp:lastModifiedBy>
  <cp:revision/>
  <dcterms:created xsi:type="dcterms:W3CDTF">2022-11-17T10:32:44Z</dcterms:created>
  <dcterms:modified xsi:type="dcterms:W3CDTF">2023-01-24T00:16:23Z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