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koelnde.sharepoint.com/sites/DWE-bung3/Freigegebene Dokumente/General/Simulation/"/>
    </mc:Choice>
  </mc:AlternateContent>
  <xr:revisionPtr revIDLastSave="69" documentId="6_{8BDA5C42-A9DE-AF44-894E-C36561D9BF98}" xr6:coauthVersionLast="47" xr6:coauthVersionMax="47" xr10:uidLastSave="{7EE58742-7208-DC48-AD93-B3151A2BE225}"/>
  <bookViews>
    <workbookView xWindow="-36920" yWindow="-7240" windowWidth="35080" windowHeight="20220" xr2:uid="{013C1B7E-065E-3842-9CFC-4557F64B0F08}"/>
  </bookViews>
  <sheets>
    <sheet name="Gesamt" sheetId="1" r:id="rId1"/>
    <sheet name="capital_cost" sheetId="5" r:id="rId2"/>
    <sheet name="marginal_cost" sheetId="7" r:id="rId3"/>
    <sheet name="Chile" sheetId="2" r:id="rId4"/>
    <sheet name="Transport" sheetId="3" r:id="rId5"/>
    <sheet name="Zement" sheetId="4" r:id="rId6"/>
    <sheet name="Quellen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F13" i="1"/>
  <c r="F12" i="1"/>
  <c r="J13" i="1"/>
  <c r="K7" i="7"/>
  <c r="K6" i="7"/>
  <c r="K8" i="7"/>
  <c r="K9" i="7"/>
  <c r="D8" i="7"/>
  <c r="D9" i="7"/>
  <c r="D7" i="7"/>
  <c r="B10" i="7"/>
  <c r="I6" i="5"/>
  <c r="I5" i="5"/>
  <c r="B18" i="2"/>
  <c r="B17" i="2"/>
  <c r="B15" i="2"/>
  <c r="B13" i="2"/>
  <c r="G13" i="2"/>
  <c r="E13" i="2"/>
  <c r="B11" i="2"/>
  <c r="B12" i="2" s="1"/>
  <c r="I8" i="1"/>
  <c r="I7" i="1"/>
  <c r="J3" i="7"/>
  <c r="J2" i="7"/>
  <c r="D3" i="7"/>
  <c r="D2" i="7"/>
  <c r="K2" i="7" s="1"/>
  <c r="F7" i="1" s="1"/>
  <c r="J4" i="7"/>
  <c r="K4" i="7" s="1"/>
  <c r="F9" i="1" s="1"/>
  <c r="I3" i="5"/>
  <c r="H8" i="1" s="1"/>
  <c r="I2" i="5"/>
  <c r="H7" i="1" s="1"/>
  <c r="H4" i="5"/>
  <c r="I4" i="5" s="1"/>
  <c r="H9" i="1" s="1"/>
  <c r="K3" i="7" l="1"/>
  <c r="F8" i="1" s="1"/>
  <c r="K5" i="7"/>
</calcChain>
</file>

<file path=xl/sharedStrings.xml><?xml version="1.0" encoding="utf-8"?>
<sst xmlns="http://schemas.openxmlformats.org/spreadsheetml/2006/main" count="245" uniqueCount="113">
  <si>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</si>
  <si>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</si>
  <si>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</si>
  <si>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</si>
  <si>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</si>
  <si>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</si>
  <si>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</si>
  <si>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</si>
  <si>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</si>
  <si>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</si>
  <si>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</si>
  <si>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</si>
  <si>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</si>
  <si>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</si>
  <si>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</si>
  <si>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</si>
  <si>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</si>
  <si>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</si>
  <si>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</si>
  <si>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</si>
  <si>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</si>
  <si>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</si>
  <si>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</si>
  <si>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</si>
  <si>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</si>
  <si>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</si>
  <si>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PEM Elektrolyse</t>
  </si>
  <si>
    <t>Link</t>
  </si>
  <si>
    <t>Simulation</t>
  </si>
  <si>
    <t>[2]</t>
  </si>
  <si>
    <t>AEL Elektrolyse</t>
  </si>
  <si>
    <t>Verflüssigung</t>
  </si>
  <si>
    <t>[1]</t>
  </si>
  <si>
    <t>Haber-Bosch</t>
  </si>
  <si>
    <t>LH2 Speicher</t>
  </si>
  <si>
    <t>Store</t>
  </si>
  <si>
    <t>GH2 Speicher</t>
  </si>
  <si>
    <t>Pipeline</t>
  </si>
  <si>
    <t>Wasserentsalzungsanlage</t>
  </si>
  <si>
    <t>Wasser</t>
  </si>
  <si>
    <t>Transportation BOG</t>
  </si>
  <si>
    <t>%/day</t>
  </si>
  <si>
    <t>Schiffsart</t>
  </si>
  <si>
    <t>Schiffskosten crude vessel (LOHC)</t>
  </si>
  <si>
    <t>€/per day</t>
  </si>
  <si>
    <t>Quelle</t>
  </si>
  <si>
    <t>https://www.freightwaves.com/news/lng-shipping-rates-top-100000day-oil-tanker-rates-still-rising#:~:text=In%20full%2Dyear%202021%2C%20Clarksons,is%20around%20%2430%2C000%20per%20day. zuletzt geprüft am 15.12.2022</t>
  </si>
  <si>
    <t>Schiffsgröße chemical tanker (NH3)</t>
  </si>
  <si>
    <t>https://lloydslist.maritimeintelligence.informa.com/LL1141976/Odfjell-says-chemical-tanker-rates-at-highest-since-2007#:~:text=Odfjell%20says%20chemical%20tanker%20market%20remains%20challenging&amp;text=TCE%20per%20day%20came%20in,at%20%2422%2C095%2C%20the%20company%20added. zuletzt geprüft am 15.12.2022</t>
  </si>
  <si>
    <t>Schiffsgröße LNG tanker (LNG)</t>
  </si>
  <si>
    <t>https://www.freightwaves.com/news/lng-shipping-rates-shooting-for-the-stars-at-500000-per-day#:~:text=LNG%20shipping%20rates%20'shooting%20for%20the%20stars'%20at%20%24500%2C000%20per%20day  zuletzt geprüft am 15.12.2022</t>
  </si>
  <si>
    <t>Schiffsgröße CNG tanker (LH2, Methanol)</t>
  </si>
  <si>
    <t>spezifische Investitionskosten</t>
  </si>
  <si>
    <t>Einheit</t>
  </si>
  <si>
    <t>CAPEX [€]</t>
  </si>
  <si>
    <t>Energiegehalt Wasserstoff [kWh/kg]</t>
  </si>
  <si>
    <t>Betriebsstunden [h/a]</t>
  </si>
  <si>
    <t>Leistung [kg/d]</t>
  </si>
  <si>
    <t>Anlagenkapazität [kg/a]</t>
  </si>
  <si>
    <t>capital_cost [€/MW]</t>
  </si>
  <si>
    <t>€/kg</t>
  </si>
  <si>
    <t>[3]</t>
  </si>
  <si>
    <t>$/kg</t>
  </si>
  <si>
    <t>[5]</t>
  </si>
  <si>
    <t>Umrechnungskurs [€]</t>
  </si>
  <si>
    <t>spezifische Betriebskosten</t>
  </si>
  <si>
    <t>OPEX [€/a]</t>
  </si>
  <si>
    <t>spezifischer Strombedarf [kWh/kg]</t>
  </si>
  <si>
    <t>Leistung [kg/h]</t>
  </si>
  <si>
    <t>marginal_cost [€/MWh]</t>
  </si>
  <si>
    <t>€/kW</t>
  </si>
  <si>
    <t>%/invest*a</t>
  </si>
  <si>
    <t>[4]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</si>
  <si>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</si>
  <si>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</si>
  <si>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</si>
  <si>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</si>
  <si>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</si>
  <si>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</si>
  <si>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</si>
  <si>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</si>
  <si>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</si>
  <si>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</si>
  <si>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</si>
  <si>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</si>
  <si>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</si>
  <si>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</si>
  <si>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</si>
  <si>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</si>
  <si>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</si>
  <si>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</si>
  <si>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</si>
  <si>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</si>
  <si>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</si>
  <si>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</si>
  <si>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</si>
  <si>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</si>
  <si>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</si>
  <si>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</si>
  <si>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</si>
  <si>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</si>
  <si>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</si>
  <si>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</si>
  <si>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</si>
  <si>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</si>
  <si>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</si>
  <si>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LH2 Schiff</t>
  </si>
  <si>
    <t>NH3 Schiff</t>
  </si>
  <si>
    <t>LOHC Schiff</t>
  </si>
  <si>
    <t>d</t>
  </si>
  <si>
    <t>Hydrierung</t>
  </si>
  <si>
    <t>NH3 Speicher</t>
  </si>
  <si>
    <t>LOHC Speicher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</si>
</sst>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%"/>
    <numFmt numFmtId="165" formatCode="0.0"/>
    <numFmt numFmtId="166" formatCode="_-* #,##0.000_-;\-* #,##0.000_-;_-* &quot;-&quot;??_-;_-@_-"/>
  </numFmts>
  <fonts count="1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Open Sans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11" fillId="0" borderId="0" xfId="0" applyFont="1"/>
    <xf numFmtId="0" fontId="0" fillId="0" borderId="0" xfId="0" applyAlignment="1">
      <alignment horizontal="right"/>
    </xf>
    <xf numFmtId="0" fontId="0" fillId="5" borderId="12" xfId="0" applyFill="1" applyBorder="1"/>
    <xf numFmtId="0" fontId="0" fillId="0" borderId="13" xfId="0" applyBorder="1"/>
    <xf numFmtId="0" fontId="0" fillId="6" borderId="13" xfId="0" applyFill="1" applyBorder="1"/>
    <xf numFmtId="0" fontId="0" fillId="6" borderId="14" xfId="0" applyFill="1" applyBorder="1"/>
    <xf numFmtId="0" fontId="12" fillId="7" borderId="12" xfId="0" applyFont="1" applyFill="1" applyBorder="1"/>
    <xf numFmtId="2" fontId="0" fillId="0" borderId="13" xfId="0" applyNumberFormat="1" applyBorder="1"/>
    <xf numFmtId="0" fontId="12" fillId="7" borderId="15" xfId="0" applyFont="1" applyFill="1" applyBorder="1"/>
    <xf numFmtId="2" fontId="0" fillId="0" borderId="16" xfId="0" applyNumberFormat="1" applyBorder="1"/>
    <xf numFmtId="0" fontId="9" fillId="0" borderId="0" xfId="3" applyAlignment="1">
      <alignment vertical="center"/>
    </xf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1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loydslist.maritimeintelligence.informa.com/LL1141976/Odfjell-says-chemical-tanker-rates-at-highest-since-2007" TargetMode="External"/><Relationship Id="rId2" Type="http://schemas.openxmlformats.org/officeDocument/2006/relationships/hyperlink" Target="https://www.freightwaves.com/news/lng-shipping-rates-top-100000day-oil-tanker-rates-still-rising" TargetMode="External"/><Relationship Id="rId1" Type="http://schemas.openxmlformats.org/officeDocument/2006/relationships/hyperlink" Target="https://www.freightwaves.com/news/lng-shipping-rates-top-100000day-oil-tanker-rates-still-ris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freightwaves.com/news/lng-shipping-rates-shooting-for-the-stars-at-500000-per-d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ightwaves.com/news/lng-shipping-rates-top-100000day-oil-tanker-rates-still-rising" TargetMode="External"/><Relationship Id="rId2" Type="http://schemas.openxmlformats.org/officeDocument/2006/relationships/hyperlink" Target="https://lloydslist.maritimeintelligence.informa.com/LL1141976/Odfjell-says-chemical-tanker-rates-at-highest-since-2007" TargetMode="External"/><Relationship Id="rId1" Type="http://schemas.openxmlformats.org/officeDocument/2006/relationships/hyperlink" Target="https://www.freightwaves.com/news/lng-shipping-rates-top-100000day-oil-tanker-rates-still-risin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dimension ref="A1:K30"/>
  <sheetViews>
    <sheetView tabSelected="1" zoomScale="115" zoomScaleNormal="115" workbookViewId="0">
      <selection activeCell="G20" sqref="G20"/>
    </sheetView>
  </sheetViews>
  <sheetFormatPr baseColWidth="10" defaultColWidth="10.83203125" defaultRowHeight="16" x14ac:dyDescent="0.2"/>
  <cols>
    <col min="1" max="1" width="34.6640625" style="1" customWidth="1"/>
    <col min="2" max="2" width="11.1640625" style="1" customWidth="1"/>
    <col min="3" max="9" width="20.83203125" style="1" customWidth="1"/>
    <col min="10" max="10" width="17.6640625" style="1" bestFit="1" customWidth="1"/>
    <col min="11" max="16384" width="10.83203125" style="1"/>
  </cols>
  <sheetData>
    <row r="1" spans="1:11" ht="32.25" customHeight="1" thickBot="1" x14ac:dyDescent="0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</row>
    <row r="3" spans="1:11" ht="15" customHeight="1" x14ac:dyDescent="0.2">
      <c r="A3" s="9"/>
      <c r="B3" s="2"/>
      <c r="C3" s="24" t="s">
        <v>9</v>
      </c>
      <c r="D3" s="24" t="s">
        <v>10</v>
      </c>
      <c r="E3" s="24" t="s">
        <v>11</v>
      </c>
      <c r="F3" s="24" t="s">
        <v>12</v>
      </c>
      <c r="G3" s="24" t="s">
        <v>13</v>
      </c>
      <c r="H3" s="24" t="s">
        <v>14</v>
      </c>
      <c r="I3" s="24" t="s">
        <v>15</v>
      </c>
      <c r="J3" s="24" t="s">
        <v>16</v>
      </c>
    </row>
    <row r="4" spans="1:11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1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7">
        <v>68.900000000000006</v>
      </c>
      <c r="G5" s="13" t="s">
        <v>23</v>
      </c>
      <c r="H5" s="12" t="s">
        <v>23</v>
      </c>
      <c r="I5" s="13" t="s">
        <v>24</v>
      </c>
      <c r="J5" s="13" t="s">
        <v>24</v>
      </c>
    </row>
    <row r="6" spans="1:11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7">
        <v>48.41</v>
      </c>
      <c r="G6" s="12" t="s">
        <v>23</v>
      </c>
      <c r="H6" s="12" t="s">
        <v>23</v>
      </c>
      <c r="I6" s="13" t="s">
        <v>24</v>
      </c>
      <c r="J6" s="13" t="s">
        <v>24</v>
      </c>
    </row>
    <row r="7" spans="1:11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7">
        <f>marginal_cost!K2</f>
        <v>95.226003047232098</v>
      </c>
      <c r="G7" s="12">
        <v>10</v>
      </c>
      <c r="H7" s="19">
        <f>capital_cost!I2</f>
        <v>720000</v>
      </c>
      <c r="I7" s="22">
        <f>marginal_cost!E2/marginal_cost!F2</f>
        <v>0.59891107078039929</v>
      </c>
      <c r="J7" s="13" t="s">
        <v>24</v>
      </c>
      <c r="K7" s="1" t="s">
        <v>29</v>
      </c>
    </row>
    <row r="8" spans="1:11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7">
        <f>marginal_cost!K3</f>
        <v>120.83131947800869</v>
      </c>
      <c r="G8" s="12">
        <v>10</v>
      </c>
      <c r="H8" s="19">
        <f>capital_cost!I3</f>
        <v>630000</v>
      </c>
      <c r="I8" s="22">
        <f>marginal_cost!E3/marginal_cost!F3</f>
        <v>0.61797752808988771</v>
      </c>
      <c r="J8" s="13" t="s">
        <v>24</v>
      </c>
      <c r="K8" s="1" t="s">
        <v>29</v>
      </c>
    </row>
    <row r="9" spans="1:11" ht="19" x14ac:dyDescent="0.2">
      <c r="A9" s="11" t="s">
        <v>31</v>
      </c>
      <c r="B9" s="3" t="s">
        <v>27</v>
      </c>
      <c r="C9" s="12" t="s">
        <v>23</v>
      </c>
      <c r="D9" s="12" t="s">
        <v>23</v>
      </c>
      <c r="E9" s="12" t="s">
        <v>28</v>
      </c>
      <c r="F9" s="27">
        <f>marginal_cost!K4</f>
        <v>6.0606060606060606</v>
      </c>
      <c r="G9" s="12">
        <v>20</v>
      </c>
      <c r="H9" s="19">
        <f>capital_cost!I4</f>
        <v>3296969.6969696968</v>
      </c>
      <c r="I9" s="22">
        <v>1</v>
      </c>
      <c r="J9" s="13" t="s">
        <v>24</v>
      </c>
      <c r="K9" s="1" t="s">
        <v>32</v>
      </c>
    </row>
    <row r="10" spans="1:11" ht="18.75" customHeight="1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7"/>
      <c r="G10" s="12"/>
      <c r="H10" s="12"/>
      <c r="I10" s="12"/>
      <c r="J10" s="13" t="s">
        <v>24</v>
      </c>
    </row>
    <row r="11" spans="1:11" ht="19" x14ac:dyDescent="0.2">
      <c r="A11" s="11" t="s">
        <v>110</v>
      </c>
      <c r="B11" s="3" t="s">
        <v>27</v>
      </c>
      <c r="C11" s="12" t="s">
        <v>23</v>
      </c>
      <c r="D11" s="12" t="s">
        <v>23</v>
      </c>
      <c r="E11" s="12" t="s">
        <v>28</v>
      </c>
      <c r="F11" s="27"/>
      <c r="G11" s="12"/>
      <c r="H11" s="12"/>
      <c r="I11" s="12"/>
      <c r="J11" s="13" t="s">
        <v>24</v>
      </c>
    </row>
    <row r="12" spans="1:11" ht="19" x14ac:dyDescent="0.2">
      <c r="A12" s="11" t="s">
        <v>36</v>
      </c>
      <c r="B12" s="3" t="s">
        <v>35</v>
      </c>
      <c r="C12" s="12" t="s">
        <v>23</v>
      </c>
      <c r="D12" s="12" t="s">
        <v>23</v>
      </c>
      <c r="E12" s="13" t="s">
        <v>28</v>
      </c>
      <c r="F12" s="27">
        <f>marginal_cost!K6</f>
        <v>20.854545454545459</v>
      </c>
      <c r="G12" s="12">
        <v>20</v>
      </c>
      <c r="H12" s="19">
        <f>capital_cost!I6</f>
        <v>1042.727272727273</v>
      </c>
      <c r="I12" s="13" t="s">
        <v>24</v>
      </c>
      <c r="J12" s="12"/>
    </row>
    <row r="13" spans="1:11" ht="19" x14ac:dyDescent="0.2">
      <c r="A13" s="11" t="s">
        <v>34</v>
      </c>
      <c r="B13" s="3" t="s">
        <v>35</v>
      </c>
      <c r="C13" s="12" t="s">
        <v>23</v>
      </c>
      <c r="D13" s="12" t="s">
        <v>23</v>
      </c>
      <c r="E13" s="13" t="s">
        <v>28</v>
      </c>
      <c r="F13" s="27">
        <f>marginal_cost!K5</f>
        <v>21.818181818181817</v>
      </c>
      <c r="G13" s="12">
        <v>25</v>
      </c>
      <c r="H13" s="19">
        <f>capital_cost!I5</f>
        <v>1090.9090909090908</v>
      </c>
      <c r="I13" s="13" t="s">
        <v>24</v>
      </c>
      <c r="J13" s="23">
        <f>0.002/24</f>
        <v>8.3333333333333331E-5</v>
      </c>
    </row>
    <row r="14" spans="1:11" ht="19" x14ac:dyDescent="0.2">
      <c r="A14" s="11" t="s">
        <v>111</v>
      </c>
      <c r="B14" s="3" t="s">
        <v>35</v>
      </c>
      <c r="C14" s="12" t="s">
        <v>23</v>
      </c>
      <c r="D14" s="12" t="s">
        <v>23</v>
      </c>
      <c r="E14" s="13" t="s">
        <v>28</v>
      </c>
      <c r="F14" s="27"/>
      <c r="G14" s="12"/>
      <c r="H14" s="19"/>
      <c r="I14" s="13" t="s">
        <v>24</v>
      </c>
      <c r="J14" s="23"/>
    </row>
    <row r="15" spans="1:11" ht="19" x14ac:dyDescent="0.2">
      <c r="A15" s="11" t="s">
        <v>112</v>
      </c>
      <c r="B15" s="3" t="s">
        <v>35</v>
      </c>
      <c r="C15" s="12" t="s">
        <v>23</v>
      </c>
      <c r="D15" s="12" t="s">
        <v>23</v>
      </c>
      <c r="E15" s="13" t="s">
        <v>28</v>
      </c>
      <c r="F15" s="27"/>
      <c r="G15" s="12"/>
      <c r="H15" s="19"/>
      <c r="I15" s="13" t="s">
        <v>24</v>
      </c>
      <c r="J15" s="23"/>
    </row>
    <row r="16" spans="1:11" ht="18.75" customHeight="1" x14ac:dyDescent="0.2">
      <c r="A16" s="11" t="s">
        <v>37</v>
      </c>
      <c r="B16" s="3" t="s">
        <v>27</v>
      </c>
      <c r="C16" s="12" t="s">
        <v>23</v>
      </c>
      <c r="D16" s="12" t="s">
        <v>23</v>
      </c>
      <c r="E16" s="13" t="s">
        <v>28</v>
      </c>
      <c r="F16" s="27">
        <v>4.8040000000000003</v>
      </c>
      <c r="G16" s="13" t="s">
        <v>24</v>
      </c>
      <c r="H16" s="13"/>
      <c r="I16" s="12"/>
      <c r="J16" s="13" t="s">
        <v>24</v>
      </c>
    </row>
    <row r="17" spans="1:10" ht="18.75" customHeight="1" x14ac:dyDescent="0.2">
      <c r="A17" s="11" t="s">
        <v>106</v>
      </c>
      <c r="B17" s="3" t="s">
        <v>27</v>
      </c>
      <c r="C17" s="12" t="s">
        <v>23</v>
      </c>
      <c r="D17" s="12" t="s">
        <v>23</v>
      </c>
      <c r="E17" s="13" t="s">
        <v>28</v>
      </c>
      <c r="F17" s="27"/>
      <c r="G17" s="13" t="s">
        <v>24</v>
      </c>
      <c r="H17" s="13" t="s">
        <v>24</v>
      </c>
      <c r="I17" s="12"/>
      <c r="J17" s="13" t="s">
        <v>24</v>
      </c>
    </row>
    <row r="18" spans="1:10" ht="18.75" customHeight="1" x14ac:dyDescent="0.2">
      <c r="A18" s="11" t="s">
        <v>107</v>
      </c>
      <c r="B18" s="3" t="s">
        <v>27</v>
      </c>
      <c r="C18" s="12" t="s">
        <v>23</v>
      </c>
      <c r="D18" s="12" t="s">
        <v>23</v>
      </c>
      <c r="E18" s="13" t="s">
        <v>28</v>
      </c>
      <c r="F18" s="27"/>
      <c r="G18" s="13" t="s">
        <v>24</v>
      </c>
      <c r="H18" s="13" t="s">
        <v>24</v>
      </c>
      <c r="I18" s="12"/>
      <c r="J18" s="13" t="s">
        <v>24</v>
      </c>
    </row>
    <row r="19" spans="1:10" ht="18.75" customHeight="1" x14ac:dyDescent="0.2">
      <c r="A19" s="11" t="s">
        <v>108</v>
      </c>
      <c r="B19" s="3" t="s">
        <v>27</v>
      </c>
      <c r="C19" s="12" t="s">
        <v>23</v>
      </c>
      <c r="D19" s="12" t="s">
        <v>23</v>
      </c>
      <c r="E19" s="13" t="s">
        <v>28</v>
      </c>
      <c r="F19" s="27"/>
      <c r="G19" s="13" t="s">
        <v>24</v>
      </c>
      <c r="H19" s="13" t="s">
        <v>24</v>
      </c>
      <c r="I19" s="12"/>
      <c r="J19" s="13" t="s">
        <v>24</v>
      </c>
    </row>
    <row r="21" spans="1:10" x14ac:dyDescent="0.2">
      <c r="A21" s="26" t="s">
        <v>38</v>
      </c>
    </row>
    <row r="22" spans="1:10" x14ac:dyDescent="0.2">
      <c r="A22" s="26" t="s">
        <v>39</v>
      </c>
    </row>
    <row r="24" spans="1:10" x14ac:dyDescent="0.15">
      <c r="A24" s="14" t="s">
        <v>40</v>
      </c>
      <c r="B24" s="15" t="s">
        <v>41</v>
      </c>
      <c r="C24" s="16">
        <v>0.17</v>
      </c>
      <c r="D24" s="16">
        <v>4.0000000000000001E-3</v>
      </c>
      <c r="E24" s="16">
        <v>1.6000000000000001E-3</v>
      </c>
      <c r="F24" s="16">
        <v>0</v>
      </c>
      <c r="G24" s="17">
        <v>0.2</v>
      </c>
    </row>
    <row r="26" spans="1:10" x14ac:dyDescent="0.2">
      <c r="A26" s="31" t="s">
        <v>42</v>
      </c>
      <c r="B26" s="32"/>
      <c r="C26" s="33"/>
      <c r="D26" s="34"/>
    </row>
    <row r="27" spans="1:10" x14ac:dyDescent="0.2">
      <c r="A27" s="35" t="s">
        <v>43</v>
      </c>
      <c r="B27" s="36">
        <v>28303.5</v>
      </c>
      <c r="C27" s="33" t="s">
        <v>44</v>
      </c>
      <c r="D27" s="34" t="s">
        <v>45</v>
      </c>
      <c r="E27" s="39" t="s">
        <v>46</v>
      </c>
    </row>
    <row r="28" spans="1:10" x14ac:dyDescent="0.2">
      <c r="A28" s="35" t="s">
        <v>47</v>
      </c>
      <c r="B28" s="36">
        <v>25664.67</v>
      </c>
      <c r="C28" s="33" t="s">
        <v>44</v>
      </c>
      <c r="D28" s="34" t="s">
        <v>45</v>
      </c>
      <c r="E28" s="39" t="s">
        <v>48</v>
      </c>
    </row>
    <row r="29" spans="1:10" x14ac:dyDescent="0.2">
      <c r="A29" s="35" t="s">
        <v>49</v>
      </c>
      <c r="B29" s="36">
        <v>295299.84999999998</v>
      </c>
      <c r="C29" s="33" t="s">
        <v>44</v>
      </c>
      <c r="D29" s="34" t="s">
        <v>45</v>
      </c>
      <c r="E29" s="39" t="s">
        <v>50</v>
      </c>
    </row>
    <row r="30" spans="1:10" ht="17" thickBot="1" x14ac:dyDescent="0.25">
      <c r="A30" s="37" t="s">
        <v>51</v>
      </c>
      <c r="B30" s="38">
        <v>160386.5</v>
      </c>
      <c r="C30" s="33" t="s">
        <v>44</v>
      </c>
      <c r="D30" s="34" t="s">
        <v>45</v>
      </c>
      <c r="E30" s="39" t="s">
        <v>46</v>
      </c>
    </row>
  </sheetData>
  <mergeCells count="1">
    <mergeCell ref="A1:J1"/>
  </mergeCells>
  <conditionalFormatting sqref="C5:J11 C12:D19 F12:J19">
    <cfRule type="containsBlanks" dxfId="9" priority="6">
      <formula>LEN(TRIM(C5))=0</formula>
    </cfRule>
    <cfRule type="containsText" dxfId="8" priority="7" operator="containsText" text="x">
      <formula>NOT(ISERROR(SEARCH("x",C5)))</formula>
    </cfRule>
    <cfRule type="containsText" dxfId="7" priority="1" operator="containsText" text="n.v.">
      <formula>NOT(ISERROR(SEARCH("n.v.",C5)))</formula>
    </cfRule>
  </conditionalFormatting>
  <conditionalFormatting sqref="C5:J19">
    <cfRule type="containsText" dxfId="6" priority="3" operator="containsText" text="Simulation">
      <formula>NOT(ISERROR(SEARCH("Simulation",C5)))</formula>
    </cfRule>
  </conditionalFormatting>
  <conditionalFormatting sqref="F5:J19">
    <cfRule type="notContainsBlanks" dxfId="5" priority="2">
      <formula>LEN(TRIM(F5))&gt;0</formula>
    </cfRule>
  </conditionalFormatting>
  <hyperlinks>
    <hyperlink ref="E27" r:id="rId1" location=":~:text=In%20full%2Dyear%202021%2C%20Clarksons,is%20around%20%2430%2C000%20per%20day. zuletzt geprüft am 15.12.2022" xr:uid="{243E730A-2DC7-443B-AF2E-441B3880AB0B}"/>
    <hyperlink ref="E30" r:id="rId2" location=":~:text=In%20full%2Dyear%202021%2C%20Clarksons,is%20around%20%2430%2C000%20per%20day. zuletzt geprüft am 15.12.2022" xr:uid="{56C96019-A3D3-46BE-A8A4-AABF719B84DF}"/>
    <hyperlink ref="E28" r:id="rId3" location=":~:text=Odfjell%20says%20chemical%20tanker%20market%20remains%20challenging&amp;text=TCE%20per%20day%20came%20in,at%20%2422%2C095%2C%20the%20company%20added. zuletzt geprüft am 15.12.2022" display="https://lloydslist.maritimeintelligence.informa.com/LL1141976/Odfjell-says-chemical-tanker-rates-at-highest-since-2007#:~:text=Odfjell%20says%20chemical%20tanker%20market%20remains%20challenging&amp;text=TCE%20per%20day%20came%20in,at%20%2422%2C095%2C%20the%20company%20added. zuletzt geprüft am 15.12.2022" xr:uid="{7BE54115-5FC6-4DD9-A46D-94D61CADAC4A}"/>
    <hyperlink ref="E29" r:id="rId4" location=":~:text=LNG%20shipping%20rates%20'shooting%20for%20the%20stars'%20at%20%24500%2C000%20per%20day  zuletzt geprüft am 15.12.2022" xr:uid="{D43FADDF-AD1C-43D6-A4B3-B26A3A636EBD}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dimension ref="A1:J8"/>
  <sheetViews>
    <sheetView workbookViewId="0">
      <selection activeCell="E5" sqref="E5"/>
    </sheetView>
  </sheetViews>
  <sheetFormatPr baseColWidth="10" defaultColWidth="11" defaultRowHeight="16" x14ac:dyDescent="0.2"/>
  <cols>
    <col min="1" max="1" width="14.1640625" bestFit="1" customWidth="1"/>
    <col min="2" max="2" width="25.6640625" bestFit="1" customWidth="1"/>
    <col min="3" max="3" width="25.6640625" customWidth="1"/>
    <col min="4" max="4" width="15" bestFit="1" customWidth="1"/>
    <col min="5" max="5" width="31.83203125" bestFit="1" customWidth="1"/>
    <col min="6" max="6" width="19.33203125" bestFit="1" customWidth="1"/>
    <col min="7" max="7" width="13.5" bestFit="1" customWidth="1"/>
    <col min="8" max="8" width="20.6640625" bestFit="1" customWidth="1"/>
    <col min="9" max="9" width="18" bestFit="1" customWidth="1"/>
  </cols>
  <sheetData>
    <row r="1" spans="1:10" x14ac:dyDescent="0.2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45</v>
      </c>
    </row>
    <row r="2" spans="1:10" x14ac:dyDescent="0.2">
      <c r="A2" t="s">
        <v>26</v>
      </c>
      <c r="B2" s="18">
        <v>0</v>
      </c>
      <c r="D2" s="18">
        <v>0</v>
      </c>
      <c r="E2" s="18">
        <v>33</v>
      </c>
      <c r="F2" s="18">
        <v>0</v>
      </c>
      <c r="G2" s="18">
        <v>0</v>
      </c>
      <c r="H2" s="18">
        <v>0</v>
      </c>
      <c r="I2" s="18">
        <f>720*1000</f>
        <v>720000</v>
      </c>
      <c r="J2" t="s">
        <v>29</v>
      </c>
    </row>
    <row r="3" spans="1:10" x14ac:dyDescent="0.2">
      <c r="A3" t="s">
        <v>30</v>
      </c>
      <c r="B3" s="18">
        <v>0</v>
      </c>
      <c r="D3" s="18">
        <v>0</v>
      </c>
      <c r="E3" s="18">
        <v>33</v>
      </c>
      <c r="F3" s="18">
        <v>0</v>
      </c>
      <c r="G3" s="18">
        <v>0</v>
      </c>
      <c r="H3" s="18">
        <v>0</v>
      </c>
      <c r="I3" s="18">
        <f>630*1000</f>
        <v>630000</v>
      </c>
      <c r="J3" t="s">
        <v>29</v>
      </c>
    </row>
    <row r="4" spans="1:10" x14ac:dyDescent="0.2">
      <c r="A4" t="s">
        <v>31</v>
      </c>
      <c r="B4" s="18">
        <v>0</v>
      </c>
      <c r="D4" s="18">
        <v>136000000</v>
      </c>
      <c r="E4" s="18">
        <v>33</v>
      </c>
      <c r="F4" s="18">
        <v>8000</v>
      </c>
      <c r="G4" s="18">
        <v>30000</v>
      </c>
      <c r="H4" s="18">
        <f>(F4/24)*G4</f>
        <v>10000000</v>
      </c>
      <c r="I4" s="18">
        <f>D4/(H4*E4/F4)*1000</f>
        <v>3296969.6969696968</v>
      </c>
      <c r="J4" t="s">
        <v>32</v>
      </c>
    </row>
    <row r="5" spans="1:10" x14ac:dyDescent="0.2">
      <c r="A5" t="s">
        <v>34</v>
      </c>
      <c r="B5" s="18">
        <v>36</v>
      </c>
      <c r="C5" t="s">
        <v>60</v>
      </c>
      <c r="D5" s="18">
        <v>0</v>
      </c>
      <c r="E5" s="18">
        <v>33</v>
      </c>
      <c r="F5" s="18">
        <v>0</v>
      </c>
      <c r="G5" s="18">
        <v>0</v>
      </c>
      <c r="H5" s="18">
        <v>0</v>
      </c>
      <c r="I5" s="18">
        <f>B5/E5*1000</f>
        <v>1090.9090909090908</v>
      </c>
      <c r="J5" t="s">
        <v>61</v>
      </c>
    </row>
    <row r="6" spans="1:10" x14ac:dyDescent="0.2">
      <c r="A6" t="s">
        <v>36</v>
      </c>
      <c r="B6" s="18">
        <v>37</v>
      </c>
      <c r="C6" t="s">
        <v>62</v>
      </c>
      <c r="E6" s="18">
        <v>33</v>
      </c>
      <c r="I6" s="18">
        <f>B6*C8/E6*1000</f>
        <v>1042.727272727273</v>
      </c>
      <c r="J6" t="s">
        <v>63</v>
      </c>
    </row>
    <row r="7" spans="1:10" x14ac:dyDescent="0.2">
      <c r="C7" t="s">
        <v>64</v>
      </c>
    </row>
    <row r="8" spans="1:10" x14ac:dyDescent="0.2">
      <c r="C8" s="29">
        <v>0.93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dimension ref="A1:L10"/>
  <sheetViews>
    <sheetView workbookViewId="0">
      <selection activeCell="K7" sqref="K7"/>
    </sheetView>
  </sheetViews>
  <sheetFormatPr baseColWidth="10" defaultColWidth="11" defaultRowHeight="16" x14ac:dyDescent="0.2"/>
  <cols>
    <col min="1" max="1" width="14.1640625" bestFit="1" customWidth="1"/>
    <col min="2" max="2" width="23.1640625" bestFit="1" customWidth="1"/>
    <col min="3" max="3" width="29.33203125" customWidth="1"/>
    <col min="4" max="4" width="13" bestFit="1" customWidth="1"/>
    <col min="5" max="5" width="31.83203125" bestFit="1" customWidth="1"/>
    <col min="6" max="6" width="30.33203125" bestFit="1" customWidth="1"/>
    <col min="7" max="7" width="19.33203125" bestFit="1" customWidth="1"/>
    <col min="8" max="8" width="13.5" bestFit="1" customWidth="1"/>
    <col min="9" max="9" width="13.83203125" customWidth="1"/>
    <col min="10" max="10" width="20.6640625" bestFit="1" customWidth="1"/>
    <col min="11" max="11" width="20.83203125" bestFit="1" customWidth="1"/>
    <col min="12" max="12" width="11" customWidth="1"/>
  </cols>
  <sheetData>
    <row r="1" spans="1:12" x14ac:dyDescent="0.2">
      <c r="B1" t="s">
        <v>65</v>
      </c>
      <c r="C1" t="s">
        <v>53</v>
      </c>
      <c r="D1" t="s">
        <v>66</v>
      </c>
      <c r="E1" t="s">
        <v>55</v>
      </c>
      <c r="F1" t="s">
        <v>67</v>
      </c>
      <c r="G1" t="s">
        <v>56</v>
      </c>
      <c r="H1" t="s">
        <v>68</v>
      </c>
      <c r="I1" t="s">
        <v>57</v>
      </c>
      <c r="J1" t="s">
        <v>58</v>
      </c>
      <c r="K1" t="s">
        <v>69</v>
      </c>
      <c r="L1" t="s">
        <v>45</v>
      </c>
    </row>
    <row r="2" spans="1:12" x14ac:dyDescent="0.2">
      <c r="A2" t="s">
        <v>26</v>
      </c>
      <c r="B2" s="18">
        <v>15</v>
      </c>
      <c r="C2" s="18" t="s">
        <v>70</v>
      </c>
      <c r="D2" s="18">
        <f>B2*100000</f>
        <v>1500000</v>
      </c>
      <c r="E2" s="18">
        <v>33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41">
        <f>D2/J2*1000</f>
        <v>95.226003047232098</v>
      </c>
      <c r="L2" t="s">
        <v>29</v>
      </c>
    </row>
    <row r="3" spans="1:12" x14ac:dyDescent="0.2">
      <c r="A3" t="s">
        <v>30</v>
      </c>
      <c r="B3" s="18">
        <v>20</v>
      </c>
      <c r="C3" s="18" t="s">
        <v>70</v>
      </c>
      <c r="D3" s="18">
        <f>B3*100000</f>
        <v>2000000</v>
      </c>
      <c r="E3" s="18">
        <v>33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41">
        <f>D3/J3*1000</f>
        <v>120.83131947800869</v>
      </c>
      <c r="L3" t="s">
        <v>29</v>
      </c>
    </row>
    <row r="4" spans="1:12" x14ac:dyDescent="0.2">
      <c r="A4" t="s">
        <v>31</v>
      </c>
      <c r="B4" s="18">
        <v>0</v>
      </c>
      <c r="C4" s="18"/>
      <c r="D4" s="18">
        <v>2000000</v>
      </c>
      <c r="E4" s="18">
        <v>33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41">
        <f>D4/(J4*E4)*1000</f>
        <v>6.0606060606060606</v>
      </c>
      <c r="L4" t="s">
        <v>32</v>
      </c>
    </row>
    <row r="5" spans="1:12" x14ac:dyDescent="0.2">
      <c r="A5" t="s">
        <v>34</v>
      </c>
      <c r="B5" s="18">
        <v>2</v>
      </c>
      <c r="C5" s="18" t="s">
        <v>71</v>
      </c>
      <c r="D5" s="18">
        <v>0</v>
      </c>
      <c r="E5" s="18">
        <v>33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41">
        <f>capital_cost!I5*B5*0.01</f>
        <v>21.818181818181817</v>
      </c>
      <c r="L5" t="s">
        <v>72</v>
      </c>
    </row>
    <row r="6" spans="1:12" x14ac:dyDescent="0.2">
      <c r="A6" t="s">
        <v>36</v>
      </c>
      <c r="B6" s="18">
        <v>2</v>
      </c>
      <c r="C6" s="18" t="s">
        <v>71</v>
      </c>
      <c r="D6" s="30"/>
      <c r="E6" s="18">
        <v>33</v>
      </c>
      <c r="F6" s="30"/>
      <c r="G6" s="30"/>
      <c r="H6" s="30"/>
      <c r="I6" s="30"/>
      <c r="J6" s="30"/>
      <c r="K6" s="41">
        <f>capital_cost!I6*B6*0.01</f>
        <v>20.854545454545459</v>
      </c>
      <c r="L6" t="s">
        <v>63</v>
      </c>
    </row>
    <row r="7" spans="1:12" x14ac:dyDescent="0.2">
      <c r="A7" t="s">
        <v>106</v>
      </c>
      <c r="B7">
        <v>28303.5</v>
      </c>
      <c r="C7" t="s">
        <v>44</v>
      </c>
      <c r="D7">
        <f>B7*$B$10</f>
        <v>429269.75</v>
      </c>
      <c r="E7" s="18">
        <v>33</v>
      </c>
      <c r="K7" s="42">
        <f>D7/(35*1000*33)</f>
        <v>0.37166212121212122</v>
      </c>
      <c r="L7" s="39" t="s">
        <v>46</v>
      </c>
    </row>
    <row r="8" spans="1:12" x14ac:dyDescent="0.2">
      <c r="A8" t="s">
        <v>107</v>
      </c>
      <c r="B8">
        <v>25664.67</v>
      </c>
      <c r="C8" t="s">
        <v>44</v>
      </c>
      <c r="D8">
        <f t="shared" ref="D8:D9" si="0">B8*$B$10</f>
        <v>389247.49499999994</v>
      </c>
      <c r="E8" s="18">
        <v>33</v>
      </c>
      <c r="K8" s="42">
        <f t="shared" ref="K8:K9" si="1">D8/(35*1000*1000)</f>
        <v>1.1121356999999998E-2</v>
      </c>
      <c r="L8" s="39" t="s">
        <v>48</v>
      </c>
    </row>
    <row r="9" spans="1:12" x14ac:dyDescent="0.2">
      <c r="A9" t="s">
        <v>108</v>
      </c>
      <c r="B9">
        <v>160386.5</v>
      </c>
      <c r="C9" t="s">
        <v>44</v>
      </c>
      <c r="D9">
        <f t="shared" si="0"/>
        <v>2432528.583333333</v>
      </c>
      <c r="E9" s="18">
        <v>33</v>
      </c>
      <c r="K9" s="42">
        <f t="shared" si="1"/>
        <v>6.9500816666666659E-2</v>
      </c>
      <c r="L9" s="39" t="s">
        <v>46</v>
      </c>
    </row>
    <row r="10" spans="1:12" x14ac:dyDescent="0.2">
      <c r="B10" s="40">
        <f>15+4/24</f>
        <v>15.166666666666666</v>
      </c>
      <c r="C10" t="s">
        <v>109</v>
      </c>
      <c r="L10" s="39"/>
    </row>
  </sheetData>
  <hyperlinks>
    <hyperlink ref="L7" r:id="rId1" location=":~:text=In%20full%2Dyear%202021%2C%20Clarksons,is%20around%20%2430%2C000%20per%20day. zuletzt geprüft am 15.12.2022" xr:uid="{390ABFAB-55EA-A541-94C7-724A7C035D74}"/>
    <hyperlink ref="L8" r:id="rId2" location=":~:text=Odfjell%20says%20chemical%20tanker%20market%20remains%20challenging&amp;text=TCE%20per%20day%20came%20in,at%20%2422%2C095%2C%20the%20company%20added. zuletzt geprüft am 15.12.2022" display="https://lloydslist.maritimeintelligence.informa.com/LL1141976/Odfjell-says-chemical-tanker-rates-at-highest-since-2007#:~:text=Odfjell%20says%20chemical%20tanker%20market%20remains%20challenging&amp;text=TCE%20per%20day%20came%20in,at%20%2422%2C095%2C%20the%20company%20added. zuletzt geprüft am 15.12.2022" xr:uid="{69AB4808-13C1-0643-82AA-1CD658E49E4F}"/>
    <hyperlink ref="L9" r:id="rId3" location=":~:text=In%20full%2Dyear%202021%2C%20Clarksons,is%20around%20%2430%2C000%20per%20day. zuletzt geprüft am 15.12.2022" xr:uid="{C78D2B28-CE59-DF43-B997-8C6FB86E24F2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dimension ref="A1:K27"/>
  <sheetViews>
    <sheetView zoomScaleNormal="100" workbookViewId="0">
      <selection activeCell="C26" sqref="C26"/>
    </sheetView>
  </sheetViews>
  <sheetFormatPr baseColWidth="10" defaultColWidth="10.83203125" defaultRowHeight="16" x14ac:dyDescent="0.2"/>
  <cols>
    <col min="2" max="2" width="14.33203125" customWidth="1"/>
  </cols>
  <sheetData>
    <row r="1" spans="1:11" x14ac:dyDescent="0.2">
      <c r="A1" t="s">
        <v>73</v>
      </c>
    </row>
    <row r="2" spans="1:11" x14ac:dyDescent="0.2">
      <c r="A2" t="s">
        <v>74</v>
      </c>
      <c r="B2" t="s">
        <v>75</v>
      </c>
    </row>
    <row r="3" spans="1:11" x14ac:dyDescent="0.2">
      <c r="A3" t="s">
        <v>76</v>
      </c>
      <c r="B3" s="25" t="s">
        <v>77</v>
      </c>
    </row>
    <row r="4" spans="1:11" x14ac:dyDescent="0.2">
      <c r="B4" s="25" t="s">
        <v>78</v>
      </c>
    </row>
    <row r="5" spans="1:11" x14ac:dyDescent="0.2">
      <c r="B5" s="25" t="s">
        <v>79</v>
      </c>
    </row>
    <row r="7" spans="1:11" x14ac:dyDescent="0.2">
      <c r="A7" t="s">
        <v>80</v>
      </c>
    </row>
    <row r="9" spans="1:11" x14ac:dyDescent="0.2">
      <c r="A9" t="s">
        <v>81</v>
      </c>
      <c r="B9" t="s">
        <v>82</v>
      </c>
      <c r="C9" t="s">
        <v>83</v>
      </c>
    </row>
    <row r="10" spans="1:11" x14ac:dyDescent="0.2">
      <c r="B10">
        <v>280</v>
      </c>
      <c r="C10" t="s">
        <v>84</v>
      </c>
      <c r="D10">
        <v>232</v>
      </c>
      <c r="E10" t="s">
        <v>85</v>
      </c>
      <c r="F10">
        <v>8000</v>
      </c>
      <c r="G10" t="s">
        <v>86</v>
      </c>
      <c r="H10">
        <v>9</v>
      </c>
      <c r="I10" t="s">
        <v>87</v>
      </c>
      <c r="J10">
        <v>1</v>
      </c>
      <c r="K10" t="s">
        <v>88</v>
      </c>
    </row>
    <row r="11" spans="1:11" x14ac:dyDescent="0.2">
      <c r="B11">
        <f>F10*D10*F10</f>
        <v>14848000000</v>
      </c>
      <c r="C11" t="s">
        <v>89</v>
      </c>
    </row>
    <row r="12" spans="1:11" x14ac:dyDescent="0.2">
      <c r="B12">
        <f>B11/1000</f>
        <v>14848000</v>
      </c>
      <c r="C12" t="s">
        <v>90</v>
      </c>
      <c r="E12">
        <v>189000</v>
      </c>
      <c r="F12" t="s">
        <v>91</v>
      </c>
      <c r="G12">
        <v>136000</v>
      </c>
      <c r="H12" t="s">
        <v>91</v>
      </c>
    </row>
    <row r="13" spans="1:11" x14ac:dyDescent="0.2">
      <c r="B13">
        <f>G12*365</f>
        <v>49640000</v>
      </c>
      <c r="C13" t="s">
        <v>92</v>
      </c>
      <c r="E13">
        <f>365*E12</f>
        <v>68985000</v>
      </c>
      <c r="F13" t="s">
        <v>92</v>
      </c>
      <c r="G13">
        <f>G12*365</f>
        <v>49640000</v>
      </c>
      <c r="H13" t="s">
        <v>92</v>
      </c>
    </row>
    <row r="15" spans="1:11" x14ac:dyDescent="0.2">
      <c r="B15" s="28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93</v>
      </c>
    </row>
    <row r="18" spans="1:3" x14ac:dyDescent="0.2">
      <c r="B18">
        <f>B17/1000</f>
        <v>54937.599999999999</v>
      </c>
      <c r="C18" t="s">
        <v>94</v>
      </c>
    </row>
    <row r="21" spans="1:3" x14ac:dyDescent="0.2">
      <c r="A21" t="s">
        <v>95</v>
      </c>
      <c r="B21">
        <v>222</v>
      </c>
      <c r="C21" t="s">
        <v>96</v>
      </c>
    </row>
    <row r="27" spans="1:3" x14ac:dyDescent="0.2">
      <c r="C27" t="s">
        <v>97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78BD-3952-40CE-8760-D9B1F68CDD97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3E41-3845-480C-A707-54760FCBF4DD}">
  <dimension ref="A1"/>
  <sheetViews>
    <sheetView workbookViewId="0"/>
  </sheetViews>
  <sheetFormatPr baseColWidth="10" defaultColWidth="10.83203125" defaultRowHeight="16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dimension ref="A1:B28"/>
  <sheetViews>
    <sheetView zoomScale="85" zoomScaleNormal="85" workbookViewId="0">
      <selection activeCell="F7" sqref="F7"/>
    </sheetView>
  </sheetViews>
  <sheetFormatPr baseColWidth="10" defaultColWidth="11.5" defaultRowHeight="16" x14ac:dyDescent="0.2"/>
  <cols>
    <col min="1" max="1" width="18.33203125" bestFit="1" customWidth="1"/>
    <col min="2" max="2" width="144.33203125" customWidth="1"/>
  </cols>
  <sheetData>
    <row r="1" spans="1:2" ht="21" x14ac:dyDescent="0.25">
      <c r="A1" s="20" t="s">
        <v>98</v>
      </c>
    </row>
    <row r="2" spans="1:2" x14ac:dyDescent="0.2">
      <c r="A2" t="s">
        <v>99</v>
      </c>
      <c r="B2" t="s">
        <v>100</v>
      </c>
    </row>
    <row r="3" spans="1:2" ht="34" x14ac:dyDescent="0.2">
      <c r="A3" s="12">
        <v>1</v>
      </c>
      <c r="B3" s="21" t="s">
        <v>101</v>
      </c>
    </row>
    <row r="4" spans="1:2" ht="34" x14ac:dyDescent="0.2">
      <c r="A4" s="12">
        <v>2</v>
      </c>
      <c r="B4" s="21" t="s">
        <v>102</v>
      </c>
    </row>
    <row r="5" spans="1:2" ht="34" x14ac:dyDescent="0.2">
      <c r="A5" s="12">
        <v>3</v>
      </c>
      <c r="B5" s="21" t="s">
        <v>103</v>
      </c>
    </row>
    <row r="6" spans="1:2" ht="34" x14ac:dyDescent="0.2">
      <c r="A6" s="12">
        <v>4</v>
      </c>
      <c r="B6" s="21" t="s">
        <v>104</v>
      </c>
    </row>
    <row r="7" spans="1:2" x14ac:dyDescent="0.2">
      <c r="A7" s="12">
        <v>5</v>
      </c>
      <c r="B7" t="s">
        <v>105</v>
      </c>
    </row>
    <row r="8" spans="1:2" x14ac:dyDescent="0.2">
      <c r="A8" s="12"/>
      <c r="B8" s="21"/>
    </row>
    <row r="9" spans="1:2" x14ac:dyDescent="0.2">
      <c r="A9" s="12"/>
      <c r="B9" s="21"/>
    </row>
    <row r="10" spans="1:2" x14ac:dyDescent="0.2">
      <c r="A10" s="12"/>
      <c r="B10" s="21"/>
    </row>
    <row r="11" spans="1:2" x14ac:dyDescent="0.2">
      <c r="A11" s="12"/>
      <c r="B11" s="21"/>
    </row>
    <row r="12" spans="1:2" x14ac:dyDescent="0.2">
      <c r="A12" s="12"/>
      <c r="B12" s="21"/>
    </row>
    <row r="13" spans="1:2" x14ac:dyDescent="0.2">
      <c r="A13" s="12"/>
      <c r="B13" s="21"/>
    </row>
    <row r="14" spans="1:2" x14ac:dyDescent="0.2">
      <c r="A14" s="12"/>
      <c r="B14" s="21"/>
    </row>
    <row r="15" spans="1:2" x14ac:dyDescent="0.2">
      <c r="A15" s="12"/>
    </row>
    <row r="16" spans="1:2" x14ac:dyDescent="0.2">
      <c r="A16" s="12"/>
      <c r="B16" s="21"/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7AB49E-189D-4848-B4EA-561D0793F824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4fc79a47-31e4-4653-8b27-dca9a17ceac4"/>
    <ds:schemaRef ds:uri="http://purl.org/dc/elements/1.1/"/>
    <ds:schemaRef ds:uri="http://schemas.openxmlformats.org/package/2006/metadata/core-properties"/>
    <ds:schemaRef ds:uri="3c3af68f-487b-4532-8d75-15d1498f69fb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capital_cost</vt:lpstr>
      <vt:lpstr>marginal_cost</vt:lpstr>
      <vt:lpstr>Chile</vt:lpstr>
      <vt:lpstr>Transport</vt:lpstr>
      <vt:lpstr>Zement</vt:lpstr>
      <vt:lpstr>Quellen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2023-01-11T19:52:31Z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