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odrum\Documents\Research\KI_Integrated_Framework\excel\"/>
    </mc:Choice>
  </mc:AlternateContent>
  <bookViews>
    <workbookView xWindow="0" yWindow="0" windowWidth="11085" windowHeight="7935" activeTab="2"/>
  </bookViews>
  <sheets>
    <sheet name="NAVARCH" sheetId="1" r:id="rId1"/>
    <sheet name="DIST" sheetId="2" r:id="rId2"/>
    <sheet name="OP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E7" i="3"/>
  <c r="E8" i="3"/>
  <c r="E9" i="3"/>
  <c r="E6" i="3"/>
  <c r="B23" i="3"/>
  <c r="B10" i="2"/>
  <c r="B11" i="2"/>
  <c r="B5" i="2"/>
  <c r="D17" i="2" l="1"/>
  <c r="B24" i="3"/>
  <c r="C24" i="1"/>
  <c r="D24" i="1"/>
  <c r="B14" i="1"/>
  <c r="B15" i="1"/>
  <c r="B16" i="1"/>
  <c r="B29" i="1" s="1"/>
  <c r="L19" i="1"/>
  <c r="B39" i="1"/>
  <c r="B24" i="1" s="1"/>
  <c r="B19" i="2" l="1"/>
  <c r="B21" i="2" s="1"/>
  <c r="B25" i="1" l="1"/>
  <c r="C25" i="1" s="1"/>
  <c r="D25" i="1"/>
  <c r="B27" i="1" l="1"/>
  <c r="D29" i="1" s="1"/>
  <c r="D27" i="1" l="1"/>
  <c r="B32" i="1"/>
  <c r="B31" i="1"/>
  <c r="C27" i="1"/>
  <c r="B33" i="1" l="1"/>
</calcChain>
</file>

<file path=xl/sharedStrings.xml><?xml version="1.0" encoding="utf-8"?>
<sst xmlns="http://schemas.openxmlformats.org/spreadsheetml/2006/main" count="131" uniqueCount="105">
  <si>
    <t>kg/m^3</t>
  </si>
  <si>
    <t>Note: From J-44 NATO Spec. Min (788.0), Max (845.0)</t>
  </si>
  <si>
    <t>JP-5 Parameters</t>
  </si>
  <si>
    <r>
      <t>Density (</t>
    </r>
    <r>
      <rPr>
        <sz val="11"/>
        <color theme="1"/>
        <rFont val="Calibri"/>
        <family val="2"/>
      </rPr>
      <t>ρ)</t>
    </r>
  </si>
  <si>
    <t>Volume (m^3)</t>
  </si>
  <si>
    <t>Weight (kg)</t>
  </si>
  <si>
    <t>Weight (tonnes)</t>
  </si>
  <si>
    <t>x (m)</t>
  </si>
  <si>
    <t>z (m)</t>
  </si>
  <si>
    <t>Total Weight</t>
  </si>
  <si>
    <t>tonnes</t>
  </si>
  <si>
    <t>m from AP</t>
  </si>
  <si>
    <t>LHD - Principal Characteristics</t>
  </si>
  <si>
    <t>Beam (B)</t>
  </si>
  <si>
    <t>Draft (T)</t>
  </si>
  <si>
    <t>Length (LWL)</t>
  </si>
  <si>
    <t>DWT</t>
  </si>
  <si>
    <t>Max. DWT</t>
  </si>
  <si>
    <t>Max Displ</t>
  </si>
  <si>
    <t>Depth (D)</t>
  </si>
  <si>
    <t>m</t>
  </si>
  <si>
    <t>Block Coefficient (Cb)</t>
  </si>
  <si>
    <t>**Made up</t>
  </si>
  <si>
    <t xml:space="preserve">Volume </t>
  </si>
  <si>
    <t>m^3</t>
  </si>
  <si>
    <t>Misc.</t>
  </si>
  <si>
    <t>Vehicles</t>
  </si>
  <si>
    <t>Fuel</t>
  </si>
  <si>
    <t>Total DWT</t>
  </si>
  <si>
    <t>Total Displacement</t>
  </si>
  <si>
    <t xml:space="preserve">  %; + weight exceeds displacement</t>
  </si>
  <si>
    <t>** Value from operations</t>
  </si>
  <si>
    <t>**Value from operations volume requirement</t>
  </si>
  <si>
    <t>BMT</t>
  </si>
  <si>
    <t>KEY</t>
  </si>
  <si>
    <t>Inputs</t>
  </si>
  <si>
    <t>Negotiated</t>
  </si>
  <si>
    <t>Outputs</t>
  </si>
  <si>
    <t>Trim</t>
  </si>
  <si>
    <t>LCB</t>
  </si>
  <si>
    <t>Lightship</t>
  </si>
  <si>
    <t>LCG (m from AP)</t>
  </si>
  <si>
    <t>VCG (m abv. BL)</t>
  </si>
  <si>
    <t>BML</t>
  </si>
  <si>
    <t>KB</t>
  </si>
  <si>
    <t>GMT</t>
  </si>
  <si>
    <t>GML</t>
  </si>
  <si>
    <t>m; + by the bow</t>
  </si>
  <si>
    <t>V22 Osprey</t>
  </si>
  <si>
    <t>AV-8B Harrier</t>
  </si>
  <si>
    <t>SH-60 Seahawk</t>
  </si>
  <si>
    <t>Aircraft</t>
  </si>
  <si>
    <t>Unit Weight (tonnes)</t>
  </si>
  <si>
    <t>Number of Units</t>
  </si>
  <si>
    <t>Total Vehicle Weight</t>
  </si>
  <si>
    <t>Sortie Rate</t>
  </si>
  <si>
    <t>sorties/aircraft/day</t>
  </si>
  <si>
    <t>** could be sustained(1.0) or surge(2.0) conditions.</t>
  </si>
  <si>
    <t>Sortie Duration</t>
  </si>
  <si>
    <t>mins/sortie</t>
  </si>
  <si>
    <t>mins</t>
  </si>
  <si>
    <t>lb/min</t>
  </si>
  <si>
    <t>Max Fuel Rate</t>
  </si>
  <si>
    <t>Refuel Time</t>
  </si>
  <si>
    <t>War Gaming Parameters</t>
  </si>
  <si>
    <t>http://www.warfaresims.com/?page_id=3262</t>
  </si>
  <si>
    <t>F35-C</t>
  </si>
  <si>
    <t>http://www.alternatewars.com/SAC/AV-8B_Harrier_II_SAC_-_October_1986.pdf</t>
  </si>
  <si>
    <t>https://www.lockheedmartin.com/content/dam/lockheed-martin/rms/documents/mh-60/MH-60R-trifold.pdf</t>
  </si>
  <si>
    <t>Endurance Days</t>
  </si>
  <si>
    <t>days</t>
  </si>
  <si>
    <t>Required Volume of Fuel</t>
  </si>
  <si>
    <t>Volume Flow Rate</t>
  </si>
  <si>
    <t>m^3/s</t>
  </si>
  <si>
    <t>Refueling Location</t>
  </si>
  <si>
    <t>Specific Weight</t>
  </si>
  <si>
    <t>N/m^3</t>
  </si>
  <si>
    <t>Start (Tank):</t>
  </si>
  <si>
    <t>End (Nozzle)</t>
  </si>
  <si>
    <t xml:space="preserve">System Head </t>
  </si>
  <si>
    <t>P1 (N/m^2)</t>
  </si>
  <si>
    <t>P2 (N/m^2)</t>
  </si>
  <si>
    <t>Z1 (m)</t>
  </si>
  <si>
    <t>Z2 (m)</t>
  </si>
  <si>
    <t>V1 (m/s)</t>
  </si>
  <si>
    <t>V2 (m/s)</t>
  </si>
  <si>
    <t>Pipe Diameter</t>
  </si>
  <si>
    <t>Required Flow Rate</t>
  </si>
  <si>
    <t>Required Velocity</t>
  </si>
  <si>
    <t>m/s</t>
  </si>
  <si>
    <t>kW</t>
  </si>
  <si>
    <t>Pump Catalogue</t>
  </si>
  <si>
    <t>Pump 1</t>
  </si>
  <si>
    <t>Pump 2</t>
  </si>
  <si>
    <t>Pump 3</t>
  </si>
  <si>
    <t>Pump 4</t>
  </si>
  <si>
    <t>Power (kW)</t>
  </si>
  <si>
    <t>Efficiency (%)</t>
  </si>
  <si>
    <t>Bernoulli Analysis:</t>
  </si>
  <si>
    <t>Piping System Parameters:</t>
  </si>
  <si>
    <t>Required Power</t>
  </si>
  <si>
    <t>g</t>
  </si>
  <si>
    <t>pi</t>
  </si>
  <si>
    <t>Fuel Consumption (kg/min)</t>
  </si>
  <si>
    <t>Summed Unit Weights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</si>
</sst>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2" fontId="0" fillId="0" borderId="0" xfId="0" applyNumberFormat="1" applyBorder="1"/>
    <xf numFmtId="164" fontId="0" fillId="4" borderId="0" xfId="0" applyNumberFormat="1" applyFill="1"/>
    <xf numFmtId="2" fontId="1" fillId="0" borderId="0" xfId="0" applyNumberFormat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164" fontId="0" fillId="2" borderId="0" xfId="0" applyNumberFormat="1" applyFill="1" applyBorder="1"/>
    <xf numFmtId="0" fontId="0" fillId="0" borderId="5" xfId="0" applyBorder="1"/>
    <xf numFmtId="0" fontId="0" fillId="2" borderId="0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1" fillId="0" borderId="4" xfId="0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left" indent="1"/>
    </xf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4" fillId="0" borderId="0" xfId="1"/>
    <xf numFmtId="164" fontId="1" fillId="5" borderId="0" xfId="0" applyNumberFormat="1" applyFont="1" applyFill="1"/>
    <xf numFmtId="165" fontId="1" fillId="4" borderId="0" xfId="0" applyNumberFormat="1" applyFont="1" applyFill="1"/>
    <xf numFmtId="164" fontId="1" fillId="3" borderId="0" xfId="0" applyNumberFormat="1" applyFont="1" applyFill="1"/>
    <xf numFmtId="0" fontId="0" fillId="0" borderId="0" xfId="0" applyBorder="1"/>
    <xf numFmtId="0" fontId="0" fillId="0" borderId="7" xfId="0" applyBorder="1"/>
    <xf numFmtId="0" fontId="0" fillId="3" borderId="0" xfId="0" applyFill="1" applyBorder="1"/>
    <xf numFmtId="0" fontId="0" fillId="3" borderId="5" xfId="0" applyFill="1" applyBorder="1"/>
    <xf numFmtId="2" fontId="0" fillId="0" borderId="5" xfId="0" applyNumberFormat="1" applyFill="1" applyBorder="1"/>
    <xf numFmtId="2" fontId="0" fillId="0" borderId="7" xfId="0" applyNumberFormat="1" applyBorder="1"/>
    <xf numFmtId="2" fontId="1" fillId="5" borderId="7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Fill="1" applyBorder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ckheedmartin.com/content/dam/lockheed-martin/rms/documents/mh-60/MH-60R-trifold.pdf" TargetMode="External"/><Relationship Id="rId2" Type="http://schemas.openxmlformats.org/officeDocument/2006/relationships/hyperlink" Target="http://www.alternatewars.com/SAC/AV-8B_Harrier_II_SAC_-_October_1986.pdf" TargetMode="External"/><Relationship Id="rId1" Type="http://schemas.openxmlformats.org/officeDocument/2006/relationships/hyperlink" Target="http://www.warfaresims.com/?page_id=3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A39" sqref="A39"/>
    </sheetView>
  </sheetViews>
  <sheetFormatPr defaultRowHeight="15" x14ac:dyDescent="0.25"/>
  <cols>
    <col min="1" max="1" width="20.5703125" customWidth="1"/>
    <col min="2" max="2" width="15.85546875" customWidth="1"/>
    <col min="3" max="3" width="15.42578125" customWidth="1"/>
    <col min="4" max="4" width="15.85546875" customWidth="1"/>
  </cols>
  <sheetData>
    <row r="2" spans="1:12" x14ac:dyDescent="0.25">
      <c r="A2" s="14" t="s">
        <v>2</v>
      </c>
      <c r="B2" s="15"/>
      <c r="C2" s="16"/>
    </row>
    <row r="3" spans="1:12" x14ac:dyDescent="0.25">
      <c r="A3" s="24" t="s">
        <v>3</v>
      </c>
      <c r="B3" s="25">
        <v>845</v>
      </c>
      <c r="C3" s="26" t="s">
        <v>0</v>
      </c>
      <c r="D3" t="s">
        <v>1</v>
      </c>
    </row>
    <row r="6" spans="1:12" x14ac:dyDescent="0.25">
      <c r="A6" s="14" t="s">
        <v>12</v>
      </c>
      <c r="B6" s="15"/>
      <c r="C6" s="16"/>
      <c r="K6" s="3" t="s">
        <v>34</v>
      </c>
    </row>
    <row r="7" spans="1:12" x14ac:dyDescent="0.25">
      <c r="A7" s="17" t="s">
        <v>15</v>
      </c>
      <c r="B7" s="18">
        <v>237</v>
      </c>
      <c r="C7" s="19" t="s">
        <v>20</v>
      </c>
      <c r="K7" s="1"/>
      <c r="L7" t="s">
        <v>35</v>
      </c>
    </row>
    <row r="8" spans="1:12" x14ac:dyDescent="0.25">
      <c r="A8" s="17" t="s">
        <v>13</v>
      </c>
      <c r="B8" s="18">
        <v>32</v>
      </c>
      <c r="C8" s="19" t="s">
        <v>20</v>
      </c>
      <c r="K8" s="7"/>
      <c r="L8" t="s">
        <v>36</v>
      </c>
    </row>
    <row r="9" spans="1:12" x14ac:dyDescent="0.25">
      <c r="A9" s="17" t="s">
        <v>14</v>
      </c>
      <c r="B9" s="18">
        <v>8.5</v>
      </c>
      <c r="C9" s="19" t="s">
        <v>20</v>
      </c>
      <c r="K9" s="8"/>
      <c r="L9" t="s">
        <v>37</v>
      </c>
    </row>
    <row r="10" spans="1:12" x14ac:dyDescent="0.25">
      <c r="A10" s="17" t="s">
        <v>19</v>
      </c>
      <c r="B10" s="18">
        <v>20</v>
      </c>
      <c r="C10" s="19" t="s">
        <v>20</v>
      </c>
    </row>
    <row r="11" spans="1:12" x14ac:dyDescent="0.25">
      <c r="A11" s="17" t="s">
        <v>21</v>
      </c>
      <c r="B11" s="20">
        <v>0.64</v>
      </c>
      <c r="C11" s="19"/>
      <c r="D11" t="s">
        <v>22</v>
      </c>
    </row>
    <row r="12" spans="1:12" x14ac:dyDescent="0.25">
      <c r="A12" s="17" t="s">
        <v>33</v>
      </c>
      <c r="B12" s="18">
        <v>6</v>
      </c>
      <c r="C12" s="19" t="s">
        <v>20</v>
      </c>
      <c r="D12" t="s">
        <v>22</v>
      </c>
    </row>
    <row r="13" spans="1:12" x14ac:dyDescent="0.25">
      <c r="A13" s="17" t="s">
        <v>43</v>
      </c>
      <c r="B13" s="18">
        <v>180</v>
      </c>
      <c r="C13" s="19" t="s">
        <v>20</v>
      </c>
      <c r="D13" t="s">
        <v>22</v>
      </c>
    </row>
    <row r="14" spans="1:12" x14ac:dyDescent="0.25">
      <c r="A14" s="17" t="s">
        <v>44</v>
      </c>
      <c r="B14" s="18">
        <f>B9/2</f>
        <v>4.25</v>
      </c>
      <c r="C14" s="19" t="s">
        <v>20</v>
      </c>
    </row>
    <row r="15" spans="1:12" x14ac:dyDescent="0.25">
      <c r="A15" s="17" t="s">
        <v>39</v>
      </c>
      <c r="B15" s="18">
        <f>B7/2</f>
        <v>118.5</v>
      </c>
      <c r="C15" s="19" t="s">
        <v>11</v>
      </c>
    </row>
    <row r="16" spans="1:12" x14ac:dyDescent="0.25">
      <c r="A16" s="21" t="s">
        <v>23</v>
      </c>
      <c r="B16" s="22">
        <f>B7*B8*B9*B11</f>
        <v>41256.959999999999</v>
      </c>
      <c r="C16" s="23" t="s">
        <v>24</v>
      </c>
    </row>
    <row r="17" spans="1:13" x14ac:dyDescent="0.25">
      <c r="A17" s="3"/>
    </row>
    <row r="18" spans="1:13" x14ac:dyDescent="0.25">
      <c r="A18" s="27"/>
      <c r="B18" s="15" t="s">
        <v>6</v>
      </c>
      <c r="C18" s="15" t="s">
        <v>41</v>
      </c>
      <c r="D18" s="16" t="s">
        <v>42</v>
      </c>
      <c r="K18" t="s">
        <v>17</v>
      </c>
      <c r="L18">
        <v>13725</v>
      </c>
      <c r="M18" t="s">
        <v>10</v>
      </c>
    </row>
    <row r="19" spans="1:13" x14ac:dyDescent="0.25">
      <c r="A19" s="28" t="s">
        <v>40</v>
      </c>
      <c r="B19" s="29">
        <v>28628</v>
      </c>
      <c r="C19" s="29">
        <v>118.5</v>
      </c>
      <c r="D19" s="30">
        <v>10</v>
      </c>
      <c r="K19" s="2" t="s">
        <v>18</v>
      </c>
      <c r="L19" s="2">
        <f>B19+L18</f>
        <v>42353</v>
      </c>
      <c r="M19" s="2" t="s">
        <v>10</v>
      </c>
    </row>
    <row r="20" spans="1:13" x14ac:dyDescent="0.25">
      <c r="A20" s="31"/>
      <c r="B20" s="32"/>
      <c r="C20" s="32"/>
      <c r="D20" s="33"/>
      <c r="K20" s="2"/>
      <c r="L20" s="2"/>
      <c r="M20" s="2"/>
    </row>
    <row r="21" spans="1:13" x14ac:dyDescent="0.25">
      <c r="A21" s="31" t="s">
        <v>16</v>
      </c>
      <c r="B21" s="32"/>
      <c r="C21" s="32"/>
      <c r="D21" s="33"/>
    </row>
    <row r="22" spans="1:13" x14ac:dyDescent="0.25">
      <c r="A22" s="34" t="s">
        <v>25</v>
      </c>
      <c r="B22" s="32">
        <v>12000</v>
      </c>
      <c r="C22" s="32">
        <v>116</v>
      </c>
      <c r="D22" s="33">
        <v>11</v>
      </c>
    </row>
    <row r="23" spans="1:13" x14ac:dyDescent="0.25">
      <c r="A23" s="34" t="s">
        <v>26</v>
      </c>
      <c r="B23" s="35">
        <v>350</v>
      </c>
      <c r="C23" s="35">
        <v>50</v>
      </c>
      <c r="D23" s="36">
        <v>23</v>
      </c>
      <c r="E23" t="s">
        <v>31</v>
      </c>
    </row>
    <row r="24" spans="1:13" x14ac:dyDescent="0.25">
      <c r="A24" s="34" t="s">
        <v>27</v>
      </c>
      <c r="B24" s="11">
        <f>B39</f>
        <v>1478.75</v>
      </c>
      <c r="C24" s="39">
        <f>C39</f>
        <v>155</v>
      </c>
      <c r="D24" s="40">
        <f>D39</f>
        <v>4</v>
      </c>
    </row>
    <row r="25" spans="1:13" x14ac:dyDescent="0.25">
      <c r="A25" s="28" t="s">
        <v>28</v>
      </c>
      <c r="B25" s="29">
        <f>SUM(B22:B24)</f>
        <v>13828.75</v>
      </c>
      <c r="C25" s="29">
        <f>SUMPRODUCT(C22:C24,$B$22:$B$24)/$B$25</f>
        <v>118.49995480430263</v>
      </c>
      <c r="D25" s="30">
        <f>SUMPRODUCT(D22:D24,$B$22:$B$24)/$B$25</f>
        <v>10.555183946488294</v>
      </c>
    </row>
    <row r="26" spans="1:13" x14ac:dyDescent="0.25">
      <c r="A26" s="31"/>
      <c r="B26" s="32"/>
      <c r="C26" s="32"/>
      <c r="D26" s="33"/>
    </row>
    <row r="27" spans="1:13" x14ac:dyDescent="0.25">
      <c r="A27" s="21" t="s">
        <v>9</v>
      </c>
      <c r="B27" s="37">
        <f>B19+B25</f>
        <v>42456.75</v>
      </c>
      <c r="C27" s="37">
        <f>($B$19*C19+$B$25*C25)/$B$27</f>
        <v>118.49998527913701</v>
      </c>
      <c r="D27" s="38">
        <f>($B$19*D19+$B$25*D25)/$B$27</f>
        <v>10.180831081041294</v>
      </c>
    </row>
    <row r="28" spans="1:13" x14ac:dyDescent="0.25">
      <c r="B28" s="9"/>
    </row>
    <row r="29" spans="1:13" x14ac:dyDescent="0.25">
      <c r="A29" s="2" t="s">
        <v>29</v>
      </c>
      <c r="B29" s="6">
        <f>B16*1.025</f>
        <v>42288.383999999998</v>
      </c>
      <c r="C29" s="2" t="s">
        <v>10</v>
      </c>
      <c r="D29" s="5">
        <f>SUM(100*(B27-B29)/B29)</f>
        <v>0.39813770136026433</v>
      </c>
      <c r="E29" t="s">
        <v>30</v>
      </c>
    </row>
    <row r="31" spans="1:13" x14ac:dyDescent="0.25">
      <c r="A31" t="s">
        <v>45</v>
      </c>
      <c r="B31" s="5">
        <f>B12+B14-D27</f>
        <v>6.9168918958705916E-2</v>
      </c>
    </row>
    <row r="32" spans="1:13" x14ac:dyDescent="0.25">
      <c r="A32" t="s">
        <v>46</v>
      </c>
      <c r="B32" s="5">
        <f>B13+B14-D27</f>
        <v>174.0691689189587</v>
      </c>
    </row>
    <row r="33" spans="1:5" x14ac:dyDescent="0.25">
      <c r="A33" s="2" t="s">
        <v>38</v>
      </c>
      <c r="B33" s="13">
        <f>(C27-B15)*B7/B32</f>
        <v>-2.0042863138320067E-5</v>
      </c>
      <c r="C33" s="2" t="s">
        <v>47</v>
      </c>
    </row>
    <row r="36" spans="1:5" x14ac:dyDescent="0.25">
      <c r="A36" s="3" t="s">
        <v>27</v>
      </c>
    </row>
    <row r="38" spans="1:5" x14ac:dyDescent="0.25">
      <c r="A38" s="4" t="s">
        <v>4</v>
      </c>
      <c r="B38" s="4" t="s">
        <v>6</v>
      </c>
      <c r="C38" s="4" t="s">
        <v>7</v>
      </c>
      <c r="D38" s="4" t="s">
        <v>8</v>
      </c>
    </row>
    <row r="39" spans="1:5" x14ac:dyDescent="0.25">
      <c r="A39" s="10">
        <v>1750</v>
      </c>
      <c r="B39">
        <f>A39*$B$3/1000</f>
        <v>1478.75</v>
      </c>
      <c r="C39" s="12">
        <v>155</v>
      </c>
      <c r="D39" s="12">
        <v>4</v>
      </c>
      <c r="E39" t="s">
        <v>32</v>
      </c>
    </row>
    <row r="41" spans="1:5" x14ac:dyDescent="0.25">
      <c r="A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D10" sqref="D10"/>
    </sheetView>
  </sheetViews>
  <sheetFormatPr defaultRowHeight="15" x14ac:dyDescent="0.25"/>
  <cols>
    <col min="1" max="4" width="20.7109375" customWidth="1"/>
  </cols>
  <sheetData>
    <row r="2" spans="1:4" x14ac:dyDescent="0.25">
      <c r="A2" s="14" t="s">
        <v>2</v>
      </c>
      <c r="B2" s="15"/>
      <c r="C2" s="16"/>
    </row>
    <row r="3" spans="1:4" x14ac:dyDescent="0.25">
      <c r="A3" s="31" t="s">
        <v>3</v>
      </c>
      <c r="B3" s="20">
        <v>845</v>
      </c>
      <c r="C3" s="19" t="s">
        <v>0</v>
      </c>
    </row>
    <row r="4" spans="1:4" x14ac:dyDescent="0.25">
      <c r="A4" t="s">
        <v>101</v>
      </c>
      <c r="B4">
        <v>9.81</v>
      </c>
    </row>
    <row r="5" spans="1:4" x14ac:dyDescent="0.25">
      <c r="A5" s="24" t="s">
        <v>75</v>
      </c>
      <c r="B5" s="46">
        <f>B3*B4</f>
        <v>8289.4500000000007</v>
      </c>
      <c r="C5" s="26" t="s">
        <v>76</v>
      </c>
    </row>
    <row r="7" spans="1:4" x14ac:dyDescent="0.25">
      <c r="A7" s="14" t="s">
        <v>99</v>
      </c>
      <c r="B7" s="15"/>
      <c r="C7" s="16"/>
    </row>
    <row r="8" spans="1:4" x14ac:dyDescent="0.25">
      <c r="A8" s="31" t="s">
        <v>86</v>
      </c>
      <c r="B8" s="20">
        <v>0.1</v>
      </c>
      <c r="C8" s="19" t="s">
        <v>20</v>
      </c>
    </row>
    <row r="9" spans="1:4" x14ac:dyDescent="0.25">
      <c r="A9" s="31" t="s">
        <v>87</v>
      </c>
      <c r="B9" s="47">
        <v>0.26800000000000002</v>
      </c>
      <c r="C9" s="19" t="s">
        <v>73</v>
      </c>
    </row>
    <row r="10" spans="1:4" x14ac:dyDescent="0.25">
      <c r="A10" s="24" t="s">
        <v>88</v>
      </c>
      <c r="B10" s="50">
        <f>B9/(B11*(B8/2)^2)</f>
        <v>34.122819798902363</v>
      </c>
      <c r="C10" s="26" t="s">
        <v>89</v>
      </c>
    </row>
    <row r="11" spans="1:4" x14ac:dyDescent="0.25">
      <c r="A11" s="53" t="s">
        <v>102</v>
      </c>
      <c r="B11">
        <f>PI()</f>
        <v>3.1415926535897931</v>
      </c>
    </row>
    <row r="12" spans="1:4" x14ac:dyDescent="0.25">
      <c r="A12" s="14" t="s">
        <v>98</v>
      </c>
      <c r="B12" s="15"/>
      <c r="C12" s="15"/>
      <c r="D12" s="16"/>
    </row>
    <row r="13" spans="1:4" x14ac:dyDescent="0.25">
      <c r="A13" s="31"/>
      <c r="B13" s="45"/>
      <c r="C13" s="45"/>
      <c r="D13" s="19"/>
    </row>
    <row r="14" spans="1:4" x14ac:dyDescent="0.25">
      <c r="A14" s="31" t="s">
        <v>77</v>
      </c>
      <c r="B14" s="45"/>
      <c r="C14" s="45" t="s">
        <v>78</v>
      </c>
      <c r="D14" s="19"/>
    </row>
    <row r="15" spans="1:4" x14ac:dyDescent="0.25">
      <c r="A15" s="31" t="s">
        <v>80</v>
      </c>
      <c r="B15" s="45">
        <v>0</v>
      </c>
      <c r="C15" s="45" t="s">
        <v>81</v>
      </c>
      <c r="D15" s="19">
        <v>0</v>
      </c>
    </row>
    <row r="16" spans="1:4" x14ac:dyDescent="0.25">
      <c r="A16" s="31" t="s">
        <v>82</v>
      </c>
      <c r="B16" s="47">
        <v>4</v>
      </c>
      <c r="C16" s="45" t="s">
        <v>83</v>
      </c>
      <c r="D16" s="48">
        <v>23</v>
      </c>
    </row>
    <row r="17" spans="1:4" x14ac:dyDescent="0.25">
      <c r="A17" s="31" t="s">
        <v>84</v>
      </c>
      <c r="B17" s="45">
        <v>0</v>
      </c>
      <c r="C17" s="45" t="s">
        <v>85</v>
      </c>
      <c r="D17" s="49">
        <f>B10</f>
        <v>34.122819798902363</v>
      </c>
    </row>
    <row r="18" spans="1:4" x14ac:dyDescent="0.25">
      <c r="A18" s="31"/>
      <c r="B18" s="45"/>
      <c r="C18" s="45"/>
      <c r="D18" s="19"/>
    </row>
    <row r="19" spans="1:4" x14ac:dyDescent="0.25">
      <c r="A19" s="21" t="s">
        <v>79</v>
      </c>
      <c r="B19" s="51">
        <f>(D15-B15)/B5+(D16-B16)+(D17^2-B17^2)/(2*9.81)</f>
        <v>78.345913915818699</v>
      </c>
      <c r="C19" s="22" t="s">
        <v>20</v>
      </c>
      <c r="D19" s="26"/>
    </row>
    <row r="21" spans="1:4" x14ac:dyDescent="0.25">
      <c r="A21" s="2" t="s">
        <v>100</v>
      </c>
      <c r="B21" s="42">
        <f>B5*B19*B9/1000</f>
        <v>174.05113567734153</v>
      </c>
      <c r="C21" s="2" t="s">
        <v>90</v>
      </c>
    </row>
    <row r="25" spans="1:4" x14ac:dyDescent="0.25">
      <c r="A25" s="3" t="s">
        <v>91</v>
      </c>
    </row>
    <row r="26" spans="1:4" x14ac:dyDescent="0.25">
      <c r="B26" t="s">
        <v>96</v>
      </c>
      <c r="C26" t="s">
        <v>97</v>
      </c>
      <c r="D26" t="s">
        <v>5</v>
      </c>
    </row>
    <row r="27" spans="1:4" x14ac:dyDescent="0.25">
      <c r="A27" t="s">
        <v>92</v>
      </c>
      <c r="B27">
        <v>175</v>
      </c>
      <c r="C27">
        <v>0.9</v>
      </c>
      <c r="D27">
        <v>200</v>
      </c>
    </row>
    <row r="28" spans="1:4" x14ac:dyDescent="0.25">
      <c r="A28" t="s">
        <v>93</v>
      </c>
      <c r="B28">
        <v>200</v>
      </c>
      <c r="C28">
        <v>0.9</v>
      </c>
      <c r="D28">
        <v>250</v>
      </c>
    </row>
    <row r="29" spans="1:4" x14ac:dyDescent="0.25">
      <c r="A29" t="s">
        <v>94</v>
      </c>
      <c r="B29">
        <v>225</v>
      </c>
      <c r="C29">
        <v>0.9</v>
      </c>
      <c r="D29">
        <v>300</v>
      </c>
    </row>
    <row r="30" spans="1:4" x14ac:dyDescent="0.25">
      <c r="A30" t="s">
        <v>95</v>
      </c>
      <c r="B30">
        <v>300</v>
      </c>
      <c r="C30">
        <v>0.9</v>
      </c>
      <c r="D3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C11" sqref="C11"/>
    </sheetView>
  </sheetViews>
  <sheetFormatPr defaultRowHeight="15" x14ac:dyDescent="0.25"/>
  <cols>
    <col min="1" max="1" width="25.28515625" customWidth="1"/>
    <col min="2" max="3" width="20.42578125" customWidth="1"/>
    <col min="4" max="4" width="26.42578125" customWidth="1"/>
    <col min="5" max="5" width="26" customWidth="1"/>
    <col min="6" max="6" width="16.7109375" customWidth="1"/>
    <col min="14" max="14" width="15.85546875" customWidth="1"/>
  </cols>
  <sheetData>
    <row r="2" spans="1:6" x14ac:dyDescent="0.25">
      <c r="A2" s="14" t="s">
        <v>2</v>
      </c>
      <c r="B2" s="15"/>
      <c r="C2" s="16"/>
    </row>
    <row r="3" spans="1:6" x14ac:dyDescent="0.25">
      <c r="A3" s="24" t="s">
        <v>3</v>
      </c>
      <c r="B3" s="25">
        <v>845</v>
      </c>
      <c r="C3" s="26" t="s">
        <v>0</v>
      </c>
      <c r="E3" t="s">
        <v>1</v>
      </c>
    </row>
    <row r="5" spans="1:6" x14ac:dyDescent="0.25">
      <c r="A5" s="3" t="s">
        <v>51</v>
      </c>
      <c r="B5" t="s">
        <v>52</v>
      </c>
      <c r="C5" t="s">
        <v>103</v>
      </c>
      <c r="D5" t="s">
        <v>53</v>
      </c>
      <c r="E5" t="s">
        <v>104</v>
      </c>
    </row>
    <row r="6" spans="1:6" x14ac:dyDescent="0.25">
      <c r="A6" t="s">
        <v>66</v>
      </c>
      <c r="B6" s="52">
        <v>13.297052154195011</v>
      </c>
      <c r="C6" s="9">
        <v>113.37868480725623</v>
      </c>
      <c r="D6" s="20">
        <v>0</v>
      </c>
      <c r="E6" s="9">
        <f>B6*D6</f>
        <v>0</v>
      </c>
    </row>
    <row r="7" spans="1:6" x14ac:dyDescent="0.25">
      <c r="A7" t="s">
        <v>48</v>
      </c>
      <c r="B7" s="52">
        <v>15.029478458049885</v>
      </c>
      <c r="C7" s="9">
        <v>40.816326530612244</v>
      </c>
      <c r="D7" s="20">
        <v>0</v>
      </c>
      <c r="E7" s="9">
        <f t="shared" ref="E7:E9" si="0">B7*D7</f>
        <v>0</v>
      </c>
    </row>
    <row r="8" spans="1:6" x14ac:dyDescent="0.25">
      <c r="A8" t="s">
        <v>49</v>
      </c>
      <c r="B8" s="52">
        <v>6.7437641723356005</v>
      </c>
      <c r="C8" s="9">
        <v>95.238095238095241</v>
      </c>
      <c r="D8" s="20">
        <v>20</v>
      </c>
      <c r="E8" s="9">
        <f t="shared" si="0"/>
        <v>134.87528344671202</v>
      </c>
      <c r="F8" s="41" t="s">
        <v>67</v>
      </c>
    </row>
    <row r="9" spans="1:6" x14ac:dyDescent="0.25">
      <c r="A9" t="s">
        <v>50</v>
      </c>
      <c r="B9" s="52">
        <v>8.0535147392290245</v>
      </c>
      <c r="C9" s="9">
        <v>8.2993197278911559</v>
      </c>
      <c r="D9" s="20">
        <v>6</v>
      </c>
      <c r="E9" s="9">
        <f t="shared" si="0"/>
        <v>48.321088435374151</v>
      </c>
      <c r="F9" s="41" t="s">
        <v>68</v>
      </c>
    </row>
    <row r="11" spans="1:6" x14ac:dyDescent="0.25">
      <c r="B11" s="2" t="s">
        <v>54</v>
      </c>
      <c r="C11" s="54">
        <f>SUM(E6:E9)</f>
        <v>183.19637188208617</v>
      </c>
      <c r="D11" t="s">
        <v>10</v>
      </c>
    </row>
    <row r="13" spans="1:6" x14ac:dyDescent="0.25">
      <c r="B13" t="s">
        <v>7</v>
      </c>
      <c r="C13" t="s">
        <v>8</v>
      </c>
    </row>
    <row r="14" spans="1:6" x14ac:dyDescent="0.25">
      <c r="A14" s="2" t="s">
        <v>74</v>
      </c>
      <c r="B14" s="44">
        <v>50</v>
      </c>
      <c r="C14" s="44">
        <v>23</v>
      </c>
    </row>
    <row r="16" spans="1:6" x14ac:dyDescent="0.25">
      <c r="A16" s="3" t="s">
        <v>64</v>
      </c>
      <c r="B16" s="41" t="s">
        <v>65</v>
      </c>
    </row>
    <row r="17" spans="1:4" x14ac:dyDescent="0.25">
      <c r="A17" t="s">
        <v>55</v>
      </c>
      <c r="B17" s="1">
        <v>2</v>
      </c>
      <c r="C17" t="s">
        <v>56</v>
      </c>
      <c r="D17" t="s">
        <v>57</v>
      </c>
    </row>
    <row r="18" spans="1:4" x14ac:dyDescent="0.25">
      <c r="A18" t="s">
        <v>58</v>
      </c>
      <c r="B18" s="1">
        <v>60</v>
      </c>
      <c r="C18" t="s">
        <v>59</v>
      </c>
    </row>
    <row r="19" spans="1:4" x14ac:dyDescent="0.25">
      <c r="A19" t="s">
        <v>63</v>
      </c>
      <c r="B19" s="1">
        <v>30</v>
      </c>
      <c r="C19" t="s">
        <v>60</v>
      </c>
    </row>
    <row r="20" spans="1:4" x14ac:dyDescent="0.25">
      <c r="A20" t="s">
        <v>62</v>
      </c>
      <c r="B20" s="1">
        <v>1000</v>
      </c>
      <c r="C20" t="s">
        <v>61</v>
      </c>
    </row>
    <row r="21" spans="1:4" x14ac:dyDescent="0.25">
      <c r="A21" t="s">
        <v>69</v>
      </c>
      <c r="B21" s="1">
        <v>10</v>
      </c>
      <c r="C21" t="s">
        <v>70</v>
      </c>
    </row>
    <row r="23" spans="1:4" x14ac:dyDescent="0.25">
      <c r="A23" s="2" t="s">
        <v>71</v>
      </c>
      <c r="B23" s="44">
        <f>B17*B18*B21*SUMPRODUCT(C6:C9,D6:D9)/B3</f>
        <v>2775.7034174616592</v>
      </c>
      <c r="C23" s="2" t="s">
        <v>24</v>
      </c>
    </row>
    <row r="24" spans="1:4" x14ac:dyDescent="0.25">
      <c r="A24" s="2" t="s">
        <v>72</v>
      </c>
      <c r="B24" s="43">
        <f>B20*B19/2.205/B3/60</f>
        <v>0.26835191670356501</v>
      </c>
      <c r="C24" s="2" t="s">
        <v>73</v>
      </c>
    </row>
  </sheetData>
  <hyperlinks>
    <hyperlink ref="B16" r:id="rId1"/>
    <hyperlink ref="F8" r:id="rId2"/>
    <hyperlink ref="F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NAVARCH</vt:lpstr>
      <vt:lpstr>DIST</vt:lpstr>
      <vt:lpstr>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cgoodrum</dc:creator>
  <cp:lastModifiedBy>cgoodrum</cp:lastModifiedBy>
  <dcterms:created xsi:type="dcterms:W3CDTF">2019-07-18T16:06:12Z</dcterms:created>
  <dcterms:modified xsi:type="dcterms:W3CDTF">2019-08-04T17:40:41Z</dcterms:modified>
</cp:coreProperties>
</file>