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DIST!$B$16</definedName>
    <definedName name="solver_adj" localSheetId="0" hidden="1">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6</definedName>
    <definedName name="solver_num" localSheetId="0" hidden="1">4</definedName>
    <definedName name="solver_num" localSheetId="1" hidden="1">8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DIST!$B$16</definedName>
    <definedName name="solver_opt" localSheetId="0" hidden="1">NAVARCH!$B$31</definedName>
    <definedName name="solver_opt" localSheetId="1" hidden="1">OPS!$H$14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20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15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<sst xmlns="http://schemas.openxmlformats.org/spreadsheetml/2006/main" count="6207" uniqueCount="265">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</sst>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23" sqref="C23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121.46666666666665</v>
      </c>
      <c r="C23" s="35">
        <v>19.473853207583801</v>
      </c>
      <c r="D23" s="35">
        <v>23.000000000000004</v>
      </c>
    </row>
    <row r="24" spans="1:13" x14ac:dyDescent="0.25">
      <c r="A24" s="34" t="s">
        <v>27</v>
      </c>
      <c r="B24" s="11">
        <f>B39</f>
        <v>1695.507193738486</v>
      </c>
      <c r="C24" s="38">
        <f>C39</f>
        <v>143.10392904709352</v>
      </c>
      <c r="D24" s="39">
        <f>D39</f>
        <v>6.592305592173064</v>
      </c>
    </row>
    <row r="25" spans="1:13" x14ac:dyDescent="0.25">
      <c r="A25" s="28" t="s">
        <v>28</v>
      </c>
      <c r="B25" s="29">
        <f>SUM(B22:B24)</f>
        <v>13816.973860405153</v>
      </c>
      <c r="C25" s="29">
        <f>SUMPRODUCT(C22:C24,$B$22:$B$24)/$B$25</f>
        <v>118.47740190628606</v>
      </c>
      <c r="D25" s="30">
        <f>SUMPRODUCT(D22:D24,$B$22:$B$24)/$B$25</f>
        <v>10.564616851920782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42444.973860405153</v>
      </c>
      <c r="C27" s="36">
        <f>($B$19*C19+$B$25*C25)/$B$27</f>
        <v>118.49264371628152</v>
      </c>
      <c r="D27" s="37">
        <f>($B$19*D19+$B$25*D25)/$B$27</f>
        <v>10.183797881694801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0.37029048072670373</v>
      </c>
      <c r="E29" t="s">
        <v>30</v>
      </c>
      <c r="M29" s="9"/>
    </row>
    <row r="31" spans="1:13" x14ac:dyDescent="0.25">
      <c r="A31" t="s">
        <v>44</v>
      </c>
      <c r="B31" s="5">
        <f>B12+B14-D27</f>
        <v>6.6202118305199065E-2</v>
      </c>
    </row>
    <row r="32" spans="1:13" x14ac:dyDescent="0.25">
      <c r="A32" t="s">
        <v>45</v>
      </c>
      <c r="B32" s="5">
        <f>B13+B14-D27</f>
        <v>174.0662021183052</v>
      </c>
    </row>
    <row r="33" spans="1:5" x14ac:dyDescent="0.25">
      <c r="A33" s="2" t="s">
        <v>37</v>
      </c>
      <c r="B33" s="13">
        <f>(C27-B15)*B7/B32</f>
        <v>-1.0015954964621484E-2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2006.5173890396284</v>
      </c>
      <c r="B39">
        <f>A39*$B$3/1000</f>
        <v>1695.507193738486</v>
      </c>
      <c r="C39" s="12">
        <v>143.10392904709352</v>
      </c>
      <c r="D39" s="12">
        <v>6.592305592173064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L12" sqref="L12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1</v>
      </c>
      <c r="E6" s="9">
        <f>B6*D6</f>
        <v>13.297052154195011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340.76433867119368</v>
      </c>
      <c r="K6">
        <f t="shared" ref="K6:K8" si="0">60*(24/$B$17 - 3.36*(I6/2) - 4)</f>
        <v>266.66666666666669</v>
      </c>
      <c r="L6">
        <f>IF(D6=0,0,H6/K6*60)</f>
        <v>3.8335988100509288</v>
      </c>
      <c r="M6" s="68">
        <v>60</v>
      </c>
      <c r="N6" s="68">
        <v>23</v>
      </c>
      <c r="P6" t="s">
        <v>133</v>
      </c>
      <c r="Q6">
        <f>IF(D6&gt;0,1,0)*IF(D7&gt;0,1,0)*ABS(M6-M7)</f>
        <v>40</v>
      </c>
      <c r="R6">
        <f>IF(D6&gt;0,1,0)*IF(D7&gt;0,1,0)*$E$21</f>
        <v>20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2</v>
      </c>
      <c r="E7" s="9">
        <f>B7*D7</f>
        <v>30.05895691609977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367.5347851172026</v>
      </c>
      <c r="K7">
        <f t="shared" si="0"/>
        <v>160.42666666666665</v>
      </c>
      <c r="L7">
        <f>IF(D7=0,0,H7/K7*60)</f>
        <v>3.4364746779991115</v>
      </c>
      <c r="M7" s="68">
        <v>19.999999999999996</v>
      </c>
      <c r="N7" s="68">
        <v>23</v>
      </c>
      <c r="P7" t="s">
        <v>134</v>
      </c>
      <c r="Q7">
        <f>IF(D6&gt;0,1,0)*IF(D8&gt;0,1,0)*ABS(M6-M8)</f>
        <v>60</v>
      </c>
      <c r="R7">
        <f>IF(D6&gt;0,1,0)*IF(D8&gt;0,1,0)*$E$21</f>
        <v>20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8</v>
      </c>
      <c r="E8" s="9">
        <f>B8*D8</f>
        <v>53.950113378684804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1180.3581034350264</v>
      </c>
      <c r="K8">
        <f t="shared" si="0"/>
        <v>370.03636363636366</v>
      </c>
      <c r="L8">
        <f>IF(D8=0,0,H8/K8*60)</f>
        <v>1.1961913268154198</v>
      </c>
      <c r="M8" s="68">
        <v>0</v>
      </c>
      <c r="N8" s="68">
        <v>23</v>
      </c>
      <c r="P8" t="s">
        <v>135</v>
      </c>
      <c r="Q8">
        <f>IF(D6&gt;0,1,0)*IF(D9&gt;0,1,0)*ABS(M6-M9)</f>
        <v>20.000000000000007</v>
      </c>
      <c r="R8">
        <f>IF(D6&gt;0,1,0)*IF(D9&gt;0,1,0)*$E$21</f>
        <v>20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</v>
      </c>
      <c r="E9" s="9">
        <f>B9*D9</f>
        <v>24.160544217687075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117.86016181620575</v>
      </c>
      <c r="K9">
        <f>60*(24/$B$17 - 3.36*(I9/2) - 4)</f>
        <v>144.00000000000003</v>
      </c>
      <c r="L9">
        <f>IF(D9=0,0,H9/K9*60)</f>
        <v>0.81847334594587329</v>
      </c>
      <c r="M9" s="68">
        <v>39.999999999999993</v>
      </c>
      <c r="N9" s="68">
        <v>23</v>
      </c>
      <c r="P9" t="s">
        <v>136</v>
      </c>
      <c r="Q9">
        <f>IF(D7&gt;0,1,0)*IF(D8&gt;0,1,0)*ABS(M7-M8)</f>
        <v>19.999999999999996</v>
      </c>
      <c r="R9">
        <f>IF(D7&gt;0,1,0)*IF(D8&gt;0,1,0)*$E$21</f>
        <v>20</v>
      </c>
    </row>
    <row r="10" spans="1:18" x14ac:dyDescent="0.25">
      <c r="P10" t="s">
        <v>137</v>
      </c>
      <c r="Q10">
        <f>IF(D7&gt;0,1,0)*IF(D9&gt;0,1,0)*ABS(M7-M9)</f>
        <v>19.999999999999996</v>
      </c>
      <c r="R10">
        <f>IF(D7&gt;0,1,0)*IF(D9&gt;0,1,0)*$E$21</f>
        <v>20</v>
      </c>
    </row>
    <row r="11" spans="1:18" x14ac:dyDescent="0.25">
      <c r="B11" s="2" t="s">
        <v>53</v>
      </c>
      <c r="C11" s="53">
        <f>IF(SUMPRODUCT(--(D6:D9&lt;&gt;""))=0,None,SUM(E6:E9))</f>
        <v>121.46666666666665</v>
      </c>
      <c r="D11" t="s">
        <v>10</v>
      </c>
      <c r="P11" t="s">
        <v>138</v>
      </c>
      <c r="Q11">
        <f>IF(D8&gt;0,1,0)*IF(D9&gt;0,1,0)*ABS(M8-M9)</f>
        <v>39.999999999999993</v>
      </c>
      <c r="R11">
        <f>IF(D8&gt;0,1,0)*IF(D9&gt;0,1,0)*$E$21</f>
        <v>20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19.473853207583801</v>
      </c>
      <c r="C14" s="43">
        <f>IF(SUMPRODUCT(--(N6:N9&lt;&gt;""))=0,None,SUMPRODUCT(E6:E9,N6:N9)/C11)</f>
        <v>23.000000000000004</v>
      </c>
      <c r="E14">
        <f>NAVARCH!C23</f>
        <v>19.473853207583801</v>
      </c>
      <c r="F14">
        <f>NAVARCH!D23</f>
        <v>23.000000000000004</v>
      </c>
      <c r="H14" s="9">
        <f>ABS(E14-B14)</f>
        <v>0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2006.5173890396284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3.8335988100509288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3.8335988100509288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4.8810896036065063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6.592305592173064</v>
      </c>
      <c r="C16" s="44" t="s">
        <v>82</v>
      </c>
      <c r="D16" s="47">
        <v>23.000000000000004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4.8810896036065063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17.622018348623854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2019-10-03T20:37:35Z</dcterms:modified>
</cp:coreProperties>
</file>