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results\"/>
    </mc:Choice>
  </mc:AlternateContent>
  <bookViews>
    <workbookView xWindow="0" yWindow="0" windowWidth="2820" windowHeight="5025" tabRatio="742" activeTab="1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DIST!$B$8</definedName>
    <definedName name="solver_adj" localSheetId="0" hidden="1">NAVARCH!$C$23,NAVARCH!$C$39</definedName>
    <definedName name="solver_adj" localSheetId="1" hidden="1">OPS!$N$6:$N$9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OPS!$N$6:$N$9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OPS!$N$6:$N$9</definedName>
    <definedName name="solver_lhs4" localSheetId="2" hidden="1">DIST!$B$21</definedName>
    <definedName name="solver_lhs4" localSheetId="0" hidden="1">NAVARCH!$C$39</definedName>
    <definedName name="solver_lhs4" localSheetId="1" hidden="1">OPS!$Q$6:$Q$11</definedName>
    <definedName name="solver_lhs5" localSheetId="2" hidden="1">DIST!$B$16</definedName>
    <definedName name="solver_lhs5" localSheetId="0" hidden="1">NAVARCH!$B$33</definedName>
    <definedName name="solver_lhs5" localSheetId="1" hidden="1">OPS!$Q$6</definedName>
    <definedName name="solver_lhs6" localSheetId="2" hidden="1">DIST!$B$16</definedName>
    <definedName name="solver_lhs6" localSheetId="0" hidden="1">NAVARCH!$C$39</definedName>
    <definedName name="solver_lhs6" localSheetId="1" hidden="1">OPS!$Q$7</definedName>
    <definedName name="solver_lhs7" localSheetId="0" hidden="1">NAVARCH!$C$39</definedName>
    <definedName name="solver_lhs7" localSheetId="1" hidden="1">OPS!$Q$8</definedName>
    <definedName name="solver_lhs8" localSheetId="0" hidden="1">NAVARCH!$D$39</definedName>
    <definedName name="solver_lhs8" localSheetId="1" hidden="1">OPS!$Q$9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4</definedName>
    <definedName name="solver_num" localSheetId="0" hidden="1">4</definedName>
    <definedName name="solver_num" localSheetId="1" hidden="1">1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DIST!$B$8</definedName>
    <definedName name="solver_opt" localSheetId="0" hidden="1">NAVARCH!$B$31</definedName>
    <definedName name="solver_opt" localSheetId="1" hidden="1">OPS!$B$14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23</definedName>
    <definedName name="solver_rhs10" localSheetId="1" hidden="1">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23</definedName>
    <definedName name="solver_rhs4" localSheetId="2" hidden="1">560</definedName>
    <definedName name="solver_rhs4" localSheetId="0" hidden="1">237</definedName>
    <definedName name="solver_rhs4" localSheetId="1" hidden="1">OPS!$R$6:$R$11</definedName>
    <definedName name="solver_rhs5" localSheetId="2" hidden="1">0</definedName>
    <definedName name="solver_rhs5" localSheetId="0" hidden="1">0.01</definedName>
    <definedName name="solver_rhs5" localSheetId="1" hidden="1">0</definedName>
    <definedName name="solver_rhs6" localSheetId="2" hidden="1">23</definedName>
    <definedName name="solver_rhs6" localSheetId="0" hidden="1">0</definedName>
    <definedName name="solver_rhs6" localSheetId="1" hidden="1">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0</definedName>
    <definedName name="solver_rhs9" localSheetId="1" hidden="1">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25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8061" l="1"/>
  <c r="C7" i="8061" l="1"/>
  <c r="C8" i="8061"/>
  <c r="C9" i="8061"/>
  <c r="C6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K9" i="8061" s="1"/>
  <c r="E9" i="8061"/>
  <c r="Q8" i="8061"/>
  <c r="L8" i="8061"/>
  <c r="I8" i="8061"/>
  <c r="K8" i="8061" s="1"/>
  <c r="E8" i="8061"/>
  <c r="Q7" i="8061"/>
  <c r="L7" i="8061"/>
  <c r="I7" i="8061"/>
  <c r="K7" i="8061" s="1"/>
  <c r="E7" i="8061"/>
  <c r="Q6" i="8061"/>
  <c r="L6" i="8061"/>
  <c r="I6" i="8061"/>
  <c r="K6" i="8061" s="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C11" i="8061" l="1"/>
  <c r="C14" i="8061" s="1"/>
  <c r="I14" i="8061" s="1"/>
  <c r="J7" i="8061"/>
  <c r="J9" i="8061"/>
  <c r="J8" i="8061"/>
  <c r="L9" i="8061"/>
  <c r="B2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H14" i="8061" l="1"/>
  <c r="B11" i="2" l="1"/>
  <c r="B10" i="2" s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<sst xmlns="http://schemas.openxmlformats.org/spreadsheetml/2006/main" count="6207" uniqueCount="265">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</sst>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topLeftCell="A10" zoomScale="85" zoomScaleNormal="85" workbookViewId="0">
      <selection activeCell="C39" sqref="C39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/>
      <c r="C23" s="35"/>
      <c r="D23" s="35"/>
    </row>
    <row r="24" spans="1:13" x14ac:dyDescent="0.25">
      <c r="A24" s="34" t="s">
        <v>27</v>
      </c>
      <c r="B24" s="11">
        <f>B39</f>
        <v>0</v>
      </c>
      <c r="C24" s="38">
        <f>C39</f>
        <v>0</v>
      </c>
      <c r="D24" s="39">
        <f>D39</f>
        <v>0</v>
      </c>
    </row>
    <row r="25" spans="1:13" x14ac:dyDescent="0.25">
      <c r="A25" s="28" t="s">
        <v>28</v>
      </c>
      <c r="B25" s="29">
        <f>SUM(B22:B24)</f>
        <v>12000</v>
      </c>
      <c r="C25" s="29">
        <f>SUMPRODUCT(C22:C24,$B$22:$B$24)/$B$25</f>
        <v>116</v>
      </c>
      <c r="D25" s="30">
        <f>SUMPRODUCT(D22:D24,$B$22:$B$24)/$B$25</f>
        <v>11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40628</v>
      </c>
      <c r="C27" s="36">
        <f>($B$19*C19+$B$25*C25)/$B$27</f>
        <v>117.76159299005612</v>
      </c>
      <c r="D27" s="37">
        <f>($B$19*D19+$B$25*D25)/$B$27</f>
        <v>10.295362803977552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-3.9263358940365238</v>
      </c>
      <c r="E29" t="s">
        <v>30</v>
      </c>
      <c r="M29" s="9"/>
    </row>
    <row r="31" spans="1:13" x14ac:dyDescent="0.25">
      <c r="A31" t="s">
        <v>44</v>
      </c>
      <c r="B31" s="5">
        <f>B12+B14-D27</f>
        <v>-4.5362803977551991E-2</v>
      </c>
    </row>
    <row r="32" spans="1:13" x14ac:dyDescent="0.25">
      <c r="A32" t="s">
        <v>45</v>
      </c>
      <c r="B32" s="5">
        <f>B13+B14-D27</f>
        <v>173.95463719602245</v>
      </c>
    </row>
    <row r="33" spans="1:5" x14ac:dyDescent="0.25">
      <c r="A33" s="2" t="s">
        <v>37</v>
      </c>
      <c r="B33" s="13">
        <f>(C27-B15)*B7/B32</f>
        <v>-1.0060235483087319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/>
      <c r="B39">
        <f>A39*$B$3/1000</f>
        <v>0</v>
      </c>
      <c r="C39" s="12"/>
      <c r="D39" s="12"/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tabSelected="1" zoomScale="85" zoomScaleNormal="85" workbookViewId="0">
      <selection activeCell="K31" sqref="K31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/>
      <c r="E6" s="9">
        <f>B6*D6</f>
        <v>0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0</v>
      </c>
      <c r="K6">
        <f t="shared" ref="K6:K8" si="0">60*(24/$B$17 - 3.36*(I6/2) - 4)</f>
        <v>266.66666666666669</v>
      </c>
      <c r="L6">
        <f>IF(D6=0,0,H6/K6*60)</f>
        <v>0</v>
      </c>
      <c r="M6" s="68"/>
      <c r="N6" s="68"/>
      <c r="P6" t="s">
        <v>133</v>
      </c>
      <c r="Q6">
        <f>IF(D6&gt;0,1,0)*IF(D7&gt;0,1,0)*ABS(M6-M7)</f>
        <v>0</v>
      </c>
      <c r="R6">
        <f>IF(D6&gt;0,1,0)*IF(D7&gt;0,1,0)*$E$21</f>
        <v>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/>
      <c r="E7" s="9">
        <f>B7*D7</f>
        <v>0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0</v>
      </c>
      <c r="K7">
        <f t="shared" si="0"/>
        <v>160.42666666666665</v>
      </c>
      <c r="L7">
        <f>IF(D7=0,0,H7/K7*60)</f>
        <v>0</v>
      </c>
      <c r="M7" s="68"/>
      <c r="N7" s="68"/>
      <c r="P7" t="s">
        <v>134</v>
      </c>
      <c r="Q7">
        <f>IF(D6&gt;0,1,0)*IF(D8&gt;0,1,0)*ABS(M6-M8)</f>
        <v>0</v>
      </c>
      <c r="R7">
        <f>IF(D6&gt;0,1,0)*IF(D8&gt;0,1,0)*$E$21</f>
        <v>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/>
      <c r="E8" s="9">
        <f>B8*D8</f>
        <v>0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0</v>
      </c>
      <c r="K8">
        <f t="shared" si="0"/>
        <v>370.03636363636366</v>
      </c>
      <c r="L8">
        <f>IF(D8=0,0,H8/K8*60)</f>
        <v>0</v>
      </c>
      <c r="M8" s="68"/>
      <c r="N8" s="68"/>
      <c r="P8" t="s">
        <v>135</v>
      </c>
      <c r="Q8">
        <f>IF(D6&gt;0,1,0)*IF(D9&gt;0,1,0)*ABS(M6-M9)</f>
        <v>0</v>
      </c>
      <c r="R8">
        <f>IF(D6&gt;0,1,0)*IF(D9&gt;0,1,0)*$E$21</f>
        <v>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/>
      <c r="E9" s="9">
        <f>B9*D9</f>
        <v>0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0</v>
      </c>
      <c r="K9">
        <f>60*(24/$B$17 - 3.36*(I9/2) - 4)</f>
        <v>144.00000000000003</v>
      </c>
      <c r="L9">
        <f>IF(D9=0,0,H9/K9*60)</f>
        <v>0</v>
      </c>
      <c r="M9" s="68"/>
      <c r="N9" s="68"/>
      <c r="P9" t="s">
        <v>136</v>
      </c>
      <c r="Q9">
        <f>IF(D7&gt;0,1,0)*IF(D8&gt;0,1,0)*ABS(M7-M8)</f>
        <v>0</v>
      </c>
      <c r="R9">
        <f>IF(D7&gt;0,1,0)*IF(D8&gt;0,1,0)*$E$21</f>
        <v>0</v>
      </c>
    </row>
    <row r="10" spans="1:18" x14ac:dyDescent="0.25">
      <c r="P10" t="s">
        <v>137</v>
      </c>
      <c r="Q10">
        <f>IF(D7&gt;0,1,0)*IF(D9&gt;0,1,0)*ABS(M7-M9)</f>
        <v>0</v>
      </c>
      <c r="R10">
        <f>IF(D7&gt;0,1,0)*IF(D9&gt;0,1,0)*$E$21</f>
        <v>0</v>
      </c>
    </row>
    <row r="11" spans="1:18" x14ac:dyDescent="0.25">
      <c r="B11" s="2" t="s">
        <v>53</v>
      </c>
      <c r="C11" s="53" t="e">
        <f>IF(SUMPRODUCT(--(D6:D9&lt;&gt;""))=0,None,SUM(E6:E9))</f>
        <v>#NAME?</v>
      </c>
      <c r="D11" t="s">
        <v>10</v>
      </c>
      <c r="P11" t="s">
        <v>138</v>
      </c>
      <c r="Q11">
        <f>IF(D8&gt;0,1,0)*IF(D9&gt;0,1,0)*ABS(M8-M9)</f>
        <v>0</v>
      </c>
      <c r="R11">
        <f>IF(D8&gt;0,1,0)*IF(D9&gt;0,1,0)*$E$21</f>
        <v>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 t="e">
        <f>IF(SUMPRODUCT(--(M6:M9&lt;&gt;""))=0,None,SUMPRODUCT(E6:E9,M6:M9)/C11)</f>
        <v>#NAME?</v>
      </c>
      <c r="C14" s="43" t="e">
        <f>IF(SUMPRODUCT(--(N6:N9&lt;&gt;""))=0,None,SUMPRODUCT(E6:E9,N6:N9)/C11)</f>
        <v>#NAME?</v>
      </c>
      <c r="E14">
        <v>39.546729715827077</v>
      </c>
      <c r="F14">
        <v>0</v>
      </c>
      <c r="H14" s="9" t="e">
        <f>ABS(E14-B14)</f>
        <v>#NAME?</v>
      </c>
      <c r="I14" t="e">
        <f>ABS(F14-C14)</f>
        <v>#NAME?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 t="e">
        <f>IF(SUMPRODUCT(--(D6:D9&lt;&gt;""))=0,None,SUM(J6:J9))</f>
        <v>#NAME?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 t="e">
        <f>IF(SUMPRODUCT(--(D6:D9&lt;&gt;""))=0,None,MAX(L6:L9))</f>
        <v>#NAME?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zoomScaleNormal="100" workbookViewId="0">
      <selection activeCell="B9" sqref="B9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0.1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1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127.32395447351627</v>
      </c>
      <c r="C10" s="26" t="s">
        <v>88</v>
      </c>
    </row>
    <row r="11" spans="1:17" x14ac:dyDescent="0.25">
      <c r="A11" s="52" t="s">
        <v>101</v>
      </c>
      <c r="B11">
        <f>PI()</f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/>
      <c r="C16" s="44" t="s">
        <v>82</v>
      </c>
      <c r="D16" s="47"/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127.32395447351627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826.26857200683196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6849.3120142220341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2019-09-25T20:45:21Z</dcterms:modified>
</cp:coreProperties>
</file>