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oodrum\Documents\Research\KI_Integrated_Framework\results\"/>
    </mc:Choice>
  </mc:AlternateContent>
  <bookViews>
    <workbookView xWindow="0" yWindow="0" windowWidth="11085" windowHeight="7935" activeTab="3"/>
  </bookViews>
  <sheets>
    <sheet name="NAVARCH" sheetId="1" r:id="rId1"/>
    <sheet name="DIST" sheetId="2" r:id="rId2"/>
    <sheet name="OPS" sheetId="3" r:id="rId3"/>
    <sheet name="OPS (2)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8" i="5" l="1"/>
  <c r="H49" i="5"/>
  <c r="H47" i="5"/>
  <c r="L48" i="5"/>
  <c r="M48" i="5" s="1"/>
  <c r="L49" i="5"/>
  <c r="M49" i="5" s="1"/>
  <c r="L50" i="5"/>
  <c r="L47" i="5"/>
  <c r="K48" i="5"/>
  <c r="K49" i="5"/>
  <c r="I50" i="5"/>
  <c r="H50" i="5" s="1"/>
  <c r="E50" i="5"/>
  <c r="J49" i="5"/>
  <c r="I49" i="5"/>
  <c r="E49" i="5"/>
  <c r="I48" i="5"/>
  <c r="E48" i="5"/>
  <c r="I47" i="5"/>
  <c r="E47" i="5"/>
  <c r="F31" i="5"/>
  <c r="F32" i="5" s="1"/>
  <c r="L7" i="5"/>
  <c r="H7" i="5"/>
  <c r="I7" i="5" s="1"/>
  <c r="H8" i="5"/>
  <c r="L8" i="5" s="1"/>
  <c r="H9" i="5"/>
  <c r="L9" i="5" s="1"/>
  <c r="H6" i="5"/>
  <c r="L6" i="5" s="1"/>
  <c r="B23" i="5"/>
  <c r="B31" i="5"/>
  <c r="B33" i="5" s="1"/>
  <c r="B28" i="5" s="1"/>
  <c r="B24" i="5"/>
  <c r="E9" i="5"/>
  <c r="E8" i="5"/>
  <c r="E7" i="5"/>
  <c r="E6" i="5"/>
  <c r="K50" i="5" l="1"/>
  <c r="M47" i="5"/>
  <c r="I6" i="5"/>
  <c r="G19" i="5" s="1"/>
  <c r="H19" i="5" s="1"/>
  <c r="I19" i="5" s="1"/>
  <c r="F33" i="5"/>
  <c r="I9" i="5"/>
  <c r="C52" i="5"/>
  <c r="J7" i="5"/>
  <c r="K7" i="5" s="1"/>
  <c r="G20" i="5"/>
  <c r="H20" i="5" s="1"/>
  <c r="I20" i="5" s="1"/>
  <c r="I8" i="5"/>
  <c r="J47" i="5"/>
  <c r="K47" i="5"/>
  <c r="M50" i="5"/>
  <c r="K53" i="5" s="1"/>
  <c r="J48" i="5"/>
  <c r="J50" i="5"/>
  <c r="J6" i="5"/>
  <c r="K6" i="5" s="1"/>
  <c r="C11" i="5"/>
  <c r="E7" i="3"/>
  <c r="E8" i="3"/>
  <c r="E9" i="3"/>
  <c r="E6" i="3"/>
  <c r="B23" i="3"/>
  <c r="B10" i="2"/>
  <c r="B11" i="2"/>
  <c r="B5" i="2"/>
  <c r="K52" i="5" l="1"/>
  <c r="G21" i="5"/>
  <c r="H21" i="5" s="1"/>
  <c r="I21" i="5" s="1"/>
  <c r="J8" i="5"/>
  <c r="K8" i="5" s="1"/>
  <c r="G22" i="5"/>
  <c r="H22" i="5" s="1"/>
  <c r="I22" i="5" s="1"/>
  <c r="J9" i="5"/>
  <c r="K9" i="5" s="1"/>
  <c r="C11" i="3"/>
  <c r="D17" i="2"/>
  <c r="B24" i="3"/>
  <c r="C24" i="1"/>
  <c r="D24" i="1"/>
  <c r="B16" i="1"/>
  <c r="B29" i="1" s="1"/>
  <c r="L19" i="1"/>
  <c r="B39" i="1"/>
  <c r="B24" i="1" s="1"/>
  <c r="K11" i="5" l="1"/>
  <c r="B19" i="2"/>
  <c r="B21" i="2" s="1"/>
  <c r="B25" i="1" l="1"/>
  <c r="C25" i="1" s="1"/>
  <c r="D25" i="1" l="1"/>
  <c r="B27" i="1"/>
  <c r="D29" i="1" s="1"/>
  <c r="D27" i="1" l="1"/>
  <c r="B31" i="1" s="1"/>
  <c r="C27" i="1"/>
  <c r="B32" i="1" l="1"/>
  <c r="B33" i="1" s="1"/>
</calcChain>
</file>

<file path=xl/sharedStrings.xml><?xml version="1.0" encoding="utf-8"?>
<sst xmlns="http://schemas.openxmlformats.org/spreadsheetml/2006/main" count="234" uniqueCount="130">
  <si>
    <t>kg/m^3</t>
  </si>
  <si>
    <t>Note: From J-44 NATO Spec. Min (788.0), Max (845.0)</t>
  </si>
  <si>
    <t>JP-5 Parameters</t>
  </si>
  <si>
    <r>
      <t>Density (</t>
    </r>
    <r>
      <rPr>
        <sz val="11"/>
        <color theme="1"/>
        <rFont val="Calibri"/>
        <family val="2"/>
      </rPr>
      <t>ρ)</t>
    </r>
  </si>
  <si>
    <t>Volume (m^3)</t>
  </si>
  <si>
    <t>Weight (kg)</t>
  </si>
  <si>
    <t>Weight (tonnes)</t>
  </si>
  <si>
    <t>x (m)</t>
  </si>
  <si>
    <t>z (m)</t>
  </si>
  <si>
    <t>Total Weight</t>
  </si>
  <si>
    <t>tonnes</t>
  </si>
  <si>
    <t>m from AP</t>
  </si>
  <si>
    <t>LHD - Principal Characteristics</t>
  </si>
  <si>
    <t>Beam (B)</t>
  </si>
  <si>
    <t>Draft (T)</t>
  </si>
  <si>
    <t>Length (LWL)</t>
  </si>
  <si>
    <t>DWT</t>
  </si>
  <si>
    <t>Max. DWT</t>
  </si>
  <si>
    <t>Max Displ</t>
  </si>
  <si>
    <t>Depth (D)</t>
  </si>
  <si>
    <t>m</t>
  </si>
  <si>
    <t>Block Coefficient (Cb)</t>
  </si>
  <si>
    <t>**Made up</t>
  </si>
  <si>
    <t xml:space="preserve">Volume </t>
  </si>
  <si>
    <t>m^3</t>
  </si>
  <si>
    <t>Misc.</t>
  </si>
  <si>
    <t>Vehicles</t>
  </si>
  <si>
    <t>Fuel</t>
  </si>
  <si>
    <t>Total DWT</t>
  </si>
  <si>
    <t>Total Displacement</t>
  </si>
  <si>
    <t xml:space="preserve">  %; + weight exceeds displacement</t>
  </si>
  <si>
    <t>** Value from operations</t>
  </si>
  <si>
    <t>**Value from operations volume requirement</t>
  </si>
  <si>
    <t>BMT</t>
  </si>
  <si>
    <t>KEY</t>
  </si>
  <si>
    <t>Inputs</t>
  </si>
  <si>
    <t>Negotiated</t>
  </si>
  <si>
    <t>Outputs</t>
  </si>
  <si>
    <t>Trim</t>
  </si>
  <si>
    <t>LCB</t>
  </si>
  <si>
    <t>Lightship</t>
  </si>
  <si>
    <t>LCG (m from AP)</t>
  </si>
  <si>
    <t>VCG (m abv. BL)</t>
  </si>
  <si>
    <t>BML</t>
  </si>
  <si>
    <t>KB</t>
  </si>
  <si>
    <t>GMT</t>
  </si>
  <si>
    <t>GML</t>
  </si>
  <si>
    <t>m; + by the bow</t>
  </si>
  <si>
    <t>V22 Osprey</t>
  </si>
  <si>
    <t>AV-8B Harrier</t>
  </si>
  <si>
    <t>SH-60 Seahawk</t>
  </si>
  <si>
    <t>Aircraft</t>
  </si>
  <si>
    <t>Unit Weight (tonnes)</t>
  </si>
  <si>
    <t>Number of Units</t>
  </si>
  <si>
    <t>Total Vehicle Weight</t>
  </si>
  <si>
    <t>Sortie Rate</t>
  </si>
  <si>
    <t>sorties/aircraft/day</t>
  </si>
  <si>
    <t>** could be sustained(1.0) or surge(2.0) conditions.</t>
  </si>
  <si>
    <t>Sortie Duration</t>
  </si>
  <si>
    <t>mins/sortie</t>
  </si>
  <si>
    <t>mins</t>
  </si>
  <si>
    <t>lb/min</t>
  </si>
  <si>
    <t>Max Fuel Rate</t>
  </si>
  <si>
    <t>Refuel Time</t>
  </si>
  <si>
    <t>War Gaming Parameters</t>
  </si>
  <si>
    <t>http://www.warfaresims.com/?page_id=3262</t>
  </si>
  <si>
    <t>F35-C</t>
  </si>
  <si>
    <t>http://www.alternatewars.com/SAC/AV-8B_Harrier_II_SAC_-_October_1986.pdf</t>
  </si>
  <si>
    <t>https://www.lockheedmartin.com/content/dam/lockheed-martin/rms/documents/mh-60/MH-60R-trifold.pdf</t>
  </si>
  <si>
    <t>Endurance Days</t>
  </si>
  <si>
    <t>days</t>
  </si>
  <si>
    <t>Required Volume of Fuel</t>
  </si>
  <si>
    <t>Volume Flow Rate</t>
  </si>
  <si>
    <t>m^3/s</t>
  </si>
  <si>
    <t>Refueling Location</t>
  </si>
  <si>
    <t>Specific Weight</t>
  </si>
  <si>
    <t>N/m^3</t>
  </si>
  <si>
    <t>Start (Tank):</t>
  </si>
  <si>
    <t>End (Nozzle)</t>
  </si>
  <si>
    <t xml:space="preserve">System Head </t>
  </si>
  <si>
    <t>P1 (N/m^2)</t>
  </si>
  <si>
    <t>P2 (N/m^2)</t>
  </si>
  <si>
    <t>Z1 (m)</t>
  </si>
  <si>
    <t>Z2 (m)</t>
  </si>
  <si>
    <t>V1 (m/s)</t>
  </si>
  <si>
    <t>V2 (m/s)</t>
  </si>
  <si>
    <t>Pipe Diameter</t>
  </si>
  <si>
    <t>Required Flow Rate</t>
  </si>
  <si>
    <t>Required Velocity</t>
  </si>
  <si>
    <t>m/s</t>
  </si>
  <si>
    <t>kW</t>
  </si>
  <si>
    <t>Pump Catalogue</t>
  </si>
  <si>
    <t>Pump 1</t>
  </si>
  <si>
    <t>Pump 2</t>
  </si>
  <si>
    <t>Pump 3</t>
  </si>
  <si>
    <t>Pump 4</t>
  </si>
  <si>
    <t>Power (kW)</t>
  </si>
  <si>
    <t>Efficiency (%)</t>
  </si>
  <si>
    <t>Bernoulli Analysis:</t>
  </si>
  <si>
    <t>Piping System Parameters:</t>
  </si>
  <si>
    <t>Required Power</t>
  </si>
  <si>
    <t>g</t>
  </si>
  <si>
    <t>pi</t>
  </si>
  <si>
    <t>Fuel Consumption (kg/min)</t>
  </si>
  <si>
    <t>Summed Unit Weights (tonnes)</t>
  </si>
  <si>
    <t>Density of Water</t>
  </si>
  <si>
    <t>Given # of units, return sortie rates, durations etc/</t>
  </si>
  <si>
    <t>Flight Time</t>
  </si>
  <si>
    <t>Maintenance Time</t>
  </si>
  <si>
    <t>Distance to Target</t>
  </si>
  <si>
    <t>Average Cruise Speed</t>
  </si>
  <si>
    <t>hrs</t>
  </si>
  <si>
    <t>nm</t>
  </si>
  <si>
    <t>kts (nm/hr)</t>
  </si>
  <si>
    <t>Cruise Speed (kts)</t>
  </si>
  <si>
    <t>Combat Radius (nm)</t>
  </si>
  <si>
    <t>V_fuel</t>
  </si>
  <si>
    <t>Tank Capacity (m^3)</t>
  </si>
  <si>
    <t>SR</t>
  </si>
  <si>
    <t>D</t>
  </si>
  <si>
    <t>S</t>
  </si>
  <si>
    <t>RFT</t>
  </si>
  <si>
    <t>Volume Flow Rate:</t>
  </si>
  <si>
    <t>Requirements:</t>
  </si>
  <si>
    <t># Vehicles</t>
  </si>
  <si>
    <t>**The vessel shall be able to support x number of vehicles for y number of days, with a sortie rate for each vehicle of z per day</t>
  </si>
  <si>
    <t>Fuel Capacity (m^3)</t>
  </si>
  <si>
    <t>Required Refueling Time (mins)</t>
  </si>
  <si>
    <t>Required Flow Rate (m^3/s)</t>
  </si>
  <si>
    <t>* Performance Based. The vessel shall be able to engage targets at a distance of x within y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</si>
</sst>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164" fontId="1" fillId="0" borderId="0" xfId="0" applyNumberFormat="1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164" fontId="0" fillId="3" borderId="0" xfId="0" applyNumberFormat="1" applyFill="1"/>
    <xf numFmtId="2" fontId="0" fillId="0" borderId="0" xfId="0" applyNumberFormat="1" applyBorder="1"/>
    <xf numFmtId="164" fontId="0" fillId="4" borderId="0" xfId="0" applyNumberFormat="1" applyFill="1"/>
    <xf numFmtId="2" fontId="1" fillId="0" borderId="0" xfId="0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Font="1" applyBorder="1"/>
    <xf numFmtId="164" fontId="0" fillId="2" borderId="0" xfId="0" applyNumberFormat="1" applyFill="1" applyBorder="1"/>
    <xf numFmtId="0" fontId="0" fillId="0" borderId="5" xfId="0" applyBorder="1"/>
    <xf numFmtId="0" fontId="0" fillId="2" borderId="0" xfId="0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1" xfId="0" applyBorder="1"/>
    <xf numFmtId="0" fontId="1" fillId="0" borderId="4" xfId="0" applyFont="1" applyBorder="1"/>
    <xf numFmtId="164" fontId="1" fillId="0" borderId="0" xfId="0" applyNumberFormat="1" applyFont="1" applyBorder="1"/>
    <xf numFmtId="164" fontId="1" fillId="0" borderId="5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4" xfId="0" applyBorder="1" applyAlignment="1">
      <alignment horizontal="left" indent="1"/>
    </xf>
    <xf numFmtId="164" fontId="0" fillId="3" borderId="0" xfId="0" applyNumberFormat="1" applyFill="1" applyBorder="1"/>
    <xf numFmtId="164" fontId="0" fillId="3" borderId="5" xfId="0" applyNumberFormat="1" applyFill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0" fontId="4" fillId="0" borderId="0" xfId="1"/>
    <xf numFmtId="164" fontId="1" fillId="5" borderId="0" xfId="0" applyNumberFormat="1" applyFont="1" applyFill="1"/>
    <xf numFmtId="165" fontId="1" fillId="4" borderId="0" xfId="0" applyNumberFormat="1" applyFont="1" applyFill="1"/>
    <xf numFmtId="164" fontId="1" fillId="3" borderId="0" xfId="0" applyNumberFormat="1" applyFont="1" applyFill="1"/>
    <xf numFmtId="0" fontId="0" fillId="0" borderId="0" xfId="0" applyBorder="1"/>
    <xf numFmtId="0" fontId="0" fillId="0" borderId="7" xfId="0" applyBorder="1"/>
    <xf numFmtId="0" fontId="0" fillId="3" borderId="0" xfId="0" applyFill="1" applyBorder="1"/>
    <xf numFmtId="0" fontId="0" fillId="3" borderId="5" xfId="0" applyFill="1" applyBorder="1"/>
    <xf numFmtId="2" fontId="0" fillId="0" borderId="5" xfId="0" applyNumberFormat="1" applyFill="1" applyBorder="1"/>
    <xf numFmtId="2" fontId="0" fillId="0" borderId="7" xfId="0" applyNumberFormat="1" applyBorder="1"/>
    <xf numFmtId="2" fontId="1" fillId="5" borderId="7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Fill="1" applyBorder="1"/>
    <xf numFmtId="164" fontId="1" fillId="4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ckheedmartin.com/content/dam/lockheed-martin/rms/documents/mh-60/MH-60R-trifold.pdf" TargetMode="External"/><Relationship Id="rId2" Type="http://schemas.openxmlformats.org/officeDocument/2006/relationships/hyperlink" Target="http://www.alternatewars.com/SAC/AV-8B_Harrier_II_SAC_-_October_1986.pdf" TargetMode="External"/><Relationship Id="rId1" Type="http://schemas.openxmlformats.org/officeDocument/2006/relationships/hyperlink" Target="http://www.warfaresims.com/?page_id=326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arfaresims.com/?page_id=326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workbookViewId="0">
      <selection activeCell="C42" sqref="C42"/>
    </sheetView>
  </sheetViews>
  <sheetFormatPr defaultRowHeight="15" x14ac:dyDescent="0.25"/>
  <cols>
    <col min="1" max="1" width="20.5703125" customWidth="1"/>
    <col min="2" max="2" width="15.85546875" customWidth="1"/>
    <col min="3" max="3" width="15.42578125" customWidth="1"/>
    <col min="4" max="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D3" t="s">
        <v>1</v>
      </c>
    </row>
    <row r="4" spans="1:12" x14ac:dyDescent="0.25">
      <c r="A4" t="s">
        <v>105</v>
      </c>
      <c r="B4">
        <v>1.0249999999999999</v>
      </c>
      <c r="C4" t="s">
        <v>0</v>
      </c>
    </row>
    <row r="6" spans="1:12" x14ac:dyDescent="0.25">
      <c r="A6" s="14" t="s">
        <v>12</v>
      </c>
      <c r="B6" s="15"/>
      <c r="C6" s="16"/>
      <c r="K6" s="3" t="s">
        <v>34</v>
      </c>
    </row>
    <row r="7" spans="1:12" x14ac:dyDescent="0.25">
      <c r="A7" s="17" t="s">
        <v>15</v>
      </c>
      <c r="B7" s="18">
        <v>237</v>
      </c>
      <c r="C7" s="19" t="s">
        <v>20</v>
      </c>
      <c r="F7">
        <v>237</v>
      </c>
      <c r="K7" s="1"/>
      <c r="L7" t="s">
        <v>35</v>
      </c>
    </row>
    <row r="8" spans="1:12" x14ac:dyDescent="0.25">
      <c r="A8" s="17" t="s">
        <v>13</v>
      </c>
      <c r="B8" s="18">
        <v>32</v>
      </c>
      <c r="C8" s="19" t="s">
        <v>20</v>
      </c>
      <c r="K8" s="7"/>
      <c r="L8" t="s">
        <v>36</v>
      </c>
    </row>
    <row r="9" spans="1:12" x14ac:dyDescent="0.25">
      <c r="A9" s="17" t="s">
        <v>14</v>
      </c>
      <c r="B9" s="18">
        <v>8.5</v>
      </c>
      <c r="C9" s="19" t="s">
        <v>20</v>
      </c>
      <c r="K9" s="8"/>
      <c r="L9" t="s">
        <v>37</v>
      </c>
    </row>
    <row r="10" spans="1:12" x14ac:dyDescent="0.25">
      <c r="A10" s="17" t="s">
        <v>19</v>
      </c>
      <c r="B10" s="18">
        <v>20</v>
      </c>
      <c r="C10" s="19" t="s">
        <v>20</v>
      </c>
    </row>
    <row r="11" spans="1:12" x14ac:dyDescent="0.25">
      <c r="A11" s="17" t="s">
        <v>21</v>
      </c>
      <c r="B11" s="20">
        <v>0.64</v>
      </c>
      <c r="C11" s="19"/>
      <c r="D11" t="s">
        <v>22</v>
      </c>
    </row>
    <row r="12" spans="1:12" x14ac:dyDescent="0.25">
      <c r="A12" s="17" t="s">
        <v>33</v>
      </c>
      <c r="B12" s="18">
        <v>6</v>
      </c>
      <c r="C12" s="19" t="s">
        <v>20</v>
      </c>
      <c r="D12" t="s">
        <v>22</v>
      </c>
    </row>
    <row r="13" spans="1:12" x14ac:dyDescent="0.25">
      <c r="A13" s="17" t="s">
        <v>43</v>
      </c>
      <c r="B13" s="18">
        <v>180</v>
      </c>
      <c r="C13" s="19" t="s">
        <v>20</v>
      </c>
      <c r="D13" t="s">
        <v>22</v>
      </c>
    </row>
    <row r="14" spans="1:12" x14ac:dyDescent="0.25">
      <c r="A14" s="17" t="s">
        <v>44</v>
      </c>
      <c r="B14" s="18">
        <v>4.25</v>
      </c>
      <c r="C14" s="19" t="s">
        <v>20</v>
      </c>
    </row>
    <row r="15" spans="1:12" x14ac:dyDescent="0.25">
      <c r="A15" s="17" t="s">
        <v>39</v>
      </c>
      <c r="B15" s="18">
        <v>118.5</v>
      </c>
      <c r="C15" s="19" t="s">
        <v>11</v>
      </c>
    </row>
    <row r="16" spans="1:12" x14ac:dyDescent="0.25">
      <c r="A16" s="21" t="s">
        <v>23</v>
      </c>
      <c r="B16" s="22">
        <f>B7*B8*B9*B11</f>
        <v>41256.959999999999</v>
      </c>
      <c r="C16" s="23" t="s">
        <v>24</v>
      </c>
    </row>
    <row r="17" spans="1:13" x14ac:dyDescent="0.25">
      <c r="A17" s="3"/>
    </row>
    <row r="18" spans="1:13" x14ac:dyDescent="0.25">
      <c r="A18" s="27"/>
      <c r="B18" s="15" t="s">
        <v>6</v>
      </c>
      <c r="C18" s="15" t="s">
        <v>41</v>
      </c>
      <c r="D18" s="16" t="s">
        <v>42</v>
      </c>
      <c r="K18" t="s">
        <v>17</v>
      </c>
      <c r="L18">
        <v>13725</v>
      </c>
      <c r="M18" t="s">
        <v>10</v>
      </c>
    </row>
    <row r="19" spans="1:13" x14ac:dyDescent="0.25">
      <c r="A19" s="28" t="s">
        <v>40</v>
      </c>
      <c r="B19" s="29">
        <v>28628</v>
      </c>
      <c r="C19" s="29">
        <v>118.5</v>
      </c>
      <c r="D19" s="30">
        <v>10</v>
      </c>
      <c r="K19" s="2" t="s">
        <v>18</v>
      </c>
      <c r="L19" s="2">
        <f>B19+L18</f>
        <v>42353</v>
      </c>
      <c r="M19" s="2" t="s">
        <v>10</v>
      </c>
    </row>
    <row r="20" spans="1:13" x14ac:dyDescent="0.25">
      <c r="A20" s="31"/>
      <c r="B20" s="32"/>
      <c r="C20" s="32"/>
      <c r="D20" s="33"/>
      <c r="K20" s="2"/>
      <c r="L20" s="2"/>
      <c r="M20" s="2"/>
    </row>
    <row r="21" spans="1:13" x14ac:dyDescent="0.25">
      <c r="A21" s="31" t="s">
        <v>16</v>
      </c>
      <c r="B21" s="32"/>
      <c r="C21" s="32"/>
      <c r="D21" s="33"/>
    </row>
    <row r="22" spans="1:13" x14ac:dyDescent="0.25">
      <c r="A22" s="34" t="s">
        <v>25</v>
      </c>
      <c r="B22" s="32">
        <v>12000</v>
      </c>
      <c r="C22" s="32">
        <v>116</v>
      </c>
      <c r="D22" s="33">
        <v>11</v>
      </c>
    </row>
    <row r="23" spans="1:13" x14ac:dyDescent="0.25">
      <c r="A23" s="34" t="s">
        <v>26</v>
      </c>
      <c r="B23" s="35"/>
      <c r="C23" s="35"/>
      <c r="D23" s="36">
        <v>23</v>
      </c>
      <c r="E23" t="s">
        <v>31</v>
      </c>
    </row>
    <row r="24" spans="1:13" x14ac:dyDescent="0.25">
      <c r="A24" s="34" t="s">
        <v>27</v>
      </c>
      <c r="B24" s="11">
        <f>B39</f>
        <v>657.85034013605434</v>
      </c>
      <c r="C24" s="39">
        <f>C39</f>
        <v>0</v>
      </c>
      <c r="D24" s="40">
        <f>D39</f>
        <v>0</v>
      </c>
    </row>
    <row r="25" spans="1:13" x14ac:dyDescent="0.25">
      <c r="A25" s="28" t="s">
        <v>28</v>
      </c>
      <c r="B25" s="29">
        <f>SUM(B22:B24)</f>
        <v>12657.850340136054</v>
      </c>
      <c r="C25" s="29">
        <f>SUMPRODUCT(C22:C24,$B$22:$B$24)/$B$25</f>
        <v>109.97127968768811</v>
      </c>
      <c r="D25" s="30">
        <f>SUMPRODUCT(D22:D24,$B$22:$B$24)/$B$25</f>
        <v>10.428311004866975</v>
      </c>
    </row>
    <row r="26" spans="1:13" x14ac:dyDescent="0.25">
      <c r="A26" s="31"/>
      <c r="B26" s="32"/>
      <c r="C26" s="32"/>
      <c r="D26" s="33"/>
    </row>
    <row r="27" spans="1:13" x14ac:dyDescent="0.25">
      <c r="A27" s="21" t="s">
        <v>9</v>
      </c>
      <c r="B27" s="37">
        <f>B19+B25</f>
        <v>41285.85034013605</v>
      </c>
      <c r="C27" s="37">
        <f>($B$19*C19+$B$25*C25)/$B$27</f>
        <v>115.8851752012681</v>
      </c>
      <c r="D27" s="38">
        <f>($B$19*D19+$B$25*D25)/$B$27</f>
        <v>10.131316093866886</v>
      </c>
    </row>
    <row r="28" spans="1:13" x14ac:dyDescent="0.25">
      <c r="B28" s="9"/>
    </row>
    <row r="29" spans="1:13" x14ac:dyDescent="0.25">
      <c r="A29" s="2" t="s">
        <v>29</v>
      </c>
      <c r="B29" s="6">
        <f>B16*B4</f>
        <v>42288.383999999998</v>
      </c>
      <c r="C29" s="2" t="s">
        <v>10</v>
      </c>
      <c r="D29" s="5">
        <f>SUM(100*(B27-B29)/B29)</f>
        <v>-2.3707069531527805</v>
      </c>
      <c r="E29" t="s">
        <v>30</v>
      </c>
    </row>
    <row r="31" spans="1:13" x14ac:dyDescent="0.25">
      <c r="A31" t="s">
        <v>45</v>
      </c>
      <c r="B31" s="5">
        <f>B12+B14-D27</f>
        <v>0.11868390613311419</v>
      </c>
    </row>
    <row r="32" spans="1:13" x14ac:dyDescent="0.25">
      <c r="A32" t="s">
        <v>46</v>
      </c>
      <c r="B32" s="5">
        <f>B13+B14-D27</f>
        <v>174.11868390613313</v>
      </c>
    </row>
    <row r="33" spans="1:5" x14ac:dyDescent="0.25">
      <c r="A33" s="2" t="s">
        <v>38</v>
      </c>
      <c r="B33" s="13">
        <f>(C27-B15)*B7/B32</f>
        <v>-3.5591440470199434</v>
      </c>
      <c r="C33" s="2" t="s">
        <v>47</v>
      </c>
    </row>
    <row r="36" spans="1:5" x14ac:dyDescent="0.25">
      <c r="A36" s="3" t="s">
        <v>27</v>
      </c>
    </row>
    <row r="38" spans="1:5" x14ac:dyDescent="0.25">
      <c r="A38" s="4" t="s">
        <v>4</v>
      </c>
      <c r="B38" s="4" t="s">
        <v>6</v>
      </c>
      <c r="C38" s="4" t="s">
        <v>7</v>
      </c>
      <c r="D38" s="4" t="s">
        <v>8</v>
      </c>
    </row>
    <row r="39" spans="1:5" x14ac:dyDescent="0.25">
      <c r="A39" s="10">
        <v>778.52111258704656</v>
      </c>
      <c r="B39">
        <f>A39*$B$3/1000</f>
        <v>657.85034013605434</v>
      </c>
      <c r="C39" s="12"/>
      <c r="D39" s="12"/>
      <c r="E39" t="s">
        <v>32</v>
      </c>
    </row>
    <row r="41" spans="1:5" x14ac:dyDescent="0.25">
      <c r="A4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"/>
  <sheetViews>
    <sheetView workbookViewId="0">
      <selection activeCell="B16" sqref="B16"/>
    </sheetView>
  </sheetViews>
  <sheetFormatPr defaultRowHeight="15" x14ac:dyDescent="0.25"/>
  <cols>
    <col min="1" max="4" width="20.7109375" customWidth="1"/>
  </cols>
  <sheetData>
    <row r="2" spans="1:4" x14ac:dyDescent="0.25">
      <c r="A2" s="14" t="s">
        <v>2</v>
      </c>
      <c r="B2" s="15"/>
      <c r="C2" s="16"/>
    </row>
    <row r="3" spans="1:4" x14ac:dyDescent="0.25">
      <c r="A3" s="31" t="s">
        <v>3</v>
      </c>
      <c r="B3" s="20">
        <v>845</v>
      </c>
      <c r="C3" s="19" t="s">
        <v>0</v>
      </c>
    </row>
    <row r="4" spans="1:4" x14ac:dyDescent="0.25">
      <c r="A4" t="s">
        <v>101</v>
      </c>
      <c r="B4">
        <v>9.81</v>
      </c>
    </row>
    <row r="5" spans="1:4" x14ac:dyDescent="0.25">
      <c r="A5" s="24" t="s">
        <v>75</v>
      </c>
      <c r="B5" s="46">
        <f>B3*B4</f>
        <v>8289.4500000000007</v>
      </c>
      <c r="C5" s="26" t="s">
        <v>76</v>
      </c>
    </row>
    <row r="7" spans="1:4" x14ac:dyDescent="0.25">
      <c r="A7" s="14" t="s">
        <v>99</v>
      </c>
      <c r="B7" s="15"/>
      <c r="C7" s="16"/>
    </row>
    <row r="8" spans="1:4" x14ac:dyDescent="0.25">
      <c r="A8" s="31" t="s">
        <v>86</v>
      </c>
      <c r="B8" s="20">
        <v>0.1</v>
      </c>
      <c r="C8" s="19" t="s">
        <v>20</v>
      </c>
    </row>
    <row r="9" spans="1:4" x14ac:dyDescent="0.25">
      <c r="A9" s="31" t="s">
        <v>87</v>
      </c>
      <c r="B9" s="47"/>
      <c r="C9" s="19" t="s">
        <v>73</v>
      </c>
    </row>
    <row r="10" spans="1:4" x14ac:dyDescent="0.25">
      <c r="A10" s="24" t="s">
        <v>88</v>
      </c>
      <c r="B10" s="50">
        <f>B9/(B11*(B8/2)^2)</f>
        <v>0</v>
      </c>
      <c r="C10" s="26" t="s">
        <v>89</v>
      </c>
    </row>
    <row r="11" spans="1:4" x14ac:dyDescent="0.25">
      <c r="A11" s="53" t="s">
        <v>102</v>
      </c>
      <c r="B11">
        <f>PI()</f>
        <v>3.1415926535897931</v>
      </c>
    </row>
    <row r="12" spans="1:4" x14ac:dyDescent="0.25">
      <c r="A12" s="14" t="s">
        <v>98</v>
      </c>
      <c r="B12" s="15"/>
      <c r="C12" s="15"/>
      <c r="D12" s="16"/>
    </row>
    <row r="13" spans="1:4" x14ac:dyDescent="0.25">
      <c r="A13" s="31"/>
      <c r="B13" s="45"/>
      <c r="C13" s="45"/>
      <c r="D13" s="19"/>
    </row>
    <row r="14" spans="1:4" x14ac:dyDescent="0.25">
      <c r="A14" s="31" t="s">
        <v>77</v>
      </c>
      <c r="B14" s="45"/>
      <c r="C14" s="45" t="s">
        <v>78</v>
      </c>
      <c r="D14" s="19"/>
    </row>
    <row r="15" spans="1:4" x14ac:dyDescent="0.25">
      <c r="A15" s="31" t="s">
        <v>80</v>
      </c>
      <c r="B15" s="45">
        <v>0</v>
      </c>
      <c r="C15" s="45" t="s">
        <v>81</v>
      </c>
      <c r="D15" s="19">
        <v>0</v>
      </c>
    </row>
    <row r="16" spans="1:4" x14ac:dyDescent="0.25">
      <c r="A16" s="31" t="s">
        <v>82</v>
      </c>
      <c r="B16" s="47"/>
      <c r="C16" s="45" t="s">
        <v>83</v>
      </c>
      <c r="D16" s="48"/>
    </row>
    <row r="17" spans="1:4" x14ac:dyDescent="0.25">
      <c r="A17" s="31" t="s">
        <v>84</v>
      </c>
      <c r="B17" s="45">
        <v>0</v>
      </c>
      <c r="C17" s="45" t="s">
        <v>85</v>
      </c>
      <c r="D17" s="49">
        <f>B10</f>
        <v>0</v>
      </c>
    </row>
    <row r="18" spans="1:4" x14ac:dyDescent="0.25">
      <c r="A18" s="31"/>
      <c r="B18" s="45"/>
      <c r="C18" s="45"/>
      <c r="D18" s="19"/>
    </row>
    <row r="19" spans="1:4" x14ac:dyDescent="0.25">
      <c r="A19" s="21" t="s">
        <v>79</v>
      </c>
      <c r="B19" s="51">
        <f>(D15-B15)/B5+(D16-B16)+(D17^2-B17^2)/(2*9.81)</f>
        <v>0</v>
      </c>
      <c r="C19" s="22" t="s">
        <v>20</v>
      </c>
      <c r="D19" s="26"/>
    </row>
    <row r="21" spans="1:4" x14ac:dyDescent="0.25">
      <c r="A21" s="2" t="s">
        <v>100</v>
      </c>
      <c r="B21" s="42">
        <f>B5*B19*B9/1000</f>
        <v>0</v>
      </c>
      <c r="C21" s="2" t="s">
        <v>90</v>
      </c>
    </row>
    <row r="25" spans="1:4" x14ac:dyDescent="0.25">
      <c r="A25" s="3" t="s">
        <v>91</v>
      </c>
    </row>
    <row r="26" spans="1:4" x14ac:dyDescent="0.25">
      <c r="B26" t="s">
        <v>96</v>
      </c>
      <c r="C26" t="s">
        <v>97</v>
      </c>
      <c r="D26" t="s">
        <v>5</v>
      </c>
    </row>
    <row r="27" spans="1:4" x14ac:dyDescent="0.25">
      <c r="A27" t="s">
        <v>92</v>
      </c>
      <c r="B27">
        <v>175</v>
      </c>
      <c r="C27">
        <v>0.9</v>
      </c>
      <c r="D27">
        <v>200</v>
      </c>
    </row>
    <row r="28" spans="1:4" x14ac:dyDescent="0.25">
      <c r="A28" t="s">
        <v>93</v>
      </c>
      <c r="B28">
        <v>200</v>
      </c>
      <c r="C28">
        <v>0.9</v>
      </c>
      <c r="D28">
        <v>250</v>
      </c>
    </row>
    <row r="29" spans="1:4" x14ac:dyDescent="0.25">
      <c r="A29" t="s">
        <v>94</v>
      </c>
      <c r="B29">
        <v>225</v>
      </c>
      <c r="C29">
        <v>0.9</v>
      </c>
      <c r="D29">
        <v>300</v>
      </c>
    </row>
    <row r="30" spans="1:4" x14ac:dyDescent="0.25">
      <c r="A30" t="s">
        <v>95</v>
      </c>
      <c r="B30">
        <v>300</v>
      </c>
      <c r="C30">
        <v>0.9</v>
      </c>
      <c r="D30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workbookViewId="0">
      <selection activeCell="D8" sqref="D8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16.7109375" customWidth="1"/>
    <col min="14" max="14" width="15.85546875" customWidth="1"/>
  </cols>
  <sheetData>
    <row r="2" spans="1:6" x14ac:dyDescent="0.25">
      <c r="A2" s="14" t="s">
        <v>2</v>
      </c>
      <c r="B2" s="15"/>
      <c r="C2" s="16"/>
    </row>
    <row r="3" spans="1:6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6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</row>
    <row r="6" spans="1:6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</row>
    <row r="7" spans="1:6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</row>
    <row r="8" spans="1:6" x14ac:dyDescent="0.25">
      <c r="A8" t="s">
        <v>49</v>
      </c>
      <c r="B8" s="52">
        <v>6.7437641723356005</v>
      </c>
      <c r="C8" s="9">
        <v>95.238095238095241</v>
      </c>
      <c r="D8" s="20">
        <v>20</v>
      </c>
      <c r="E8" s="9">
        <f t="shared" si="0"/>
        <v>134.87528344671202</v>
      </c>
      <c r="F8" s="41" t="s">
        <v>67</v>
      </c>
    </row>
    <row r="9" spans="1:6" x14ac:dyDescent="0.25">
      <c r="A9" t="s">
        <v>50</v>
      </c>
      <c r="B9" s="52">
        <v>8.0535147392290245</v>
      </c>
      <c r="C9" s="9">
        <v>8.2993197278911559</v>
      </c>
      <c r="D9" s="20">
        <v>6</v>
      </c>
      <c r="E9" s="9">
        <f t="shared" si="0"/>
        <v>48.321088435374151</v>
      </c>
      <c r="F9" s="41" t="s">
        <v>68</v>
      </c>
    </row>
    <row r="11" spans="1:6" x14ac:dyDescent="0.25">
      <c r="B11" s="2" t="s">
        <v>54</v>
      </c>
      <c r="C11" s="54">
        <f>SUM(E6:E9)</f>
        <v>211.52290249433108</v>
      </c>
      <c r="D11" t="s">
        <v>10</v>
      </c>
    </row>
    <row r="13" spans="1:6" x14ac:dyDescent="0.25">
      <c r="B13" t="s">
        <v>7</v>
      </c>
      <c r="C13" t="s">
        <v>8</v>
      </c>
    </row>
    <row r="14" spans="1:6" x14ac:dyDescent="0.25">
      <c r="A14" s="2" t="s">
        <v>74</v>
      </c>
      <c r="B14" s="44">
        <v>50</v>
      </c>
      <c r="C14" s="44">
        <v>23</v>
      </c>
    </row>
    <row r="16" spans="1:6" x14ac:dyDescent="0.25">
      <c r="A16" s="3" t="s">
        <v>64</v>
      </c>
      <c r="B16" s="41" t="s">
        <v>65</v>
      </c>
    </row>
    <row r="17" spans="1:4" x14ac:dyDescent="0.25">
      <c r="A17" t="s">
        <v>55</v>
      </c>
      <c r="B17" s="1">
        <v>2</v>
      </c>
      <c r="C17" t="s">
        <v>56</v>
      </c>
      <c r="D17" t="s">
        <v>57</v>
      </c>
    </row>
    <row r="18" spans="1:4" x14ac:dyDescent="0.25">
      <c r="A18" t="s">
        <v>58</v>
      </c>
      <c r="B18" s="1">
        <v>60</v>
      </c>
      <c r="C18" t="s">
        <v>59</v>
      </c>
    </row>
    <row r="19" spans="1:4" x14ac:dyDescent="0.25">
      <c r="A19" t="s">
        <v>63</v>
      </c>
      <c r="B19" s="1">
        <v>30</v>
      </c>
      <c r="C19" t="s">
        <v>60</v>
      </c>
    </row>
    <row r="20" spans="1:4" x14ac:dyDescent="0.25">
      <c r="A20" t="s">
        <v>62</v>
      </c>
      <c r="B20" s="1">
        <v>1000</v>
      </c>
      <c r="C20" t="s">
        <v>61</v>
      </c>
    </row>
    <row r="21" spans="1:4" x14ac:dyDescent="0.25">
      <c r="A21" t="s">
        <v>69</v>
      </c>
      <c r="B21" s="1">
        <v>10</v>
      </c>
      <c r="C21" t="s">
        <v>70</v>
      </c>
    </row>
    <row r="23" spans="1:4" x14ac:dyDescent="0.25">
      <c r="A23" s="2" t="s">
        <v>71</v>
      </c>
      <c r="B23" s="44">
        <f>B17*B18*B21*SUMPRODUCT(C6:C9,D6:D9)/B3</f>
        <v>2994.6785814917685</v>
      </c>
      <c r="C23" s="2" t="s">
        <v>24</v>
      </c>
    </row>
    <row r="24" spans="1:4" x14ac:dyDescent="0.25">
      <c r="A24" s="2" t="s">
        <v>72</v>
      </c>
      <c r="B24" s="43">
        <f>B20*B19/2.205/B3/60</f>
        <v>0.26835191670356501</v>
      </c>
      <c r="C24" s="2" t="s">
        <v>73</v>
      </c>
    </row>
  </sheetData>
  <hyperlinks>
    <hyperlink ref="B16" r:id="rId1"/>
    <hyperlink ref="F8" r:id="rId2"/>
    <hyperlink ref="F9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9"/>
  <sheetViews>
    <sheetView tabSelected="1" topLeftCell="A22" workbookViewId="0">
      <selection activeCell="B60" sqref="B60"/>
    </sheetView>
  </sheetViews>
  <sheetFormatPr defaultRowHeight="15" x14ac:dyDescent="0.25"/>
  <cols>
    <col min="1" max="1" width="25.28515625" customWidth="1"/>
    <col min="2" max="3" width="20.42578125" customWidth="1"/>
    <col min="4" max="4" width="26.42578125" customWidth="1"/>
    <col min="5" max="5" width="26" customWidth="1"/>
    <col min="6" max="6" width="20.28515625" customWidth="1"/>
    <col min="7" max="7" width="19" customWidth="1"/>
    <col min="8" max="8" width="12.28515625" customWidth="1"/>
    <col min="9" max="9" width="15.7109375" customWidth="1"/>
    <col min="10" max="10" width="14.28515625" customWidth="1"/>
    <col min="11" max="11" width="10.5703125" bestFit="1" customWidth="1"/>
    <col min="12" max="12" width="12.7109375" bestFit="1" customWidth="1"/>
    <col min="13" max="13" width="9.5703125" bestFit="1" customWidth="1"/>
    <col min="14" max="14" width="15.85546875" customWidth="1"/>
  </cols>
  <sheetData>
    <row r="2" spans="1:12" x14ac:dyDescent="0.25">
      <c r="A2" s="14" t="s">
        <v>2</v>
      </c>
      <c r="B2" s="15"/>
      <c r="C2" s="16"/>
    </row>
    <row r="3" spans="1:12" x14ac:dyDescent="0.25">
      <c r="A3" s="24" t="s">
        <v>3</v>
      </c>
      <c r="B3" s="25">
        <v>845</v>
      </c>
      <c r="C3" s="26" t="s">
        <v>0</v>
      </c>
      <c r="E3" t="s">
        <v>1</v>
      </c>
    </row>
    <row r="5" spans="1:12" x14ac:dyDescent="0.25">
      <c r="A5" s="3" t="s">
        <v>51</v>
      </c>
      <c r="B5" t="s">
        <v>52</v>
      </c>
      <c r="C5" t="s">
        <v>103</v>
      </c>
      <c r="D5" t="s">
        <v>53</v>
      </c>
      <c r="E5" t="s">
        <v>104</v>
      </c>
      <c r="F5" t="s">
        <v>115</v>
      </c>
      <c r="G5" t="s">
        <v>114</v>
      </c>
      <c r="H5" t="s">
        <v>107</v>
      </c>
      <c r="I5" t="s">
        <v>108</v>
      </c>
      <c r="J5" t="s">
        <v>55</v>
      </c>
      <c r="K5" t="s">
        <v>116</v>
      </c>
      <c r="L5" t="s">
        <v>117</v>
      </c>
    </row>
    <row r="6" spans="1:12" x14ac:dyDescent="0.25">
      <c r="A6" t="s">
        <v>66</v>
      </c>
      <c r="B6" s="52">
        <v>13.297052154195011</v>
      </c>
      <c r="C6" s="9">
        <v>113.37868480725623</v>
      </c>
      <c r="D6" s="20">
        <v>1</v>
      </c>
      <c r="E6" s="9">
        <f>B6*D6</f>
        <v>13.297052154195011</v>
      </c>
      <c r="F6">
        <v>600</v>
      </c>
      <c r="G6">
        <v>567</v>
      </c>
      <c r="H6">
        <f>2*F6/G6</f>
        <v>2.1164021164021163</v>
      </c>
      <c r="I6">
        <f>3.4+0.64*H6</f>
        <v>4.7544973544973548</v>
      </c>
      <c r="J6">
        <f>24/(H6+I6+B19/60)</f>
        <v>3.2560476634843156</v>
      </c>
      <c r="K6">
        <f>J6*D6*$B$21*H6*C6*60/$B$3</f>
        <v>554.77246436455914</v>
      </c>
      <c r="L6">
        <f>H6*60*C6/$B$3</f>
        <v>17.038216933559685</v>
      </c>
    </row>
    <row r="7" spans="1:12" x14ac:dyDescent="0.25">
      <c r="A7" t="s">
        <v>48</v>
      </c>
      <c r="B7" s="52">
        <v>15.029478458049885</v>
      </c>
      <c r="C7" s="9">
        <v>40.816326530612244</v>
      </c>
      <c r="D7" s="20">
        <v>1</v>
      </c>
      <c r="E7" s="9">
        <f t="shared" ref="E7:E9" si="0">B7*D7</f>
        <v>15.029478458049885</v>
      </c>
      <c r="F7">
        <v>428</v>
      </c>
      <c r="G7">
        <v>270</v>
      </c>
      <c r="H7">
        <f t="shared" ref="H7:H9" si="1">2*F7/G7</f>
        <v>3.1703703703703705</v>
      </c>
      <c r="I7">
        <f t="shared" ref="I7:I9" si="2">3.4+0.64*H7</f>
        <v>5.4290370370370375</v>
      </c>
      <c r="J7">
        <f t="shared" ref="J7:J9" si="3">24/(H7+I7+B20/60)</f>
        <v>0.94989035216305273</v>
      </c>
      <c r="K7">
        <f t="shared" ref="K7:K9" si="4">J7*D7*$B$21*H7*C7*60/$B$3</f>
        <v>87.279436616787891</v>
      </c>
      <c r="L7">
        <f>H7*60*C7/$B$3</f>
        <v>9.1883696279300668</v>
      </c>
    </row>
    <row r="8" spans="1:12" x14ac:dyDescent="0.25">
      <c r="A8" t="s">
        <v>49</v>
      </c>
      <c r="B8" s="52">
        <v>6.7437641723356005</v>
      </c>
      <c r="C8" s="9">
        <v>95.238095238095241</v>
      </c>
      <c r="D8" s="20">
        <v>1</v>
      </c>
      <c r="E8" s="9">
        <f t="shared" si="0"/>
        <v>6.7437641723356005</v>
      </c>
      <c r="F8" s="41">
        <v>300</v>
      </c>
      <c r="G8">
        <v>550</v>
      </c>
      <c r="H8">
        <f t="shared" si="1"/>
        <v>1.0909090909090908</v>
      </c>
      <c r="I8">
        <f t="shared" si="2"/>
        <v>4.0981818181818177</v>
      </c>
      <c r="J8">
        <f t="shared" si="3"/>
        <v>4.4811587642865227</v>
      </c>
      <c r="K8">
        <f>J8*D8*$B$21*H8*C8*60/$B$3</f>
        <v>330.58575376278043</v>
      </c>
      <c r="L8">
        <f>H8*60*C8/$B$3</f>
        <v>7.3772381464689163</v>
      </c>
    </row>
    <row r="9" spans="1:12" x14ac:dyDescent="0.25">
      <c r="A9" t="s">
        <v>50</v>
      </c>
      <c r="B9" s="52">
        <v>8.0535147392290245</v>
      </c>
      <c r="C9" s="9">
        <v>8.2993197278911559</v>
      </c>
      <c r="D9" s="20">
        <v>1</v>
      </c>
      <c r="E9" s="9">
        <f t="shared" si="0"/>
        <v>8.0535147392290245</v>
      </c>
      <c r="F9" s="41">
        <v>225</v>
      </c>
      <c r="G9">
        <v>91</v>
      </c>
      <c r="H9">
        <f t="shared" si="1"/>
        <v>4.9450549450549453</v>
      </c>
      <c r="I9">
        <f t="shared" si="2"/>
        <v>6.5648351648351646</v>
      </c>
      <c r="J9">
        <f t="shared" si="3"/>
        <v>2.0851632614092037</v>
      </c>
      <c r="K9">
        <f t="shared" si="4"/>
        <v>60.764261390825958</v>
      </c>
      <c r="L9">
        <f>H9*60*C9/$B$3</f>
        <v>2.9141248800710216</v>
      </c>
    </row>
    <row r="11" spans="1:12" x14ac:dyDescent="0.25">
      <c r="B11" s="2" t="s">
        <v>54</v>
      </c>
      <c r="C11" s="54">
        <f>SUM(E6:E9)</f>
        <v>43.12380952380952</v>
      </c>
      <c r="D11" t="s">
        <v>10</v>
      </c>
      <c r="K11">
        <f>SUM(K6:K9)</f>
        <v>1033.4019161349534</v>
      </c>
    </row>
    <row r="13" spans="1:12" x14ac:dyDescent="0.25">
      <c r="B13" t="s">
        <v>7</v>
      </c>
      <c r="C13" t="s">
        <v>8</v>
      </c>
    </row>
    <row r="14" spans="1:12" x14ac:dyDescent="0.25">
      <c r="A14" s="2" t="s">
        <v>74</v>
      </c>
      <c r="B14" s="44">
        <v>50</v>
      </c>
      <c r="C14" s="44">
        <v>23</v>
      </c>
    </row>
    <row r="16" spans="1:12" x14ac:dyDescent="0.25">
      <c r="A16" s="3" t="s">
        <v>64</v>
      </c>
      <c r="B16" s="41" t="s">
        <v>65</v>
      </c>
    </row>
    <row r="17" spans="1:9" x14ac:dyDescent="0.25">
      <c r="A17" t="s">
        <v>55</v>
      </c>
      <c r="B17" s="1">
        <v>2</v>
      </c>
      <c r="C17" t="s">
        <v>56</v>
      </c>
      <c r="D17" t="s">
        <v>57</v>
      </c>
    </row>
    <row r="18" spans="1:9" x14ac:dyDescent="0.25">
      <c r="A18" t="s">
        <v>58</v>
      </c>
      <c r="B18" s="1">
        <v>60</v>
      </c>
      <c r="C18" t="s">
        <v>59</v>
      </c>
    </row>
    <row r="19" spans="1:9" x14ac:dyDescent="0.25">
      <c r="A19" t="s">
        <v>63</v>
      </c>
      <c r="B19" s="1">
        <v>30</v>
      </c>
      <c r="C19" t="s">
        <v>60</v>
      </c>
      <c r="G19">
        <f>24/$B$17 - H6-I6</f>
        <v>5.129100529100528</v>
      </c>
      <c r="H19">
        <f>G19-150/60</f>
        <v>2.629100529100528</v>
      </c>
      <c r="I19">
        <f>H19*60</f>
        <v>157.74603174603169</v>
      </c>
    </row>
    <row r="20" spans="1:9" x14ac:dyDescent="0.25">
      <c r="A20" t="s">
        <v>62</v>
      </c>
      <c r="B20" s="1">
        <v>1000</v>
      </c>
      <c r="C20" t="s">
        <v>61</v>
      </c>
      <c r="G20">
        <f t="shared" ref="G20:G22" si="5">24/$B$17 - H7-I7</f>
        <v>3.4005925925925915</v>
      </c>
      <c r="H20">
        <f t="shared" ref="H20:H22" si="6">G20-150/60</f>
        <v>0.9005925925925915</v>
      </c>
      <c r="I20">
        <f t="shared" ref="I20:I22" si="7">H20*60</f>
        <v>54.03555555555549</v>
      </c>
    </row>
    <row r="21" spans="1:9" x14ac:dyDescent="0.25">
      <c r="A21" t="s">
        <v>69</v>
      </c>
      <c r="B21" s="1">
        <v>10</v>
      </c>
      <c r="C21" t="s">
        <v>70</v>
      </c>
      <c r="G21">
        <f t="shared" si="5"/>
        <v>6.8109090909090924</v>
      </c>
      <c r="H21">
        <f t="shared" si="6"/>
        <v>4.3109090909090924</v>
      </c>
      <c r="I21">
        <f t="shared" si="7"/>
        <v>258.65454545454554</v>
      </c>
    </row>
    <row r="22" spans="1:9" x14ac:dyDescent="0.25">
      <c r="G22">
        <f t="shared" si="5"/>
        <v>0.49010989010989015</v>
      </c>
      <c r="H22">
        <f t="shared" si="6"/>
        <v>-2.0098901098901099</v>
      </c>
      <c r="I22">
        <f t="shared" si="7"/>
        <v>-120.5934065934066</v>
      </c>
    </row>
    <row r="23" spans="1:9" x14ac:dyDescent="0.25">
      <c r="A23" s="2" t="s">
        <v>71</v>
      </c>
      <c r="B23" s="44">
        <f>B17*B18*B21*SUMPRODUCT(C6:C9,D6:D9)/B3</f>
        <v>366.01054623032644</v>
      </c>
      <c r="C23" s="2" t="s">
        <v>24</v>
      </c>
    </row>
    <row r="24" spans="1:9" x14ac:dyDescent="0.25">
      <c r="A24" s="2" t="s">
        <v>72</v>
      </c>
      <c r="B24" s="43">
        <f>B20*B19/2.205/B3/60</f>
        <v>0.26835191670356501</v>
      </c>
      <c r="C24" s="2" t="s">
        <v>73</v>
      </c>
      <c r="D24" t="s">
        <v>106</v>
      </c>
    </row>
    <row r="28" spans="1:9" x14ac:dyDescent="0.25">
      <c r="A28" t="s">
        <v>55</v>
      </c>
      <c r="B28">
        <f>24/(B31+B32+B33)</f>
        <v>3.5820895522388061</v>
      </c>
      <c r="E28" t="s">
        <v>118</v>
      </c>
      <c r="F28">
        <v>2</v>
      </c>
    </row>
    <row r="29" spans="1:9" x14ac:dyDescent="0.25">
      <c r="A29" t="s">
        <v>109</v>
      </c>
      <c r="B29">
        <v>500</v>
      </c>
      <c r="C29" t="s">
        <v>112</v>
      </c>
      <c r="E29" t="s">
        <v>119</v>
      </c>
      <c r="F29">
        <v>600</v>
      </c>
    </row>
    <row r="30" spans="1:9" x14ac:dyDescent="0.25">
      <c r="A30" t="s">
        <v>110</v>
      </c>
      <c r="B30">
        <v>600</v>
      </c>
      <c r="C30" t="s">
        <v>113</v>
      </c>
      <c r="E30" t="s">
        <v>120</v>
      </c>
      <c r="F30">
        <v>567</v>
      </c>
    </row>
    <row r="31" spans="1:9" x14ac:dyDescent="0.25">
      <c r="A31" t="s">
        <v>107</v>
      </c>
      <c r="B31">
        <f>2*B29/B30</f>
        <v>1.6666666666666667</v>
      </c>
      <c r="C31" t="s">
        <v>111</v>
      </c>
      <c r="E31" t="s">
        <v>121</v>
      </c>
      <c r="F31">
        <f>24/F28 - 3.36*(F29/F30) - 5.9</f>
        <v>2.5444444444444443</v>
      </c>
      <c r="G31" t="s">
        <v>111</v>
      </c>
    </row>
    <row r="32" spans="1:9" x14ac:dyDescent="0.25">
      <c r="A32" t="s">
        <v>63</v>
      </c>
      <c r="B32">
        <v>0.5</v>
      </c>
      <c r="C32" t="s">
        <v>111</v>
      </c>
      <c r="F32">
        <f>F31*60</f>
        <v>152.66666666666666</v>
      </c>
      <c r="G32" t="s">
        <v>60</v>
      </c>
    </row>
    <row r="33" spans="1:14" x14ac:dyDescent="0.25">
      <c r="A33" t="s">
        <v>108</v>
      </c>
      <c r="B33">
        <f>3.4+0.68*B31</f>
        <v>4.5333333333333332</v>
      </c>
      <c r="C33" t="s">
        <v>111</v>
      </c>
      <c r="E33" t="s">
        <v>122</v>
      </c>
      <c r="F33">
        <f>L6/F32*60</f>
        <v>6.696242462971056</v>
      </c>
      <c r="G33" t="s">
        <v>73</v>
      </c>
    </row>
    <row r="36" spans="1:14" ht="7.9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4" x14ac:dyDescent="0.25">
      <c r="A37" t="s">
        <v>123</v>
      </c>
      <c r="B37" t="s">
        <v>125</v>
      </c>
    </row>
    <row r="38" spans="1:14" x14ac:dyDescent="0.25">
      <c r="A38" t="s">
        <v>124</v>
      </c>
    </row>
    <row r="39" spans="1:14" x14ac:dyDescent="0.25">
      <c r="A39" t="s">
        <v>69</v>
      </c>
      <c r="B39" s="20">
        <v>10</v>
      </c>
      <c r="C39" t="s">
        <v>70</v>
      </c>
    </row>
    <row r="40" spans="1:14" x14ac:dyDescent="0.25">
      <c r="A40" t="s">
        <v>55</v>
      </c>
      <c r="B40" s="20">
        <v>2</v>
      </c>
      <c r="C40" t="s">
        <v>56</v>
      </c>
    </row>
    <row r="43" spans="1:14" x14ac:dyDescent="0.25">
      <c r="A43" s="14" t="s">
        <v>2</v>
      </c>
      <c r="B43" s="15"/>
      <c r="C43" s="16"/>
    </row>
    <row r="44" spans="1:14" x14ac:dyDescent="0.25">
      <c r="A44" s="24" t="s">
        <v>3</v>
      </c>
      <c r="B44" s="46">
        <v>845</v>
      </c>
      <c r="C44" s="26" t="s">
        <v>0</v>
      </c>
      <c r="E44" t="s">
        <v>1</v>
      </c>
    </row>
    <row r="46" spans="1:14" x14ac:dyDescent="0.25">
      <c r="A46" s="3" t="s">
        <v>51</v>
      </c>
      <c r="B46" t="s">
        <v>52</v>
      </c>
      <c r="C46" t="s">
        <v>103</v>
      </c>
      <c r="D46" t="s">
        <v>53</v>
      </c>
      <c r="E46" t="s">
        <v>104</v>
      </c>
      <c r="F46" t="s">
        <v>115</v>
      </c>
      <c r="G46" t="s">
        <v>114</v>
      </c>
      <c r="H46" t="s">
        <v>126</v>
      </c>
      <c r="I46" t="s">
        <v>107</v>
      </c>
      <c r="J46" t="s">
        <v>108</v>
      </c>
      <c r="K46" t="s">
        <v>116</v>
      </c>
      <c r="L46" t="s">
        <v>127</v>
      </c>
      <c r="M46" t="s">
        <v>128</v>
      </c>
    </row>
    <row r="47" spans="1:14" x14ac:dyDescent="0.25">
      <c r="A47" t="s">
        <v>66</v>
      </c>
      <c r="B47" s="52">
        <v>13.297052154195011</v>
      </c>
      <c r="C47" s="9">
        <v>113.37868480725623</v>
      </c>
      <c r="D47" s="20">
        <v>1</v>
      </c>
      <c r="E47" s="9">
        <f>B47*D47</f>
        <v>13.297052154195011</v>
      </c>
      <c r="F47">
        <v>600</v>
      </c>
      <c r="G47">
        <v>567</v>
      </c>
      <c r="H47" s="9">
        <f>I47*60*C47/$B$44</f>
        <v>17.038216933559685</v>
      </c>
      <c r="I47" s="9">
        <f>2*F47/G47</f>
        <v>2.1164021164021163</v>
      </c>
      <c r="J47" s="9">
        <f>3.4+0.64*I47</f>
        <v>4.7544973544973548</v>
      </c>
      <c r="K47" s="9">
        <f>$B$40*D47*$B$39*I47*C47*60/$B$3</f>
        <v>340.76433867119368</v>
      </c>
      <c r="L47" s="9">
        <f>60*(24/$B$40 - 3.36*(F47/G47) - 5.9)</f>
        <v>152.66666666666666</v>
      </c>
      <c r="M47" s="9">
        <f>H47/L47*60</f>
        <v>6.696242462971056</v>
      </c>
    </row>
    <row r="48" spans="1:14" x14ac:dyDescent="0.25">
      <c r="A48" t="s">
        <v>48</v>
      </c>
      <c r="B48" s="52">
        <v>15.029478458049885</v>
      </c>
      <c r="C48" s="9">
        <v>40.816326530612244</v>
      </c>
      <c r="D48" s="20">
        <v>1</v>
      </c>
      <c r="E48" s="9">
        <f t="shared" ref="E48:E50" si="8">B48*D48</f>
        <v>15.029478458049885</v>
      </c>
      <c r="F48">
        <v>428</v>
      </c>
      <c r="G48">
        <v>270</v>
      </c>
      <c r="H48" s="9">
        <f t="shared" ref="H48:H50" si="9">I48*60*C48/$B$44</f>
        <v>9.1883696279300668</v>
      </c>
      <c r="I48" s="9">
        <f>2*F48/G48</f>
        <v>3.1703703703703705</v>
      </c>
      <c r="J48" s="9">
        <f t="shared" ref="J48:J50" si="10">3.4+0.64*I48</f>
        <v>5.4290370370370375</v>
      </c>
      <c r="K48" s="9">
        <f t="shared" ref="K48:K50" si="11">$B$40*D48*$B$39*I48*C48*60/$B$3</f>
        <v>183.76739255860136</v>
      </c>
      <c r="L48" s="9">
        <f t="shared" ref="L48:L50" si="12">60*(24/$B$40 - 3.36*(F48/G48) - 5.9)</f>
        <v>46.426666666666634</v>
      </c>
      <c r="M48" s="9">
        <f t="shared" ref="M48:M50" si="13">H48/L48*60</f>
        <v>11.874687916624161</v>
      </c>
    </row>
    <row r="49" spans="1:14" x14ac:dyDescent="0.25">
      <c r="A49" t="s">
        <v>49</v>
      </c>
      <c r="B49" s="52">
        <v>6.7437641723356005</v>
      </c>
      <c r="C49" s="9">
        <v>95.238095238095241</v>
      </c>
      <c r="D49" s="20">
        <v>20</v>
      </c>
      <c r="E49" s="9">
        <f t="shared" si="8"/>
        <v>134.87528344671202</v>
      </c>
      <c r="F49">
        <v>300</v>
      </c>
      <c r="G49">
        <v>550</v>
      </c>
      <c r="H49" s="9">
        <f t="shared" si="9"/>
        <v>7.3772381464689163</v>
      </c>
      <c r="I49" s="9">
        <f>2*F49/G49</f>
        <v>1.0909090909090908</v>
      </c>
      <c r="J49" s="9">
        <f t="shared" si="10"/>
        <v>4.0981818181818177</v>
      </c>
      <c r="K49" s="9">
        <f t="shared" si="11"/>
        <v>2950.8952585875659</v>
      </c>
      <c r="L49" s="9">
        <f t="shared" si="12"/>
        <v>256.03636363636366</v>
      </c>
      <c r="M49" s="9">
        <f t="shared" si="13"/>
        <v>1.7287946231605895</v>
      </c>
    </row>
    <row r="50" spans="1:14" x14ac:dyDescent="0.25">
      <c r="A50" t="s">
        <v>50</v>
      </c>
      <c r="B50" s="52">
        <v>8.0535147392290245</v>
      </c>
      <c r="C50" s="9">
        <v>8.2993197278911559</v>
      </c>
      <c r="D50" s="20">
        <v>1</v>
      </c>
      <c r="E50" s="9">
        <f t="shared" si="8"/>
        <v>8.0535147392290245</v>
      </c>
      <c r="F50">
        <v>200</v>
      </c>
      <c r="G50">
        <v>120</v>
      </c>
      <c r="H50" s="9">
        <f t="shared" si="9"/>
        <v>1.9643360302700961</v>
      </c>
      <c r="I50" s="9">
        <f>2*F50/G50</f>
        <v>3.3333333333333335</v>
      </c>
      <c r="J50" s="9">
        <f t="shared" si="10"/>
        <v>5.5333333333333332</v>
      </c>
      <c r="K50" s="9">
        <f t="shared" si="11"/>
        <v>39.286720605401932</v>
      </c>
      <c r="L50" s="9">
        <f t="shared" si="12"/>
        <v>30</v>
      </c>
      <c r="M50" s="9">
        <f t="shared" si="13"/>
        <v>3.9286720605401917</v>
      </c>
    </row>
    <row r="52" spans="1:14" x14ac:dyDescent="0.25">
      <c r="B52" s="2" t="s">
        <v>54</v>
      </c>
      <c r="C52" s="54">
        <f>SUM(E47:E50)</f>
        <v>171.25532879818596</v>
      </c>
      <c r="D52" t="s">
        <v>10</v>
      </c>
      <c r="J52" s="2" t="s">
        <v>71</v>
      </c>
      <c r="K52" s="54">
        <f>SUM(K47:K50)</f>
        <v>3514.7137104227627</v>
      </c>
      <c r="L52" s="2" t="s">
        <v>24</v>
      </c>
    </row>
    <row r="53" spans="1:14" x14ac:dyDescent="0.25">
      <c r="J53" s="2" t="s">
        <v>72</v>
      </c>
      <c r="K53" s="43">
        <f>MAX(M47:M50)</f>
        <v>11.874687916624161</v>
      </c>
      <c r="L53" s="2" t="s">
        <v>73</v>
      </c>
    </row>
    <row r="54" spans="1:14" x14ac:dyDescent="0.25">
      <c r="B54" t="s">
        <v>7</v>
      </c>
      <c r="C54" t="s">
        <v>8</v>
      </c>
    </row>
    <row r="55" spans="1:14" x14ac:dyDescent="0.25">
      <c r="A55" s="2" t="s">
        <v>74</v>
      </c>
      <c r="B55" s="44">
        <v>50</v>
      </c>
      <c r="C55" s="44">
        <v>23</v>
      </c>
    </row>
    <row r="58" spans="1:14" ht="8.4499999999999993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</row>
    <row r="59" spans="1:14" x14ac:dyDescent="0.25">
      <c r="A59" t="s">
        <v>123</v>
      </c>
      <c r="B59" t="s">
        <v>129</v>
      </c>
    </row>
  </sheetData>
  <hyperlinks>
    <hyperlink ref="B16" r:id="rId1"/>
  </hyperlinks>
  <pageMargins left="0.7" right="0.7" top="0.75" bottom="0.75" header="0.3" footer="0.3"/>
  <pageSetup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NAVARCH</vt:lpstr>
      <vt:lpstr>DIST</vt:lpstr>
      <vt:lpstr>OPS</vt:lpstr>
      <vt:lpstr>OPS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cgoodrum</dc:creator>
  <cp:lastModifiedBy>cgoodrum</cp:lastModifiedBy>
  <dcterms:created xsi:type="dcterms:W3CDTF">2019-07-18T16:06:12Z</dcterms:created>
  <dcterms:modified xsi:type="dcterms:W3CDTF">2019-09-24T18:24:51Z</dcterms:modified>
</cp:coreProperties>
</file>